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1_14B3E7213451C9D538674E4415D6D1EB423F68B8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JULI 2026" sheetId="1" r:id="rId1"/>
    <sheet name="AGUSTUS 2026" sheetId="2" r:id="rId2"/>
    <sheet name="SEPTEMBER 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836" i="3" l="1"/>
  <c r="AK836" i="3"/>
  <c r="AM835" i="3"/>
  <c r="AM834" i="3"/>
  <c r="AK834" i="3"/>
  <c r="AM833" i="3"/>
  <c r="O833" i="3"/>
  <c r="AK818" i="3" s="1"/>
  <c r="D833" i="3"/>
  <c r="AM832" i="3"/>
  <c r="O832" i="3"/>
  <c r="D832" i="3"/>
  <c r="Z817" i="3" s="1"/>
  <c r="AM831" i="3"/>
  <c r="O831" i="3"/>
  <c r="D831" i="3"/>
  <c r="O830" i="3"/>
  <c r="AK826" i="3" s="1"/>
  <c r="D830" i="3"/>
  <c r="Z826" i="3" s="1"/>
  <c r="O829" i="3"/>
  <c r="AK816" i="3" s="1"/>
  <c r="D829" i="3"/>
  <c r="O828" i="3"/>
  <c r="D828" i="3"/>
  <c r="AM827" i="3"/>
  <c r="AK827" i="3"/>
  <c r="Z827" i="3"/>
  <c r="O827" i="3"/>
  <c r="D827" i="3"/>
  <c r="Z836" i="3" s="1"/>
  <c r="AM826" i="3"/>
  <c r="O826" i="3"/>
  <c r="AK835" i="3" s="1"/>
  <c r="D826" i="3"/>
  <c r="Z835" i="3" s="1"/>
  <c r="AM825" i="3"/>
  <c r="AK825" i="3"/>
  <c r="Z825" i="3"/>
  <c r="O825" i="3"/>
  <c r="D825" i="3"/>
  <c r="Z834" i="3" s="1"/>
  <c r="AM824" i="3"/>
  <c r="O824" i="3"/>
  <c r="AK833" i="3" s="1"/>
  <c r="D824" i="3"/>
  <c r="Z833" i="3" s="1"/>
  <c r="AM823" i="3"/>
  <c r="O823" i="3"/>
  <c r="D823" i="3"/>
  <c r="AM822" i="3"/>
  <c r="O822" i="3"/>
  <c r="AK814" i="3" s="1"/>
  <c r="D822" i="3"/>
  <c r="O821" i="3"/>
  <c r="D821" i="3"/>
  <c r="O820" i="3"/>
  <c r="AK824" i="3" s="1"/>
  <c r="D820" i="3"/>
  <c r="Z824" i="3" s="1"/>
  <c r="O819" i="3"/>
  <c r="AK832" i="3" s="1"/>
  <c r="D819" i="3"/>
  <c r="Z832" i="3" s="1"/>
  <c r="AM818" i="3"/>
  <c r="Z818" i="3"/>
  <c r="O818" i="3"/>
  <c r="AK823" i="3" s="1"/>
  <c r="D818" i="3"/>
  <c r="Z823" i="3" s="1"/>
  <c r="AM817" i="3"/>
  <c r="AK817" i="3"/>
  <c r="O817" i="3"/>
  <c r="AK822" i="3" s="1"/>
  <c r="D817" i="3"/>
  <c r="Z822" i="3" s="1"/>
  <c r="AM816" i="3"/>
  <c r="Z816" i="3"/>
  <c r="O816" i="3"/>
  <c r="D816" i="3"/>
  <c r="D834" i="3" s="1"/>
  <c r="AM815" i="3"/>
  <c r="AK815" i="3"/>
  <c r="Z815" i="3"/>
  <c r="AM814" i="3"/>
  <c r="Z814" i="3"/>
  <c r="AM813" i="3"/>
  <c r="AK813" i="3"/>
  <c r="AK819" i="3" s="1"/>
  <c r="Z813" i="3"/>
  <c r="Z819" i="3" s="1"/>
  <c r="AM809" i="3"/>
  <c r="AK809" i="3"/>
  <c r="Z809" i="3"/>
  <c r="AM808" i="3"/>
  <c r="AK808" i="3"/>
  <c r="Z808" i="3"/>
  <c r="AM807" i="3"/>
  <c r="AK807" i="3"/>
  <c r="Z807" i="3"/>
  <c r="O807" i="3"/>
  <c r="D807" i="3"/>
  <c r="AM806" i="3"/>
  <c r="AK806" i="3"/>
  <c r="Z806" i="3"/>
  <c r="K806" i="3"/>
  <c r="J806" i="3"/>
  <c r="L806" i="3" s="1"/>
  <c r="H806" i="3"/>
  <c r="G806" i="3"/>
  <c r="I806" i="3" s="1"/>
  <c r="M806" i="3" s="1"/>
  <c r="F806" i="3"/>
  <c r="T806" i="3" s="1"/>
  <c r="U806" i="3" s="1"/>
  <c r="E806" i="3"/>
  <c r="AM805" i="3"/>
  <c r="AK805" i="3"/>
  <c r="AA805" i="3"/>
  <c r="Z805" i="3"/>
  <c r="N805" i="3"/>
  <c r="K805" i="3"/>
  <c r="J805" i="3"/>
  <c r="L805" i="3" s="1"/>
  <c r="H805" i="3"/>
  <c r="I805" i="3" s="1"/>
  <c r="M805" i="3" s="1"/>
  <c r="G805" i="3"/>
  <c r="F805" i="3"/>
  <c r="T805" i="3" s="1"/>
  <c r="U805" i="3" s="1"/>
  <c r="E805" i="3"/>
  <c r="AM804" i="3"/>
  <c r="AK804" i="3"/>
  <c r="AK810" i="3" s="1"/>
  <c r="AD804" i="3"/>
  <c r="AD810" i="3" s="1"/>
  <c r="Z804" i="3"/>
  <c r="Z810" i="3" s="1"/>
  <c r="K804" i="3"/>
  <c r="AG800" i="3" s="1"/>
  <c r="J804" i="3"/>
  <c r="L804" i="3" s="1"/>
  <c r="I804" i="3"/>
  <c r="H804" i="3"/>
  <c r="AD800" i="3" s="1"/>
  <c r="G804" i="3"/>
  <c r="F804" i="3"/>
  <c r="T804" i="3" s="1"/>
  <c r="U804" i="3" s="1"/>
  <c r="AQ800" i="3" s="1"/>
  <c r="E804" i="3"/>
  <c r="K803" i="3"/>
  <c r="AG799" i="3" s="1"/>
  <c r="J803" i="3"/>
  <c r="H803" i="3"/>
  <c r="I803" i="3" s="1"/>
  <c r="G803" i="3"/>
  <c r="F803" i="3"/>
  <c r="T803" i="3" s="1"/>
  <c r="AP799" i="3" s="1"/>
  <c r="E803" i="3"/>
  <c r="K802" i="3"/>
  <c r="J802" i="3"/>
  <c r="L802" i="3" s="1"/>
  <c r="H802" i="3"/>
  <c r="I802" i="3" s="1"/>
  <c r="G802" i="3"/>
  <c r="F802" i="3"/>
  <c r="T802" i="3" s="1"/>
  <c r="U802" i="3" s="1"/>
  <c r="AQ789" i="3" s="1"/>
  <c r="E802" i="3"/>
  <c r="Z801" i="3"/>
  <c r="T801" i="3"/>
  <c r="AP798" i="3" s="1"/>
  <c r="K801" i="3"/>
  <c r="AG798" i="3" s="1"/>
  <c r="J801" i="3"/>
  <c r="H801" i="3"/>
  <c r="G801" i="3"/>
  <c r="I801" i="3" s="1"/>
  <c r="F801" i="3"/>
  <c r="E801" i="3"/>
  <c r="AA798" i="3" s="1"/>
  <c r="AP800" i="3"/>
  <c r="AM800" i="3"/>
  <c r="AK800" i="3"/>
  <c r="AH800" i="3"/>
  <c r="AF800" i="3"/>
  <c r="AC800" i="3"/>
  <c r="AB800" i="3"/>
  <c r="AJ800" i="3" s="1"/>
  <c r="AA800" i="3"/>
  <c r="Z800" i="3"/>
  <c r="N800" i="3"/>
  <c r="K800" i="3"/>
  <c r="AG809" i="3" s="1"/>
  <c r="J800" i="3"/>
  <c r="L800" i="3" s="1"/>
  <c r="AH809" i="3" s="1"/>
  <c r="H800" i="3"/>
  <c r="AD809" i="3" s="1"/>
  <c r="G800" i="3"/>
  <c r="AC809" i="3" s="1"/>
  <c r="F800" i="3"/>
  <c r="E800" i="3"/>
  <c r="AA809" i="3" s="1"/>
  <c r="AM799" i="3"/>
  <c r="AK799" i="3"/>
  <c r="AF799" i="3"/>
  <c r="AC799" i="3"/>
  <c r="AB799" i="3"/>
  <c r="AJ799" i="3" s="1"/>
  <c r="AA799" i="3"/>
  <c r="Z799" i="3"/>
  <c r="K799" i="3"/>
  <c r="AG808" i="3" s="1"/>
  <c r="J799" i="3"/>
  <c r="AF808" i="3" s="1"/>
  <c r="H799" i="3"/>
  <c r="AD808" i="3" s="1"/>
  <c r="G799" i="3"/>
  <c r="AC808" i="3" s="1"/>
  <c r="F799" i="3"/>
  <c r="T799" i="3" s="1"/>
  <c r="AP808" i="3" s="1"/>
  <c r="E799" i="3"/>
  <c r="AA808" i="3" s="1"/>
  <c r="AM798" i="3"/>
  <c r="AF798" i="3"/>
  <c r="AE798" i="3"/>
  <c r="AD798" i="3"/>
  <c r="AC798" i="3"/>
  <c r="AB798" i="3"/>
  <c r="Z798" i="3"/>
  <c r="T798" i="3"/>
  <c r="AP807" i="3" s="1"/>
  <c r="K798" i="3"/>
  <c r="AG807" i="3" s="1"/>
  <c r="J798" i="3"/>
  <c r="H798" i="3"/>
  <c r="AD807" i="3" s="1"/>
  <c r="G798" i="3"/>
  <c r="AC807" i="3" s="1"/>
  <c r="F798" i="3"/>
  <c r="AB807" i="3" s="1"/>
  <c r="E798" i="3"/>
  <c r="AA807" i="3" s="1"/>
  <c r="AM797" i="3"/>
  <c r="AK797" i="3"/>
  <c r="AC797" i="3"/>
  <c r="Z797" i="3"/>
  <c r="N797" i="3"/>
  <c r="K797" i="3"/>
  <c r="AG806" i="3" s="1"/>
  <c r="J797" i="3"/>
  <c r="AF806" i="3" s="1"/>
  <c r="H797" i="3"/>
  <c r="AD806" i="3" s="1"/>
  <c r="G797" i="3"/>
  <c r="AC806" i="3" s="1"/>
  <c r="F797" i="3"/>
  <c r="E797" i="3"/>
  <c r="AA806" i="3" s="1"/>
  <c r="AM796" i="3"/>
  <c r="AK796" i="3"/>
  <c r="Z796" i="3"/>
  <c r="S796" i="3"/>
  <c r="R796" i="3" s="1"/>
  <c r="K796" i="3"/>
  <c r="J796" i="3"/>
  <c r="L796" i="3" s="1"/>
  <c r="H796" i="3"/>
  <c r="I796" i="3" s="1"/>
  <c r="M796" i="3" s="1"/>
  <c r="G796" i="3"/>
  <c r="F796" i="3"/>
  <c r="T796" i="3" s="1"/>
  <c r="U796" i="3" s="1"/>
  <c r="AQ788" i="3" s="1"/>
  <c r="E796" i="3"/>
  <c r="AM795" i="3"/>
  <c r="AK795" i="3"/>
  <c r="AG795" i="3"/>
  <c r="AF795" i="3"/>
  <c r="Z795" i="3"/>
  <c r="N795" i="3"/>
  <c r="L795" i="3"/>
  <c r="AH787" i="3" s="1"/>
  <c r="K795" i="3"/>
  <c r="J795" i="3"/>
  <c r="H795" i="3"/>
  <c r="I795" i="3" s="1"/>
  <c r="G795" i="3"/>
  <c r="F795" i="3"/>
  <c r="T795" i="3" s="1"/>
  <c r="U795" i="3" s="1"/>
  <c r="AQ787" i="3" s="1"/>
  <c r="E795" i="3"/>
  <c r="U794" i="3"/>
  <c r="AQ786" i="3" s="1"/>
  <c r="K794" i="3"/>
  <c r="L794" i="3" s="1"/>
  <c r="AH786" i="3" s="1"/>
  <c r="AH792" i="3" s="1"/>
  <c r="J794" i="3"/>
  <c r="H794" i="3"/>
  <c r="I794" i="3" s="1"/>
  <c r="M794" i="3" s="1"/>
  <c r="G794" i="3"/>
  <c r="F794" i="3"/>
  <c r="T794" i="3" s="1"/>
  <c r="E794" i="3"/>
  <c r="K793" i="3"/>
  <c r="AG797" i="3" s="1"/>
  <c r="J793" i="3"/>
  <c r="AF797" i="3" s="1"/>
  <c r="H793" i="3"/>
  <c r="AD797" i="3" s="1"/>
  <c r="G793" i="3"/>
  <c r="F793" i="3"/>
  <c r="E793" i="3"/>
  <c r="AA797" i="3" s="1"/>
  <c r="AA792" i="3"/>
  <c r="N792" i="3"/>
  <c r="K792" i="3"/>
  <c r="AG805" i="3" s="1"/>
  <c r="J792" i="3"/>
  <c r="AF805" i="3" s="1"/>
  <c r="H792" i="3"/>
  <c r="AD805" i="3" s="1"/>
  <c r="G792" i="3"/>
  <c r="I792" i="3" s="1"/>
  <c r="F792" i="3"/>
  <c r="E792" i="3"/>
  <c r="AQ791" i="3"/>
  <c r="AP791" i="3"/>
  <c r="AO791" i="3"/>
  <c r="AM791" i="3"/>
  <c r="AN791" i="3" s="1"/>
  <c r="AL791" i="3"/>
  <c r="AK791" i="3"/>
  <c r="AI791" i="3"/>
  <c r="AR791" i="3" s="1"/>
  <c r="AH791" i="3"/>
  <c r="AG791" i="3"/>
  <c r="AF791" i="3"/>
  <c r="AE791" i="3"/>
  <c r="AD791" i="3"/>
  <c r="AC791" i="3"/>
  <c r="AB791" i="3"/>
  <c r="AJ791" i="3" s="1"/>
  <c r="AA791" i="3"/>
  <c r="Z791" i="3"/>
  <c r="T791" i="3"/>
  <c r="AP796" i="3" s="1"/>
  <c r="K791" i="3"/>
  <c r="AG796" i="3" s="1"/>
  <c r="J791" i="3"/>
  <c r="AF796" i="3" s="1"/>
  <c r="I791" i="3"/>
  <c r="H791" i="3"/>
  <c r="AD796" i="3" s="1"/>
  <c r="G791" i="3"/>
  <c r="AC796" i="3" s="1"/>
  <c r="F791" i="3"/>
  <c r="AB796" i="3" s="1"/>
  <c r="AJ796" i="3" s="1"/>
  <c r="E791" i="3"/>
  <c r="AA796" i="3" s="1"/>
  <c r="AQ790" i="3"/>
  <c r="AP790" i="3"/>
  <c r="AM790" i="3"/>
  <c r="AK790" i="3"/>
  <c r="AH790" i="3"/>
  <c r="AG790" i="3"/>
  <c r="AF790" i="3"/>
  <c r="AE790" i="3"/>
  <c r="AD790" i="3"/>
  <c r="AC790" i="3"/>
  <c r="AB790" i="3"/>
  <c r="AJ790" i="3" s="1"/>
  <c r="AA790" i="3"/>
  <c r="Z790" i="3"/>
  <c r="L790" i="3"/>
  <c r="AH795" i="3" s="1"/>
  <c r="K790" i="3"/>
  <c r="J790" i="3"/>
  <c r="H790" i="3"/>
  <c r="AD795" i="3" s="1"/>
  <c r="G790" i="3"/>
  <c r="AC795" i="3" s="1"/>
  <c r="AC801" i="3" s="1"/>
  <c r="F790" i="3"/>
  <c r="AB795" i="3" s="1"/>
  <c r="E790" i="3"/>
  <c r="AA795" i="3" s="1"/>
  <c r="AP789" i="3"/>
  <c r="AM789" i="3"/>
  <c r="AK789" i="3"/>
  <c r="AH789" i="3"/>
  <c r="AG789" i="3"/>
  <c r="AF789" i="3"/>
  <c r="AD789" i="3"/>
  <c r="AC789" i="3"/>
  <c r="AB789" i="3"/>
  <c r="AA789" i="3"/>
  <c r="Z789" i="3"/>
  <c r="T789" i="3"/>
  <c r="K789" i="3"/>
  <c r="J789" i="3"/>
  <c r="AF804" i="3" s="1"/>
  <c r="H789" i="3"/>
  <c r="H807" i="3" s="1"/>
  <c r="G789" i="3"/>
  <c r="F789" i="3"/>
  <c r="E789" i="3"/>
  <c r="AP788" i="3"/>
  <c r="AM788" i="3"/>
  <c r="AK788" i="3"/>
  <c r="AH788" i="3"/>
  <c r="AG788" i="3"/>
  <c r="AF788" i="3"/>
  <c r="AE788" i="3"/>
  <c r="AD788" i="3"/>
  <c r="AC788" i="3"/>
  <c r="AB788" i="3"/>
  <c r="AJ788" i="3" s="1"/>
  <c r="AA788" i="3"/>
  <c r="Z788" i="3"/>
  <c r="AP787" i="3"/>
  <c r="AM787" i="3"/>
  <c r="AG787" i="3"/>
  <c r="AF787" i="3"/>
  <c r="AE787" i="3"/>
  <c r="AD787" i="3"/>
  <c r="AC787" i="3"/>
  <c r="AB787" i="3"/>
  <c r="AJ787" i="3" s="1"/>
  <c r="AA787" i="3"/>
  <c r="Z787" i="3"/>
  <c r="AP786" i="3"/>
  <c r="AP792" i="3" s="1"/>
  <c r="AQ792" i="3" s="1"/>
  <c r="AM786" i="3"/>
  <c r="AK786" i="3"/>
  <c r="AK792" i="3" s="1"/>
  <c r="AG786" i="3"/>
  <c r="AF786" i="3"/>
  <c r="AF792" i="3" s="1"/>
  <c r="AE786" i="3"/>
  <c r="AD786" i="3"/>
  <c r="AC786" i="3"/>
  <c r="AC792" i="3" s="1"/>
  <c r="AB786" i="3"/>
  <c r="AB792" i="3" s="1"/>
  <c r="AJ792" i="3" s="1"/>
  <c r="AA786" i="3"/>
  <c r="Z786" i="3"/>
  <c r="Z792" i="3" s="1"/>
  <c r="AM782" i="3"/>
  <c r="AK782" i="3"/>
  <c r="AG782" i="3"/>
  <c r="Z782" i="3"/>
  <c r="AM781" i="3"/>
  <c r="AK781" i="3"/>
  <c r="AB781" i="3"/>
  <c r="Z781" i="3"/>
  <c r="AM780" i="3"/>
  <c r="AK780" i="3"/>
  <c r="Z780" i="3"/>
  <c r="O780" i="3"/>
  <c r="D780" i="3"/>
  <c r="AM779" i="3"/>
  <c r="AK779" i="3"/>
  <c r="AB779" i="3"/>
  <c r="AJ779" i="3" s="1"/>
  <c r="Z779" i="3"/>
  <c r="T779" i="3"/>
  <c r="U779" i="3" s="1"/>
  <c r="K779" i="3"/>
  <c r="J779" i="3"/>
  <c r="L779" i="3" s="1"/>
  <c r="AH764" i="3" s="1"/>
  <c r="H779" i="3"/>
  <c r="G779" i="3"/>
  <c r="I779" i="3" s="1"/>
  <c r="F779" i="3"/>
  <c r="N779" i="3" s="1"/>
  <c r="E779" i="3"/>
  <c r="AM778" i="3"/>
  <c r="AK778" i="3"/>
  <c r="Z778" i="3"/>
  <c r="T778" i="3"/>
  <c r="U778" i="3" s="1"/>
  <c r="K778" i="3"/>
  <c r="J778" i="3"/>
  <c r="L778" i="3" s="1"/>
  <c r="M778" i="3" s="1"/>
  <c r="I778" i="3"/>
  <c r="H778" i="3"/>
  <c r="G778" i="3"/>
  <c r="F778" i="3"/>
  <c r="N778" i="3" s="1"/>
  <c r="E778" i="3"/>
  <c r="AM777" i="3"/>
  <c r="AK777" i="3"/>
  <c r="AK783" i="3" s="1"/>
  <c r="Z777" i="3"/>
  <c r="Z783" i="3" s="1"/>
  <c r="M777" i="3"/>
  <c r="L777" i="3"/>
  <c r="K777" i="3"/>
  <c r="J777" i="3"/>
  <c r="H777" i="3"/>
  <c r="I777" i="3" s="1"/>
  <c r="G777" i="3"/>
  <c r="F777" i="3"/>
  <c r="T777" i="3" s="1"/>
  <c r="E777" i="3"/>
  <c r="AA773" i="3" s="1"/>
  <c r="K776" i="3"/>
  <c r="J776" i="3"/>
  <c r="L776" i="3" s="1"/>
  <c r="M776" i="3" s="1"/>
  <c r="H776" i="3"/>
  <c r="G776" i="3"/>
  <c r="I776" i="3" s="1"/>
  <c r="AE772" i="3" s="1"/>
  <c r="F776" i="3"/>
  <c r="T776" i="3" s="1"/>
  <c r="E776" i="3"/>
  <c r="AA772" i="3" s="1"/>
  <c r="K775" i="3"/>
  <c r="J775" i="3"/>
  <c r="L775" i="3" s="1"/>
  <c r="AH762" i="3" s="1"/>
  <c r="H775" i="3"/>
  <c r="G775" i="3"/>
  <c r="I775" i="3" s="1"/>
  <c r="F775" i="3"/>
  <c r="T775" i="3" s="1"/>
  <c r="E775" i="3"/>
  <c r="K774" i="3"/>
  <c r="J774" i="3"/>
  <c r="L774" i="3" s="1"/>
  <c r="AH771" i="3" s="1"/>
  <c r="H774" i="3"/>
  <c r="AD771" i="3" s="1"/>
  <c r="G774" i="3"/>
  <c r="F774" i="3"/>
  <c r="N774" i="3" s="1"/>
  <c r="E774" i="3"/>
  <c r="AM773" i="3"/>
  <c r="AK773" i="3"/>
  <c r="AH773" i="3"/>
  <c r="AG773" i="3"/>
  <c r="AF773" i="3"/>
  <c r="AE773" i="3"/>
  <c r="AD773" i="3"/>
  <c r="AC773" i="3"/>
  <c r="Z773" i="3"/>
  <c r="T773" i="3"/>
  <c r="K773" i="3"/>
  <c r="J773" i="3"/>
  <c r="H773" i="3"/>
  <c r="AD782" i="3" s="1"/>
  <c r="G773" i="3"/>
  <c r="I773" i="3" s="1"/>
  <c r="F773" i="3"/>
  <c r="N773" i="3" s="1"/>
  <c r="E773" i="3"/>
  <c r="AA782" i="3" s="1"/>
  <c r="AP772" i="3"/>
  <c r="AM772" i="3"/>
  <c r="AK772" i="3"/>
  <c r="AH772" i="3"/>
  <c r="AG772" i="3"/>
  <c r="AF772" i="3"/>
  <c r="AD772" i="3"/>
  <c r="AC772" i="3"/>
  <c r="Z772" i="3"/>
  <c r="K772" i="3"/>
  <c r="AG781" i="3" s="1"/>
  <c r="J772" i="3"/>
  <c r="L772" i="3" s="1"/>
  <c r="H772" i="3"/>
  <c r="AD781" i="3" s="1"/>
  <c r="G772" i="3"/>
  <c r="I772" i="3" s="1"/>
  <c r="AE781" i="3" s="1"/>
  <c r="F772" i="3"/>
  <c r="T772" i="3" s="1"/>
  <c r="E772" i="3"/>
  <c r="AA781" i="3" s="1"/>
  <c r="AJ781" i="3" s="1"/>
  <c r="AM771" i="3"/>
  <c r="AJ771" i="3"/>
  <c r="AG771" i="3"/>
  <c r="AF771" i="3"/>
  <c r="AB771" i="3"/>
  <c r="AA771" i="3"/>
  <c r="Z771" i="3"/>
  <c r="K771" i="3"/>
  <c r="AG780" i="3" s="1"/>
  <c r="J771" i="3"/>
  <c r="L771" i="3" s="1"/>
  <c r="AH780" i="3" s="1"/>
  <c r="H771" i="3"/>
  <c r="AD780" i="3" s="1"/>
  <c r="G771" i="3"/>
  <c r="F771" i="3"/>
  <c r="N771" i="3" s="1"/>
  <c r="E771" i="3"/>
  <c r="AA780" i="3" s="1"/>
  <c r="AM770" i="3"/>
  <c r="AK770" i="3"/>
  <c r="Z770" i="3"/>
  <c r="T770" i="3"/>
  <c r="K770" i="3"/>
  <c r="AG779" i="3" s="1"/>
  <c r="J770" i="3"/>
  <c r="H770" i="3"/>
  <c r="AD779" i="3" s="1"/>
  <c r="G770" i="3"/>
  <c r="I770" i="3" s="1"/>
  <c r="F770" i="3"/>
  <c r="N770" i="3" s="1"/>
  <c r="E770" i="3"/>
  <c r="AA779" i="3" s="1"/>
  <c r="AM769" i="3"/>
  <c r="AK769" i="3"/>
  <c r="Z769" i="3"/>
  <c r="K769" i="3"/>
  <c r="J769" i="3"/>
  <c r="L769" i="3" s="1"/>
  <c r="H769" i="3"/>
  <c r="I769" i="3" s="1"/>
  <c r="M769" i="3" s="1"/>
  <c r="G769" i="3"/>
  <c r="F769" i="3"/>
  <c r="T769" i="3" s="1"/>
  <c r="E769" i="3"/>
  <c r="AM768" i="3"/>
  <c r="AK768" i="3"/>
  <c r="AK774" i="3" s="1"/>
  <c r="Z768" i="3"/>
  <c r="Z774" i="3" s="1"/>
  <c r="K768" i="3"/>
  <c r="J768" i="3"/>
  <c r="L768" i="3" s="1"/>
  <c r="AH760" i="3" s="1"/>
  <c r="H768" i="3"/>
  <c r="I768" i="3" s="1"/>
  <c r="G768" i="3"/>
  <c r="F768" i="3"/>
  <c r="N768" i="3" s="1"/>
  <c r="E768" i="3"/>
  <c r="K767" i="3"/>
  <c r="J767" i="3"/>
  <c r="L767" i="3" s="1"/>
  <c r="AH759" i="3" s="1"/>
  <c r="H767" i="3"/>
  <c r="I767" i="3" s="1"/>
  <c r="G767" i="3"/>
  <c r="F767" i="3"/>
  <c r="N767" i="3" s="1"/>
  <c r="E767" i="3"/>
  <c r="K766" i="3"/>
  <c r="AG770" i="3" s="1"/>
  <c r="J766" i="3"/>
  <c r="L766" i="3" s="1"/>
  <c r="AH770" i="3" s="1"/>
  <c r="H766" i="3"/>
  <c r="AD770" i="3" s="1"/>
  <c r="G766" i="3"/>
  <c r="AC770" i="3" s="1"/>
  <c r="F766" i="3"/>
  <c r="N766" i="3" s="1"/>
  <c r="E766" i="3"/>
  <c r="AA770" i="3" s="1"/>
  <c r="T765" i="3"/>
  <c r="AP778" i="3" s="1"/>
  <c r="K765" i="3"/>
  <c r="AG778" i="3" s="1"/>
  <c r="J765" i="3"/>
  <c r="H765" i="3"/>
  <c r="AD778" i="3" s="1"/>
  <c r="G765" i="3"/>
  <c r="F765" i="3"/>
  <c r="AB778" i="3" s="1"/>
  <c r="E765" i="3"/>
  <c r="AA778" i="3" s="1"/>
  <c r="AQ764" i="3"/>
  <c r="AP764" i="3"/>
  <c r="AM764" i="3"/>
  <c r="AK764" i="3"/>
  <c r="AG764" i="3"/>
  <c r="AF764" i="3"/>
  <c r="AE764" i="3"/>
  <c r="AD764" i="3"/>
  <c r="AC764" i="3"/>
  <c r="AB764" i="3"/>
  <c r="AJ764" i="3" s="1"/>
  <c r="AA764" i="3"/>
  <c r="Z764" i="3"/>
  <c r="T764" i="3"/>
  <c r="U764" i="3" s="1"/>
  <c r="AQ769" i="3" s="1"/>
  <c r="L764" i="3"/>
  <c r="AH769" i="3" s="1"/>
  <c r="K764" i="3"/>
  <c r="AG769" i="3" s="1"/>
  <c r="J764" i="3"/>
  <c r="AF769" i="3" s="1"/>
  <c r="H764" i="3"/>
  <c r="G764" i="3"/>
  <c r="AC769" i="3" s="1"/>
  <c r="F764" i="3"/>
  <c r="AB769" i="3" s="1"/>
  <c r="E764" i="3"/>
  <c r="AA769" i="3" s="1"/>
  <c r="AR763" i="3"/>
  <c r="AQ763" i="3"/>
  <c r="AP763" i="3"/>
  <c r="AO763" i="3"/>
  <c r="AN763" i="3"/>
  <c r="AM763" i="3"/>
  <c r="AK763" i="3"/>
  <c r="AI763" i="3"/>
  <c r="AL763" i="3" s="1"/>
  <c r="AH763" i="3"/>
  <c r="AG763" i="3"/>
  <c r="AF763" i="3"/>
  <c r="AE763" i="3"/>
  <c r="AD763" i="3"/>
  <c r="AC763" i="3"/>
  <c r="AB763" i="3"/>
  <c r="AJ763" i="3" s="1"/>
  <c r="AA763" i="3"/>
  <c r="Z763" i="3"/>
  <c r="K763" i="3"/>
  <c r="J763" i="3"/>
  <c r="AF768" i="3" s="1"/>
  <c r="H763" i="3"/>
  <c r="AD768" i="3" s="1"/>
  <c r="G763" i="3"/>
  <c r="I763" i="3" s="1"/>
  <c r="F763" i="3"/>
  <c r="AB768" i="3" s="1"/>
  <c r="E763" i="3"/>
  <c r="AA768" i="3" s="1"/>
  <c r="AA774" i="3" s="1"/>
  <c r="AP762" i="3"/>
  <c r="AM762" i="3"/>
  <c r="AK762" i="3"/>
  <c r="AG762" i="3"/>
  <c r="AF762" i="3"/>
  <c r="AE762" i="3"/>
  <c r="AD762" i="3"/>
  <c r="AC762" i="3"/>
  <c r="AB762" i="3"/>
  <c r="AA762" i="3"/>
  <c r="Z762" i="3"/>
  <c r="K762" i="3"/>
  <c r="AG777" i="3" s="1"/>
  <c r="J762" i="3"/>
  <c r="H762" i="3"/>
  <c r="G762" i="3"/>
  <c r="F762" i="3"/>
  <c r="E762" i="3"/>
  <c r="AM761" i="3"/>
  <c r="AK761" i="3"/>
  <c r="AH761" i="3"/>
  <c r="AG761" i="3"/>
  <c r="AF761" i="3"/>
  <c r="AE761" i="3"/>
  <c r="AD761" i="3"/>
  <c r="AC761" i="3"/>
  <c r="AB761" i="3"/>
  <c r="AJ761" i="3" s="1"/>
  <c r="AA761" i="3"/>
  <c r="Z761" i="3"/>
  <c r="AM760" i="3"/>
  <c r="AG760" i="3"/>
  <c r="AF760" i="3"/>
  <c r="AE760" i="3"/>
  <c r="AD760" i="3"/>
  <c r="AC760" i="3"/>
  <c r="AB760" i="3"/>
  <c r="AJ760" i="3" s="1"/>
  <c r="AA760" i="3"/>
  <c r="Z760" i="3"/>
  <c r="AM759" i="3"/>
  <c r="AK759" i="3"/>
  <c r="AG759" i="3"/>
  <c r="AF759" i="3"/>
  <c r="AD759" i="3"/>
  <c r="AC759" i="3"/>
  <c r="AB759" i="3"/>
  <c r="AB765" i="3" s="1"/>
  <c r="AA759" i="3"/>
  <c r="AA765" i="3" s="1"/>
  <c r="Z759" i="3"/>
  <c r="AK756" i="3"/>
  <c r="AM755" i="3"/>
  <c r="AK755" i="3"/>
  <c r="AF755" i="3"/>
  <c r="Z755" i="3"/>
  <c r="AM754" i="3"/>
  <c r="AK754" i="3"/>
  <c r="AA754" i="3"/>
  <c r="Z754" i="3"/>
  <c r="AM753" i="3"/>
  <c r="AK753" i="3"/>
  <c r="AD753" i="3"/>
  <c r="Z753" i="3"/>
  <c r="O753" i="3"/>
  <c r="D753" i="3"/>
  <c r="AM752" i="3"/>
  <c r="AK752" i="3"/>
  <c r="AA752" i="3"/>
  <c r="Z752" i="3"/>
  <c r="N752" i="3"/>
  <c r="K752" i="3"/>
  <c r="J752" i="3"/>
  <c r="L752" i="3" s="1"/>
  <c r="AH737" i="3" s="1"/>
  <c r="H752" i="3"/>
  <c r="G752" i="3"/>
  <c r="I752" i="3" s="1"/>
  <c r="F752" i="3"/>
  <c r="E752" i="3"/>
  <c r="AM751" i="3"/>
  <c r="AK751" i="3"/>
  <c r="AD751" i="3"/>
  <c r="Z751" i="3"/>
  <c r="K751" i="3"/>
  <c r="J751" i="3"/>
  <c r="L751" i="3" s="1"/>
  <c r="AH736" i="3" s="1"/>
  <c r="I751" i="3"/>
  <c r="H751" i="3"/>
  <c r="G751" i="3"/>
  <c r="F751" i="3"/>
  <c r="N751" i="3" s="1"/>
  <c r="E751" i="3"/>
  <c r="AM750" i="3"/>
  <c r="AK750" i="3"/>
  <c r="Z750" i="3"/>
  <c r="Z756" i="3" s="1"/>
  <c r="L750" i="3"/>
  <c r="AH746" i="3" s="1"/>
  <c r="K750" i="3"/>
  <c r="J750" i="3"/>
  <c r="H750" i="3"/>
  <c r="I750" i="3" s="1"/>
  <c r="G750" i="3"/>
  <c r="F750" i="3"/>
  <c r="T750" i="3" s="1"/>
  <c r="E750" i="3"/>
  <c r="L749" i="3"/>
  <c r="AH745" i="3" s="1"/>
  <c r="K749" i="3"/>
  <c r="J749" i="3"/>
  <c r="H749" i="3"/>
  <c r="G749" i="3"/>
  <c r="I749" i="3" s="1"/>
  <c r="F749" i="3"/>
  <c r="T749" i="3" s="1"/>
  <c r="E749" i="3"/>
  <c r="V748" i="3"/>
  <c r="L748" i="3"/>
  <c r="K748" i="3"/>
  <c r="J748" i="3"/>
  <c r="H748" i="3"/>
  <c r="G748" i="3"/>
  <c r="I748" i="3" s="1"/>
  <c r="M748" i="3" s="1"/>
  <c r="F748" i="3"/>
  <c r="T748" i="3" s="1"/>
  <c r="E748" i="3"/>
  <c r="K747" i="3"/>
  <c r="J747" i="3"/>
  <c r="L747" i="3" s="1"/>
  <c r="AH744" i="3" s="1"/>
  <c r="H747" i="3"/>
  <c r="G747" i="3"/>
  <c r="I747" i="3" s="1"/>
  <c r="F747" i="3"/>
  <c r="E747" i="3"/>
  <c r="AM746" i="3"/>
  <c r="AK746" i="3"/>
  <c r="AG746" i="3"/>
  <c r="AF746" i="3"/>
  <c r="AD746" i="3"/>
  <c r="AC746" i="3"/>
  <c r="AB746" i="3"/>
  <c r="AJ746" i="3" s="1"/>
  <c r="AA746" i="3"/>
  <c r="Z746" i="3"/>
  <c r="K746" i="3"/>
  <c r="AG755" i="3" s="1"/>
  <c r="J746" i="3"/>
  <c r="L746" i="3" s="1"/>
  <c r="AH755" i="3" s="1"/>
  <c r="I746" i="3"/>
  <c r="H746" i="3"/>
  <c r="AD755" i="3" s="1"/>
  <c r="G746" i="3"/>
  <c r="AC755" i="3" s="1"/>
  <c r="F746" i="3"/>
  <c r="N746" i="3" s="1"/>
  <c r="E746" i="3"/>
  <c r="AA755" i="3" s="1"/>
  <c r="AM745" i="3"/>
  <c r="AK745" i="3"/>
  <c r="AG745" i="3"/>
  <c r="AF745" i="3"/>
  <c r="AD745" i="3"/>
  <c r="AC745" i="3"/>
  <c r="AB745" i="3"/>
  <c r="AJ745" i="3" s="1"/>
  <c r="AA745" i="3"/>
  <c r="Z745" i="3"/>
  <c r="L745" i="3"/>
  <c r="AH754" i="3" s="1"/>
  <c r="K745" i="3"/>
  <c r="AG754" i="3" s="1"/>
  <c r="J745" i="3"/>
  <c r="AF754" i="3" s="1"/>
  <c r="H745" i="3"/>
  <c r="I745" i="3" s="1"/>
  <c r="G745" i="3"/>
  <c r="AC754" i="3" s="1"/>
  <c r="F745" i="3"/>
  <c r="T745" i="3" s="1"/>
  <c r="E745" i="3"/>
  <c r="AM744" i="3"/>
  <c r="AG744" i="3"/>
  <c r="AF744" i="3"/>
  <c r="AD744" i="3"/>
  <c r="AC744" i="3"/>
  <c r="AA744" i="3"/>
  <c r="Z744" i="3"/>
  <c r="N744" i="3"/>
  <c r="K744" i="3"/>
  <c r="AG753" i="3" s="1"/>
  <c r="J744" i="3"/>
  <c r="L744" i="3" s="1"/>
  <c r="AH753" i="3" s="1"/>
  <c r="H744" i="3"/>
  <c r="G744" i="3"/>
  <c r="AC753" i="3" s="1"/>
  <c r="F744" i="3"/>
  <c r="E744" i="3"/>
  <c r="AA753" i="3" s="1"/>
  <c r="AM743" i="3"/>
  <c r="AK743" i="3"/>
  <c r="AD743" i="3"/>
  <c r="Z743" i="3"/>
  <c r="K743" i="3"/>
  <c r="AG752" i="3" s="1"/>
  <c r="J743" i="3"/>
  <c r="AF752" i="3" s="1"/>
  <c r="I743" i="3"/>
  <c r="H743" i="3"/>
  <c r="AD752" i="3" s="1"/>
  <c r="G743" i="3"/>
  <c r="AC752" i="3" s="1"/>
  <c r="F743" i="3"/>
  <c r="N743" i="3" s="1"/>
  <c r="E743" i="3"/>
  <c r="AM742" i="3"/>
  <c r="AK742" i="3"/>
  <c r="AG742" i="3"/>
  <c r="Z742" i="3"/>
  <c r="V742" i="3"/>
  <c r="L742" i="3"/>
  <c r="K742" i="3"/>
  <c r="J742" i="3"/>
  <c r="H742" i="3"/>
  <c r="I742" i="3" s="1"/>
  <c r="M742" i="3" s="1"/>
  <c r="G742" i="3"/>
  <c r="F742" i="3"/>
  <c r="T742" i="3" s="1"/>
  <c r="U742" i="3" s="1"/>
  <c r="E742" i="3"/>
  <c r="AM741" i="3"/>
  <c r="AK741" i="3"/>
  <c r="AK747" i="3" s="1"/>
  <c r="AB741" i="3"/>
  <c r="Z741" i="3"/>
  <c r="Z747" i="3" s="1"/>
  <c r="U741" i="3"/>
  <c r="T741" i="3"/>
  <c r="P741" i="3"/>
  <c r="K741" i="3"/>
  <c r="L741" i="3" s="1"/>
  <c r="J741" i="3"/>
  <c r="H741" i="3"/>
  <c r="G741" i="3"/>
  <c r="I741" i="3" s="1"/>
  <c r="M741" i="3" s="1"/>
  <c r="F741" i="3"/>
  <c r="N741" i="3" s="1"/>
  <c r="E741" i="3"/>
  <c r="U740" i="3"/>
  <c r="T740" i="3"/>
  <c r="K740" i="3"/>
  <c r="J740" i="3"/>
  <c r="L740" i="3" s="1"/>
  <c r="H740" i="3"/>
  <c r="G740" i="3"/>
  <c r="I740" i="3" s="1"/>
  <c r="M740" i="3" s="1"/>
  <c r="F740" i="3"/>
  <c r="N740" i="3" s="1"/>
  <c r="E740" i="3"/>
  <c r="U739" i="3"/>
  <c r="AQ743" i="3" s="1"/>
  <c r="T739" i="3"/>
  <c r="AP743" i="3" s="1"/>
  <c r="K739" i="3"/>
  <c r="AG743" i="3" s="1"/>
  <c r="J739" i="3"/>
  <c r="L739" i="3" s="1"/>
  <c r="AH743" i="3" s="1"/>
  <c r="H739" i="3"/>
  <c r="G739" i="3"/>
  <c r="F739" i="3"/>
  <c r="N739" i="3" s="1"/>
  <c r="E739" i="3"/>
  <c r="AA743" i="3" s="1"/>
  <c r="K738" i="3"/>
  <c r="AG751" i="3" s="1"/>
  <c r="J738" i="3"/>
  <c r="L738" i="3" s="1"/>
  <c r="AH751" i="3" s="1"/>
  <c r="I738" i="3"/>
  <c r="H738" i="3"/>
  <c r="G738" i="3"/>
  <c r="AC751" i="3" s="1"/>
  <c r="F738" i="3"/>
  <c r="AB751" i="3" s="1"/>
  <c r="AJ751" i="3" s="1"/>
  <c r="E738" i="3"/>
  <c r="AA751" i="3" s="1"/>
  <c r="AM737" i="3"/>
  <c r="AK737" i="3"/>
  <c r="AG737" i="3"/>
  <c r="AF737" i="3"/>
  <c r="AD737" i="3"/>
  <c r="AC737" i="3"/>
  <c r="AA737" i="3"/>
  <c r="Z737" i="3"/>
  <c r="L737" i="3"/>
  <c r="AH742" i="3" s="1"/>
  <c r="K737" i="3"/>
  <c r="J737" i="3"/>
  <c r="AF742" i="3" s="1"/>
  <c r="H737" i="3"/>
  <c r="AD742" i="3" s="1"/>
  <c r="G737" i="3"/>
  <c r="I737" i="3" s="1"/>
  <c r="F737" i="3"/>
  <c r="T737" i="3" s="1"/>
  <c r="E737" i="3"/>
  <c r="AA742" i="3" s="1"/>
  <c r="AM736" i="3"/>
  <c r="AK736" i="3"/>
  <c r="AG736" i="3"/>
  <c r="AF736" i="3"/>
  <c r="AD736" i="3"/>
  <c r="AC736" i="3"/>
  <c r="AB736" i="3"/>
  <c r="AJ736" i="3" s="1"/>
  <c r="AA736" i="3"/>
  <c r="Z736" i="3"/>
  <c r="U736" i="3"/>
  <c r="AQ741" i="3" s="1"/>
  <c r="T736" i="3"/>
  <c r="AP741" i="3" s="1"/>
  <c r="K736" i="3"/>
  <c r="AG741" i="3" s="1"/>
  <c r="J736" i="3"/>
  <c r="L736" i="3" s="1"/>
  <c r="AH741" i="3" s="1"/>
  <c r="H736" i="3"/>
  <c r="AD741" i="3" s="1"/>
  <c r="G736" i="3"/>
  <c r="AC741" i="3" s="1"/>
  <c r="F736" i="3"/>
  <c r="N736" i="3" s="1"/>
  <c r="E736" i="3"/>
  <c r="AA741" i="3" s="1"/>
  <c r="AA747" i="3" s="1"/>
  <c r="AM735" i="3"/>
  <c r="AK735" i="3"/>
  <c r="AI735" i="3"/>
  <c r="AH735" i="3"/>
  <c r="AG735" i="3"/>
  <c r="AF735" i="3"/>
  <c r="AE735" i="3"/>
  <c r="AD735" i="3"/>
  <c r="AC735" i="3"/>
  <c r="AB735" i="3"/>
  <c r="AA735" i="3"/>
  <c r="Z735" i="3"/>
  <c r="K735" i="3"/>
  <c r="J735" i="3"/>
  <c r="AF750" i="3" s="1"/>
  <c r="H735" i="3"/>
  <c r="G735" i="3"/>
  <c r="F735" i="3"/>
  <c r="N735" i="3" s="1"/>
  <c r="E735" i="3"/>
  <c r="AR734" i="3"/>
  <c r="AQ734" i="3"/>
  <c r="AP734" i="3"/>
  <c r="AM734" i="3"/>
  <c r="AK734" i="3"/>
  <c r="AI734" i="3"/>
  <c r="AO734" i="3" s="1"/>
  <c r="AN734" i="3" s="1"/>
  <c r="AH734" i="3"/>
  <c r="AG734" i="3"/>
  <c r="AF734" i="3"/>
  <c r="AD734" i="3"/>
  <c r="AC734" i="3"/>
  <c r="AB734" i="3"/>
  <c r="AJ734" i="3" s="1"/>
  <c r="AA734" i="3"/>
  <c r="Z734" i="3"/>
  <c r="AQ733" i="3"/>
  <c r="AP733" i="3"/>
  <c r="AM733" i="3"/>
  <c r="AL733" i="3"/>
  <c r="AI733" i="3"/>
  <c r="AO733" i="3" s="1"/>
  <c r="AN733" i="3" s="1"/>
  <c r="AH733" i="3"/>
  <c r="AG733" i="3"/>
  <c r="AF733" i="3"/>
  <c r="AE733" i="3"/>
  <c r="AD733" i="3"/>
  <c r="AC733" i="3"/>
  <c r="AB733" i="3"/>
  <c r="AJ733" i="3" s="1"/>
  <c r="AA733" i="3"/>
  <c r="Z733" i="3"/>
  <c r="AQ732" i="3"/>
  <c r="AP732" i="3"/>
  <c r="AM732" i="3"/>
  <c r="AK732" i="3"/>
  <c r="AK738" i="3" s="1"/>
  <c r="AH732" i="3"/>
  <c r="AG732" i="3"/>
  <c r="AG738" i="3" s="1"/>
  <c r="AF732" i="3"/>
  <c r="AE732" i="3"/>
  <c r="AD732" i="3"/>
  <c r="AD738" i="3" s="1"/>
  <c r="AC732" i="3"/>
  <c r="AC738" i="3" s="1"/>
  <c r="AB732" i="3"/>
  <c r="AA732" i="3"/>
  <c r="Z732" i="3"/>
  <c r="AP728" i="3"/>
  <c r="AM728" i="3"/>
  <c r="AK728" i="3"/>
  <c r="Z728" i="3"/>
  <c r="AM727" i="3"/>
  <c r="AK727" i="3"/>
  <c r="AC727" i="3"/>
  <c r="Z727" i="3"/>
  <c r="AM726" i="3"/>
  <c r="AK726" i="3"/>
  <c r="AF726" i="3"/>
  <c r="Z726" i="3"/>
  <c r="O726" i="3"/>
  <c r="D726" i="3"/>
  <c r="AM725" i="3"/>
  <c r="AK725" i="3"/>
  <c r="AC725" i="3"/>
  <c r="Z725" i="3"/>
  <c r="U725" i="3"/>
  <c r="T725" i="3"/>
  <c r="K725" i="3"/>
  <c r="J725" i="3"/>
  <c r="L725" i="3" s="1"/>
  <c r="AH710" i="3" s="1"/>
  <c r="H725" i="3"/>
  <c r="G725" i="3"/>
  <c r="F725" i="3"/>
  <c r="N725" i="3" s="1"/>
  <c r="E725" i="3"/>
  <c r="AM724" i="3"/>
  <c r="AK724" i="3"/>
  <c r="AF724" i="3"/>
  <c r="Z724" i="3"/>
  <c r="U724" i="3"/>
  <c r="AQ709" i="3" s="1"/>
  <c r="K724" i="3"/>
  <c r="J724" i="3"/>
  <c r="H724" i="3"/>
  <c r="G724" i="3"/>
  <c r="I724" i="3" s="1"/>
  <c r="F724" i="3"/>
  <c r="T724" i="3" s="1"/>
  <c r="AP709" i="3" s="1"/>
  <c r="E724" i="3"/>
  <c r="AM723" i="3"/>
  <c r="AK723" i="3"/>
  <c r="AA723" i="3"/>
  <c r="Z723" i="3"/>
  <c r="Z729" i="3" s="1"/>
  <c r="K723" i="3"/>
  <c r="J723" i="3"/>
  <c r="L723" i="3" s="1"/>
  <c r="AH719" i="3" s="1"/>
  <c r="I723" i="3"/>
  <c r="M723" i="3" s="1"/>
  <c r="H723" i="3"/>
  <c r="AD719" i="3" s="1"/>
  <c r="G723" i="3"/>
  <c r="F723" i="3"/>
  <c r="E723" i="3"/>
  <c r="K722" i="3"/>
  <c r="J722" i="3"/>
  <c r="L722" i="3" s="1"/>
  <c r="AH718" i="3" s="1"/>
  <c r="H722" i="3"/>
  <c r="I722" i="3" s="1"/>
  <c r="G722" i="3"/>
  <c r="F722" i="3"/>
  <c r="E722" i="3"/>
  <c r="N721" i="3"/>
  <c r="AJ708" i="3" s="1"/>
  <c r="K721" i="3"/>
  <c r="J721" i="3"/>
  <c r="L721" i="3" s="1"/>
  <c r="AH708" i="3" s="1"/>
  <c r="H721" i="3"/>
  <c r="I721" i="3" s="1"/>
  <c r="G721" i="3"/>
  <c r="F721" i="3"/>
  <c r="E721" i="3"/>
  <c r="AK720" i="3"/>
  <c r="AC720" i="3"/>
  <c r="T720" i="3"/>
  <c r="U720" i="3" s="1"/>
  <c r="AQ717" i="3" s="1"/>
  <c r="K720" i="3"/>
  <c r="J720" i="3"/>
  <c r="L720" i="3" s="1"/>
  <c r="AH717" i="3" s="1"/>
  <c r="H720" i="3"/>
  <c r="G720" i="3"/>
  <c r="F720" i="3"/>
  <c r="N720" i="3" s="1"/>
  <c r="E720" i="3"/>
  <c r="AM719" i="3"/>
  <c r="AK719" i="3"/>
  <c r="AG719" i="3"/>
  <c r="AF719" i="3"/>
  <c r="AC719" i="3"/>
  <c r="AA719" i="3"/>
  <c r="Z719" i="3"/>
  <c r="K719" i="3"/>
  <c r="J719" i="3"/>
  <c r="AF728" i="3" s="1"/>
  <c r="H719" i="3"/>
  <c r="AD728" i="3" s="1"/>
  <c r="G719" i="3"/>
  <c r="I719" i="3" s="1"/>
  <c r="F719" i="3"/>
  <c r="T719" i="3" s="1"/>
  <c r="U719" i="3" s="1"/>
  <c r="AQ728" i="3" s="1"/>
  <c r="E719" i="3"/>
  <c r="AA728" i="3" s="1"/>
  <c r="AM718" i="3"/>
  <c r="AK718" i="3"/>
  <c r="AG718" i="3"/>
  <c r="AF718" i="3"/>
  <c r="AD718" i="3"/>
  <c r="AC718" i="3"/>
  <c r="AA718" i="3"/>
  <c r="Z718" i="3"/>
  <c r="K718" i="3"/>
  <c r="AG727" i="3" s="1"/>
  <c r="J718" i="3"/>
  <c r="L718" i="3" s="1"/>
  <c r="AH727" i="3" s="1"/>
  <c r="H718" i="3"/>
  <c r="I718" i="3" s="1"/>
  <c r="G718" i="3"/>
  <c r="F718" i="3"/>
  <c r="E718" i="3"/>
  <c r="AA727" i="3" s="1"/>
  <c r="AP717" i="3"/>
  <c r="AM717" i="3"/>
  <c r="AG717" i="3"/>
  <c r="AF717" i="3"/>
  <c r="AC717" i="3"/>
  <c r="AB717" i="3"/>
  <c r="AJ717" i="3" s="1"/>
  <c r="AA717" i="3"/>
  <c r="Z717" i="3"/>
  <c r="T717" i="3"/>
  <c r="U717" i="3" s="1"/>
  <c r="AQ726" i="3" s="1"/>
  <c r="K717" i="3"/>
  <c r="AG726" i="3" s="1"/>
  <c r="J717" i="3"/>
  <c r="L717" i="3" s="1"/>
  <c r="AH726" i="3" s="1"/>
  <c r="H717" i="3"/>
  <c r="AD726" i="3" s="1"/>
  <c r="G717" i="3"/>
  <c r="AC726" i="3" s="1"/>
  <c r="F717" i="3"/>
  <c r="N717" i="3" s="1"/>
  <c r="E717" i="3"/>
  <c r="AA726" i="3" s="1"/>
  <c r="AM716" i="3"/>
  <c r="AK716" i="3"/>
  <c r="AF716" i="3"/>
  <c r="Z716" i="3"/>
  <c r="K716" i="3"/>
  <c r="AG725" i="3" s="1"/>
  <c r="J716" i="3"/>
  <c r="AF725" i="3" s="1"/>
  <c r="H716" i="3"/>
  <c r="AD725" i="3" s="1"/>
  <c r="G716" i="3"/>
  <c r="I716" i="3" s="1"/>
  <c r="F716" i="3"/>
  <c r="AB725" i="3" s="1"/>
  <c r="E716" i="3"/>
  <c r="AA725" i="3" s="1"/>
  <c r="AM715" i="3"/>
  <c r="AK715" i="3"/>
  <c r="AA715" i="3"/>
  <c r="Z715" i="3"/>
  <c r="N715" i="3"/>
  <c r="K715" i="3"/>
  <c r="J715" i="3"/>
  <c r="L715" i="3" s="1"/>
  <c r="AH707" i="3" s="1"/>
  <c r="H715" i="3"/>
  <c r="I715" i="3" s="1"/>
  <c r="G715" i="3"/>
  <c r="F715" i="3"/>
  <c r="T715" i="3" s="1"/>
  <c r="E715" i="3"/>
  <c r="AM714" i="3"/>
  <c r="AK714" i="3"/>
  <c r="AD714" i="3"/>
  <c r="Z714" i="3"/>
  <c r="Z720" i="3" s="1"/>
  <c r="K714" i="3"/>
  <c r="L714" i="3" s="1"/>
  <c r="AH706" i="3" s="1"/>
  <c r="J714" i="3"/>
  <c r="I714" i="3"/>
  <c r="H714" i="3"/>
  <c r="G714" i="3"/>
  <c r="F714" i="3"/>
  <c r="N714" i="3" s="1"/>
  <c r="E714" i="3"/>
  <c r="K713" i="3"/>
  <c r="L713" i="3" s="1"/>
  <c r="AH705" i="3" s="1"/>
  <c r="J713" i="3"/>
  <c r="I713" i="3"/>
  <c r="H713" i="3"/>
  <c r="G713" i="3"/>
  <c r="F713" i="3"/>
  <c r="N713" i="3" s="1"/>
  <c r="E713" i="3"/>
  <c r="K712" i="3"/>
  <c r="L712" i="3" s="1"/>
  <c r="AH716" i="3" s="1"/>
  <c r="J712" i="3"/>
  <c r="I712" i="3"/>
  <c r="H712" i="3"/>
  <c r="AD716" i="3" s="1"/>
  <c r="G712" i="3"/>
  <c r="AC716" i="3" s="1"/>
  <c r="F712" i="3"/>
  <c r="N712" i="3" s="1"/>
  <c r="E712" i="3"/>
  <c r="AA716" i="3" s="1"/>
  <c r="AF711" i="3"/>
  <c r="K711" i="3"/>
  <c r="AG724" i="3" s="1"/>
  <c r="J711" i="3"/>
  <c r="L711" i="3" s="1"/>
  <c r="AH724" i="3" s="1"/>
  <c r="H711" i="3"/>
  <c r="AD724" i="3" s="1"/>
  <c r="G711" i="3"/>
  <c r="I711" i="3" s="1"/>
  <c r="F711" i="3"/>
  <c r="T711" i="3" s="1"/>
  <c r="AP724" i="3" s="1"/>
  <c r="E711" i="3"/>
  <c r="AA724" i="3" s="1"/>
  <c r="AQ710" i="3"/>
  <c r="AP710" i="3"/>
  <c r="AM710" i="3"/>
  <c r="AK710" i="3"/>
  <c r="AG710" i="3"/>
  <c r="AF710" i="3"/>
  <c r="AC710" i="3"/>
  <c r="AB710" i="3"/>
  <c r="AA710" i="3"/>
  <c r="Z710" i="3"/>
  <c r="K710" i="3"/>
  <c r="AG715" i="3" s="1"/>
  <c r="J710" i="3"/>
  <c r="L710" i="3" s="1"/>
  <c r="AH715" i="3" s="1"/>
  <c r="H710" i="3"/>
  <c r="AD715" i="3" s="1"/>
  <c r="G710" i="3"/>
  <c r="AC715" i="3" s="1"/>
  <c r="F710" i="3"/>
  <c r="N710" i="3" s="1"/>
  <c r="E710" i="3"/>
  <c r="AM709" i="3"/>
  <c r="AK709" i="3"/>
  <c r="AF709" i="3"/>
  <c r="AD709" i="3"/>
  <c r="AC709" i="3"/>
  <c r="AB709" i="3"/>
  <c r="AJ709" i="3" s="1"/>
  <c r="AA709" i="3"/>
  <c r="Z709" i="3"/>
  <c r="K709" i="3"/>
  <c r="AG714" i="3" s="1"/>
  <c r="J709" i="3"/>
  <c r="AF714" i="3" s="1"/>
  <c r="I709" i="3"/>
  <c r="H709" i="3"/>
  <c r="G709" i="3"/>
  <c r="AC714" i="3" s="1"/>
  <c r="F709" i="3"/>
  <c r="AB714" i="3" s="1"/>
  <c r="E709" i="3"/>
  <c r="AA714" i="3" s="1"/>
  <c r="AM708" i="3"/>
  <c r="AK708" i="3"/>
  <c r="AG708" i="3"/>
  <c r="AF708" i="3"/>
  <c r="AD708" i="3"/>
  <c r="AC708" i="3"/>
  <c r="AA708" i="3"/>
  <c r="Z708" i="3"/>
  <c r="L708" i="3"/>
  <c r="AH723" i="3" s="1"/>
  <c r="K708" i="3"/>
  <c r="J708" i="3"/>
  <c r="J726" i="3" s="1"/>
  <c r="H708" i="3"/>
  <c r="G708" i="3"/>
  <c r="I708" i="3" s="1"/>
  <c r="F708" i="3"/>
  <c r="T708" i="3" s="1"/>
  <c r="E708" i="3"/>
  <c r="E726" i="3" s="1"/>
  <c r="AM707" i="3"/>
  <c r="AK707" i="3"/>
  <c r="AJ707" i="3"/>
  <c r="AG707" i="3"/>
  <c r="AF707" i="3"/>
  <c r="AD707" i="3"/>
  <c r="AC707" i="3"/>
  <c r="AB707" i="3"/>
  <c r="AA707" i="3"/>
  <c r="Z707" i="3"/>
  <c r="AM706" i="3"/>
  <c r="AG706" i="3"/>
  <c r="AF706" i="3"/>
  <c r="AD706" i="3"/>
  <c r="AC706" i="3"/>
  <c r="AB706" i="3"/>
  <c r="AJ706" i="3" s="1"/>
  <c r="AA706" i="3"/>
  <c r="Z706" i="3"/>
  <c r="AM705" i="3"/>
  <c r="AK705" i="3"/>
  <c r="AK711" i="3" s="1"/>
  <c r="AG705" i="3"/>
  <c r="AF705" i="3"/>
  <c r="AD705" i="3"/>
  <c r="AC705" i="3"/>
  <c r="AC711" i="3" s="1"/>
  <c r="AB705" i="3"/>
  <c r="AA705" i="3"/>
  <c r="AA711" i="3" s="1"/>
  <c r="Z705" i="3"/>
  <c r="Z711" i="3" s="1"/>
  <c r="AM701" i="3"/>
  <c r="AK701" i="3"/>
  <c r="Z701" i="3"/>
  <c r="AM700" i="3"/>
  <c r="AK700" i="3"/>
  <c r="AB700" i="3"/>
  <c r="Z700" i="3"/>
  <c r="AM699" i="3"/>
  <c r="AK699" i="3"/>
  <c r="Z699" i="3"/>
  <c r="O699" i="3"/>
  <c r="D699" i="3"/>
  <c r="AM698" i="3"/>
  <c r="AK698" i="3"/>
  <c r="AG698" i="3"/>
  <c r="Z698" i="3"/>
  <c r="T698" i="3"/>
  <c r="U698" i="3" s="1"/>
  <c r="AQ683" i="3" s="1"/>
  <c r="L698" i="3"/>
  <c r="AH683" i="3" s="1"/>
  <c r="K698" i="3"/>
  <c r="J698" i="3"/>
  <c r="H698" i="3"/>
  <c r="G698" i="3"/>
  <c r="I698" i="3" s="1"/>
  <c r="M698" i="3" s="1"/>
  <c r="V698" i="3" s="1"/>
  <c r="F698" i="3"/>
  <c r="N698" i="3" s="1"/>
  <c r="E698" i="3"/>
  <c r="AM697" i="3"/>
  <c r="AK697" i="3"/>
  <c r="AJ697" i="3"/>
  <c r="AB697" i="3"/>
  <c r="Z697" i="3"/>
  <c r="T697" i="3"/>
  <c r="U697" i="3" s="1"/>
  <c r="AQ682" i="3" s="1"/>
  <c r="K697" i="3"/>
  <c r="J697" i="3"/>
  <c r="L697" i="3" s="1"/>
  <c r="H697" i="3"/>
  <c r="G697" i="3"/>
  <c r="F697" i="3"/>
  <c r="N697" i="3" s="1"/>
  <c r="E697" i="3"/>
  <c r="AM696" i="3"/>
  <c r="AK696" i="3"/>
  <c r="AK702" i="3" s="1"/>
  <c r="Z696" i="3"/>
  <c r="Z702" i="3" s="1"/>
  <c r="T696" i="3"/>
  <c r="K696" i="3"/>
  <c r="AG692" i="3" s="1"/>
  <c r="J696" i="3"/>
  <c r="H696" i="3"/>
  <c r="I696" i="3" s="1"/>
  <c r="G696" i="3"/>
  <c r="F696" i="3"/>
  <c r="N696" i="3" s="1"/>
  <c r="E696" i="3"/>
  <c r="AA692" i="3" s="1"/>
  <c r="T695" i="3"/>
  <c r="K695" i="3"/>
  <c r="AG691" i="3" s="1"/>
  <c r="J695" i="3"/>
  <c r="H695" i="3"/>
  <c r="I695" i="3" s="1"/>
  <c r="G695" i="3"/>
  <c r="F695" i="3"/>
  <c r="N695" i="3" s="1"/>
  <c r="E695" i="3"/>
  <c r="AA691" i="3" s="1"/>
  <c r="T694" i="3"/>
  <c r="K694" i="3"/>
  <c r="J694" i="3"/>
  <c r="H694" i="3"/>
  <c r="I694" i="3" s="1"/>
  <c r="G694" i="3"/>
  <c r="F694" i="3"/>
  <c r="N694" i="3" s="1"/>
  <c r="AJ681" i="3" s="1"/>
  <c r="E694" i="3"/>
  <c r="T693" i="3"/>
  <c r="U693" i="3" s="1"/>
  <c r="AQ690" i="3" s="1"/>
  <c r="L693" i="3"/>
  <c r="AH690" i="3" s="1"/>
  <c r="K693" i="3"/>
  <c r="J693" i="3"/>
  <c r="AF690" i="3" s="1"/>
  <c r="H693" i="3"/>
  <c r="AD690" i="3" s="1"/>
  <c r="G693" i="3"/>
  <c r="I693" i="3" s="1"/>
  <c r="F693" i="3"/>
  <c r="N693" i="3" s="1"/>
  <c r="E693" i="3"/>
  <c r="AA690" i="3" s="1"/>
  <c r="AM692" i="3"/>
  <c r="AK692" i="3"/>
  <c r="AJ692" i="3"/>
  <c r="AD692" i="3"/>
  <c r="AC692" i="3"/>
  <c r="AB692" i="3"/>
  <c r="Z692" i="3"/>
  <c r="T692" i="3"/>
  <c r="AP701" i="3" s="1"/>
  <c r="K692" i="3"/>
  <c r="AG701" i="3" s="1"/>
  <c r="J692" i="3"/>
  <c r="L692" i="3" s="1"/>
  <c r="AH701" i="3" s="1"/>
  <c r="H692" i="3"/>
  <c r="AD701" i="3" s="1"/>
  <c r="G692" i="3"/>
  <c r="F692" i="3"/>
  <c r="AB701" i="3" s="1"/>
  <c r="E692" i="3"/>
  <c r="AA701" i="3" s="1"/>
  <c r="AM691" i="3"/>
  <c r="AK691" i="3"/>
  <c r="AE691" i="3"/>
  <c r="AD691" i="3"/>
  <c r="AC691" i="3"/>
  <c r="AB691" i="3"/>
  <c r="AJ691" i="3" s="1"/>
  <c r="Z691" i="3"/>
  <c r="T691" i="3"/>
  <c r="K691" i="3"/>
  <c r="AG700" i="3" s="1"/>
  <c r="J691" i="3"/>
  <c r="H691" i="3"/>
  <c r="AD700" i="3" s="1"/>
  <c r="G691" i="3"/>
  <c r="AC700" i="3" s="1"/>
  <c r="F691" i="3"/>
  <c r="N691" i="3" s="1"/>
  <c r="E691" i="3"/>
  <c r="AA700" i="3" s="1"/>
  <c r="AP690" i="3"/>
  <c r="AM690" i="3"/>
  <c r="AG690" i="3"/>
  <c r="AB690" i="3"/>
  <c r="AJ690" i="3" s="1"/>
  <c r="Z690" i="3"/>
  <c r="T690" i="3"/>
  <c r="AP699" i="3" s="1"/>
  <c r="L690" i="3"/>
  <c r="AH699" i="3" s="1"/>
  <c r="K690" i="3"/>
  <c r="AG699" i="3" s="1"/>
  <c r="J690" i="3"/>
  <c r="AF699" i="3" s="1"/>
  <c r="H690" i="3"/>
  <c r="AD699" i="3" s="1"/>
  <c r="G690" i="3"/>
  <c r="AC699" i="3" s="1"/>
  <c r="F690" i="3"/>
  <c r="AB699" i="3" s="1"/>
  <c r="AJ699" i="3" s="1"/>
  <c r="E690" i="3"/>
  <c r="AA699" i="3" s="1"/>
  <c r="AM689" i="3"/>
  <c r="AK689" i="3"/>
  <c r="AC689" i="3"/>
  <c r="AB689" i="3"/>
  <c r="Z689" i="3"/>
  <c r="T689" i="3"/>
  <c r="U689" i="3" s="1"/>
  <c r="AQ698" i="3" s="1"/>
  <c r="K689" i="3"/>
  <c r="J689" i="3"/>
  <c r="AF698" i="3" s="1"/>
  <c r="H689" i="3"/>
  <c r="AD698" i="3" s="1"/>
  <c r="G689" i="3"/>
  <c r="F689" i="3"/>
  <c r="N689" i="3" s="1"/>
  <c r="E689" i="3"/>
  <c r="AA698" i="3" s="1"/>
  <c r="AM688" i="3"/>
  <c r="AK688" i="3"/>
  <c r="Z688" i="3"/>
  <c r="T688" i="3"/>
  <c r="K688" i="3"/>
  <c r="J688" i="3"/>
  <c r="H688" i="3"/>
  <c r="I688" i="3" s="1"/>
  <c r="G688" i="3"/>
  <c r="F688" i="3"/>
  <c r="N688" i="3" s="1"/>
  <c r="E688" i="3"/>
  <c r="AM687" i="3"/>
  <c r="AK687" i="3"/>
  <c r="AK693" i="3" s="1"/>
  <c r="AC687" i="3"/>
  <c r="Z687" i="3"/>
  <c r="Z693" i="3" s="1"/>
  <c r="K687" i="3"/>
  <c r="L687" i="3" s="1"/>
  <c r="M687" i="3" s="1"/>
  <c r="J687" i="3"/>
  <c r="H687" i="3"/>
  <c r="I687" i="3" s="1"/>
  <c r="AE679" i="3" s="1"/>
  <c r="G687" i="3"/>
  <c r="F687" i="3"/>
  <c r="T687" i="3" s="1"/>
  <c r="E687" i="3"/>
  <c r="AA679" i="3" s="1"/>
  <c r="M686" i="3"/>
  <c r="K686" i="3"/>
  <c r="L686" i="3" s="1"/>
  <c r="AH678" i="3" s="1"/>
  <c r="J686" i="3"/>
  <c r="H686" i="3"/>
  <c r="I686" i="3" s="1"/>
  <c r="AE678" i="3" s="1"/>
  <c r="G686" i="3"/>
  <c r="F686" i="3"/>
  <c r="T686" i="3" s="1"/>
  <c r="E686" i="3"/>
  <c r="AA678" i="3" s="1"/>
  <c r="AA684" i="3" s="1"/>
  <c r="M685" i="3"/>
  <c r="K685" i="3"/>
  <c r="L685" i="3" s="1"/>
  <c r="AH689" i="3" s="1"/>
  <c r="J685" i="3"/>
  <c r="AF689" i="3" s="1"/>
  <c r="H685" i="3"/>
  <c r="I685" i="3" s="1"/>
  <c r="AE689" i="3" s="1"/>
  <c r="G685" i="3"/>
  <c r="F685" i="3"/>
  <c r="T685" i="3" s="1"/>
  <c r="E685" i="3"/>
  <c r="AA689" i="3" s="1"/>
  <c r="AJ684" i="3"/>
  <c r="AB684" i="3"/>
  <c r="T684" i="3"/>
  <c r="AP697" i="3" s="1"/>
  <c r="K684" i="3"/>
  <c r="AG697" i="3" s="1"/>
  <c r="J684" i="3"/>
  <c r="L684" i="3" s="1"/>
  <c r="AH697" i="3" s="1"/>
  <c r="H684" i="3"/>
  <c r="AD697" i="3" s="1"/>
  <c r="G684" i="3"/>
  <c r="F684" i="3"/>
  <c r="N684" i="3" s="1"/>
  <c r="E684" i="3"/>
  <c r="AA697" i="3" s="1"/>
  <c r="AP683" i="3"/>
  <c r="AM683" i="3"/>
  <c r="AK683" i="3"/>
  <c r="AG683" i="3"/>
  <c r="AF683" i="3"/>
  <c r="AE683" i="3"/>
  <c r="AD683" i="3"/>
  <c r="AC683" i="3"/>
  <c r="AB683" i="3"/>
  <c r="AJ683" i="3" s="1"/>
  <c r="AA683" i="3"/>
  <c r="Z683" i="3"/>
  <c r="T683" i="3"/>
  <c r="K683" i="3"/>
  <c r="AG688" i="3" s="1"/>
  <c r="J683" i="3"/>
  <c r="H683" i="3"/>
  <c r="AD688" i="3" s="1"/>
  <c r="G683" i="3"/>
  <c r="AC688" i="3" s="1"/>
  <c r="F683" i="3"/>
  <c r="AB688" i="3" s="1"/>
  <c r="AJ688" i="3" s="1"/>
  <c r="E683" i="3"/>
  <c r="AA688" i="3" s="1"/>
  <c r="AP682" i="3"/>
  <c r="AM682" i="3"/>
  <c r="AK682" i="3"/>
  <c r="AH682" i="3"/>
  <c r="AG682" i="3"/>
  <c r="AF682" i="3"/>
  <c r="AD682" i="3"/>
  <c r="AB682" i="3"/>
  <c r="AJ682" i="3" s="1"/>
  <c r="AA682" i="3"/>
  <c r="Z682" i="3"/>
  <c r="K682" i="3"/>
  <c r="AG687" i="3" s="1"/>
  <c r="J682" i="3"/>
  <c r="AF687" i="3" s="1"/>
  <c r="H682" i="3"/>
  <c r="AD687" i="3" s="1"/>
  <c r="G682" i="3"/>
  <c r="F682" i="3"/>
  <c r="T682" i="3" s="1"/>
  <c r="AP687" i="3" s="1"/>
  <c r="E682" i="3"/>
  <c r="AA687" i="3" s="1"/>
  <c r="AM681" i="3"/>
  <c r="AK681" i="3"/>
  <c r="AG681" i="3"/>
  <c r="AD681" i="3"/>
  <c r="AC681" i="3"/>
  <c r="AB681" i="3"/>
  <c r="AA681" i="3"/>
  <c r="Z681" i="3"/>
  <c r="K681" i="3"/>
  <c r="L681" i="3" s="1"/>
  <c r="J681" i="3"/>
  <c r="H681" i="3"/>
  <c r="G681" i="3"/>
  <c r="F681" i="3"/>
  <c r="F699" i="3" s="1"/>
  <c r="E681" i="3"/>
  <c r="AM680" i="3"/>
  <c r="AK680" i="3"/>
  <c r="AG680" i="3"/>
  <c r="AD680" i="3"/>
  <c r="AC680" i="3"/>
  <c r="AB680" i="3"/>
  <c r="AJ680" i="3" s="1"/>
  <c r="AA680" i="3"/>
  <c r="Z680" i="3"/>
  <c r="AM679" i="3"/>
  <c r="AH679" i="3"/>
  <c r="AG679" i="3"/>
  <c r="AF679" i="3"/>
  <c r="AD679" i="3"/>
  <c r="AC679" i="3"/>
  <c r="AB679" i="3"/>
  <c r="Z679" i="3"/>
  <c r="AM678" i="3"/>
  <c r="AK678" i="3"/>
  <c r="AK684" i="3" s="1"/>
  <c r="AG678" i="3"/>
  <c r="AG684" i="3" s="1"/>
  <c r="AF678" i="3"/>
  <c r="AD678" i="3"/>
  <c r="AD684" i="3" s="1"/>
  <c r="AC678" i="3"/>
  <c r="AB678" i="3"/>
  <c r="Z678" i="3"/>
  <c r="AM674" i="3"/>
  <c r="AK674" i="3"/>
  <c r="Z674" i="3"/>
  <c r="AM673" i="3"/>
  <c r="AK673" i="3"/>
  <c r="AF673" i="3"/>
  <c r="Z673" i="3"/>
  <c r="AM672" i="3"/>
  <c r="AK672" i="3"/>
  <c r="Z672" i="3"/>
  <c r="O672" i="3"/>
  <c r="D672" i="3"/>
  <c r="AM671" i="3"/>
  <c r="AK671" i="3"/>
  <c r="AD671" i="3"/>
  <c r="AC671" i="3"/>
  <c r="Z671" i="3"/>
  <c r="U671" i="3"/>
  <c r="N671" i="3"/>
  <c r="K671" i="3"/>
  <c r="L671" i="3" s="1"/>
  <c r="J671" i="3"/>
  <c r="I671" i="3"/>
  <c r="H671" i="3"/>
  <c r="G671" i="3"/>
  <c r="F671" i="3"/>
  <c r="T671" i="3" s="1"/>
  <c r="E671" i="3"/>
  <c r="AM670" i="3"/>
  <c r="AK670" i="3"/>
  <c r="AD670" i="3"/>
  <c r="Z670" i="3"/>
  <c r="N670" i="3"/>
  <c r="K670" i="3"/>
  <c r="L670" i="3" s="1"/>
  <c r="AH655" i="3" s="1"/>
  <c r="J670" i="3"/>
  <c r="I670" i="3"/>
  <c r="H670" i="3"/>
  <c r="G670" i="3"/>
  <c r="F670" i="3"/>
  <c r="E670" i="3"/>
  <c r="AM669" i="3"/>
  <c r="AK669" i="3"/>
  <c r="AK675" i="3" s="1"/>
  <c r="AC669" i="3"/>
  <c r="Z669" i="3"/>
  <c r="Z675" i="3" s="1"/>
  <c r="K669" i="3"/>
  <c r="L669" i="3" s="1"/>
  <c r="J669" i="3"/>
  <c r="H669" i="3"/>
  <c r="AD665" i="3" s="1"/>
  <c r="G669" i="3"/>
  <c r="F669" i="3"/>
  <c r="N669" i="3" s="1"/>
  <c r="E669" i="3"/>
  <c r="AA665" i="3" s="1"/>
  <c r="P668" i="3"/>
  <c r="M668" i="3"/>
  <c r="AI664" i="3" s="1"/>
  <c r="K668" i="3"/>
  <c r="L668" i="3" s="1"/>
  <c r="J668" i="3"/>
  <c r="H668" i="3"/>
  <c r="AD664" i="3" s="1"/>
  <c r="G668" i="3"/>
  <c r="I668" i="3" s="1"/>
  <c r="AE664" i="3" s="1"/>
  <c r="F668" i="3"/>
  <c r="N668" i="3" s="1"/>
  <c r="E668" i="3"/>
  <c r="K667" i="3"/>
  <c r="L667" i="3" s="1"/>
  <c r="J667" i="3"/>
  <c r="H667" i="3"/>
  <c r="AD654" i="3" s="1"/>
  <c r="G667" i="3"/>
  <c r="F667" i="3"/>
  <c r="E667" i="3"/>
  <c r="T666" i="3"/>
  <c r="K666" i="3"/>
  <c r="J666" i="3"/>
  <c r="H666" i="3"/>
  <c r="AD663" i="3" s="1"/>
  <c r="G666" i="3"/>
  <c r="I666" i="3" s="1"/>
  <c r="F666" i="3"/>
  <c r="N666" i="3" s="1"/>
  <c r="E666" i="3"/>
  <c r="AM665" i="3"/>
  <c r="AK665" i="3"/>
  <c r="AH665" i="3"/>
  <c r="AG665" i="3"/>
  <c r="AF665" i="3"/>
  <c r="Z665" i="3"/>
  <c r="U665" i="3"/>
  <c r="AQ674" i="3" s="1"/>
  <c r="T665" i="3"/>
  <c r="AP674" i="3" s="1"/>
  <c r="K665" i="3"/>
  <c r="AG674" i="3" s="1"/>
  <c r="J665" i="3"/>
  <c r="AF674" i="3" s="1"/>
  <c r="H665" i="3"/>
  <c r="AD674" i="3" s="1"/>
  <c r="G665" i="3"/>
  <c r="AC674" i="3" s="1"/>
  <c r="F665" i="3"/>
  <c r="AB674" i="3" s="1"/>
  <c r="E665" i="3"/>
  <c r="AA674" i="3" s="1"/>
  <c r="AM664" i="3"/>
  <c r="AK664" i="3"/>
  <c r="AH664" i="3"/>
  <c r="AG664" i="3"/>
  <c r="AF664" i="3"/>
  <c r="AC664" i="3"/>
  <c r="AB664" i="3"/>
  <c r="AJ664" i="3" s="1"/>
  <c r="AA664" i="3"/>
  <c r="Z664" i="3"/>
  <c r="K664" i="3"/>
  <c r="AG673" i="3" s="1"/>
  <c r="J664" i="3"/>
  <c r="H664" i="3"/>
  <c r="AD673" i="3" s="1"/>
  <c r="G664" i="3"/>
  <c r="F664" i="3"/>
  <c r="E664" i="3"/>
  <c r="AA673" i="3" s="1"/>
  <c r="AM663" i="3"/>
  <c r="AJ663" i="3"/>
  <c r="AG663" i="3"/>
  <c r="AC663" i="3"/>
  <c r="AB663" i="3"/>
  <c r="AA663" i="3"/>
  <c r="Z663" i="3"/>
  <c r="T663" i="3"/>
  <c r="K663" i="3"/>
  <c r="AG672" i="3" s="1"/>
  <c r="J663" i="3"/>
  <c r="I663" i="3"/>
  <c r="H663" i="3"/>
  <c r="AD672" i="3" s="1"/>
  <c r="G663" i="3"/>
  <c r="AC672" i="3" s="1"/>
  <c r="F663" i="3"/>
  <c r="AB672" i="3" s="1"/>
  <c r="E663" i="3"/>
  <c r="AA672" i="3" s="1"/>
  <c r="AP662" i="3"/>
  <c r="AM662" i="3"/>
  <c r="AK662" i="3"/>
  <c r="Z662" i="3"/>
  <c r="T662" i="3"/>
  <c r="AP671" i="3" s="1"/>
  <c r="K662" i="3"/>
  <c r="AG671" i="3" s="1"/>
  <c r="J662" i="3"/>
  <c r="H662" i="3"/>
  <c r="I662" i="3" s="1"/>
  <c r="AE671" i="3" s="1"/>
  <c r="G662" i="3"/>
  <c r="F662" i="3"/>
  <c r="AB671" i="3" s="1"/>
  <c r="E662" i="3"/>
  <c r="AA671" i="3" s="1"/>
  <c r="AM661" i="3"/>
  <c r="AK661" i="3"/>
  <c r="AC661" i="3"/>
  <c r="Z661" i="3"/>
  <c r="K661" i="3"/>
  <c r="L661" i="3" s="1"/>
  <c r="AH653" i="3" s="1"/>
  <c r="J661" i="3"/>
  <c r="H661" i="3"/>
  <c r="G661" i="3"/>
  <c r="I661" i="3" s="1"/>
  <c r="AE653" i="3" s="1"/>
  <c r="F661" i="3"/>
  <c r="E661" i="3"/>
  <c r="AA653" i="3" s="1"/>
  <c r="AM660" i="3"/>
  <c r="AK660" i="3"/>
  <c r="AD660" i="3"/>
  <c r="AC660" i="3"/>
  <c r="Z660" i="3"/>
  <c r="Z666" i="3" s="1"/>
  <c r="U660" i="3"/>
  <c r="AQ652" i="3" s="1"/>
  <c r="T660" i="3"/>
  <c r="AP652" i="3" s="1"/>
  <c r="K660" i="3"/>
  <c r="AG652" i="3" s="1"/>
  <c r="J660" i="3"/>
  <c r="H660" i="3"/>
  <c r="I660" i="3" s="1"/>
  <c r="G660" i="3"/>
  <c r="F660" i="3"/>
  <c r="N660" i="3" s="1"/>
  <c r="E660" i="3"/>
  <c r="T659" i="3"/>
  <c r="K659" i="3"/>
  <c r="J659" i="3"/>
  <c r="L659" i="3" s="1"/>
  <c r="AH651" i="3" s="1"/>
  <c r="I659" i="3"/>
  <c r="H659" i="3"/>
  <c r="AD651" i="3" s="1"/>
  <c r="G659" i="3"/>
  <c r="F659" i="3"/>
  <c r="N659" i="3" s="1"/>
  <c r="E659" i="3"/>
  <c r="T658" i="3"/>
  <c r="U658" i="3" s="1"/>
  <c r="AQ662" i="3" s="1"/>
  <c r="K658" i="3"/>
  <c r="AG662" i="3" s="1"/>
  <c r="J658" i="3"/>
  <c r="H658" i="3"/>
  <c r="G658" i="3"/>
  <c r="AC662" i="3" s="1"/>
  <c r="F658" i="3"/>
  <c r="N658" i="3" s="1"/>
  <c r="E658" i="3"/>
  <c r="AA662" i="3" s="1"/>
  <c r="Z657" i="3"/>
  <c r="T657" i="3"/>
  <c r="L657" i="3"/>
  <c r="AH670" i="3" s="1"/>
  <c r="K657" i="3"/>
  <c r="AG670" i="3" s="1"/>
  <c r="J657" i="3"/>
  <c r="AF670" i="3" s="1"/>
  <c r="H657" i="3"/>
  <c r="I657" i="3" s="1"/>
  <c r="AE670" i="3" s="1"/>
  <c r="G657" i="3"/>
  <c r="AC670" i="3" s="1"/>
  <c r="F657" i="3"/>
  <c r="AB670" i="3" s="1"/>
  <c r="E657" i="3"/>
  <c r="AA670" i="3" s="1"/>
  <c r="AQ656" i="3"/>
  <c r="AP656" i="3"/>
  <c r="AM656" i="3"/>
  <c r="AK656" i="3"/>
  <c r="AJ656" i="3"/>
  <c r="AH656" i="3"/>
  <c r="AF656" i="3"/>
  <c r="AE656" i="3"/>
  <c r="AD656" i="3"/>
  <c r="AC656" i="3"/>
  <c r="AB656" i="3"/>
  <c r="AA656" i="3"/>
  <c r="Z656" i="3"/>
  <c r="K656" i="3"/>
  <c r="AG661" i="3" s="1"/>
  <c r="J656" i="3"/>
  <c r="AF661" i="3" s="1"/>
  <c r="H656" i="3"/>
  <c r="AD661" i="3" s="1"/>
  <c r="G656" i="3"/>
  <c r="F656" i="3"/>
  <c r="E656" i="3"/>
  <c r="AA661" i="3" s="1"/>
  <c r="AM655" i="3"/>
  <c r="AK655" i="3"/>
  <c r="AF655" i="3"/>
  <c r="AE655" i="3"/>
  <c r="AD655" i="3"/>
  <c r="AC655" i="3"/>
  <c r="AA655" i="3"/>
  <c r="Z655" i="3"/>
  <c r="U655" i="3"/>
  <c r="AQ660" i="3" s="1"/>
  <c r="T655" i="3"/>
  <c r="AP660" i="3" s="1"/>
  <c r="K655" i="3"/>
  <c r="AG660" i="3" s="1"/>
  <c r="J655" i="3"/>
  <c r="I655" i="3"/>
  <c r="H655" i="3"/>
  <c r="G655" i="3"/>
  <c r="F655" i="3"/>
  <c r="AB660" i="3" s="1"/>
  <c r="E655" i="3"/>
  <c r="AA660" i="3" s="1"/>
  <c r="AM654" i="3"/>
  <c r="AK654" i="3"/>
  <c r="AH654" i="3"/>
  <c r="AG654" i="3"/>
  <c r="AF654" i="3"/>
  <c r="AA654" i="3"/>
  <c r="Z654" i="3"/>
  <c r="K654" i="3"/>
  <c r="J654" i="3"/>
  <c r="AF669" i="3" s="1"/>
  <c r="I654" i="3"/>
  <c r="AE669" i="3" s="1"/>
  <c r="H654" i="3"/>
  <c r="AD669" i="3" s="1"/>
  <c r="AD675" i="3" s="1"/>
  <c r="G654" i="3"/>
  <c r="F654" i="3"/>
  <c r="AB669" i="3" s="1"/>
  <c r="AJ669" i="3" s="1"/>
  <c r="E654" i="3"/>
  <c r="AA669" i="3" s="1"/>
  <c r="AM653" i="3"/>
  <c r="AK653" i="3"/>
  <c r="AG653" i="3"/>
  <c r="AF653" i="3"/>
  <c r="AD653" i="3"/>
  <c r="AC653" i="3"/>
  <c r="Z653" i="3"/>
  <c r="AM652" i="3"/>
  <c r="AF652" i="3"/>
  <c r="AD652" i="3"/>
  <c r="AC652" i="3"/>
  <c r="AB652" i="3"/>
  <c r="AJ652" i="3" s="1"/>
  <c r="AA652" i="3"/>
  <c r="Z652" i="3"/>
  <c r="AM651" i="3"/>
  <c r="AK651" i="3"/>
  <c r="AG651" i="3"/>
  <c r="AC651" i="3"/>
  <c r="AB651" i="3"/>
  <c r="AA651" i="3"/>
  <c r="Z651" i="3"/>
  <c r="AM647" i="3"/>
  <c r="AK647" i="3"/>
  <c r="Z647" i="3"/>
  <c r="AM646" i="3"/>
  <c r="AK646" i="3"/>
  <c r="AF646" i="3"/>
  <c r="Z646" i="3"/>
  <c r="AM645" i="3"/>
  <c r="AK645" i="3"/>
  <c r="AJ645" i="3"/>
  <c r="AD645" i="3"/>
  <c r="AC645" i="3"/>
  <c r="AB645" i="3"/>
  <c r="Z645" i="3"/>
  <c r="O645" i="3"/>
  <c r="D645" i="3"/>
  <c r="AM644" i="3"/>
  <c r="AK644" i="3"/>
  <c r="AG644" i="3"/>
  <c r="Z644" i="3"/>
  <c r="K644" i="3"/>
  <c r="J644" i="3"/>
  <c r="I644" i="3"/>
  <c r="H644" i="3"/>
  <c r="G644" i="3"/>
  <c r="F644" i="3"/>
  <c r="E644" i="3"/>
  <c r="AM643" i="3"/>
  <c r="AK643" i="3"/>
  <c r="AD643" i="3"/>
  <c r="AA643" i="3"/>
  <c r="Z643" i="3"/>
  <c r="N643" i="3"/>
  <c r="K643" i="3"/>
  <c r="J643" i="3"/>
  <c r="L643" i="3" s="1"/>
  <c r="H643" i="3"/>
  <c r="G643" i="3"/>
  <c r="F643" i="3"/>
  <c r="T643" i="3" s="1"/>
  <c r="U643" i="3" s="1"/>
  <c r="E643" i="3"/>
  <c r="AM642" i="3"/>
  <c r="AK642" i="3"/>
  <c r="Z642" i="3"/>
  <c r="K642" i="3"/>
  <c r="AG638" i="3" s="1"/>
  <c r="J642" i="3"/>
  <c r="H642" i="3"/>
  <c r="G642" i="3"/>
  <c r="F642" i="3"/>
  <c r="N642" i="3" s="1"/>
  <c r="E642" i="3"/>
  <c r="K641" i="3"/>
  <c r="AG637" i="3" s="1"/>
  <c r="J641" i="3"/>
  <c r="I641" i="3"/>
  <c r="H641" i="3"/>
  <c r="AD637" i="3" s="1"/>
  <c r="G641" i="3"/>
  <c r="F641" i="3"/>
  <c r="AB637" i="3" s="1"/>
  <c r="AJ637" i="3" s="1"/>
  <c r="E641" i="3"/>
  <c r="K640" i="3"/>
  <c r="J640" i="3"/>
  <c r="H640" i="3"/>
  <c r="AD627" i="3" s="1"/>
  <c r="G640" i="3"/>
  <c r="F640" i="3"/>
  <c r="E640" i="3"/>
  <c r="Z639" i="3"/>
  <c r="U639" i="3"/>
  <c r="AQ636" i="3" s="1"/>
  <c r="T639" i="3"/>
  <c r="L639" i="3"/>
  <c r="AH636" i="3" s="1"/>
  <c r="K639" i="3"/>
  <c r="J639" i="3"/>
  <c r="I639" i="3"/>
  <c r="H639" i="3"/>
  <c r="AD636" i="3" s="1"/>
  <c r="G639" i="3"/>
  <c r="F639" i="3"/>
  <c r="N639" i="3" s="1"/>
  <c r="E639" i="3"/>
  <c r="AA636" i="3" s="1"/>
  <c r="AM638" i="3"/>
  <c r="AK638" i="3"/>
  <c r="AF638" i="3"/>
  <c r="AC638" i="3"/>
  <c r="AB638" i="3"/>
  <c r="AJ638" i="3" s="1"/>
  <c r="AA638" i="3"/>
  <c r="Z638" i="3"/>
  <c r="T638" i="3"/>
  <c r="AP647" i="3" s="1"/>
  <c r="K638" i="3"/>
  <c r="AG647" i="3" s="1"/>
  <c r="J638" i="3"/>
  <c r="H638" i="3"/>
  <c r="AD647" i="3" s="1"/>
  <c r="G638" i="3"/>
  <c r="F638" i="3"/>
  <c r="AB647" i="3" s="1"/>
  <c r="E638" i="3"/>
  <c r="AA647" i="3" s="1"/>
  <c r="AM637" i="3"/>
  <c r="AK637" i="3"/>
  <c r="AC637" i="3"/>
  <c r="AA637" i="3"/>
  <c r="Z637" i="3"/>
  <c r="K637" i="3"/>
  <c r="AG646" i="3" s="1"/>
  <c r="J637" i="3"/>
  <c r="H637" i="3"/>
  <c r="AD646" i="3" s="1"/>
  <c r="G637" i="3"/>
  <c r="F637" i="3"/>
  <c r="AB646" i="3" s="1"/>
  <c r="E637" i="3"/>
  <c r="AA646" i="3" s="1"/>
  <c r="AP636" i="3"/>
  <c r="AM636" i="3"/>
  <c r="AG636" i="3"/>
  <c r="AF636" i="3"/>
  <c r="AC636" i="3"/>
  <c r="AB636" i="3"/>
  <c r="AJ636" i="3" s="1"/>
  <c r="Z636" i="3"/>
  <c r="T636" i="3"/>
  <c r="K636" i="3"/>
  <c r="AG645" i="3" s="1"/>
  <c r="J636" i="3"/>
  <c r="I636" i="3"/>
  <c r="AE645" i="3" s="1"/>
  <c r="H636" i="3"/>
  <c r="G636" i="3"/>
  <c r="F636" i="3"/>
  <c r="N636" i="3" s="1"/>
  <c r="E636" i="3"/>
  <c r="AA645" i="3" s="1"/>
  <c r="AP635" i="3"/>
  <c r="AM635" i="3"/>
  <c r="AK635" i="3"/>
  <c r="AF635" i="3"/>
  <c r="AC635" i="3"/>
  <c r="AB635" i="3"/>
  <c r="Z635" i="3"/>
  <c r="U635" i="3"/>
  <c r="AQ644" i="3" s="1"/>
  <c r="T635" i="3"/>
  <c r="AP644" i="3" s="1"/>
  <c r="N635" i="3"/>
  <c r="K635" i="3"/>
  <c r="J635" i="3"/>
  <c r="L635" i="3" s="1"/>
  <c r="AH644" i="3" s="1"/>
  <c r="H635" i="3"/>
  <c r="AD644" i="3" s="1"/>
  <c r="G635" i="3"/>
  <c r="F635" i="3"/>
  <c r="AB644" i="3" s="1"/>
  <c r="E635" i="3"/>
  <c r="AA644" i="3" s="1"/>
  <c r="AM634" i="3"/>
  <c r="AK634" i="3"/>
  <c r="AJ634" i="3"/>
  <c r="AD634" i="3"/>
  <c r="AC634" i="3"/>
  <c r="Z634" i="3"/>
  <c r="K634" i="3"/>
  <c r="J634" i="3"/>
  <c r="H634" i="3"/>
  <c r="AD626" i="3" s="1"/>
  <c r="G634" i="3"/>
  <c r="I634" i="3" s="1"/>
  <c r="F634" i="3"/>
  <c r="E634" i="3"/>
  <c r="AM633" i="3"/>
  <c r="AK633" i="3"/>
  <c r="AK639" i="3" s="1"/>
  <c r="AG633" i="3"/>
  <c r="AD633" i="3"/>
  <c r="AC633" i="3"/>
  <c r="AC639" i="3" s="1"/>
  <c r="Z633" i="3"/>
  <c r="K633" i="3"/>
  <c r="AG625" i="3" s="1"/>
  <c r="J633" i="3"/>
  <c r="H633" i="3"/>
  <c r="I633" i="3" s="1"/>
  <c r="AE625" i="3" s="1"/>
  <c r="G633" i="3"/>
  <c r="F633" i="3"/>
  <c r="N633" i="3" s="1"/>
  <c r="E633" i="3"/>
  <c r="AA625" i="3" s="1"/>
  <c r="T632" i="3"/>
  <c r="L632" i="3"/>
  <c r="AH624" i="3" s="1"/>
  <c r="K632" i="3"/>
  <c r="J632" i="3"/>
  <c r="I632" i="3"/>
  <c r="AE624" i="3" s="1"/>
  <c r="H632" i="3"/>
  <c r="G632" i="3"/>
  <c r="F632" i="3"/>
  <c r="AB624" i="3" s="1"/>
  <c r="E632" i="3"/>
  <c r="T631" i="3"/>
  <c r="K631" i="3"/>
  <c r="J631" i="3"/>
  <c r="H631" i="3"/>
  <c r="AD635" i="3" s="1"/>
  <c r="G631" i="3"/>
  <c r="F631" i="3"/>
  <c r="E631" i="3"/>
  <c r="AA635" i="3" s="1"/>
  <c r="AJ635" i="3" s="1"/>
  <c r="K630" i="3"/>
  <c r="AG643" i="3" s="1"/>
  <c r="J630" i="3"/>
  <c r="AF643" i="3" s="1"/>
  <c r="H630" i="3"/>
  <c r="G630" i="3"/>
  <c r="F630" i="3"/>
  <c r="E630" i="3"/>
  <c r="AM629" i="3"/>
  <c r="AK629" i="3"/>
  <c r="AF629" i="3"/>
  <c r="AE629" i="3"/>
  <c r="AD629" i="3"/>
  <c r="AC629" i="3"/>
  <c r="AA629" i="3"/>
  <c r="Z629" i="3"/>
  <c r="T629" i="3"/>
  <c r="AP634" i="3" s="1"/>
  <c r="N629" i="3"/>
  <c r="K629" i="3"/>
  <c r="AG634" i="3" s="1"/>
  <c r="J629" i="3"/>
  <c r="I629" i="3"/>
  <c r="AE634" i="3" s="1"/>
  <c r="H629" i="3"/>
  <c r="G629" i="3"/>
  <c r="F629" i="3"/>
  <c r="AB634" i="3" s="1"/>
  <c r="E629" i="3"/>
  <c r="AA634" i="3" s="1"/>
  <c r="AQ628" i="3"/>
  <c r="AP628" i="3"/>
  <c r="AM628" i="3"/>
  <c r="AK628" i="3"/>
  <c r="AH628" i="3"/>
  <c r="AG628" i="3"/>
  <c r="AF628" i="3"/>
  <c r="AD628" i="3"/>
  <c r="AB628" i="3"/>
  <c r="AA628" i="3"/>
  <c r="Z628" i="3"/>
  <c r="T628" i="3"/>
  <c r="AP633" i="3" s="1"/>
  <c r="N628" i="3"/>
  <c r="K628" i="3"/>
  <c r="J628" i="3"/>
  <c r="J645" i="3" s="1"/>
  <c r="H628" i="3"/>
  <c r="I628" i="3" s="1"/>
  <c r="G628" i="3"/>
  <c r="F628" i="3"/>
  <c r="AB633" i="3" s="1"/>
  <c r="E628" i="3"/>
  <c r="AA633" i="3" s="1"/>
  <c r="AM627" i="3"/>
  <c r="AK627" i="3"/>
  <c r="AG627" i="3"/>
  <c r="AF627" i="3"/>
  <c r="AB627" i="3"/>
  <c r="AA627" i="3"/>
  <c r="Z627" i="3"/>
  <c r="K627" i="3"/>
  <c r="AG642" i="3" s="1"/>
  <c r="J627" i="3"/>
  <c r="AF642" i="3" s="1"/>
  <c r="I627" i="3"/>
  <c r="H627" i="3"/>
  <c r="G627" i="3"/>
  <c r="F627" i="3"/>
  <c r="E627" i="3"/>
  <c r="AM626" i="3"/>
  <c r="AK626" i="3"/>
  <c r="AG626" i="3"/>
  <c r="AF626" i="3"/>
  <c r="AC626" i="3"/>
  <c r="AB626" i="3"/>
  <c r="AJ626" i="3" s="1"/>
  <c r="AA626" i="3"/>
  <c r="Z626" i="3"/>
  <c r="AM625" i="3"/>
  <c r="AF625" i="3"/>
  <c r="AD625" i="3"/>
  <c r="AC625" i="3"/>
  <c r="Z625" i="3"/>
  <c r="AM624" i="3"/>
  <c r="AK624" i="3"/>
  <c r="AJ624" i="3"/>
  <c r="AG624" i="3"/>
  <c r="AF624" i="3"/>
  <c r="AD624" i="3"/>
  <c r="AC624" i="3"/>
  <c r="AA624" i="3"/>
  <c r="Z624" i="3"/>
  <c r="Z630" i="3" s="1"/>
  <c r="AM620" i="3"/>
  <c r="AK620" i="3"/>
  <c r="AA620" i="3"/>
  <c r="Z620" i="3"/>
  <c r="Z621" i="3" s="1"/>
  <c r="AM619" i="3"/>
  <c r="AK619" i="3"/>
  <c r="AD619" i="3"/>
  <c r="AC619" i="3"/>
  <c r="AB619" i="3"/>
  <c r="Z619" i="3"/>
  <c r="AM618" i="3"/>
  <c r="AK618" i="3"/>
  <c r="AF618" i="3"/>
  <c r="Z618" i="3"/>
  <c r="O618" i="3"/>
  <c r="D618" i="3"/>
  <c r="AM617" i="3"/>
  <c r="AK617" i="3"/>
  <c r="AG617" i="3"/>
  <c r="AA617" i="3"/>
  <c r="Z617" i="3"/>
  <c r="S617" i="3"/>
  <c r="R617" i="3" s="1"/>
  <c r="M617" i="3"/>
  <c r="K617" i="3"/>
  <c r="L617" i="3" s="1"/>
  <c r="J617" i="3"/>
  <c r="I617" i="3"/>
  <c r="H617" i="3"/>
  <c r="G617" i="3"/>
  <c r="AC602" i="3" s="1"/>
  <c r="F617" i="3"/>
  <c r="T617" i="3" s="1"/>
  <c r="U617" i="3" s="1"/>
  <c r="AQ602" i="3" s="1"/>
  <c r="E617" i="3"/>
  <c r="AM616" i="3"/>
  <c r="AK616" i="3"/>
  <c r="AF616" i="3"/>
  <c r="AB616" i="3"/>
  <c r="AJ616" i="3" s="1"/>
  <c r="AA616" i="3"/>
  <c r="Z616" i="3"/>
  <c r="K616" i="3"/>
  <c r="J616" i="3"/>
  <c r="H616" i="3"/>
  <c r="I616" i="3" s="1"/>
  <c r="G616" i="3"/>
  <c r="F616" i="3"/>
  <c r="E616" i="3"/>
  <c r="AM615" i="3"/>
  <c r="AK615" i="3"/>
  <c r="AG615" i="3"/>
  <c r="AD615" i="3"/>
  <c r="AB615" i="3"/>
  <c r="Z615" i="3"/>
  <c r="T615" i="3"/>
  <c r="K615" i="3"/>
  <c r="AG611" i="3" s="1"/>
  <c r="J615" i="3"/>
  <c r="I615" i="3"/>
  <c r="H615" i="3"/>
  <c r="G615" i="3"/>
  <c r="F615" i="3"/>
  <c r="E615" i="3"/>
  <c r="AA611" i="3" s="1"/>
  <c r="T614" i="3"/>
  <c r="U614" i="3" s="1"/>
  <c r="AQ610" i="3" s="1"/>
  <c r="K614" i="3"/>
  <c r="J614" i="3"/>
  <c r="I614" i="3"/>
  <c r="H614" i="3"/>
  <c r="G614" i="3"/>
  <c r="AC610" i="3" s="1"/>
  <c r="F614" i="3"/>
  <c r="AB610" i="3" s="1"/>
  <c r="E614" i="3"/>
  <c r="T613" i="3"/>
  <c r="L613" i="3"/>
  <c r="AH600" i="3" s="1"/>
  <c r="K613" i="3"/>
  <c r="J613" i="3"/>
  <c r="H613" i="3"/>
  <c r="G613" i="3"/>
  <c r="F613" i="3"/>
  <c r="N613" i="3" s="1"/>
  <c r="E613" i="3"/>
  <c r="AA600" i="3" s="1"/>
  <c r="AK612" i="3"/>
  <c r="Z612" i="3"/>
  <c r="N612" i="3"/>
  <c r="K612" i="3"/>
  <c r="J612" i="3"/>
  <c r="H612" i="3"/>
  <c r="AD609" i="3" s="1"/>
  <c r="G612" i="3"/>
  <c r="I612" i="3" s="1"/>
  <c r="F612" i="3"/>
  <c r="T612" i="3" s="1"/>
  <c r="U612" i="3" s="1"/>
  <c r="AQ609" i="3" s="1"/>
  <c r="E612" i="3"/>
  <c r="AM611" i="3"/>
  <c r="AK611" i="3"/>
  <c r="AF611" i="3"/>
  <c r="AE611" i="3"/>
  <c r="AD611" i="3"/>
  <c r="AC611" i="3"/>
  <c r="Z611" i="3"/>
  <c r="T611" i="3"/>
  <c r="K611" i="3"/>
  <c r="AG620" i="3" s="1"/>
  <c r="J611" i="3"/>
  <c r="AF620" i="3" s="1"/>
  <c r="H611" i="3"/>
  <c r="AD620" i="3" s="1"/>
  <c r="G611" i="3"/>
  <c r="AC620" i="3" s="1"/>
  <c r="F611" i="3"/>
  <c r="E611" i="3"/>
  <c r="AM610" i="3"/>
  <c r="AK610" i="3"/>
  <c r="AG610" i="3"/>
  <c r="AE610" i="3"/>
  <c r="AD610" i="3"/>
  <c r="AA610" i="3"/>
  <c r="AJ610" i="3" s="1"/>
  <c r="Z610" i="3"/>
  <c r="U610" i="3"/>
  <c r="AQ619" i="3" s="1"/>
  <c r="T610" i="3"/>
  <c r="AP619" i="3" s="1"/>
  <c r="L610" i="3"/>
  <c r="AH619" i="3" s="1"/>
  <c r="K610" i="3"/>
  <c r="AG619" i="3" s="1"/>
  <c r="J610" i="3"/>
  <c r="AF619" i="3" s="1"/>
  <c r="H610" i="3"/>
  <c r="G610" i="3"/>
  <c r="I610" i="3" s="1"/>
  <c r="F610" i="3"/>
  <c r="N610" i="3" s="1"/>
  <c r="E610" i="3"/>
  <c r="AA619" i="3" s="1"/>
  <c r="AP609" i="3"/>
  <c r="AM609" i="3"/>
  <c r="AF609" i="3"/>
  <c r="AC609" i="3"/>
  <c r="AA609" i="3"/>
  <c r="Z609" i="3"/>
  <c r="U609" i="3"/>
  <c r="AQ618" i="3" s="1"/>
  <c r="L609" i="3"/>
  <c r="AH618" i="3" s="1"/>
  <c r="K609" i="3"/>
  <c r="AG618" i="3" s="1"/>
  <c r="J609" i="3"/>
  <c r="I609" i="3"/>
  <c r="H609" i="3"/>
  <c r="AD618" i="3" s="1"/>
  <c r="G609" i="3"/>
  <c r="AC618" i="3" s="1"/>
  <c r="F609" i="3"/>
  <c r="T609" i="3" s="1"/>
  <c r="AP618" i="3" s="1"/>
  <c r="E609" i="3"/>
  <c r="AA618" i="3" s="1"/>
  <c r="AM608" i="3"/>
  <c r="AK608" i="3"/>
  <c r="AG608" i="3"/>
  <c r="AD608" i="3"/>
  <c r="Z608" i="3"/>
  <c r="K608" i="3"/>
  <c r="L608" i="3" s="1"/>
  <c r="AH617" i="3" s="1"/>
  <c r="J608" i="3"/>
  <c r="AF617" i="3" s="1"/>
  <c r="I608" i="3"/>
  <c r="H608" i="3"/>
  <c r="AD617" i="3" s="1"/>
  <c r="G608" i="3"/>
  <c r="AC617" i="3" s="1"/>
  <c r="F608" i="3"/>
  <c r="N608" i="3" s="1"/>
  <c r="E608" i="3"/>
  <c r="AM607" i="3"/>
  <c r="AK607" i="3"/>
  <c r="AG607" i="3"/>
  <c r="AF607" i="3"/>
  <c r="AD607" i="3"/>
  <c r="Z607" i="3"/>
  <c r="T607" i="3"/>
  <c r="K607" i="3"/>
  <c r="J607" i="3"/>
  <c r="L607" i="3" s="1"/>
  <c r="AH599" i="3" s="1"/>
  <c r="H607" i="3"/>
  <c r="G607" i="3"/>
  <c r="I607" i="3" s="1"/>
  <c r="F607" i="3"/>
  <c r="E607" i="3"/>
  <c r="AM606" i="3"/>
  <c r="AK606" i="3"/>
  <c r="AG606" i="3"/>
  <c r="AD606" i="3"/>
  <c r="AD612" i="3" s="1"/>
  <c r="AC606" i="3"/>
  <c r="Z606" i="3"/>
  <c r="T606" i="3"/>
  <c r="K606" i="3"/>
  <c r="J606" i="3"/>
  <c r="AF598" i="3" s="1"/>
  <c r="H606" i="3"/>
  <c r="I606" i="3" s="1"/>
  <c r="G606" i="3"/>
  <c r="F606" i="3"/>
  <c r="N606" i="3" s="1"/>
  <c r="E606" i="3"/>
  <c r="T605" i="3"/>
  <c r="U605" i="3" s="1"/>
  <c r="AQ597" i="3" s="1"/>
  <c r="L605" i="3"/>
  <c r="AH597" i="3" s="1"/>
  <c r="K605" i="3"/>
  <c r="J605" i="3"/>
  <c r="I605" i="3"/>
  <c r="AE597" i="3" s="1"/>
  <c r="H605" i="3"/>
  <c r="AD597" i="3" s="1"/>
  <c r="AD603" i="3" s="1"/>
  <c r="G605" i="3"/>
  <c r="F605" i="3"/>
  <c r="N605" i="3" s="1"/>
  <c r="E605" i="3"/>
  <c r="AA597" i="3" s="1"/>
  <c r="T604" i="3"/>
  <c r="K604" i="3"/>
  <c r="J604" i="3"/>
  <c r="H604" i="3"/>
  <c r="G604" i="3"/>
  <c r="I604" i="3" s="1"/>
  <c r="F604" i="3"/>
  <c r="AB608" i="3" s="1"/>
  <c r="AJ608" i="3" s="1"/>
  <c r="E604" i="3"/>
  <c r="AA608" i="3" s="1"/>
  <c r="T603" i="3"/>
  <c r="N603" i="3"/>
  <c r="L603" i="3"/>
  <c r="AH616" i="3" s="1"/>
  <c r="K603" i="3"/>
  <c r="AG616" i="3" s="1"/>
  <c r="J603" i="3"/>
  <c r="H603" i="3"/>
  <c r="AD616" i="3" s="1"/>
  <c r="AD621" i="3" s="1"/>
  <c r="G603" i="3"/>
  <c r="AC616" i="3" s="1"/>
  <c r="F603" i="3"/>
  <c r="E603" i="3"/>
  <c r="AP602" i="3"/>
  <c r="AM602" i="3"/>
  <c r="AK602" i="3"/>
  <c r="AH602" i="3"/>
  <c r="AG602" i="3"/>
  <c r="AF602" i="3"/>
  <c r="AE602" i="3"/>
  <c r="AD602" i="3"/>
  <c r="AB602" i="3"/>
  <c r="AJ602" i="3" s="1"/>
  <c r="AA602" i="3"/>
  <c r="Z602" i="3"/>
  <c r="K602" i="3"/>
  <c r="J602" i="3"/>
  <c r="L602" i="3" s="1"/>
  <c r="I602" i="3"/>
  <c r="AE607" i="3" s="1"/>
  <c r="H602" i="3"/>
  <c r="G602" i="3"/>
  <c r="AC607" i="3" s="1"/>
  <c r="F602" i="3"/>
  <c r="N602" i="3" s="1"/>
  <c r="E602" i="3"/>
  <c r="AA607" i="3" s="1"/>
  <c r="AM601" i="3"/>
  <c r="AK601" i="3"/>
  <c r="AG601" i="3"/>
  <c r="AD601" i="3"/>
  <c r="AC601" i="3"/>
  <c r="AB601" i="3"/>
  <c r="AJ601" i="3" s="1"/>
  <c r="AA601" i="3"/>
  <c r="Z601" i="3"/>
  <c r="K601" i="3"/>
  <c r="J601" i="3"/>
  <c r="AF606" i="3" s="1"/>
  <c r="H601" i="3"/>
  <c r="I601" i="3" s="1"/>
  <c r="G601" i="3"/>
  <c r="F601" i="3"/>
  <c r="E601" i="3"/>
  <c r="AA606" i="3" s="1"/>
  <c r="AA612" i="3" s="1"/>
  <c r="AP600" i="3"/>
  <c r="AM600" i="3"/>
  <c r="AK600" i="3"/>
  <c r="AJ600" i="3"/>
  <c r="AG600" i="3"/>
  <c r="AF600" i="3"/>
  <c r="AD600" i="3"/>
  <c r="AB600" i="3"/>
  <c r="Z600" i="3"/>
  <c r="T600" i="3"/>
  <c r="K600" i="3"/>
  <c r="J600" i="3"/>
  <c r="H600" i="3"/>
  <c r="G600" i="3"/>
  <c r="AC615" i="3" s="1"/>
  <c r="F600" i="3"/>
  <c r="E600" i="3"/>
  <c r="AM599" i="3"/>
  <c r="AK599" i="3"/>
  <c r="AG599" i="3"/>
  <c r="AF599" i="3"/>
  <c r="AD599" i="3"/>
  <c r="AB599" i="3"/>
  <c r="AJ599" i="3" s="1"/>
  <c r="AA599" i="3"/>
  <c r="Z599" i="3"/>
  <c r="AP598" i="3"/>
  <c r="AM598" i="3"/>
  <c r="AG598" i="3"/>
  <c r="AD598" i="3"/>
  <c r="AC598" i="3"/>
  <c r="AB598" i="3"/>
  <c r="AJ598" i="3" s="1"/>
  <c r="AA598" i="3"/>
  <c r="AA603" i="3" s="1"/>
  <c r="Z598" i="3"/>
  <c r="AM597" i="3"/>
  <c r="AK597" i="3"/>
  <c r="AK603" i="3" s="1"/>
  <c r="AG597" i="3"/>
  <c r="AF597" i="3"/>
  <c r="AC597" i="3"/>
  <c r="AB597" i="3"/>
  <c r="Z597" i="3"/>
  <c r="AM593" i="3"/>
  <c r="AK593" i="3"/>
  <c r="AC593" i="3"/>
  <c r="Z593" i="3"/>
  <c r="AM592" i="3"/>
  <c r="AK592" i="3"/>
  <c r="AF592" i="3"/>
  <c r="AC592" i="3"/>
  <c r="Z592" i="3"/>
  <c r="AM591" i="3"/>
  <c r="AK591" i="3"/>
  <c r="AC591" i="3"/>
  <c r="AA591" i="3"/>
  <c r="Z591" i="3"/>
  <c r="O591" i="3"/>
  <c r="D591" i="3"/>
  <c r="AM590" i="3"/>
  <c r="AK590" i="3"/>
  <c r="AD590" i="3"/>
  <c r="Z590" i="3"/>
  <c r="T590" i="3"/>
  <c r="K590" i="3"/>
  <c r="J590" i="3"/>
  <c r="L590" i="3" s="1"/>
  <c r="H590" i="3"/>
  <c r="G590" i="3"/>
  <c r="F590" i="3"/>
  <c r="E590" i="3"/>
  <c r="U590" i="3" s="1"/>
  <c r="AM589" i="3"/>
  <c r="AK589" i="3"/>
  <c r="AC589" i="3"/>
  <c r="AA589" i="3"/>
  <c r="AA594" i="3" s="1"/>
  <c r="Z589" i="3"/>
  <c r="K589" i="3"/>
  <c r="J589" i="3"/>
  <c r="L589" i="3" s="1"/>
  <c r="AH574" i="3" s="1"/>
  <c r="H589" i="3"/>
  <c r="G589" i="3"/>
  <c r="F589" i="3"/>
  <c r="E589" i="3"/>
  <c r="AM588" i="3"/>
  <c r="AK588" i="3"/>
  <c r="AD588" i="3"/>
  <c r="AA588" i="3"/>
  <c r="Z588" i="3"/>
  <c r="N588" i="3"/>
  <c r="K588" i="3"/>
  <c r="AG584" i="3" s="1"/>
  <c r="J588" i="3"/>
  <c r="I588" i="3"/>
  <c r="H588" i="3"/>
  <c r="AD584" i="3" s="1"/>
  <c r="G588" i="3"/>
  <c r="F588" i="3"/>
  <c r="E588" i="3"/>
  <c r="N587" i="3"/>
  <c r="K587" i="3"/>
  <c r="L587" i="3" s="1"/>
  <c r="AH583" i="3" s="1"/>
  <c r="J587" i="3"/>
  <c r="I587" i="3"/>
  <c r="H587" i="3"/>
  <c r="G587" i="3"/>
  <c r="F587" i="3"/>
  <c r="E587" i="3"/>
  <c r="K586" i="3"/>
  <c r="L586" i="3" s="1"/>
  <c r="AH573" i="3" s="1"/>
  <c r="J586" i="3"/>
  <c r="H586" i="3"/>
  <c r="I586" i="3" s="1"/>
  <c r="G586" i="3"/>
  <c r="F586" i="3"/>
  <c r="E586" i="3"/>
  <c r="U585" i="3"/>
  <c r="AQ582" i="3" s="1"/>
  <c r="T585" i="3"/>
  <c r="AP582" i="3" s="1"/>
  <c r="K585" i="3"/>
  <c r="AG582" i="3" s="1"/>
  <c r="J585" i="3"/>
  <c r="H585" i="3"/>
  <c r="AD582" i="3" s="1"/>
  <c r="G585" i="3"/>
  <c r="I585" i="3" s="1"/>
  <c r="F585" i="3"/>
  <c r="N585" i="3" s="1"/>
  <c r="E585" i="3"/>
  <c r="AA582" i="3" s="1"/>
  <c r="AM584" i="3"/>
  <c r="AK584" i="3"/>
  <c r="AF584" i="3"/>
  <c r="AC584" i="3"/>
  <c r="AA584" i="3"/>
  <c r="Z584" i="3"/>
  <c r="K584" i="3"/>
  <c r="AG593" i="3" s="1"/>
  <c r="J584" i="3"/>
  <c r="AF593" i="3" s="1"/>
  <c r="H584" i="3"/>
  <c r="I584" i="3" s="1"/>
  <c r="AE593" i="3" s="1"/>
  <c r="G584" i="3"/>
  <c r="F584" i="3"/>
  <c r="T584" i="3" s="1"/>
  <c r="AP593" i="3" s="1"/>
  <c r="E584" i="3"/>
  <c r="AA593" i="3" s="1"/>
  <c r="AM583" i="3"/>
  <c r="AK583" i="3"/>
  <c r="AF583" i="3"/>
  <c r="AD583" i="3"/>
  <c r="AC583" i="3"/>
  <c r="AA583" i="3"/>
  <c r="Z583" i="3"/>
  <c r="N583" i="3"/>
  <c r="K583" i="3"/>
  <c r="AG592" i="3" s="1"/>
  <c r="J583" i="3"/>
  <c r="H583" i="3"/>
  <c r="I583" i="3" s="1"/>
  <c r="G583" i="3"/>
  <c r="F583" i="3"/>
  <c r="E583" i="3"/>
  <c r="AA592" i="3" s="1"/>
  <c r="AM582" i="3"/>
  <c r="AF582" i="3"/>
  <c r="AE582" i="3"/>
  <c r="AC582" i="3"/>
  <c r="AB582" i="3"/>
  <c r="AJ582" i="3" s="1"/>
  <c r="Z582" i="3"/>
  <c r="T582" i="3"/>
  <c r="AP591" i="3" s="1"/>
  <c r="K582" i="3"/>
  <c r="AG591" i="3" s="1"/>
  <c r="J582" i="3"/>
  <c r="H582" i="3"/>
  <c r="AD591" i="3" s="1"/>
  <c r="G582" i="3"/>
  <c r="I582" i="3" s="1"/>
  <c r="F582" i="3"/>
  <c r="AB591" i="3" s="1"/>
  <c r="AJ591" i="3" s="1"/>
  <c r="E582" i="3"/>
  <c r="AM581" i="3"/>
  <c r="AK581" i="3"/>
  <c r="AF581" i="3"/>
  <c r="AC581" i="3"/>
  <c r="AA581" i="3"/>
  <c r="Z581" i="3"/>
  <c r="K581" i="3"/>
  <c r="AG590" i="3" s="1"/>
  <c r="J581" i="3"/>
  <c r="H581" i="3"/>
  <c r="I581" i="3" s="1"/>
  <c r="AE590" i="3" s="1"/>
  <c r="G581" i="3"/>
  <c r="AC590" i="3" s="1"/>
  <c r="F581" i="3"/>
  <c r="T581" i="3" s="1"/>
  <c r="AP590" i="3" s="1"/>
  <c r="E581" i="3"/>
  <c r="AA590" i="3" s="1"/>
  <c r="AM580" i="3"/>
  <c r="AK580" i="3"/>
  <c r="AK585" i="3" s="1"/>
  <c r="AF580" i="3"/>
  <c r="AC580" i="3"/>
  <c r="Z580" i="3"/>
  <c r="Z585" i="3" s="1"/>
  <c r="U580" i="3"/>
  <c r="AQ572" i="3" s="1"/>
  <c r="K580" i="3"/>
  <c r="L580" i="3" s="1"/>
  <c r="AH572" i="3" s="1"/>
  <c r="J580" i="3"/>
  <c r="H580" i="3"/>
  <c r="I580" i="3" s="1"/>
  <c r="G580" i="3"/>
  <c r="F580" i="3"/>
  <c r="T580" i="3" s="1"/>
  <c r="E580" i="3"/>
  <c r="AM579" i="3"/>
  <c r="AK579" i="3"/>
  <c r="AG579" i="3"/>
  <c r="AF579" i="3"/>
  <c r="AA579" i="3"/>
  <c r="Z579" i="3"/>
  <c r="U579" i="3"/>
  <c r="AQ571" i="3" s="1"/>
  <c r="N579" i="3"/>
  <c r="K579" i="3"/>
  <c r="L579" i="3" s="1"/>
  <c r="AH571" i="3" s="1"/>
  <c r="J579" i="3"/>
  <c r="I579" i="3"/>
  <c r="H579" i="3"/>
  <c r="G579" i="3"/>
  <c r="F579" i="3"/>
  <c r="T579" i="3" s="1"/>
  <c r="E579" i="3"/>
  <c r="U578" i="3"/>
  <c r="AQ570" i="3" s="1"/>
  <c r="L578" i="3"/>
  <c r="AH570" i="3" s="1"/>
  <c r="AH576" i="3" s="1"/>
  <c r="K578" i="3"/>
  <c r="AG570" i="3" s="1"/>
  <c r="J578" i="3"/>
  <c r="I578" i="3"/>
  <c r="AE570" i="3" s="1"/>
  <c r="H578" i="3"/>
  <c r="G578" i="3"/>
  <c r="AC570" i="3" s="1"/>
  <c r="F578" i="3"/>
  <c r="T578" i="3" s="1"/>
  <c r="AP570" i="3" s="1"/>
  <c r="E578" i="3"/>
  <c r="N577" i="3"/>
  <c r="K577" i="3"/>
  <c r="AG581" i="3" s="1"/>
  <c r="J577" i="3"/>
  <c r="I577" i="3"/>
  <c r="H577" i="3"/>
  <c r="AD581" i="3" s="1"/>
  <c r="G577" i="3"/>
  <c r="F577" i="3"/>
  <c r="E577" i="3"/>
  <c r="Z576" i="3"/>
  <c r="K576" i="3"/>
  <c r="AG589" i="3" s="1"/>
  <c r="J576" i="3"/>
  <c r="H576" i="3"/>
  <c r="G576" i="3"/>
  <c r="F576" i="3"/>
  <c r="AB589" i="3" s="1"/>
  <c r="AJ589" i="3" s="1"/>
  <c r="E576" i="3"/>
  <c r="N576" i="3" s="1"/>
  <c r="AQ575" i="3"/>
  <c r="AP575" i="3"/>
  <c r="AM575" i="3"/>
  <c r="AK575" i="3"/>
  <c r="AH575" i="3"/>
  <c r="AG575" i="3"/>
  <c r="AF575" i="3"/>
  <c r="AD575" i="3"/>
  <c r="AC575" i="3"/>
  <c r="AB575" i="3"/>
  <c r="Z575" i="3"/>
  <c r="L575" i="3"/>
  <c r="AH580" i="3" s="1"/>
  <c r="K575" i="3"/>
  <c r="AG580" i="3" s="1"/>
  <c r="J575" i="3"/>
  <c r="I575" i="3"/>
  <c r="AE580" i="3" s="1"/>
  <c r="H575" i="3"/>
  <c r="AD580" i="3" s="1"/>
  <c r="G575" i="3"/>
  <c r="F575" i="3"/>
  <c r="E575" i="3"/>
  <c r="E591" i="3" s="1"/>
  <c r="AM574" i="3"/>
  <c r="AK574" i="3"/>
  <c r="AK576" i="3" s="1"/>
  <c r="AG574" i="3"/>
  <c r="AF574" i="3"/>
  <c r="AD574" i="3"/>
  <c r="AB574" i="3"/>
  <c r="AJ574" i="3" s="1"/>
  <c r="AA574" i="3"/>
  <c r="Z574" i="3"/>
  <c r="N574" i="3"/>
  <c r="K574" i="3"/>
  <c r="L574" i="3" s="1"/>
  <c r="AH579" i="3" s="1"/>
  <c r="J574" i="3"/>
  <c r="H574" i="3"/>
  <c r="G574" i="3"/>
  <c r="AC579" i="3" s="1"/>
  <c r="AC585" i="3" s="1"/>
  <c r="F574" i="3"/>
  <c r="E574" i="3"/>
  <c r="AM573" i="3"/>
  <c r="AK573" i="3"/>
  <c r="AG573" i="3"/>
  <c r="AF573" i="3"/>
  <c r="AD573" i="3"/>
  <c r="AC573" i="3"/>
  <c r="AA573" i="3"/>
  <c r="Z573" i="3"/>
  <c r="L573" i="3"/>
  <c r="K573" i="3"/>
  <c r="J573" i="3"/>
  <c r="H573" i="3"/>
  <c r="G573" i="3"/>
  <c r="F573" i="3"/>
  <c r="N573" i="3" s="1"/>
  <c r="E573" i="3"/>
  <c r="AP572" i="3"/>
  <c r="AM572" i="3"/>
  <c r="AK572" i="3"/>
  <c r="AG572" i="3"/>
  <c r="AF572" i="3"/>
  <c r="AD572" i="3"/>
  <c r="AC572" i="3"/>
  <c r="AB572" i="3"/>
  <c r="AJ572" i="3" s="1"/>
  <c r="AA572" i="3"/>
  <c r="Z572" i="3"/>
  <c r="AP571" i="3"/>
  <c r="AM571" i="3"/>
  <c r="AF571" i="3"/>
  <c r="AD571" i="3"/>
  <c r="AC571" i="3"/>
  <c r="AB571" i="3"/>
  <c r="AJ571" i="3" s="1"/>
  <c r="AA571" i="3"/>
  <c r="Z571" i="3"/>
  <c r="AM570" i="3"/>
  <c r="AK570" i="3"/>
  <c r="AF570" i="3"/>
  <c r="AF576" i="3" s="1"/>
  <c r="AD570" i="3"/>
  <c r="AB570" i="3"/>
  <c r="AA570" i="3"/>
  <c r="Z570" i="3"/>
  <c r="Z567" i="3"/>
  <c r="AM566" i="3"/>
  <c r="AK566" i="3"/>
  <c r="AF566" i="3"/>
  <c r="Z566" i="3"/>
  <c r="AM565" i="3"/>
  <c r="AK565" i="3"/>
  <c r="Z565" i="3"/>
  <c r="AM564" i="3"/>
  <c r="AK564" i="3"/>
  <c r="AG564" i="3"/>
  <c r="Z564" i="3"/>
  <c r="O564" i="3"/>
  <c r="D564" i="3"/>
  <c r="AM563" i="3"/>
  <c r="AK563" i="3"/>
  <c r="AG563" i="3"/>
  <c r="Z563" i="3"/>
  <c r="T563" i="3"/>
  <c r="U563" i="3" s="1"/>
  <c r="AQ548" i="3" s="1"/>
  <c r="K563" i="3"/>
  <c r="J563" i="3"/>
  <c r="L563" i="3" s="1"/>
  <c r="AH548" i="3" s="1"/>
  <c r="H563" i="3"/>
  <c r="G563" i="3"/>
  <c r="I563" i="3" s="1"/>
  <c r="AE548" i="3" s="1"/>
  <c r="F563" i="3"/>
  <c r="E563" i="3"/>
  <c r="AA548" i="3" s="1"/>
  <c r="AP562" i="3"/>
  <c r="AM562" i="3"/>
  <c r="AK562" i="3"/>
  <c r="AK567" i="3" s="1"/>
  <c r="AC562" i="3"/>
  <c r="AB562" i="3"/>
  <c r="Z562" i="3"/>
  <c r="K562" i="3"/>
  <c r="J562" i="3"/>
  <c r="L562" i="3" s="1"/>
  <c r="AH547" i="3" s="1"/>
  <c r="H562" i="3"/>
  <c r="AD547" i="3" s="1"/>
  <c r="G562" i="3"/>
  <c r="AC547" i="3" s="1"/>
  <c r="AC549" i="3" s="1"/>
  <c r="F562" i="3"/>
  <c r="N562" i="3" s="1"/>
  <c r="E562" i="3"/>
  <c r="AM561" i="3"/>
  <c r="AK561" i="3"/>
  <c r="AF561" i="3"/>
  <c r="AC561" i="3"/>
  <c r="Z561" i="3"/>
  <c r="U561" i="3"/>
  <c r="AQ557" i="3" s="1"/>
  <c r="T561" i="3"/>
  <c r="K561" i="3"/>
  <c r="AG557" i="3" s="1"/>
  <c r="J561" i="3"/>
  <c r="AF557" i="3" s="1"/>
  <c r="H561" i="3"/>
  <c r="I561" i="3" s="1"/>
  <c r="G561" i="3"/>
  <c r="F561" i="3"/>
  <c r="N561" i="3" s="1"/>
  <c r="E561" i="3"/>
  <c r="U560" i="3"/>
  <c r="AQ556" i="3" s="1"/>
  <c r="T560" i="3"/>
  <c r="AP556" i="3" s="1"/>
  <c r="K560" i="3"/>
  <c r="AG556" i="3" s="1"/>
  <c r="J560" i="3"/>
  <c r="H560" i="3"/>
  <c r="I560" i="3" s="1"/>
  <c r="G560" i="3"/>
  <c r="F560" i="3"/>
  <c r="AB556" i="3" s="1"/>
  <c r="AJ556" i="3" s="1"/>
  <c r="E560" i="3"/>
  <c r="U559" i="3"/>
  <c r="AQ546" i="3" s="1"/>
  <c r="T559" i="3"/>
  <c r="AP546" i="3" s="1"/>
  <c r="K559" i="3"/>
  <c r="AG546" i="3" s="1"/>
  <c r="J559" i="3"/>
  <c r="AF546" i="3" s="1"/>
  <c r="H559" i="3"/>
  <c r="I559" i="3" s="1"/>
  <c r="G559" i="3"/>
  <c r="F559" i="3"/>
  <c r="N559" i="3" s="1"/>
  <c r="AJ546" i="3" s="1"/>
  <c r="E559" i="3"/>
  <c r="T558" i="3"/>
  <c r="M558" i="3"/>
  <c r="L558" i="3"/>
  <c r="K558" i="3"/>
  <c r="J558" i="3"/>
  <c r="AF555" i="3" s="1"/>
  <c r="H558" i="3"/>
  <c r="AD555" i="3" s="1"/>
  <c r="G558" i="3"/>
  <c r="I558" i="3" s="1"/>
  <c r="AE555" i="3" s="1"/>
  <c r="F558" i="3"/>
  <c r="N558" i="3" s="1"/>
  <c r="E558" i="3"/>
  <c r="AA555" i="3" s="1"/>
  <c r="AP557" i="3"/>
  <c r="AM557" i="3"/>
  <c r="AK557" i="3"/>
  <c r="AC557" i="3"/>
  <c r="AB557" i="3"/>
  <c r="AJ557" i="3" s="1"/>
  <c r="AA557" i="3"/>
  <c r="Z557" i="3"/>
  <c r="K557" i="3"/>
  <c r="AG566" i="3" s="1"/>
  <c r="J557" i="3"/>
  <c r="L557" i="3" s="1"/>
  <c r="AH566" i="3" s="1"/>
  <c r="H557" i="3"/>
  <c r="AD566" i="3" s="1"/>
  <c r="G557" i="3"/>
  <c r="AC566" i="3" s="1"/>
  <c r="F557" i="3"/>
  <c r="N557" i="3" s="1"/>
  <c r="E557" i="3"/>
  <c r="AA566" i="3" s="1"/>
  <c r="AM556" i="3"/>
  <c r="AK556" i="3"/>
  <c r="AF556" i="3"/>
  <c r="AC556" i="3"/>
  <c r="AA556" i="3"/>
  <c r="Z556" i="3"/>
  <c r="U556" i="3"/>
  <c r="AQ565" i="3" s="1"/>
  <c r="T556" i="3"/>
  <c r="AP565" i="3" s="1"/>
  <c r="K556" i="3"/>
  <c r="AG565" i="3" s="1"/>
  <c r="J556" i="3"/>
  <c r="AF565" i="3" s="1"/>
  <c r="H556" i="3"/>
  <c r="I556" i="3" s="1"/>
  <c r="G556" i="3"/>
  <c r="AC565" i="3" s="1"/>
  <c r="F556" i="3"/>
  <c r="N556" i="3" s="1"/>
  <c r="E556" i="3"/>
  <c r="AA565" i="3" s="1"/>
  <c r="AP555" i="3"/>
  <c r="AM555" i="3"/>
  <c r="AH555" i="3"/>
  <c r="AG555" i="3"/>
  <c r="AC555" i="3"/>
  <c r="AB555" i="3"/>
  <c r="AJ555" i="3" s="1"/>
  <c r="Z555" i="3"/>
  <c r="Z558" i="3" s="1"/>
  <c r="T555" i="3"/>
  <c r="L555" i="3"/>
  <c r="AH564" i="3" s="1"/>
  <c r="K555" i="3"/>
  <c r="J555" i="3"/>
  <c r="AF564" i="3" s="1"/>
  <c r="H555" i="3"/>
  <c r="AD564" i="3" s="1"/>
  <c r="G555" i="3"/>
  <c r="AC564" i="3" s="1"/>
  <c r="F555" i="3"/>
  <c r="AB564" i="3" s="1"/>
  <c r="AJ564" i="3" s="1"/>
  <c r="E555" i="3"/>
  <c r="AA564" i="3" s="1"/>
  <c r="AM554" i="3"/>
  <c r="AK554" i="3"/>
  <c r="AF554" i="3"/>
  <c r="AC554" i="3"/>
  <c r="Z554" i="3"/>
  <c r="K554" i="3"/>
  <c r="J554" i="3"/>
  <c r="AF563" i="3" s="1"/>
  <c r="H554" i="3"/>
  <c r="AD563" i="3" s="1"/>
  <c r="G554" i="3"/>
  <c r="AC563" i="3" s="1"/>
  <c r="F554" i="3"/>
  <c r="N554" i="3" s="1"/>
  <c r="E554" i="3"/>
  <c r="AA563" i="3" s="1"/>
  <c r="AM553" i="3"/>
  <c r="AK553" i="3"/>
  <c r="AF553" i="3"/>
  <c r="AC553" i="3"/>
  <c r="Z553" i="3"/>
  <c r="U553" i="3"/>
  <c r="AQ545" i="3" s="1"/>
  <c r="T553" i="3"/>
  <c r="AP545" i="3" s="1"/>
  <c r="K553" i="3"/>
  <c r="J553" i="3"/>
  <c r="L553" i="3" s="1"/>
  <c r="AH545" i="3" s="1"/>
  <c r="H553" i="3"/>
  <c r="I553" i="3" s="1"/>
  <c r="G553" i="3"/>
  <c r="F553" i="3"/>
  <c r="N553" i="3" s="1"/>
  <c r="E553" i="3"/>
  <c r="AM552" i="3"/>
  <c r="AK552" i="3"/>
  <c r="AF552" i="3"/>
  <c r="AC552" i="3"/>
  <c r="AA552" i="3"/>
  <c r="Z552" i="3"/>
  <c r="K552" i="3"/>
  <c r="L552" i="3" s="1"/>
  <c r="AH544" i="3" s="1"/>
  <c r="J552" i="3"/>
  <c r="H552" i="3"/>
  <c r="I552" i="3" s="1"/>
  <c r="G552" i="3"/>
  <c r="F552" i="3"/>
  <c r="N552" i="3" s="1"/>
  <c r="E552" i="3"/>
  <c r="K551" i="3"/>
  <c r="L551" i="3" s="1"/>
  <c r="AH543" i="3" s="1"/>
  <c r="J551" i="3"/>
  <c r="H551" i="3"/>
  <c r="I551" i="3" s="1"/>
  <c r="G551" i="3"/>
  <c r="F551" i="3"/>
  <c r="N551" i="3" s="1"/>
  <c r="E551" i="3"/>
  <c r="K550" i="3"/>
  <c r="L550" i="3" s="1"/>
  <c r="AH554" i="3" s="1"/>
  <c r="J550" i="3"/>
  <c r="H550" i="3"/>
  <c r="I550" i="3" s="1"/>
  <c r="G550" i="3"/>
  <c r="F550" i="3"/>
  <c r="E550" i="3"/>
  <c r="AA554" i="3" s="1"/>
  <c r="AK549" i="3"/>
  <c r="T549" i="3"/>
  <c r="U549" i="3" s="1"/>
  <c r="AQ562" i="3" s="1"/>
  <c r="K549" i="3"/>
  <c r="AG562" i="3" s="1"/>
  <c r="J549" i="3"/>
  <c r="L549" i="3" s="1"/>
  <c r="AH562" i="3" s="1"/>
  <c r="H549" i="3"/>
  <c r="AD562" i="3" s="1"/>
  <c r="G549" i="3"/>
  <c r="G564" i="3" s="1"/>
  <c r="F549" i="3"/>
  <c r="N549" i="3" s="1"/>
  <c r="E549" i="3"/>
  <c r="AA562" i="3" s="1"/>
  <c r="AM548" i="3"/>
  <c r="AK548" i="3"/>
  <c r="AG548" i="3"/>
  <c r="AF548" i="3"/>
  <c r="AD548" i="3"/>
  <c r="AC548" i="3"/>
  <c r="AB548" i="3"/>
  <c r="AJ548" i="3" s="1"/>
  <c r="Z548" i="3"/>
  <c r="U548" i="3"/>
  <c r="AQ553" i="3" s="1"/>
  <c r="T548" i="3"/>
  <c r="AP553" i="3" s="1"/>
  <c r="K548" i="3"/>
  <c r="AG553" i="3" s="1"/>
  <c r="J548" i="3"/>
  <c r="J564" i="3" s="1"/>
  <c r="H548" i="3"/>
  <c r="AD553" i="3" s="1"/>
  <c r="G548" i="3"/>
  <c r="F548" i="3"/>
  <c r="AB553" i="3" s="1"/>
  <c r="AJ553" i="3" s="1"/>
  <c r="E548" i="3"/>
  <c r="AA553" i="3" s="1"/>
  <c r="AM547" i="3"/>
  <c r="AK547" i="3"/>
  <c r="AG547" i="3"/>
  <c r="AF547" i="3"/>
  <c r="AB547" i="3"/>
  <c r="AJ547" i="3" s="1"/>
  <c r="AA547" i="3"/>
  <c r="Z547" i="3"/>
  <c r="K547" i="3"/>
  <c r="AG552" i="3" s="1"/>
  <c r="J547" i="3"/>
  <c r="H547" i="3"/>
  <c r="AD552" i="3" s="1"/>
  <c r="G547" i="3"/>
  <c r="F547" i="3"/>
  <c r="N547" i="3" s="1"/>
  <c r="E547" i="3"/>
  <c r="AM546" i="3"/>
  <c r="AK546" i="3"/>
  <c r="AD546" i="3"/>
  <c r="AC546" i="3"/>
  <c r="AB546" i="3"/>
  <c r="AA546" i="3"/>
  <c r="Z546" i="3"/>
  <c r="K546" i="3"/>
  <c r="L546" i="3" s="1"/>
  <c r="J546" i="3"/>
  <c r="I546" i="3"/>
  <c r="H546" i="3"/>
  <c r="G546" i="3"/>
  <c r="F546" i="3"/>
  <c r="N546" i="3" s="1"/>
  <c r="E546" i="3"/>
  <c r="AM545" i="3"/>
  <c r="AK545" i="3"/>
  <c r="AG545" i="3"/>
  <c r="AF545" i="3"/>
  <c r="AD545" i="3"/>
  <c r="AC545" i="3"/>
  <c r="AB545" i="3"/>
  <c r="AJ545" i="3" s="1"/>
  <c r="AA545" i="3"/>
  <c r="Z545" i="3"/>
  <c r="AM544" i="3"/>
  <c r="AF544" i="3"/>
  <c r="AD544" i="3"/>
  <c r="AC544" i="3"/>
  <c r="AA544" i="3"/>
  <c r="Z544" i="3"/>
  <c r="Z549" i="3" s="1"/>
  <c r="AM543" i="3"/>
  <c r="AK543" i="3"/>
  <c r="AF543" i="3"/>
  <c r="AD543" i="3"/>
  <c r="AC543" i="3"/>
  <c r="AA543" i="3"/>
  <c r="AA549" i="3" s="1"/>
  <c r="Z543" i="3"/>
  <c r="AM539" i="3"/>
  <c r="AK539" i="3"/>
  <c r="AF539" i="3"/>
  <c r="AA539" i="3"/>
  <c r="Z539" i="3"/>
  <c r="AM538" i="3"/>
  <c r="AK538" i="3"/>
  <c r="AD538" i="3"/>
  <c r="AA538" i="3"/>
  <c r="Z538" i="3"/>
  <c r="AM537" i="3"/>
  <c r="AK537" i="3"/>
  <c r="AG537" i="3"/>
  <c r="AF537" i="3"/>
  <c r="Z537" i="3"/>
  <c r="O537" i="3"/>
  <c r="D537" i="3"/>
  <c r="AM536" i="3"/>
  <c r="AK536" i="3"/>
  <c r="AK540" i="3" s="1"/>
  <c r="AD536" i="3"/>
  <c r="AC536" i="3"/>
  <c r="AA536" i="3"/>
  <c r="Z536" i="3"/>
  <c r="K536" i="3"/>
  <c r="L536" i="3" s="1"/>
  <c r="AH521" i="3" s="1"/>
  <c r="J536" i="3"/>
  <c r="I536" i="3"/>
  <c r="H536" i="3"/>
  <c r="AD521" i="3" s="1"/>
  <c r="G536" i="3"/>
  <c r="F536" i="3"/>
  <c r="N536" i="3" s="1"/>
  <c r="E536" i="3"/>
  <c r="AM535" i="3"/>
  <c r="AK535" i="3"/>
  <c r="AG535" i="3"/>
  <c r="AF535" i="3"/>
  <c r="AD535" i="3"/>
  <c r="Z535" i="3"/>
  <c r="L535" i="3"/>
  <c r="AH520" i="3" s="1"/>
  <c r="K535" i="3"/>
  <c r="AG520" i="3" s="1"/>
  <c r="J535" i="3"/>
  <c r="I535" i="3"/>
  <c r="H535" i="3"/>
  <c r="G535" i="3"/>
  <c r="F535" i="3"/>
  <c r="T535" i="3" s="1"/>
  <c r="E535" i="3"/>
  <c r="AM534" i="3"/>
  <c r="AK534" i="3"/>
  <c r="AJ534" i="3"/>
  <c r="AG534" i="3"/>
  <c r="AB534" i="3"/>
  <c r="Z534" i="3"/>
  <c r="Z540" i="3" s="1"/>
  <c r="L534" i="3"/>
  <c r="AH530" i="3" s="1"/>
  <c r="K534" i="3"/>
  <c r="J534" i="3"/>
  <c r="H534" i="3"/>
  <c r="G534" i="3"/>
  <c r="F534" i="3"/>
  <c r="N534" i="3" s="1"/>
  <c r="E534" i="3"/>
  <c r="L533" i="3"/>
  <c r="AH529" i="3" s="1"/>
  <c r="K533" i="3"/>
  <c r="J533" i="3"/>
  <c r="AF529" i="3" s="1"/>
  <c r="H533" i="3"/>
  <c r="G533" i="3"/>
  <c r="F533" i="3"/>
  <c r="E533" i="3"/>
  <c r="N532" i="3"/>
  <c r="AJ519" i="3" s="1"/>
  <c r="L532" i="3"/>
  <c r="AH519" i="3" s="1"/>
  <c r="K532" i="3"/>
  <c r="J532" i="3"/>
  <c r="H532" i="3"/>
  <c r="G532" i="3"/>
  <c r="F532" i="3"/>
  <c r="E532" i="3"/>
  <c r="AK531" i="3"/>
  <c r="L531" i="3"/>
  <c r="AH528" i="3" s="1"/>
  <c r="K531" i="3"/>
  <c r="J531" i="3"/>
  <c r="H531" i="3"/>
  <c r="I531" i="3" s="1"/>
  <c r="G531" i="3"/>
  <c r="F531" i="3"/>
  <c r="E531" i="3"/>
  <c r="AM530" i="3"/>
  <c r="AK530" i="3"/>
  <c r="AG530" i="3"/>
  <c r="AF530" i="3"/>
  <c r="AD530" i="3"/>
  <c r="AA530" i="3"/>
  <c r="Z530" i="3"/>
  <c r="K530" i="3"/>
  <c r="J530" i="3"/>
  <c r="I530" i="3"/>
  <c r="H530" i="3"/>
  <c r="AD539" i="3" s="1"/>
  <c r="G530" i="3"/>
  <c r="AC539" i="3" s="1"/>
  <c r="F530" i="3"/>
  <c r="T530" i="3" s="1"/>
  <c r="AP539" i="3" s="1"/>
  <c r="E530" i="3"/>
  <c r="AM529" i="3"/>
  <c r="AK529" i="3"/>
  <c r="AG529" i="3"/>
  <c r="AD529" i="3"/>
  <c r="AB529" i="3"/>
  <c r="AJ529" i="3" s="1"/>
  <c r="AA529" i="3"/>
  <c r="Z529" i="3"/>
  <c r="L529" i="3"/>
  <c r="AH538" i="3" s="1"/>
  <c r="K529" i="3"/>
  <c r="AG538" i="3" s="1"/>
  <c r="J529" i="3"/>
  <c r="AF538" i="3" s="1"/>
  <c r="H529" i="3"/>
  <c r="G529" i="3"/>
  <c r="F529" i="3"/>
  <c r="N529" i="3" s="1"/>
  <c r="E529" i="3"/>
  <c r="AM528" i="3"/>
  <c r="AG528" i="3"/>
  <c r="AF528" i="3"/>
  <c r="AD528" i="3"/>
  <c r="AC528" i="3"/>
  <c r="AA528" i="3"/>
  <c r="Z528" i="3"/>
  <c r="N528" i="3"/>
  <c r="K528" i="3"/>
  <c r="L528" i="3" s="1"/>
  <c r="AH537" i="3" s="1"/>
  <c r="J528" i="3"/>
  <c r="H528" i="3"/>
  <c r="AD537" i="3" s="1"/>
  <c r="G528" i="3"/>
  <c r="AC537" i="3" s="1"/>
  <c r="F528" i="3"/>
  <c r="E528" i="3"/>
  <c r="AA537" i="3" s="1"/>
  <c r="AM527" i="3"/>
  <c r="AK527" i="3"/>
  <c r="AG527" i="3"/>
  <c r="AD527" i="3"/>
  <c r="Z527" i="3"/>
  <c r="U527" i="3"/>
  <c r="AQ536" i="3" s="1"/>
  <c r="T527" i="3"/>
  <c r="AP536" i="3" s="1"/>
  <c r="L527" i="3"/>
  <c r="AH536" i="3" s="1"/>
  <c r="K527" i="3"/>
  <c r="AG536" i="3" s="1"/>
  <c r="J527" i="3"/>
  <c r="AF536" i="3" s="1"/>
  <c r="I527" i="3"/>
  <c r="H527" i="3"/>
  <c r="G527" i="3"/>
  <c r="F527" i="3"/>
  <c r="AB536" i="3" s="1"/>
  <c r="AJ536" i="3" s="1"/>
  <c r="E527" i="3"/>
  <c r="AM526" i="3"/>
  <c r="AK526" i="3"/>
  <c r="AG526" i="3"/>
  <c r="AA526" i="3"/>
  <c r="Z526" i="3"/>
  <c r="L526" i="3"/>
  <c r="K526" i="3"/>
  <c r="J526" i="3"/>
  <c r="H526" i="3"/>
  <c r="G526" i="3"/>
  <c r="F526" i="3"/>
  <c r="T526" i="3" s="1"/>
  <c r="U526" i="3" s="1"/>
  <c r="AQ518" i="3" s="1"/>
  <c r="E526" i="3"/>
  <c r="AM525" i="3"/>
  <c r="AK525" i="3"/>
  <c r="AD525" i="3"/>
  <c r="AD531" i="3" s="1"/>
  <c r="AB525" i="3"/>
  <c r="AJ525" i="3" s="1"/>
  <c r="Z525" i="3"/>
  <c r="Z531" i="3" s="1"/>
  <c r="T525" i="3"/>
  <c r="K525" i="3"/>
  <c r="J525" i="3"/>
  <c r="I525" i="3"/>
  <c r="AE517" i="3" s="1"/>
  <c r="H525" i="3"/>
  <c r="G525" i="3"/>
  <c r="AC517" i="3" s="1"/>
  <c r="F525" i="3"/>
  <c r="N525" i="3" s="1"/>
  <c r="E525" i="3"/>
  <c r="T524" i="3"/>
  <c r="U524" i="3" s="1"/>
  <c r="AQ516" i="3" s="1"/>
  <c r="K524" i="3"/>
  <c r="J524" i="3"/>
  <c r="I524" i="3"/>
  <c r="H524" i="3"/>
  <c r="G524" i="3"/>
  <c r="AC516" i="3" s="1"/>
  <c r="F524" i="3"/>
  <c r="N524" i="3" s="1"/>
  <c r="E524" i="3"/>
  <c r="T523" i="3"/>
  <c r="K523" i="3"/>
  <c r="J523" i="3"/>
  <c r="L523" i="3" s="1"/>
  <c r="AH527" i="3" s="1"/>
  <c r="I523" i="3"/>
  <c r="H523" i="3"/>
  <c r="G523" i="3"/>
  <c r="AC527" i="3" s="1"/>
  <c r="F523" i="3"/>
  <c r="N523" i="3" s="1"/>
  <c r="E523" i="3"/>
  <c r="AA527" i="3" s="1"/>
  <c r="U522" i="3"/>
  <c r="AQ535" i="3" s="1"/>
  <c r="T522" i="3"/>
  <c r="AP535" i="3" s="1"/>
  <c r="K522" i="3"/>
  <c r="L522" i="3" s="1"/>
  <c r="AH535" i="3" s="1"/>
  <c r="J522" i="3"/>
  <c r="I522" i="3"/>
  <c r="H522" i="3"/>
  <c r="G522" i="3"/>
  <c r="AC535" i="3" s="1"/>
  <c r="F522" i="3"/>
  <c r="AB535" i="3" s="1"/>
  <c r="E522" i="3"/>
  <c r="AA535" i="3" s="1"/>
  <c r="AM521" i="3"/>
  <c r="AK521" i="3"/>
  <c r="AJ521" i="3"/>
  <c r="AG521" i="3"/>
  <c r="AF521" i="3"/>
  <c r="AC521" i="3"/>
  <c r="AB521" i="3"/>
  <c r="AA521" i="3"/>
  <c r="Z521" i="3"/>
  <c r="L521" i="3"/>
  <c r="AH526" i="3" s="1"/>
  <c r="K521" i="3"/>
  <c r="J521" i="3"/>
  <c r="AF526" i="3" s="1"/>
  <c r="H521" i="3"/>
  <c r="AD526" i="3" s="1"/>
  <c r="G521" i="3"/>
  <c r="F521" i="3"/>
  <c r="T521" i="3" s="1"/>
  <c r="E521" i="3"/>
  <c r="AM520" i="3"/>
  <c r="AK520" i="3"/>
  <c r="AF520" i="3"/>
  <c r="AE520" i="3"/>
  <c r="AD520" i="3"/>
  <c r="AC520" i="3"/>
  <c r="AB520" i="3"/>
  <c r="AJ520" i="3" s="1"/>
  <c r="AA520" i="3"/>
  <c r="Z520" i="3"/>
  <c r="T520" i="3"/>
  <c r="K520" i="3"/>
  <c r="AG525" i="3" s="1"/>
  <c r="AG531" i="3" s="1"/>
  <c r="J520" i="3"/>
  <c r="H520" i="3"/>
  <c r="G520" i="3"/>
  <c r="AC525" i="3" s="1"/>
  <c r="F520" i="3"/>
  <c r="N520" i="3" s="1"/>
  <c r="E520" i="3"/>
  <c r="AA525" i="3" s="1"/>
  <c r="AA531" i="3" s="1"/>
  <c r="AM519" i="3"/>
  <c r="AK519" i="3"/>
  <c r="AG519" i="3"/>
  <c r="AF519" i="3"/>
  <c r="AD519" i="3"/>
  <c r="AA519" i="3"/>
  <c r="Z519" i="3"/>
  <c r="T519" i="3"/>
  <c r="K519" i="3"/>
  <c r="K537" i="3" s="1"/>
  <c r="J519" i="3"/>
  <c r="L519" i="3" s="1"/>
  <c r="H519" i="3"/>
  <c r="H537" i="3" s="1"/>
  <c r="G519" i="3"/>
  <c r="I519" i="3" s="1"/>
  <c r="F519" i="3"/>
  <c r="E519" i="3"/>
  <c r="AA534" i="3" s="1"/>
  <c r="AM518" i="3"/>
  <c r="AK518" i="3"/>
  <c r="AH518" i="3"/>
  <c r="AG518" i="3"/>
  <c r="AF518" i="3"/>
  <c r="AD518" i="3"/>
  <c r="AB518" i="3"/>
  <c r="AJ518" i="3" s="1"/>
  <c r="AA518" i="3"/>
  <c r="Z518" i="3"/>
  <c r="AM517" i="3"/>
  <c r="AG517" i="3"/>
  <c r="AD517" i="3"/>
  <c r="AD522" i="3" s="1"/>
  <c r="AB517" i="3"/>
  <c r="AJ517" i="3" s="1"/>
  <c r="AA517" i="3"/>
  <c r="Z517" i="3"/>
  <c r="AM516" i="3"/>
  <c r="AK516" i="3"/>
  <c r="AG516" i="3"/>
  <c r="AG522" i="3" s="1"/>
  <c r="AD516" i="3"/>
  <c r="AB516" i="3"/>
  <c r="AA516" i="3"/>
  <c r="AA522" i="3" s="1"/>
  <c r="Z516" i="3"/>
  <c r="AM512" i="3"/>
  <c r="AK512" i="3"/>
  <c r="AC512" i="3"/>
  <c r="AB512" i="3"/>
  <c r="AJ512" i="3" s="1"/>
  <c r="Z512" i="3"/>
  <c r="AM511" i="3"/>
  <c r="AK511" i="3"/>
  <c r="AC511" i="3"/>
  <c r="Z511" i="3"/>
  <c r="AM510" i="3"/>
  <c r="AK510" i="3"/>
  <c r="Z510" i="3"/>
  <c r="O510" i="3"/>
  <c r="D510" i="3"/>
  <c r="AM509" i="3"/>
  <c r="AK509" i="3"/>
  <c r="AC509" i="3"/>
  <c r="AB509" i="3"/>
  <c r="Z509" i="3"/>
  <c r="K509" i="3"/>
  <c r="J509" i="3"/>
  <c r="L509" i="3" s="1"/>
  <c r="AH494" i="3" s="1"/>
  <c r="H509" i="3"/>
  <c r="AD494" i="3" s="1"/>
  <c r="G509" i="3"/>
  <c r="AC494" i="3" s="1"/>
  <c r="F509" i="3"/>
  <c r="N509" i="3" s="1"/>
  <c r="E509" i="3"/>
  <c r="AM508" i="3"/>
  <c r="AK508" i="3"/>
  <c r="AF508" i="3"/>
  <c r="AC508" i="3"/>
  <c r="Z508" i="3"/>
  <c r="U508" i="3"/>
  <c r="AQ493" i="3" s="1"/>
  <c r="T508" i="3"/>
  <c r="AP493" i="3" s="1"/>
  <c r="K508" i="3"/>
  <c r="AG493" i="3" s="1"/>
  <c r="J508" i="3"/>
  <c r="AF493" i="3" s="1"/>
  <c r="H508" i="3"/>
  <c r="I508" i="3" s="1"/>
  <c r="G508" i="3"/>
  <c r="F508" i="3"/>
  <c r="N508" i="3" s="1"/>
  <c r="E508" i="3"/>
  <c r="AM507" i="3"/>
  <c r="AK507" i="3"/>
  <c r="AF507" i="3"/>
  <c r="AD507" i="3"/>
  <c r="AA507" i="3"/>
  <c r="Z507" i="3"/>
  <c r="K507" i="3"/>
  <c r="L507" i="3" s="1"/>
  <c r="AH503" i="3" s="1"/>
  <c r="J507" i="3"/>
  <c r="H507" i="3"/>
  <c r="I507" i="3" s="1"/>
  <c r="G507" i="3"/>
  <c r="F507" i="3"/>
  <c r="E507" i="3"/>
  <c r="AA503" i="3" s="1"/>
  <c r="N506" i="3"/>
  <c r="K506" i="3"/>
  <c r="L506" i="3" s="1"/>
  <c r="AH502" i="3" s="1"/>
  <c r="J506" i="3"/>
  <c r="H506" i="3"/>
  <c r="I506" i="3" s="1"/>
  <c r="G506" i="3"/>
  <c r="F506" i="3"/>
  <c r="E506" i="3"/>
  <c r="N505" i="3"/>
  <c r="AJ492" i="3" s="1"/>
  <c r="K505" i="3"/>
  <c r="L505" i="3" s="1"/>
  <c r="AH492" i="3" s="1"/>
  <c r="J505" i="3"/>
  <c r="H505" i="3"/>
  <c r="I505" i="3" s="1"/>
  <c r="G505" i="3"/>
  <c r="F505" i="3"/>
  <c r="E505" i="3"/>
  <c r="AA492" i="3" s="1"/>
  <c r="AK504" i="3"/>
  <c r="K504" i="3"/>
  <c r="AG501" i="3" s="1"/>
  <c r="J504" i="3"/>
  <c r="L504" i="3" s="1"/>
  <c r="AH501" i="3" s="1"/>
  <c r="H504" i="3"/>
  <c r="AD501" i="3" s="1"/>
  <c r="G504" i="3"/>
  <c r="I504" i="3" s="1"/>
  <c r="F504" i="3"/>
  <c r="N504" i="3" s="1"/>
  <c r="E504" i="3"/>
  <c r="AA501" i="3" s="1"/>
  <c r="AM503" i="3"/>
  <c r="AK503" i="3"/>
  <c r="AF503" i="3"/>
  <c r="AD503" i="3"/>
  <c r="AC503" i="3"/>
  <c r="Z503" i="3"/>
  <c r="U503" i="3"/>
  <c r="AQ512" i="3" s="1"/>
  <c r="T503" i="3"/>
  <c r="AP512" i="3" s="1"/>
  <c r="K503" i="3"/>
  <c r="AG512" i="3" s="1"/>
  <c r="J503" i="3"/>
  <c r="AF512" i="3" s="1"/>
  <c r="H503" i="3"/>
  <c r="I503" i="3" s="1"/>
  <c r="G503" i="3"/>
  <c r="F503" i="3"/>
  <c r="N503" i="3" s="1"/>
  <c r="E503" i="3"/>
  <c r="AA512" i="3" s="1"/>
  <c r="AM502" i="3"/>
  <c r="AK502" i="3"/>
  <c r="AF502" i="3"/>
  <c r="AD502" i="3"/>
  <c r="AC502" i="3"/>
  <c r="AA502" i="3"/>
  <c r="Z502" i="3"/>
  <c r="N502" i="3"/>
  <c r="K502" i="3"/>
  <c r="L502" i="3" s="1"/>
  <c r="AH511" i="3" s="1"/>
  <c r="J502" i="3"/>
  <c r="AF511" i="3" s="1"/>
  <c r="H502" i="3"/>
  <c r="AD511" i="3" s="1"/>
  <c r="G502" i="3"/>
  <c r="F502" i="3"/>
  <c r="E502" i="3"/>
  <c r="AA511" i="3" s="1"/>
  <c r="AM501" i="3"/>
  <c r="AF501" i="3"/>
  <c r="AC501" i="3"/>
  <c r="AC504" i="3" s="1"/>
  <c r="AB501" i="3"/>
  <c r="Z501" i="3"/>
  <c r="K501" i="3"/>
  <c r="AG510" i="3" s="1"/>
  <c r="J501" i="3"/>
  <c r="AF510" i="3" s="1"/>
  <c r="H501" i="3"/>
  <c r="AD510" i="3" s="1"/>
  <c r="G501" i="3"/>
  <c r="AC510" i="3" s="1"/>
  <c r="F501" i="3"/>
  <c r="N501" i="3" s="1"/>
  <c r="E501" i="3"/>
  <c r="AA510" i="3" s="1"/>
  <c r="AM500" i="3"/>
  <c r="AK500" i="3"/>
  <c r="AF500" i="3"/>
  <c r="AC500" i="3"/>
  <c r="AA500" i="3"/>
  <c r="Z500" i="3"/>
  <c r="U500" i="3"/>
  <c r="AQ509" i="3" s="1"/>
  <c r="T500" i="3"/>
  <c r="AP509" i="3" s="1"/>
  <c r="K500" i="3"/>
  <c r="AG509" i="3" s="1"/>
  <c r="J500" i="3"/>
  <c r="AF509" i="3" s="1"/>
  <c r="H500" i="3"/>
  <c r="I500" i="3" s="1"/>
  <c r="G500" i="3"/>
  <c r="F500" i="3"/>
  <c r="N500" i="3" s="1"/>
  <c r="E500" i="3"/>
  <c r="AA509" i="3" s="1"/>
  <c r="AM499" i="3"/>
  <c r="AK499" i="3"/>
  <c r="AF499" i="3"/>
  <c r="AC499" i="3"/>
  <c r="AA499" i="3"/>
  <c r="Z499" i="3"/>
  <c r="Z504" i="3" s="1"/>
  <c r="K499" i="3"/>
  <c r="L499" i="3" s="1"/>
  <c r="AH491" i="3" s="1"/>
  <c r="J499" i="3"/>
  <c r="H499" i="3"/>
  <c r="I499" i="3" s="1"/>
  <c r="G499" i="3"/>
  <c r="F499" i="3"/>
  <c r="T499" i="3" s="1"/>
  <c r="E499" i="3"/>
  <c r="AM498" i="3"/>
  <c r="AK498" i="3"/>
  <c r="AF498" i="3"/>
  <c r="AC498" i="3"/>
  <c r="AA498" i="3"/>
  <c r="Z498" i="3"/>
  <c r="K498" i="3"/>
  <c r="L498" i="3" s="1"/>
  <c r="AH490" i="3" s="1"/>
  <c r="J498" i="3"/>
  <c r="I498" i="3"/>
  <c r="H498" i="3"/>
  <c r="G498" i="3"/>
  <c r="F498" i="3"/>
  <c r="AB490" i="3" s="1"/>
  <c r="AJ490" i="3" s="1"/>
  <c r="E498" i="3"/>
  <c r="K497" i="3"/>
  <c r="L497" i="3" s="1"/>
  <c r="AH489" i="3" s="1"/>
  <c r="J497" i="3"/>
  <c r="I497" i="3"/>
  <c r="H497" i="3"/>
  <c r="G497" i="3"/>
  <c r="AC489" i="3" s="1"/>
  <c r="AC495" i="3" s="1"/>
  <c r="F497" i="3"/>
  <c r="N497" i="3" s="1"/>
  <c r="E497" i="3"/>
  <c r="K496" i="3"/>
  <c r="L496" i="3" s="1"/>
  <c r="AH500" i="3" s="1"/>
  <c r="J496" i="3"/>
  <c r="I496" i="3"/>
  <c r="H496" i="3"/>
  <c r="AD500" i="3" s="1"/>
  <c r="G496" i="3"/>
  <c r="F496" i="3"/>
  <c r="N496" i="3" s="1"/>
  <c r="E496" i="3"/>
  <c r="U495" i="3"/>
  <c r="AQ508" i="3" s="1"/>
  <c r="T495" i="3"/>
  <c r="AP508" i="3" s="1"/>
  <c r="K495" i="3"/>
  <c r="AG508" i="3" s="1"/>
  <c r="J495" i="3"/>
  <c r="L495" i="3" s="1"/>
  <c r="AH508" i="3" s="1"/>
  <c r="H495" i="3"/>
  <c r="AD508" i="3" s="1"/>
  <c r="G495" i="3"/>
  <c r="F495" i="3"/>
  <c r="AB508" i="3" s="1"/>
  <c r="AJ508" i="3" s="1"/>
  <c r="E495" i="3"/>
  <c r="AA508" i="3" s="1"/>
  <c r="AM494" i="3"/>
  <c r="AK494" i="3"/>
  <c r="AG494" i="3"/>
  <c r="AF494" i="3"/>
  <c r="AA494" i="3"/>
  <c r="Z494" i="3"/>
  <c r="K494" i="3"/>
  <c r="AG499" i="3" s="1"/>
  <c r="J494" i="3"/>
  <c r="H494" i="3"/>
  <c r="AD499" i="3" s="1"/>
  <c r="G494" i="3"/>
  <c r="F494" i="3"/>
  <c r="N494" i="3" s="1"/>
  <c r="E494" i="3"/>
  <c r="AM493" i="3"/>
  <c r="AK493" i="3"/>
  <c r="AK495" i="3" s="1"/>
  <c r="AD493" i="3"/>
  <c r="AC493" i="3"/>
  <c r="AB493" i="3"/>
  <c r="AA493" i="3"/>
  <c r="Z493" i="3"/>
  <c r="K493" i="3"/>
  <c r="AG498" i="3" s="1"/>
  <c r="J493" i="3"/>
  <c r="H493" i="3"/>
  <c r="I493" i="3" s="1"/>
  <c r="G493" i="3"/>
  <c r="F493" i="3"/>
  <c r="E493" i="3"/>
  <c r="AM492" i="3"/>
  <c r="AK492" i="3"/>
  <c r="AG492" i="3"/>
  <c r="AF492" i="3"/>
  <c r="AF495" i="3" s="1"/>
  <c r="AD492" i="3"/>
  <c r="AC492" i="3"/>
  <c r="Z492" i="3"/>
  <c r="K492" i="3"/>
  <c r="J492" i="3"/>
  <c r="J510" i="3" s="1"/>
  <c r="I492" i="3"/>
  <c r="H492" i="3"/>
  <c r="H510" i="3" s="1"/>
  <c r="G492" i="3"/>
  <c r="G510" i="3" s="1"/>
  <c r="F492" i="3"/>
  <c r="T492" i="3" s="1"/>
  <c r="E492" i="3"/>
  <c r="E510" i="3" s="1"/>
  <c r="AM491" i="3"/>
  <c r="AK491" i="3"/>
  <c r="AG491" i="3"/>
  <c r="AF491" i="3"/>
  <c r="AD491" i="3"/>
  <c r="AC491" i="3"/>
  <c r="AA491" i="3"/>
  <c r="Z491" i="3"/>
  <c r="Z495" i="3" s="1"/>
  <c r="AM490" i="3"/>
  <c r="AG490" i="3"/>
  <c r="AF490" i="3"/>
  <c r="AD490" i="3"/>
  <c r="AC490" i="3"/>
  <c r="AA490" i="3"/>
  <c r="Z490" i="3"/>
  <c r="AM489" i="3"/>
  <c r="AK489" i="3"/>
  <c r="AG489" i="3"/>
  <c r="AG495" i="3" s="1"/>
  <c r="AF489" i="3"/>
  <c r="AD489" i="3"/>
  <c r="AA489" i="3"/>
  <c r="Z489" i="3"/>
  <c r="Z486" i="3"/>
  <c r="AM485" i="3"/>
  <c r="AK485" i="3"/>
  <c r="AG485" i="3"/>
  <c r="AD485" i="3"/>
  <c r="AC485" i="3"/>
  <c r="AA485" i="3"/>
  <c r="Z485" i="3"/>
  <c r="AM484" i="3"/>
  <c r="AK484" i="3"/>
  <c r="AG484" i="3"/>
  <c r="AF484" i="3"/>
  <c r="AD484" i="3"/>
  <c r="AB484" i="3"/>
  <c r="AJ484" i="3" s="1"/>
  <c r="Z484" i="3"/>
  <c r="AM483" i="3"/>
  <c r="AK483" i="3"/>
  <c r="AJ483" i="3"/>
  <c r="AD483" i="3"/>
  <c r="AB483" i="3"/>
  <c r="AA483" i="3"/>
  <c r="Z483" i="3"/>
  <c r="O483" i="3"/>
  <c r="D483" i="3"/>
  <c r="AM482" i="3"/>
  <c r="AK482" i="3"/>
  <c r="AG482" i="3"/>
  <c r="AF482" i="3"/>
  <c r="AD482" i="3"/>
  <c r="Z482" i="3"/>
  <c r="K482" i="3"/>
  <c r="L482" i="3" s="1"/>
  <c r="AH467" i="3" s="1"/>
  <c r="J482" i="3"/>
  <c r="I482" i="3"/>
  <c r="M482" i="3" s="1"/>
  <c r="H482" i="3"/>
  <c r="G482" i="3"/>
  <c r="F482" i="3"/>
  <c r="T482" i="3" s="1"/>
  <c r="U482" i="3" s="1"/>
  <c r="AQ467" i="3" s="1"/>
  <c r="E482" i="3"/>
  <c r="AM481" i="3"/>
  <c r="AK481" i="3"/>
  <c r="AG481" i="3"/>
  <c r="Z481" i="3"/>
  <c r="L481" i="3"/>
  <c r="K481" i="3"/>
  <c r="J481" i="3"/>
  <c r="H481" i="3"/>
  <c r="G481" i="3"/>
  <c r="I481" i="3" s="1"/>
  <c r="F481" i="3"/>
  <c r="E481" i="3"/>
  <c r="AM480" i="3"/>
  <c r="AK480" i="3"/>
  <c r="AD480" i="3"/>
  <c r="Z480" i="3"/>
  <c r="T480" i="3"/>
  <c r="K480" i="3"/>
  <c r="J480" i="3"/>
  <c r="I480" i="3"/>
  <c r="H480" i="3"/>
  <c r="G480" i="3"/>
  <c r="AC476" i="3" s="1"/>
  <c r="F480" i="3"/>
  <c r="N480" i="3" s="1"/>
  <c r="E480" i="3"/>
  <c r="T479" i="3"/>
  <c r="K479" i="3"/>
  <c r="J479" i="3"/>
  <c r="I479" i="3"/>
  <c r="AE475" i="3" s="1"/>
  <c r="H479" i="3"/>
  <c r="G479" i="3"/>
  <c r="AC475" i="3" s="1"/>
  <c r="F479" i="3"/>
  <c r="N479" i="3" s="1"/>
  <c r="E479" i="3"/>
  <c r="AA475" i="3" s="1"/>
  <c r="T478" i="3"/>
  <c r="U478" i="3" s="1"/>
  <c r="K478" i="3"/>
  <c r="J478" i="3"/>
  <c r="L478" i="3" s="1"/>
  <c r="I478" i="3"/>
  <c r="H478" i="3"/>
  <c r="AD465" i="3" s="1"/>
  <c r="G478" i="3"/>
  <c r="F478" i="3"/>
  <c r="N478" i="3" s="1"/>
  <c r="E478" i="3"/>
  <c r="U477" i="3"/>
  <c r="AQ474" i="3" s="1"/>
  <c r="T477" i="3"/>
  <c r="L477" i="3"/>
  <c r="AH474" i="3" s="1"/>
  <c r="K477" i="3"/>
  <c r="J477" i="3"/>
  <c r="I477" i="3"/>
  <c r="H477" i="3"/>
  <c r="G477" i="3"/>
  <c r="AC474" i="3" s="1"/>
  <c r="F477" i="3"/>
  <c r="N477" i="3" s="1"/>
  <c r="E477" i="3"/>
  <c r="AM476" i="3"/>
  <c r="AK476" i="3"/>
  <c r="AJ476" i="3"/>
  <c r="AG476" i="3"/>
  <c r="AD476" i="3"/>
  <c r="AB476" i="3"/>
  <c r="AA476" i="3"/>
  <c r="Z476" i="3"/>
  <c r="N476" i="3"/>
  <c r="L476" i="3"/>
  <c r="AH485" i="3" s="1"/>
  <c r="K476" i="3"/>
  <c r="J476" i="3"/>
  <c r="AF485" i="3" s="1"/>
  <c r="H476" i="3"/>
  <c r="G476" i="3"/>
  <c r="I476" i="3" s="1"/>
  <c r="F476" i="3"/>
  <c r="E476" i="3"/>
  <c r="AM475" i="3"/>
  <c r="AK475" i="3"/>
  <c r="AG475" i="3"/>
  <c r="AD475" i="3"/>
  <c r="AB475" i="3"/>
  <c r="AJ475" i="3" s="1"/>
  <c r="Z475" i="3"/>
  <c r="T475" i="3"/>
  <c r="K475" i="3"/>
  <c r="J475" i="3"/>
  <c r="L475" i="3" s="1"/>
  <c r="AH484" i="3" s="1"/>
  <c r="I475" i="3"/>
  <c r="H475" i="3"/>
  <c r="G475" i="3"/>
  <c r="AC484" i="3" s="1"/>
  <c r="F475" i="3"/>
  <c r="N475" i="3" s="1"/>
  <c r="E475" i="3"/>
  <c r="AA484" i="3" s="1"/>
  <c r="AP474" i="3"/>
  <c r="AM474" i="3"/>
  <c r="AG474" i="3"/>
  <c r="AF474" i="3"/>
  <c r="AD474" i="3"/>
  <c r="AB474" i="3"/>
  <c r="AJ474" i="3" s="1"/>
  <c r="AA474" i="3"/>
  <c r="Z474" i="3"/>
  <c r="U474" i="3"/>
  <c r="AQ483" i="3" s="1"/>
  <c r="T474" i="3"/>
  <c r="AP483" i="3" s="1"/>
  <c r="K474" i="3"/>
  <c r="L474" i="3" s="1"/>
  <c r="AH483" i="3" s="1"/>
  <c r="J474" i="3"/>
  <c r="AF483" i="3" s="1"/>
  <c r="I474" i="3"/>
  <c r="H474" i="3"/>
  <c r="G474" i="3"/>
  <c r="AC483" i="3" s="1"/>
  <c r="F474" i="3"/>
  <c r="N474" i="3" s="1"/>
  <c r="E474" i="3"/>
  <c r="AM473" i="3"/>
  <c r="AK473" i="3"/>
  <c r="AG473" i="3"/>
  <c r="AB473" i="3"/>
  <c r="AJ473" i="3" s="1"/>
  <c r="Z473" i="3"/>
  <c r="N473" i="3"/>
  <c r="L473" i="3"/>
  <c r="AH482" i="3" s="1"/>
  <c r="K473" i="3"/>
  <c r="J473" i="3"/>
  <c r="H473" i="3"/>
  <c r="G473" i="3"/>
  <c r="F473" i="3"/>
  <c r="E473" i="3"/>
  <c r="AA482" i="3" s="1"/>
  <c r="AM472" i="3"/>
  <c r="AK472" i="3"/>
  <c r="AG472" i="3"/>
  <c r="AB472" i="3"/>
  <c r="Z472" i="3"/>
  <c r="T472" i="3"/>
  <c r="U472" i="3" s="1"/>
  <c r="AQ464" i="3" s="1"/>
  <c r="K472" i="3"/>
  <c r="J472" i="3"/>
  <c r="L472" i="3" s="1"/>
  <c r="H472" i="3"/>
  <c r="G472" i="3"/>
  <c r="F472" i="3"/>
  <c r="N472" i="3" s="1"/>
  <c r="E472" i="3"/>
  <c r="AM471" i="3"/>
  <c r="AK471" i="3"/>
  <c r="AK477" i="3" s="1"/>
  <c r="AF471" i="3"/>
  <c r="AB471" i="3"/>
  <c r="Z471" i="3"/>
  <c r="Z477" i="3" s="1"/>
  <c r="U471" i="3"/>
  <c r="AQ463" i="3" s="1"/>
  <c r="T471" i="3"/>
  <c r="AP463" i="3" s="1"/>
  <c r="L471" i="3"/>
  <c r="M471" i="3" s="1"/>
  <c r="K471" i="3"/>
  <c r="J471" i="3"/>
  <c r="H471" i="3"/>
  <c r="AD463" i="3" s="1"/>
  <c r="G471" i="3"/>
  <c r="I471" i="3" s="1"/>
  <c r="F471" i="3"/>
  <c r="N471" i="3" s="1"/>
  <c r="E471" i="3"/>
  <c r="AA463" i="3" s="1"/>
  <c r="U470" i="3"/>
  <c r="AQ462" i="3" s="1"/>
  <c r="T470" i="3"/>
  <c r="K470" i="3"/>
  <c r="AG462" i="3" s="1"/>
  <c r="J470" i="3"/>
  <c r="H470" i="3"/>
  <c r="AD462" i="3" s="1"/>
  <c r="G470" i="3"/>
  <c r="F470" i="3"/>
  <c r="N470" i="3" s="1"/>
  <c r="E470" i="3"/>
  <c r="T469" i="3"/>
  <c r="AP473" i="3" s="1"/>
  <c r="L469" i="3"/>
  <c r="AH473" i="3" s="1"/>
  <c r="K469" i="3"/>
  <c r="J469" i="3"/>
  <c r="AF473" i="3" s="1"/>
  <c r="H469" i="3"/>
  <c r="AD473" i="3" s="1"/>
  <c r="G469" i="3"/>
  <c r="F469" i="3"/>
  <c r="N469" i="3" s="1"/>
  <c r="E469" i="3"/>
  <c r="AA473" i="3" s="1"/>
  <c r="AG468" i="3"/>
  <c r="T468" i="3"/>
  <c r="K468" i="3"/>
  <c r="J468" i="3"/>
  <c r="H468" i="3"/>
  <c r="AD481" i="3" s="1"/>
  <c r="G468" i="3"/>
  <c r="AC481" i="3" s="1"/>
  <c r="F468" i="3"/>
  <c r="N468" i="3" s="1"/>
  <c r="E468" i="3"/>
  <c r="AA481" i="3" s="1"/>
  <c r="AM467" i="3"/>
  <c r="AK467" i="3"/>
  <c r="AG467" i="3"/>
  <c r="AF467" i="3"/>
  <c r="AE467" i="3"/>
  <c r="AD467" i="3"/>
  <c r="AC467" i="3"/>
  <c r="AB467" i="3"/>
  <c r="AJ467" i="3" s="1"/>
  <c r="AA467" i="3"/>
  <c r="Z467" i="3"/>
  <c r="T467" i="3"/>
  <c r="L467" i="3"/>
  <c r="AH472" i="3" s="1"/>
  <c r="K467" i="3"/>
  <c r="J467" i="3"/>
  <c r="AF472" i="3" s="1"/>
  <c r="H467" i="3"/>
  <c r="AD472" i="3" s="1"/>
  <c r="G467" i="3"/>
  <c r="AC472" i="3" s="1"/>
  <c r="F467" i="3"/>
  <c r="E467" i="3"/>
  <c r="AA472" i="3" s="1"/>
  <c r="AJ472" i="3" s="1"/>
  <c r="AM466" i="3"/>
  <c r="AK466" i="3"/>
  <c r="AH466" i="3"/>
  <c r="AG466" i="3"/>
  <c r="AF466" i="3"/>
  <c r="AE466" i="3"/>
  <c r="AD466" i="3"/>
  <c r="AC466" i="3"/>
  <c r="AA466" i="3"/>
  <c r="Z466" i="3"/>
  <c r="T466" i="3"/>
  <c r="AP471" i="3" s="1"/>
  <c r="K466" i="3"/>
  <c r="AG471" i="3" s="1"/>
  <c r="J466" i="3"/>
  <c r="H466" i="3"/>
  <c r="AD471" i="3" s="1"/>
  <c r="G466" i="3"/>
  <c r="F466" i="3"/>
  <c r="E466" i="3"/>
  <c r="AA471" i="3" s="1"/>
  <c r="AA477" i="3" s="1"/>
  <c r="AQ465" i="3"/>
  <c r="AP465" i="3"/>
  <c r="AM465" i="3"/>
  <c r="AK465" i="3"/>
  <c r="AJ465" i="3"/>
  <c r="AH465" i="3"/>
  <c r="AG465" i="3"/>
  <c r="AF465" i="3"/>
  <c r="AE465" i="3"/>
  <c r="AC465" i="3"/>
  <c r="AB465" i="3"/>
  <c r="AA465" i="3"/>
  <c r="Z465" i="3"/>
  <c r="K465" i="3"/>
  <c r="J465" i="3"/>
  <c r="H465" i="3"/>
  <c r="H483" i="3" s="1"/>
  <c r="G465" i="3"/>
  <c r="G483" i="3" s="1"/>
  <c r="F465" i="3"/>
  <c r="N465" i="3" s="1"/>
  <c r="E465" i="3"/>
  <c r="AA480" i="3" s="1"/>
  <c r="AM464" i="3"/>
  <c r="AK464" i="3"/>
  <c r="AH464" i="3"/>
  <c r="AG464" i="3"/>
  <c r="AF464" i="3"/>
  <c r="AD464" i="3"/>
  <c r="AC464" i="3"/>
  <c r="AB464" i="3"/>
  <c r="AA464" i="3"/>
  <c r="Z464" i="3"/>
  <c r="AM463" i="3"/>
  <c r="AJ463" i="3"/>
  <c r="AG463" i="3"/>
  <c r="AF463" i="3"/>
  <c r="AE463" i="3"/>
  <c r="AC463" i="3"/>
  <c r="AB463" i="3"/>
  <c r="Z463" i="3"/>
  <c r="AP462" i="3"/>
  <c r="AM462" i="3"/>
  <c r="AK462" i="3"/>
  <c r="AK468" i="3" s="1"/>
  <c r="AC462" i="3"/>
  <c r="AB462" i="3"/>
  <c r="AA462" i="3"/>
  <c r="Z462" i="3"/>
  <c r="Z468" i="3" s="1"/>
  <c r="AP458" i="3"/>
  <c r="AM458" i="3"/>
  <c r="AK458" i="3"/>
  <c r="AF458" i="3"/>
  <c r="AB458" i="3"/>
  <c r="AJ458" i="3" s="1"/>
  <c r="Z458" i="3"/>
  <c r="AM457" i="3"/>
  <c r="AK457" i="3"/>
  <c r="AC457" i="3"/>
  <c r="Z457" i="3"/>
  <c r="AM456" i="3"/>
  <c r="AK456" i="3"/>
  <c r="AA456" i="3"/>
  <c r="Z456" i="3"/>
  <c r="O456" i="3"/>
  <c r="D456" i="3"/>
  <c r="AP455" i="3"/>
  <c r="AM455" i="3"/>
  <c r="AK455" i="3"/>
  <c r="AF455" i="3"/>
  <c r="AB455" i="3"/>
  <c r="Z455" i="3"/>
  <c r="K455" i="3"/>
  <c r="J455" i="3"/>
  <c r="L455" i="3" s="1"/>
  <c r="AH440" i="3" s="1"/>
  <c r="I455" i="3"/>
  <c r="H455" i="3"/>
  <c r="AD440" i="3" s="1"/>
  <c r="G455" i="3"/>
  <c r="F455" i="3"/>
  <c r="N455" i="3" s="1"/>
  <c r="E455" i="3"/>
  <c r="AM454" i="3"/>
  <c r="AK454" i="3"/>
  <c r="AF454" i="3"/>
  <c r="AD454" i="3"/>
  <c r="Z454" i="3"/>
  <c r="U454" i="3"/>
  <c r="AQ439" i="3" s="1"/>
  <c r="T454" i="3"/>
  <c r="L454" i="3"/>
  <c r="AH439" i="3" s="1"/>
  <c r="K454" i="3"/>
  <c r="AG439" i="3" s="1"/>
  <c r="J454" i="3"/>
  <c r="I454" i="3"/>
  <c r="H454" i="3"/>
  <c r="G454" i="3"/>
  <c r="F454" i="3"/>
  <c r="N454" i="3" s="1"/>
  <c r="E454" i="3"/>
  <c r="AM453" i="3"/>
  <c r="AK453" i="3"/>
  <c r="AK459" i="3" s="1"/>
  <c r="AG453" i="3"/>
  <c r="AB453" i="3"/>
  <c r="Z453" i="3"/>
  <c r="Z459" i="3" s="1"/>
  <c r="L453" i="3"/>
  <c r="AH449" i="3" s="1"/>
  <c r="K453" i="3"/>
  <c r="J453" i="3"/>
  <c r="H453" i="3"/>
  <c r="G453" i="3"/>
  <c r="F453" i="3"/>
  <c r="N453" i="3" s="1"/>
  <c r="E453" i="3"/>
  <c r="AA449" i="3" s="1"/>
  <c r="AA450" i="3" s="1"/>
  <c r="L452" i="3"/>
  <c r="AH448" i="3" s="1"/>
  <c r="K452" i="3"/>
  <c r="J452" i="3"/>
  <c r="H452" i="3"/>
  <c r="G452" i="3"/>
  <c r="F452" i="3"/>
  <c r="E452" i="3"/>
  <c r="L451" i="3"/>
  <c r="K451" i="3"/>
  <c r="J451" i="3"/>
  <c r="H451" i="3"/>
  <c r="G451" i="3"/>
  <c r="F451" i="3"/>
  <c r="N451" i="3" s="1"/>
  <c r="AJ438" i="3" s="1"/>
  <c r="E451" i="3"/>
  <c r="AK450" i="3"/>
  <c r="N450" i="3"/>
  <c r="K450" i="3"/>
  <c r="J450" i="3"/>
  <c r="L450" i="3" s="1"/>
  <c r="AH447" i="3" s="1"/>
  <c r="I450" i="3"/>
  <c r="H450" i="3"/>
  <c r="G450" i="3"/>
  <c r="F450" i="3"/>
  <c r="E450" i="3"/>
  <c r="AM449" i="3"/>
  <c r="AK449" i="3"/>
  <c r="AG449" i="3"/>
  <c r="AF449" i="3"/>
  <c r="AD449" i="3"/>
  <c r="Z449" i="3"/>
  <c r="U449" i="3"/>
  <c r="AQ458" i="3" s="1"/>
  <c r="T449" i="3"/>
  <c r="L449" i="3"/>
  <c r="AH458" i="3" s="1"/>
  <c r="K449" i="3"/>
  <c r="AG458" i="3" s="1"/>
  <c r="J449" i="3"/>
  <c r="I449" i="3"/>
  <c r="H449" i="3"/>
  <c r="AD458" i="3" s="1"/>
  <c r="G449" i="3"/>
  <c r="AC458" i="3" s="1"/>
  <c r="F449" i="3"/>
  <c r="N449" i="3" s="1"/>
  <c r="E449" i="3"/>
  <c r="AA458" i="3" s="1"/>
  <c r="AM448" i="3"/>
  <c r="AK448" i="3"/>
  <c r="AG448" i="3"/>
  <c r="AF448" i="3"/>
  <c r="AD448" i="3"/>
  <c r="AA448" i="3"/>
  <c r="Z448" i="3"/>
  <c r="L448" i="3"/>
  <c r="AH457" i="3" s="1"/>
  <c r="K448" i="3"/>
  <c r="AG457" i="3" s="1"/>
  <c r="J448" i="3"/>
  <c r="AF457" i="3" s="1"/>
  <c r="H448" i="3"/>
  <c r="AD457" i="3" s="1"/>
  <c r="G448" i="3"/>
  <c r="I448" i="3" s="1"/>
  <c r="F448" i="3"/>
  <c r="E448" i="3"/>
  <c r="AA457" i="3" s="1"/>
  <c r="AM447" i="3"/>
  <c r="AG447" i="3"/>
  <c r="AF447" i="3"/>
  <c r="AD447" i="3"/>
  <c r="AD450" i="3" s="1"/>
  <c r="AC447" i="3"/>
  <c r="AA447" i="3"/>
  <c r="Z447" i="3"/>
  <c r="N447" i="3"/>
  <c r="K447" i="3"/>
  <c r="AG456" i="3" s="1"/>
  <c r="J447" i="3"/>
  <c r="AF456" i="3" s="1"/>
  <c r="I447" i="3"/>
  <c r="H447" i="3"/>
  <c r="AD456" i="3" s="1"/>
  <c r="G447" i="3"/>
  <c r="AC456" i="3" s="1"/>
  <c r="F447" i="3"/>
  <c r="E447" i="3"/>
  <c r="AM446" i="3"/>
  <c r="AK446" i="3"/>
  <c r="AG446" i="3"/>
  <c r="AD446" i="3"/>
  <c r="Z446" i="3"/>
  <c r="U446" i="3"/>
  <c r="AQ455" i="3" s="1"/>
  <c r="T446" i="3"/>
  <c r="L446" i="3"/>
  <c r="AH455" i="3" s="1"/>
  <c r="K446" i="3"/>
  <c r="AG455" i="3" s="1"/>
  <c r="J446" i="3"/>
  <c r="I446" i="3"/>
  <c r="H446" i="3"/>
  <c r="AD455" i="3" s="1"/>
  <c r="G446" i="3"/>
  <c r="AC455" i="3" s="1"/>
  <c r="F446" i="3"/>
  <c r="N446" i="3" s="1"/>
  <c r="E446" i="3"/>
  <c r="AA455" i="3" s="1"/>
  <c r="AM445" i="3"/>
  <c r="AK445" i="3"/>
  <c r="AJ445" i="3"/>
  <c r="AG445" i="3"/>
  <c r="AB445" i="3"/>
  <c r="AA445" i="3"/>
  <c r="Z445" i="3"/>
  <c r="N445" i="3"/>
  <c r="L445" i="3"/>
  <c r="K445" i="3"/>
  <c r="J445" i="3"/>
  <c r="H445" i="3"/>
  <c r="G445" i="3"/>
  <c r="I445" i="3" s="1"/>
  <c r="F445" i="3"/>
  <c r="T445" i="3" s="1"/>
  <c r="U445" i="3" s="1"/>
  <c r="AQ437" i="3" s="1"/>
  <c r="E445" i="3"/>
  <c r="AM444" i="3"/>
  <c r="AK444" i="3"/>
  <c r="AD444" i="3"/>
  <c r="AB444" i="3"/>
  <c r="Z444" i="3"/>
  <c r="Z450" i="3" s="1"/>
  <c r="T444" i="3"/>
  <c r="K444" i="3"/>
  <c r="J444" i="3"/>
  <c r="H444" i="3"/>
  <c r="G444" i="3"/>
  <c r="F444" i="3"/>
  <c r="N444" i="3" s="1"/>
  <c r="E444" i="3"/>
  <c r="T443" i="3"/>
  <c r="U443" i="3" s="1"/>
  <c r="AQ435" i="3" s="1"/>
  <c r="K443" i="3"/>
  <c r="J443" i="3"/>
  <c r="I443" i="3"/>
  <c r="H443" i="3"/>
  <c r="G443" i="3"/>
  <c r="AC435" i="3" s="1"/>
  <c r="F443" i="3"/>
  <c r="N443" i="3" s="1"/>
  <c r="E443" i="3"/>
  <c r="T442" i="3"/>
  <c r="K442" i="3"/>
  <c r="J442" i="3"/>
  <c r="I442" i="3"/>
  <c r="H442" i="3"/>
  <c r="G442" i="3"/>
  <c r="AC446" i="3" s="1"/>
  <c r="F442" i="3"/>
  <c r="N442" i="3" s="1"/>
  <c r="E442" i="3"/>
  <c r="AA446" i="3" s="1"/>
  <c r="U441" i="3"/>
  <c r="AQ454" i="3" s="1"/>
  <c r="T441" i="3"/>
  <c r="AP454" i="3" s="1"/>
  <c r="L441" i="3"/>
  <c r="AH454" i="3" s="1"/>
  <c r="K441" i="3"/>
  <c r="K456" i="3" s="1"/>
  <c r="J441" i="3"/>
  <c r="I441" i="3"/>
  <c r="H441" i="3"/>
  <c r="G441" i="3"/>
  <c r="AC454" i="3" s="1"/>
  <c r="F441" i="3"/>
  <c r="AB454" i="3" s="1"/>
  <c r="E441" i="3"/>
  <c r="AA454" i="3" s="1"/>
  <c r="AM440" i="3"/>
  <c r="AK440" i="3"/>
  <c r="AG440" i="3"/>
  <c r="AG441" i="3" s="1"/>
  <c r="AF440" i="3"/>
  <c r="AC440" i="3"/>
  <c r="AB440" i="3"/>
  <c r="AJ440" i="3" s="1"/>
  <c r="AA440" i="3"/>
  <c r="Z440" i="3"/>
  <c r="N440" i="3"/>
  <c r="L440" i="3"/>
  <c r="AH445" i="3" s="1"/>
  <c r="K440" i="3"/>
  <c r="J440" i="3"/>
  <c r="AF445" i="3" s="1"/>
  <c r="H440" i="3"/>
  <c r="AD445" i="3" s="1"/>
  <c r="G440" i="3"/>
  <c r="F440" i="3"/>
  <c r="T440" i="3" s="1"/>
  <c r="E440" i="3"/>
  <c r="AP439" i="3"/>
  <c r="AM439" i="3"/>
  <c r="AK439" i="3"/>
  <c r="AF439" i="3"/>
  <c r="AE439" i="3"/>
  <c r="AD439" i="3"/>
  <c r="AC439" i="3"/>
  <c r="AB439" i="3"/>
  <c r="AJ439" i="3" s="1"/>
  <c r="AA439" i="3"/>
  <c r="Z439" i="3"/>
  <c r="T439" i="3"/>
  <c r="K439" i="3"/>
  <c r="AG444" i="3" s="1"/>
  <c r="AG450" i="3" s="1"/>
  <c r="J439" i="3"/>
  <c r="I439" i="3"/>
  <c r="AE444" i="3" s="1"/>
  <c r="H439" i="3"/>
  <c r="G439" i="3"/>
  <c r="AC444" i="3" s="1"/>
  <c r="F439" i="3"/>
  <c r="N439" i="3" s="1"/>
  <c r="E439" i="3"/>
  <c r="AA444" i="3" s="1"/>
  <c r="AM438" i="3"/>
  <c r="AK438" i="3"/>
  <c r="AH438" i="3"/>
  <c r="AG438" i="3"/>
  <c r="AF438" i="3"/>
  <c r="AD438" i="3"/>
  <c r="AA438" i="3"/>
  <c r="Z438" i="3"/>
  <c r="T438" i="3"/>
  <c r="K438" i="3"/>
  <c r="J438" i="3"/>
  <c r="H438" i="3"/>
  <c r="AD453" i="3" s="1"/>
  <c r="AD459" i="3" s="1"/>
  <c r="G438" i="3"/>
  <c r="F438" i="3"/>
  <c r="E438" i="3"/>
  <c r="AP437" i="3"/>
  <c r="AM437" i="3"/>
  <c r="AK437" i="3"/>
  <c r="AJ437" i="3"/>
  <c r="AH437" i="3"/>
  <c r="AG437" i="3"/>
  <c r="AF437" i="3"/>
  <c r="AD437" i="3"/>
  <c r="AC437" i="3"/>
  <c r="AB437" i="3"/>
  <c r="AA437" i="3"/>
  <c r="Z437" i="3"/>
  <c r="AM436" i="3"/>
  <c r="AJ436" i="3"/>
  <c r="AG436" i="3"/>
  <c r="AD436" i="3"/>
  <c r="AB436" i="3"/>
  <c r="AA436" i="3"/>
  <c r="Z436" i="3"/>
  <c r="AM435" i="3"/>
  <c r="AK435" i="3"/>
  <c r="AG435" i="3"/>
  <c r="AE435" i="3"/>
  <c r="AD435" i="3"/>
  <c r="AB435" i="3"/>
  <c r="AA435" i="3"/>
  <c r="AA441" i="3" s="1"/>
  <c r="Z435" i="3"/>
  <c r="AM431" i="3"/>
  <c r="AK431" i="3"/>
  <c r="AJ431" i="3"/>
  <c r="AD431" i="3"/>
  <c r="AB431" i="3"/>
  <c r="Z431" i="3"/>
  <c r="AM430" i="3"/>
  <c r="AK430" i="3"/>
  <c r="AG430" i="3"/>
  <c r="Z430" i="3"/>
  <c r="AM429" i="3"/>
  <c r="AK429" i="3"/>
  <c r="AJ429" i="3"/>
  <c r="AC429" i="3"/>
  <c r="AB429" i="3"/>
  <c r="Z429" i="3"/>
  <c r="O429" i="3"/>
  <c r="D429" i="3"/>
  <c r="AM428" i="3"/>
  <c r="AK428" i="3"/>
  <c r="AG428" i="3"/>
  <c r="Z428" i="3"/>
  <c r="T428" i="3"/>
  <c r="K428" i="3"/>
  <c r="J428" i="3"/>
  <c r="AF413" i="3" s="1"/>
  <c r="H428" i="3"/>
  <c r="G428" i="3"/>
  <c r="I428" i="3" s="1"/>
  <c r="F428" i="3"/>
  <c r="E428" i="3"/>
  <c r="AA413" i="3" s="1"/>
  <c r="AM427" i="3"/>
  <c r="AK427" i="3"/>
  <c r="AB427" i="3"/>
  <c r="AJ427" i="3" s="1"/>
  <c r="Z427" i="3"/>
  <c r="K427" i="3"/>
  <c r="J427" i="3"/>
  <c r="L427" i="3" s="1"/>
  <c r="H427" i="3"/>
  <c r="AD412" i="3" s="1"/>
  <c r="G427" i="3"/>
  <c r="F427" i="3"/>
  <c r="N427" i="3" s="1"/>
  <c r="E427" i="3"/>
  <c r="AM426" i="3"/>
  <c r="AK426" i="3"/>
  <c r="AF426" i="3"/>
  <c r="AC426" i="3"/>
  <c r="Z426" i="3"/>
  <c r="Z432" i="3" s="1"/>
  <c r="U426" i="3"/>
  <c r="AQ422" i="3" s="1"/>
  <c r="T426" i="3"/>
  <c r="AP422" i="3" s="1"/>
  <c r="K426" i="3"/>
  <c r="AG422" i="3" s="1"/>
  <c r="J426" i="3"/>
  <c r="H426" i="3"/>
  <c r="G426" i="3"/>
  <c r="F426" i="3"/>
  <c r="N426" i="3" s="1"/>
  <c r="E426" i="3"/>
  <c r="T425" i="3"/>
  <c r="K425" i="3"/>
  <c r="AG421" i="3" s="1"/>
  <c r="J425" i="3"/>
  <c r="L425" i="3" s="1"/>
  <c r="AH421" i="3" s="1"/>
  <c r="H425" i="3"/>
  <c r="G425" i="3"/>
  <c r="F425" i="3"/>
  <c r="N425" i="3" s="1"/>
  <c r="E425" i="3"/>
  <c r="U424" i="3"/>
  <c r="AQ411" i="3" s="1"/>
  <c r="T424" i="3"/>
  <c r="AP411" i="3" s="1"/>
  <c r="K424" i="3"/>
  <c r="AG411" i="3" s="1"/>
  <c r="J424" i="3"/>
  <c r="H424" i="3"/>
  <c r="I424" i="3" s="1"/>
  <c r="G424" i="3"/>
  <c r="F424" i="3"/>
  <c r="N424" i="3" s="1"/>
  <c r="AJ411" i="3" s="1"/>
  <c r="E424" i="3"/>
  <c r="T423" i="3"/>
  <c r="K423" i="3"/>
  <c r="J423" i="3"/>
  <c r="H423" i="3"/>
  <c r="G423" i="3"/>
  <c r="I423" i="3" s="1"/>
  <c r="F423" i="3"/>
  <c r="N423" i="3" s="1"/>
  <c r="E423" i="3"/>
  <c r="AA420" i="3" s="1"/>
  <c r="AM422" i="3"/>
  <c r="AK422" i="3"/>
  <c r="AJ422" i="3"/>
  <c r="AC422" i="3"/>
  <c r="AB422" i="3"/>
  <c r="AA422" i="3"/>
  <c r="Z422" i="3"/>
  <c r="K422" i="3"/>
  <c r="AG431" i="3" s="1"/>
  <c r="J422" i="3"/>
  <c r="L422" i="3" s="1"/>
  <c r="AH431" i="3" s="1"/>
  <c r="H422" i="3"/>
  <c r="G422" i="3"/>
  <c r="F422" i="3"/>
  <c r="N422" i="3" s="1"/>
  <c r="E422" i="3"/>
  <c r="AA431" i="3" s="1"/>
  <c r="AM421" i="3"/>
  <c r="AK421" i="3"/>
  <c r="AF421" i="3"/>
  <c r="AC421" i="3"/>
  <c r="AB421" i="3"/>
  <c r="AJ421" i="3" s="1"/>
  <c r="AA421" i="3"/>
  <c r="Z421" i="3"/>
  <c r="U421" i="3"/>
  <c r="AQ430" i="3" s="1"/>
  <c r="T421" i="3"/>
  <c r="AP430" i="3" s="1"/>
  <c r="K421" i="3"/>
  <c r="J421" i="3"/>
  <c r="H421" i="3"/>
  <c r="G421" i="3"/>
  <c r="AC430" i="3" s="1"/>
  <c r="F421" i="3"/>
  <c r="N421" i="3" s="1"/>
  <c r="E421" i="3"/>
  <c r="AA430" i="3" s="1"/>
  <c r="AP420" i="3"/>
  <c r="AM420" i="3"/>
  <c r="AG420" i="3"/>
  <c r="AE420" i="3"/>
  <c r="AD420" i="3"/>
  <c r="AC420" i="3"/>
  <c r="AB420" i="3"/>
  <c r="AJ420" i="3" s="1"/>
  <c r="Z420" i="3"/>
  <c r="T420" i="3"/>
  <c r="L420" i="3"/>
  <c r="K420" i="3"/>
  <c r="AG429" i="3" s="1"/>
  <c r="J420" i="3"/>
  <c r="AF429" i="3" s="1"/>
  <c r="H420" i="3"/>
  <c r="AD429" i="3" s="1"/>
  <c r="G420" i="3"/>
  <c r="I420" i="3" s="1"/>
  <c r="AE429" i="3" s="1"/>
  <c r="F420" i="3"/>
  <c r="E420" i="3"/>
  <c r="AA429" i="3" s="1"/>
  <c r="AP419" i="3"/>
  <c r="AM419" i="3"/>
  <c r="AK419" i="3"/>
  <c r="AJ419" i="3"/>
  <c r="AC419" i="3"/>
  <c r="AB419" i="3"/>
  <c r="Z419" i="3"/>
  <c r="K419" i="3"/>
  <c r="J419" i="3"/>
  <c r="AF428" i="3" s="1"/>
  <c r="H419" i="3"/>
  <c r="AD428" i="3" s="1"/>
  <c r="G419" i="3"/>
  <c r="F419" i="3"/>
  <c r="E419" i="3"/>
  <c r="AA428" i="3" s="1"/>
  <c r="AM418" i="3"/>
  <c r="AK418" i="3"/>
  <c r="AC418" i="3"/>
  <c r="Z418" i="3"/>
  <c r="T418" i="3"/>
  <c r="AP410" i="3" s="1"/>
  <c r="K418" i="3"/>
  <c r="AG410" i="3" s="1"/>
  <c r="J418" i="3"/>
  <c r="H418" i="3"/>
  <c r="I418" i="3" s="1"/>
  <c r="G418" i="3"/>
  <c r="F418" i="3"/>
  <c r="N418" i="3" s="1"/>
  <c r="E418" i="3"/>
  <c r="AM417" i="3"/>
  <c r="AK417" i="3"/>
  <c r="AF417" i="3"/>
  <c r="AA417" i="3"/>
  <c r="AA423" i="3" s="1"/>
  <c r="Z417" i="3"/>
  <c r="Z423" i="3" s="1"/>
  <c r="K417" i="3"/>
  <c r="J417" i="3"/>
  <c r="H417" i="3"/>
  <c r="I417" i="3" s="1"/>
  <c r="G417" i="3"/>
  <c r="F417" i="3"/>
  <c r="E417" i="3"/>
  <c r="AA409" i="3" s="1"/>
  <c r="K416" i="3"/>
  <c r="J416" i="3"/>
  <c r="H416" i="3"/>
  <c r="I416" i="3" s="1"/>
  <c r="G416" i="3"/>
  <c r="F416" i="3"/>
  <c r="E416" i="3"/>
  <c r="N415" i="3"/>
  <c r="K415" i="3"/>
  <c r="J415" i="3"/>
  <c r="AF419" i="3" s="1"/>
  <c r="H415" i="3"/>
  <c r="I415" i="3" s="1"/>
  <c r="AE419" i="3" s="1"/>
  <c r="G415" i="3"/>
  <c r="F415" i="3"/>
  <c r="T415" i="3" s="1"/>
  <c r="E415" i="3"/>
  <c r="AA419" i="3" s="1"/>
  <c r="K414" i="3"/>
  <c r="AG427" i="3" s="1"/>
  <c r="J414" i="3"/>
  <c r="L414" i="3" s="1"/>
  <c r="AH427" i="3" s="1"/>
  <c r="H414" i="3"/>
  <c r="AD427" i="3" s="1"/>
  <c r="G414" i="3"/>
  <c r="F414" i="3"/>
  <c r="E414" i="3"/>
  <c r="AA427" i="3" s="1"/>
  <c r="AM413" i="3"/>
  <c r="AK413" i="3"/>
  <c r="AG413" i="3"/>
  <c r="AE413" i="3"/>
  <c r="AD413" i="3"/>
  <c r="AC413" i="3"/>
  <c r="AB413" i="3"/>
  <c r="AJ413" i="3" s="1"/>
  <c r="Z413" i="3"/>
  <c r="T413" i="3"/>
  <c r="K413" i="3"/>
  <c r="AG418" i="3" s="1"/>
  <c r="J413" i="3"/>
  <c r="H413" i="3"/>
  <c r="G413" i="3"/>
  <c r="F413" i="3"/>
  <c r="AB418" i="3" s="1"/>
  <c r="E413" i="3"/>
  <c r="AA418" i="3" s="1"/>
  <c r="AM412" i="3"/>
  <c r="AK412" i="3"/>
  <c r="AH412" i="3"/>
  <c r="AG412" i="3"/>
  <c r="AF412" i="3"/>
  <c r="AB412" i="3"/>
  <c r="AA412" i="3"/>
  <c r="Z412" i="3"/>
  <c r="N412" i="3"/>
  <c r="K412" i="3"/>
  <c r="J412" i="3"/>
  <c r="H412" i="3"/>
  <c r="AD417" i="3" s="1"/>
  <c r="G412" i="3"/>
  <c r="AC417" i="3" s="1"/>
  <c r="AC423" i="3" s="1"/>
  <c r="F412" i="3"/>
  <c r="E412" i="3"/>
  <c r="AM411" i="3"/>
  <c r="AK411" i="3"/>
  <c r="AC411" i="3"/>
  <c r="AB411" i="3"/>
  <c r="AA411" i="3"/>
  <c r="Z411" i="3"/>
  <c r="K411" i="3"/>
  <c r="L411" i="3" s="1"/>
  <c r="J411" i="3"/>
  <c r="H411" i="3"/>
  <c r="AD426" i="3" s="1"/>
  <c r="G411" i="3"/>
  <c r="F411" i="3"/>
  <c r="E411" i="3"/>
  <c r="AM410" i="3"/>
  <c r="AK410" i="3"/>
  <c r="AF410" i="3"/>
  <c r="AD410" i="3"/>
  <c r="AC410" i="3"/>
  <c r="AB410" i="3"/>
  <c r="AJ410" i="3" s="1"/>
  <c r="AA410" i="3"/>
  <c r="Z410" i="3"/>
  <c r="AM409" i="3"/>
  <c r="AF409" i="3"/>
  <c r="AD409" i="3"/>
  <c r="AC409" i="3"/>
  <c r="Z409" i="3"/>
  <c r="Z414" i="3" s="1"/>
  <c r="AM408" i="3"/>
  <c r="AK408" i="3"/>
  <c r="AF408" i="3"/>
  <c r="AD408" i="3"/>
  <c r="AC408" i="3"/>
  <c r="AA408" i="3"/>
  <c r="Z408" i="3"/>
  <c r="AM404" i="3"/>
  <c r="AK404" i="3"/>
  <c r="AD404" i="3"/>
  <c r="AA404" i="3"/>
  <c r="Z404" i="3"/>
  <c r="AM403" i="3"/>
  <c r="AK403" i="3"/>
  <c r="AG403" i="3"/>
  <c r="AD403" i="3"/>
  <c r="Z403" i="3"/>
  <c r="AM402" i="3"/>
  <c r="AK402" i="3"/>
  <c r="AB402" i="3"/>
  <c r="AJ402" i="3" s="1"/>
  <c r="AA402" i="3"/>
  <c r="Z402" i="3"/>
  <c r="O402" i="3"/>
  <c r="D402" i="3"/>
  <c r="AM401" i="3"/>
  <c r="AK401" i="3"/>
  <c r="AG401" i="3"/>
  <c r="AF401" i="3"/>
  <c r="AD401" i="3"/>
  <c r="Z401" i="3"/>
  <c r="U401" i="3"/>
  <c r="AQ386" i="3" s="1"/>
  <c r="T401" i="3"/>
  <c r="AP386" i="3" s="1"/>
  <c r="L401" i="3"/>
  <c r="AH386" i="3" s="1"/>
  <c r="K401" i="3"/>
  <c r="AG386" i="3" s="1"/>
  <c r="J401" i="3"/>
  <c r="AF386" i="3" s="1"/>
  <c r="I401" i="3"/>
  <c r="M401" i="3" s="1"/>
  <c r="V401" i="3" s="1"/>
  <c r="H401" i="3"/>
  <c r="G401" i="3"/>
  <c r="F401" i="3"/>
  <c r="N401" i="3" s="1"/>
  <c r="E401" i="3"/>
  <c r="AM400" i="3"/>
  <c r="AK400" i="3"/>
  <c r="AG400" i="3"/>
  <c r="AA400" i="3"/>
  <c r="Z400" i="3"/>
  <c r="Z405" i="3" s="1"/>
  <c r="L400" i="3"/>
  <c r="AH385" i="3" s="1"/>
  <c r="K400" i="3"/>
  <c r="J400" i="3"/>
  <c r="H400" i="3"/>
  <c r="G400" i="3"/>
  <c r="F400" i="3"/>
  <c r="N400" i="3" s="1"/>
  <c r="E400" i="3"/>
  <c r="AA385" i="3" s="1"/>
  <c r="AM399" i="3"/>
  <c r="AK399" i="3"/>
  <c r="AK405" i="3" s="1"/>
  <c r="AD399" i="3"/>
  <c r="AB399" i="3"/>
  <c r="AJ399" i="3" s="1"/>
  <c r="Z399" i="3"/>
  <c r="T399" i="3"/>
  <c r="K399" i="3"/>
  <c r="J399" i="3"/>
  <c r="I399" i="3"/>
  <c r="H399" i="3"/>
  <c r="AD395" i="3" s="1"/>
  <c r="G399" i="3"/>
  <c r="AC395" i="3" s="1"/>
  <c r="F399" i="3"/>
  <c r="N399" i="3" s="1"/>
  <c r="E399" i="3"/>
  <c r="T398" i="3"/>
  <c r="K398" i="3"/>
  <c r="J398" i="3"/>
  <c r="H398" i="3"/>
  <c r="G398" i="3"/>
  <c r="AC394" i="3" s="1"/>
  <c r="F398" i="3"/>
  <c r="N398" i="3" s="1"/>
  <c r="E398" i="3"/>
  <c r="T397" i="3"/>
  <c r="K397" i="3"/>
  <c r="J397" i="3"/>
  <c r="I397" i="3"/>
  <c r="H397" i="3"/>
  <c r="AD384" i="3" s="1"/>
  <c r="G397" i="3"/>
  <c r="F397" i="3"/>
  <c r="N397" i="3" s="1"/>
  <c r="AJ384" i="3" s="1"/>
  <c r="E397" i="3"/>
  <c r="U396" i="3"/>
  <c r="AQ393" i="3" s="1"/>
  <c r="T396" i="3"/>
  <c r="L396" i="3"/>
  <c r="AH393" i="3" s="1"/>
  <c r="K396" i="3"/>
  <c r="J396" i="3"/>
  <c r="I396" i="3"/>
  <c r="H396" i="3"/>
  <c r="G396" i="3"/>
  <c r="F396" i="3"/>
  <c r="AB393" i="3" s="1"/>
  <c r="AJ393" i="3" s="1"/>
  <c r="E396" i="3"/>
  <c r="AM395" i="3"/>
  <c r="AK395" i="3"/>
  <c r="AJ395" i="3"/>
  <c r="AG395" i="3"/>
  <c r="AB395" i="3"/>
  <c r="AA395" i="3"/>
  <c r="Z395" i="3"/>
  <c r="N395" i="3"/>
  <c r="L395" i="3"/>
  <c r="AH404" i="3" s="1"/>
  <c r="K395" i="3"/>
  <c r="AG404" i="3" s="1"/>
  <c r="J395" i="3"/>
  <c r="AF404" i="3" s="1"/>
  <c r="H395" i="3"/>
  <c r="G395" i="3"/>
  <c r="I395" i="3" s="1"/>
  <c r="F395" i="3"/>
  <c r="E395" i="3"/>
  <c r="AM394" i="3"/>
  <c r="AK394" i="3"/>
  <c r="AG394" i="3"/>
  <c r="AD394" i="3"/>
  <c r="AB394" i="3"/>
  <c r="AJ394" i="3" s="1"/>
  <c r="AA394" i="3"/>
  <c r="Z394" i="3"/>
  <c r="T394" i="3"/>
  <c r="K394" i="3"/>
  <c r="J394" i="3"/>
  <c r="I394" i="3"/>
  <c r="H394" i="3"/>
  <c r="G394" i="3"/>
  <c r="AC403" i="3" s="1"/>
  <c r="F394" i="3"/>
  <c r="N394" i="3" s="1"/>
  <c r="E394" i="3"/>
  <c r="AA403" i="3" s="1"/>
  <c r="AP393" i="3"/>
  <c r="AM393" i="3"/>
  <c r="AG393" i="3"/>
  <c r="AF393" i="3"/>
  <c r="AD393" i="3"/>
  <c r="AC393" i="3"/>
  <c r="AA393" i="3"/>
  <c r="Z393" i="3"/>
  <c r="U393" i="3"/>
  <c r="AQ402" i="3" s="1"/>
  <c r="T393" i="3"/>
  <c r="AP402" i="3" s="1"/>
  <c r="K393" i="3"/>
  <c r="L393" i="3" s="1"/>
  <c r="AH402" i="3" s="1"/>
  <c r="J393" i="3"/>
  <c r="AF402" i="3" s="1"/>
  <c r="I393" i="3"/>
  <c r="H393" i="3"/>
  <c r="AD402" i="3" s="1"/>
  <c r="G393" i="3"/>
  <c r="AC402" i="3" s="1"/>
  <c r="F393" i="3"/>
  <c r="N393" i="3" s="1"/>
  <c r="E393" i="3"/>
  <c r="AM392" i="3"/>
  <c r="AK392" i="3"/>
  <c r="AJ392" i="3"/>
  <c r="AG392" i="3"/>
  <c r="AB392" i="3"/>
  <c r="Z392" i="3"/>
  <c r="N392" i="3"/>
  <c r="L392" i="3"/>
  <c r="AH401" i="3" s="1"/>
  <c r="K392" i="3"/>
  <c r="J392" i="3"/>
  <c r="H392" i="3"/>
  <c r="G392" i="3"/>
  <c r="F392" i="3"/>
  <c r="E392" i="3"/>
  <c r="AA401" i="3" s="1"/>
  <c r="AM391" i="3"/>
  <c r="AK391" i="3"/>
  <c r="AJ391" i="3"/>
  <c r="AD391" i="3"/>
  <c r="AB391" i="3"/>
  <c r="Z391" i="3"/>
  <c r="T391" i="3"/>
  <c r="K391" i="3"/>
  <c r="J391" i="3"/>
  <c r="L391" i="3" s="1"/>
  <c r="AH383" i="3" s="1"/>
  <c r="H391" i="3"/>
  <c r="G391" i="3"/>
  <c r="F391" i="3"/>
  <c r="N391" i="3" s="1"/>
  <c r="E391" i="3"/>
  <c r="AM390" i="3"/>
  <c r="AK390" i="3"/>
  <c r="AK396" i="3" s="1"/>
  <c r="AG390" i="3"/>
  <c r="Z390" i="3"/>
  <c r="Z396" i="3" s="1"/>
  <c r="T390" i="3"/>
  <c r="K390" i="3"/>
  <c r="J390" i="3"/>
  <c r="H390" i="3"/>
  <c r="G390" i="3"/>
  <c r="I390" i="3" s="1"/>
  <c r="F390" i="3"/>
  <c r="E390" i="3"/>
  <c r="AA382" i="3" s="1"/>
  <c r="T389" i="3"/>
  <c r="L389" i="3"/>
  <c r="AH381" i="3" s="1"/>
  <c r="K389" i="3"/>
  <c r="AG381" i="3" s="1"/>
  <c r="AG387" i="3" s="1"/>
  <c r="J389" i="3"/>
  <c r="AF381" i="3" s="1"/>
  <c r="H389" i="3"/>
  <c r="G389" i="3"/>
  <c r="I389" i="3" s="1"/>
  <c r="AE381" i="3" s="1"/>
  <c r="F389" i="3"/>
  <c r="E389" i="3"/>
  <c r="AA381" i="3" s="1"/>
  <c r="AA387" i="3" s="1"/>
  <c r="T388" i="3"/>
  <c r="K388" i="3"/>
  <c r="J388" i="3"/>
  <c r="AF392" i="3" s="1"/>
  <c r="H388" i="3"/>
  <c r="AD392" i="3" s="1"/>
  <c r="G388" i="3"/>
  <c r="I388" i="3" s="1"/>
  <c r="AE392" i="3" s="1"/>
  <c r="F388" i="3"/>
  <c r="E388" i="3"/>
  <c r="AA392" i="3" s="1"/>
  <c r="L387" i="3"/>
  <c r="AH400" i="3" s="1"/>
  <c r="K387" i="3"/>
  <c r="J387" i="3"/>
  <c r="AF400" i="3" s="1"/>
  <c r="H387" i="3"/>
  <c r="AD400" i="3" s="1"/>
  <c r="G387" i="3"/>
  <c r="F387" i="3"/>
  <c r="E387" i="3"/>
  <c r="AM386" i="3"/>
  <c r="AK386" i="3"/>
  <c r="AD386" i="3"/>
  <c r="AC386" i="3"/>
  <c r="AB386" i="3"/>
  <c r="AJ386" i="3" s="1"/>
  <c r="AA386" i="3"/>
  <c r="Z386" i="3"/>
  <c r="T386" i="3"/>
  <c r="K386" i="3"/>
  <c r="AG391" i="3" s="1"/>
  <c r="J386" i="3"/>
  <c r="H386" i="3"/>
  <c r="G386" i="3"/>
  <c r="AC391" i="3" s="1"/>
  <c r="F386" i="3"/>
  <c r="N386" i="3" s="1"/>
  <c r="E386" i="3"/>
  <c r="AA391" i="3" s="1"/>
  <c r="AM385" i="3"/>
  <c r="AK385" i="3"/>
  <c r="AG385" i="3"/>
  <c r="AF385" i="3"/>
  <c r="AD385" i="3"/>
  <c r="Z385" i="3"/>
  <c r="T385" i="3"/>
  <c r="AP390" i="3" s="1"/>
  <c r="L385" i="3"/>
  <c r="AH390" i="3" s="1"/>
  <c r="K385" i="3"/>
  <c r="J385" i="3"/>
  <c r="AF390" i="3" s="1"/>
  <c r="H385" i="3"/>
  <c r="AD390" i="3" s="1"/>
  <c r="AD396" i="3" s="1"/>
  <c r="G385" i="3"/>
  <c r="I385" i="3" s="1"/>
  <c r="F385" i="3"/>
  <c r="AB390" i="3" s="1"/>
  <c r="E385" i="3"/>
  <c r="AA390" i="3" s="1"/>
  <c r="AM384" i="3"/>
  <c r="AK384" i="3"/>
  <c r="AG384" i="3"/>
  <c r="AC384" i="3"/>
  <c r="AB384" i="3"/>
  <c r="AA384" i="3"/>
  <c r="Z384" i="3"/>
  <c r="K384" i="3"/>
  <c r="K402" i="3" s="1"/>
  <c r="J384" i="3"/>
  <c r="L384" i="3" s="1"/>
  <c r="H384" i="3"/>
  <c r="H402" i="3" s="1"/>
  <c r="G384" i="3"/>
  <c r="G402" i="3" s="1"/>
  <c r="F384" i="3"/>
  <c r="E384" i="3"/>
  <c r="AA399" i="3" s="1"/>
  <c r="AA405" i="3" s="1"/>
  <c r="AM383" i="3"/>
  <c r="AK383" i="3"/>
  <c r="AG383" i="3"/>
  <c r="AD383" i="3"/>
  <c r="AB383" i="3"/>
  <c r="AJ383" i="3" s="1"/>
  <c r="AA383" i="3"/>
  <c r="Z383" i="3"/>
  <c r="AM382" i="3"/>
  <c r="AG382" i="3"/>
  <c r="AE382" i="3"/>
  <c r="AD382" i="3"/>
  <c r="AC382" i="3"/>
  <c r="AB382" i="3"/>
  <c r="Z382" i="3"/>
  <c r="AP381" i="3"/>
  <c r="AM381" i="3"/>
  <c r="AK381" i="3"/>
  <c r="AK387" i="3" s="1"/>
  <c r="AJ381" i="3"/>
  <c r="AD381" i="3"/>
  <c r="AC381" i="3"/>
  <c r="AB381" i="3"/>
  <c r="Z381" i="3"/>
  <c r="AM377" i="3"/>
  <c r="AK377" i="3"/>
  <c r="Z377" i="3"/>
  <c r="AM376" i="3"/>
  <c r="AK376" i="3"/>
  <c r="AC376" i="3"/>
  <c r="AB376" i="3"/>
  <c r="AJ376" i="3" s="1"/>
  <c r="Z376" i="3"/>
  <c r="AM375" i="3"/>
  <c r="AK375" i="3"/>
  <c r="AF375" i="3"/>
  <c r="Z375" i="3"/>
  <c r="O375" i="3"/>
  <c r="D375" i="3"/>
  <c r="AM374" i="3"/>
  <c r="AK374" i="3"/>
  <c r="AJ374" i="3"/>
  <c r="AC374" i="3"/>
  <c r="AB374" i="3"/>
  <c r="AA374" i="3"/>
  <c r="Z374" i="3"/>
  <c r="K374" i="3"/>
  <c r="J374" i="3"/>
  <c r="L374" i="3" s="1"/>
  <c r="H374" i="3"/>
  <c r="AD359" i="3" s="1"/>
  <c r="G374" i="3"/>
  <c r="F374" i="3"/>
  <c r="E374" i="3"/>
  <c r="AM373" i="3"/>
  <c r="AK373" i="3"/>
  <c r="AD373" i="3"/>
  <c r="AC373" i="3"/>
  <c r="Z373" i="3"/>
  <c r="T373" i="3"/>
  <c r="AP358" i="3" s="1"/>
  <c r="K373" i="3"/>
  <c r="AG358" i="3" s="1"/>
  <c r="J373" i="3"/>
  <c r="I373" i="3"/>
  <c r="H373" i="3"/>
  <c r="G373" i="3"/>
  <c r="F373" i="3"/>
  <c r="N373" i="3" s="1"/>
  <c r="E373" i="3"/>
  <c r="AM372" i="3"/>
  <c r="AK372" i="3"/>
  <c r="AA372" i="3"/>
  <c r="AA378" i="3" s="1"/>
  <c r="Z372" i="3"/>
  <c r="Z378" i="3" s="1"/>
  <c r="L372" i="3"/>
  <c r="AH368" i="3" s="1"/>
  <c r="K372" i="3"/>
  <c r="AG368" i="3" s="1"/>
  <c r="J372" i="3"/>
  <c r="H372" i="3"/>
  <c r="G372" i="3"/>
  <c r="I372" i="3" s="1"/>
  <c r="M372" i="3" s="1"/>
  <c r="F372" i="3"/>
  <c r="E372" i="3"/>
  <c r="AA368" i="3" s="1"/>
  <c r="M371" i="3"/>
  <c r="L371" i="3"/>
  <c r="AH367" i="3" s="1"/>
  <c r="K371" i="3"/>
  <c r="AG367" i="3" s="1"/>
  <c r="J371" i="3"/>
  <c r="H371" i="3"/>
  <c r="G371" i="3"/>
  <c r="I371" i="3" s="1"/>
  <c r="AE367" i="3" s="1"/>
  <c r="F371" i="3"/>
  <c r="N371" i="3" s="1"/>
  <c r="E371" i="3"/>
  <c r="L370" i="3"/>
  <c r="AH357" i="3" s="1"/>
  <c r="K370" i="3"/>
  <c r="J370" i="3"/>
  <c r="H370" i="3"/>
  <c r="G370" i="3"/>
  <c r="I370" i="3" s="1"/>
  <c r="F370" i="3"/>
  <c r="N370" i="3" s="1"/>
  <c r="AJ357" i="3" s="1"/>
  <c r="E370" i="3"/>
  <c r="AA357" i="3" s="1"/>
  <c r="M369" i="3"/>
  <c r="K369" i="3"/>
  <c r="J369" i="3"/>
  <c r="L369" i="3" s="1"/>
  <c r="H369" i="3"/>
  <c r="AD366" i="3" s="1"/>
  <c r="G369" i="3"/>
  <c r="I369" i="3" s="1"/>
  <c r="AE366" i="3" s="1"/>
  <c r="F369" i="3"/>
  <c r="T369" i="3" s="1"/>
  <c r="E369" i="3"/>
  <c r="AA366" i="3" s="1"/>
  <c r="AM368" i="3"/>
  <c r="AK368" i="3"/>
  <c r="AF368" i="3"/>
  <c r="AE368" i="3"/>
  <c r="AD368" i="3"/>
  <c r="AC368" i="3"/>
  <c r="Z368" i="3"/>
  <c r="U368" i="3"/>
  <c r="AQ377" i="3" s="1"/>
  <c r="T368" i="3"/>
  <c r="AP377" i="3" s="1"/>
  <c r="K368" i="3"/>
  <c r="AG377" i="3" s="1"/>
  <c r="J368" i="3"/>
  <c r="I368" i="3"/>
  <c r="H368" i="3"/>
  <c r="AD377" i="3" s="1"/>
  <c r="G368" i="3"/>
  <c r="AC377" i="3" s="1"/>
  <c r="F368" i="3"/>
  <c r="N368" i="3" s="1"/>
  <c r="E368" i="3"/>
  <c r="AA377" i="3" s="1"/>
  <c r="AM367" i="3"/>
  <c r="AK367" i="3"/>
  <c r="AF367" i="3"/>
  <c r="AD367" i="3"/>
  <c r="AC367" i="3"/>
  <c r="AA367" i="3"/>
  <c r="Z367" i="3"/>
  <c r="K367" i="3"/>
  <c r="AG376" i="3" s="1"/>
  <c r="J367" i="3"/>
  <c r="AF376" i="3" s="1"/>
  <c r="H367" i="3"/>
  <c r="AD376" i="3" s="1"/>
  <c r="G367" i="3"/>
  <c r="I367" i="3" s="1"/>
  <c r="AE376" i="3" s="1"/>
  <c r="F367" i="3"/>
  <c r="T367" i="3" s="1"/>
  <c r="U367" i="3" s="1"/>
  <c r="AQ376" i="3" s="1"/>
  <c r="E367" i="3"/>
  <c r="AA376" i="3" s="1"/>
  <c r="AM366" i="3"/>
  <c r="AJ366" i="3"/>
  <c r="AH366" i="3"/>
  <c r="AG366" i="3"/>
  <c r="AF366" i="3"/>
  <c r="AB366" i="3"/>
  <c r="Z366" i="3"/>
  <c r="Z369" i="3" s="1"/>
  <c r="K366" i="3"/>
  <c r="AG375" i="3" s="1"/>
  <c r="J366" i="3"/>
  <c r="L366" i="3" s="1"/>
  <c r="AH375" i="3" s="1"/>
  <c r="H366" i="3"/>
  <c r="AD375" i="3" s="1"/>
  <c r="G366" i="3"/>
  <c r="F366" i="3"/>
  <c r="N366" i="3" s="1"/>
  <c r="E366" i="3"/>
  <c r="AA375" i="3" s="1"/>
  <c r="AM365" i="3"/>
  <c r="AK365" i="3"/>
  <c r="AF365" i="3"/>
  <c r="AD365" i="3"/>
  <c r="Z365" i="3"/>
  <c r="U365" i="3"/>
  <c r="AQ374" i="3" s="1"/>
  <c r="T365" i="3"/>
  <c r="AP374" i="3" s="1"/>
  <c r="K365" i="3"/>
  <c r="AG374" i="3" s="1"/>
  <c r="J365" i="3"/>
  <c r="I365" i="3"/>
  <c r="H365" i="3"/>
  <c r="AD374" i="3" s="1"/>
  <c r="G365" i="3"/>
  <c r="F365" i="3"/>
  <c r="N365" i="3" s="1"/>
  <c r="E365" i="3"/>
  <c r="AM364" i="3"/>
  <c r="AK364" i="3"/>
  <c r="AF364" i="3"/>
  <c r="Z364" i="3"/>
  <c r="K364" i="3"/>
  <c r="J364" i="3"/>
  <c r="H364" i="3"/>
  <c r="I364" i="3" s="1"/>
  <c r="AE356" i="3" s="1"/>
  <c r="G364" i="3"/>
  <c r="F364" i="3"/>
  <c r="T364" i="3" s="1"/>
  <c r="U364" i="3" s="1"/>
  <c r="AQ356" i="3" s="1"/>
  <c r="E364" i="3"/>
  <c r="AM363" i="3"/>
  <c r="AK363" i="3"/>
  <c r="AK369" i="3" s="1"/>
  <c r="AA363" i="3"/>
  <c r="AA369" i="3" s="1"/>
  <c r="Z363" i="3"/>
  <c r="N363" i="3"/>
  <c r="K363" i="3"/>
  <c r="J363" i="3"/>
  <c r="L363" i="3" s="1"/>
  <c r="AH355" i="3" s="1"/>
  <c r="I363" i="3"/>
  <c r="H363" i="3"/>
  <c r="AD355" i="3" s="1"/>
  <c r="G363" i="3"/>
  <c r="AC355" i="3" s="1"/>
  <c r="F363" i="3"/>
  <c r="T363" i="3" s="1"/>
  <c r="E363" i="3"/>
  <c r="N362" i="3"/>
  <c r="K362" i="3"/>
  <c r="J362" i="3"/>
  <c r="L362" i="3" s="1"/>
  <c r="H362" i="3"/>
  <c r="G362" i="3"/>
  <c r="I362" i="3" s="1"/>
  <c r="F362" i="3"/>
  <c r="T362" i="3" s="1"/>
  <c r="E362" i="3"/>
  <c r="K361" i="3"/>
  <c r="AG365" i="3" s="1"/>
  <c r="J361" i="3"/>
  <c r="L361" i="3" s="1"/>
  <c r="AH365" i="3" s="1"/>
  <c r="H361" i="3"/>
  <c r="G361" i="3"/>
  <c r="F361" i="3"/>
  <c r="N361" i="3" s="1"/>
  <c r="E361" i="3"/>
  <c r="AA365" i="3" s="1"/>
  <c r="T360" i="3"/>
  <c r="AP373" i="3" s="1"/>
  <c r="K360" i="3"/>
  <c r="AG373" i="3" s="1"/>
  <c r="J360" i="3"/>
  <c r="I360" i="3"/>
  <c r="AE373" i="3" s="1"/>
  <c r="H360" i="3"/>
  <c r="G360" i="3"/>
  <c r="F360" i="3"/>
  <c r="AB373" i="3" s="1"/>
  <c r="AJ373" i="3" s="1"/>
  <c r="E360" i="3"/>
  <c r="AA373" i="3" s="1"/>
  <c r="AM359" i="3"/>
  <c r="AK359" i="3"/>
  <c r="AH359" i="3"/>
  <c r="AG359" i="3"/>
  <c r="AF359" i="3"/>
  <c r="AA359" i="3"/>
  <c r="Z359" i="3"/>
  <c r="L359" i="3"/>
  <c r="AH364" i="3" s="1"/>
  <c r="AH369" i="3" s="1"/>
  <c r="K359" i="3"/>
  <c r="AG364" i="3" s="1"/>
  <c r="J359" i="3"/>
  <c r="H359" i="3"/>
  <c r="AD364" i="3" s="1"/>
  <c r="G359" i="3"/>
  <c r="I359" i="3" s="1"/>
  <c r="AE364" i="3" s="1"/>
  <c r="F359" i="3"/>
  <c r="E359" i="3"/>
  <c r="AA364" i="3" s="1"/>
  <c r="AM358" i="3"/>
  <c r="AK358" i="3"/>
  <c r="AK360" i="3" s="1"/>
  <c r="AJ358" i="3"/>
  <c r="AD358" i="3"/>
  <c r="AC358" i="3"/>
  <c r="AB358" i="3"/>
  <c r="AA358" i="3"/>
  <c r="Z358" i="3"/>
  <c r="N358" i="3"/>
  <c r="K358" i="3"/>
  <c r="AG363" i="3" s="1"/>
  <c r="J358" i="3"/>
  <c r="L358" i="3" s="1"/>
  <c r="AH363" i="3" s="1"/>
  <c r="H358" i="3"/>
  <c r="AD363" i="3" s="1"/>
  <c r="AD369" i="3" s="1"/>
  <c r="G358" i="3"/>
  <c r="AC363" i="3" s="1"/>
  <c r="F358" i="3"/>
  <c r="T358" i="3" s="1"/>
  <c r="E358" i="3"/>
  <c r="AM357" i="3"/>
  <c r="AK357" i="3"/>
  <c r="AG357" i="3"/>
  <c r="AF357" i="3"/>
  <c r="AD357" i="3"/>
  <c r="AC357" i="3"/>
  <c r="Z357" i="3"/>
  <c r="U357" i="3"/>
  <c r="AQ372" i="3" s="1"/>
  <c r="T357" i="3"/>
  <c r="K357" i="3"/>
  <c r="J357" i="3"/>
  <c r="AF372" i="3" s="1"/>
  <c r="I357" i="3"/>
  <c r="H357" i="3"/>
  <c r="G357" i="3"/>
  <c r="G375" i="3" s="1"/>
  <c r="F357" i="3"/>
  <c r="E357" i="3"/>
  <c r="AM356" i="3"/>
  <c r="AK356" i="3"/>
  <c r="AF356" i="3"/>
  <c r="AD356" i="3"/>
  <c r="AC356" i="3"/>
  <c r="AB356" i="3"/>
  <c r="AJ356" i="3" s="1"/>
  <c r="AA356" i="3"/>
  <c r="Z356" i="3"/>
  <c r="AM355" i="3"/>
  <c r="AG355" i="3"/>
  <c r="AF355" i="3"/>
  <c r="AB355" i="3"/>
  <c r="AJ355" i="3" s="1"/>
  <c r="AA355" i="3"/>
  <c r="Z355" i="3"/>
  <c r="AM354" i="3"/>
  <c r="AK354" i="3"/>
  <c r="AH354" i="3"/>
  <c r="AG354" i="3"/>
  <c r="AF354" i="3"/>
  <c r="AD354" i="3"/>
  <c r="AD360" i="3" s="1"/>
  <c r="AC354" i="3"/>
  <c r="AB354" i="3"/>
  <c r="AA354" i="3"/>
  <c r="Z354" i="3"/>
  <c r="Z360" i="3" s="1"/>
  <c r="AQ350" i="3"/>
  <c r="AP350" i="3"/>
  <c r="AM350" i="3"/>
  <c r="AK350" i="3"/>
  <c r="AA350" i="3"/>
  <c r="Z350" i="3"/>
  <c r="AM349" i="3"/>
  <c r="AK349" i="3"/>
  <c r="AD349" i="3"/>
  <c r="Z349" i="3"/>
  <c r="AM348" i="3"/>
  <c r="AK348" i="3"/>
  <c r="AG348" i="3"/>
  <c r="AF348" i="3"/>
  <c r="AC348" i="3"/>
  <c r="Z348" i="3"/>
  <c r="O348" i="3"/>
  <c r="D348" i="3"/>
  <c r="AP347" i="3"/>
  <c r="AM347" i="3"/>
  <c r="AK347" i="3"/>
  <c r="AC347" i="3"/>
  <c r="Z347" i="3"/>
  <c r="K347" i="3"/>
  <c r="L347" i="3" s="1"/>
  <c r="AH332" i="3" s="1"/>
  <c r="J347" i="3"/>
  <c r="I347" i="3"/>
  <c r="H347" i="3"/>
  <c r="AD332" i="3" s="1"/>
  <c r="G347" i="3"/>
  <c r="F347" i="3"/>
  <c r="N347" i="3" s="1"/>
  <c r="E347" i="3"/>
  <c r="AM346" i="3"/>
  <c r="AK346" i="3"/>
  <c r="AF346" i="3"/>
  <c r="AC346" i="3"/>
  <c r="Z346" i="3"/>
  <c r="U346" i="3"/>
  <c r="T346" i="3"/>
  <c r="L346" i="3"/>
  <c r="AH331" i="3" s="1"/>
  <c r="K346" i="3"/>
  <c r="AG331" i="3" s="1"/>
  <c r="J346" i="3"/>
  <c r="H346" i="3"/>
  <c r="G346" i="3"/>
  <c r="I346" i="3" s="1"/>
  <c r="F346" i="3"/>
  <c r="N346" i="3" s="1"/>
  <c r="E346" i="3"/>
  <c r="AM345" i="3"/>
  <c r="AK345" i="3"/>
  <c r="AK351" i="3" s="1"/>
  <c r="AJ345" i="3"/>
  <c r="AF345" i="3"/>
  <c r="AB345" i="3"/>
  <c r="Z345" i="3"/>
  <c r="Z351" i="3" s="1"/>
  <c r="K345" i="3"/>
  <c r="J345" i="3"/>
  <c r="L345" i="3" s="1"/>
  <c r="AH341" i="3" s="1"/>
  <c r="H345" i="3"/>
  <c r="G345" i="3"/>
  <c r="I345" i="3" s="1"/>
  <c r="F345" i="3"/>
  <c r="N345" i="3" s="1"/>
  <c r="E345" i="3"/>
  <c r="K344" i="3"/>
  <c r="AG340" i="3" s="1"/>
  <c r="J344" i="3"/>
  <c r="L344" i="3" s="1"/>
  <c r="AH340" i="3" s="1"/>
  <c r="H344" i="3"/>
  <c r="G344" i="3"/>
  <c r="F344" i="3"/>
  <c r="N344" i="3" s="1"/>
  <c r="E344" i="3"/>
  <c r="K343" i="3"/>
  <c r="J343" i="3"/>
  <c r="L343" i="3" s="1"/>
  <c r="H343" i="3"/>
  <c r="G343" i="3"/>
  <c r="F343" i="3"/>
  <c r="N343" i="3" s="1"/>
  <c r="AJ330" i="3" s="1"/>
  <c r="E343" i="3"/>
  <c r="L342" i="3"/>
  <c r="K342" i="3"/>
  <c r="J342" i="3"/>
  <c r="I342" i="3"/>
  <c r="AE339" i="3" s="1"/>
  <c r="H342" i="3"/>
  <c r="G342" i="3"/>
  <c r="F342" i="3"/>
  <c r="N342" i="3" s="1"/>
  <c r="E342" i="3"/>
  <c r="AA339" i="3" s="1"/>
  <c r="AM341" i="3"/>
  <c r="AK341" i="3"/>
  <c r="AG341" i="3"/>
  <c r="AF341" i="3"/>
  <c r="AD341" i="3"/>
  <c r="AA341" i="3"/>
  <c r="Z341" i="3"/>
  <c r="U341" i="3"/>
  <c r="T341" i="3"/>
  <c r="L341" i="3"/>
  <c r="AH350" i="3" s="1"/>
  <c r="K341" i="3"/>
  <c r="AG350" i="3" s="1"/>
  <c r="J341" i="3"/>
  <c r="AF350" i="3" s="1"/>
  <c r="H341" i="3"/>
  <c r="AD350" i="3" s="1"/>
  <c r="G341" i="3"/>
  <c r="F341" i="3"/>
  <c r="N341" i="3" s="1"/>
  <c r="E341" i="3"/>
  <c r="AM340" i="3"/>
  <c r="AK340" i="3"/>
  <c r="AJ340" i="3"/>
  <c r="AF340" i="3"/>
  <c r="AD340" i="3"/>
  <c r="AB340" i="3"/>
  <c r="AA340" i="3"/>
  <c r="Z340" i="3"/>
  <c r="K340" i="3"/>
  <c r="AG349" i="3" s="1"/>
  <c r="J340" i="3"/>
  <c r="L340" i="3" s="1"/>
  <c r="AH349" i="3" s="1"/>
  <c r="H340" i="3"/>
  <c r="G340" i="3"/>
  <c r="F340" i="3"/>
  <c r="E340" i="3"/>
  <c r="AA349" i="3" s="1"/>
  <c r="AM339" i="3"/>
  <c r="AH339" i="3"/>
  <c r="AG339" i="3"/>
  <c r="AF339" i="3"/>
  <c r="AD339" i="3"/>
  <c r="AC339" i="3"/>
  <c r="AB339" i="3"/>
  <c r="AJ339" i="3" s="1"/>
  <c r="Z339" i="3"/>
  <c r="Z342" i="3" s="1"/>
  <c r="K339" i="3"/>
  <c r="L339" i="3" s="1"/>
  <c r="AH348" i="3" s="1"/>
  <c r="J339" i="3"/>
  <c r="I339" i="3"/>
  <c r="AE348" i="3" s="1"/>
  <c r="H339" i="3"/>
  <c r="AD348" i="3" s="1"/>
  <c r="G339" i="3"/>
  <c r="F339" i="3"/>
  <c r="E339" i="3"/>
  <c r="AA348" i="3" s="1"/>
  <c r="AM338" i="3"/>
  <c r="AK338" i="3"/>
  <c r="AK342" i="3" s="1"/>
  <c r="AG338" i="3"/>
  <c r="AC338" i="3"/>
  <c r="Z338" i="3"/>
  <c r="U338" i="3"/>
  <c r="AQ347" i="3" s="1"/>
  <c r="T338" i="3"/>
  <c r="K338" i="3"/>
  <c r="AG347" i="3" s="1"/>
  <c r="J338" i="3"/>
  <c r="AF347" i="3" s="1"/>
  <c r="H338" i="3"/>
  <c r="AD347" i="3" s="1"/>
  <c r="G338" i="3"/>
  <c r="F338" i="3"/>
  <c r="AB347" i="3" s="1"/>
  <c r="E338" i="3"/>
  <c r="AA347" i="3" s="1"/>
  <c r="AM337" i="3"/>
  <c r="AK337" i="3"/>
  <c r="AF337" i="3"/>
  <c r="AD337" i="3"/>
  <c r="AB337" i="3"/>
  <c r="AJ337" i="3" s="1"/>
  <c r="AA337" i="3"/>
  <c r="Z337" i="3"/>
  <c r="U337" i="3"/>
  <c r="AQ329" i="3" s="1"/>
  <c r="N337" i="3"/>
  <c r="K337" i="3"/>
  <c r="J337" i="3"/>
  <c r="H337" i="3"/>
  <c r="G337" i="3"/>
  <c r="I337" i="3" s="1"/>
  <c r="F337" i="3"/>
  <c r="T337" i="3" s="1"/>
  <c r="AP329" i="3" s="1"/>
  <c r="E337" i="3"/>
  <c r="AM336" i="3"/>
  <c r="AK336" i="3"/>
  <c r="AG336" i="3"/>
  <c r="AD336" i="3"/>
  <c r="AD342" i="3" s="1"/>
  <c r="AC336" i="3"/>
  <c r="AA336" i="3"/>
  <c r="Z336" i="3"/>
  <c r="N336" i="3"/>
  <c r="K336" i="3"/>
  <c r="J336" i="3"/>
  <c r="I336" i="3"/>
  <c r="H336" i="3"/>
  <c r="G336" i="3"/>
  <c r="F336" i="3"/>
  <c r="AB328" i="3" s="1"/>
  <c r="AJ328" i="3" s="1"/>
  <c r="E336" i="3"/>
  <c r="K335" i="3"/>
  <c r="J335" i="3"/>
  <c r="I335" i="3"/>
  <c r="H335" i="3"/>
  <c r="G335" i="3"/>
  <c r="F335" i="3"/>
  <c r="AB327" i="3" s="1"/>
  <c r="E335" i="3"/>
  <c r="AA327" i="3" s="1"/>
  <c r="K334" i="3"/>
  <c r="J334" i="3"/>
  <c r="L334" i="3" s="1"/>
  <c r="AH338" i="3" s="1"/>
  <c r="I334" i="3"/>
  <c r="H334" i="3"/>
  <c r="AD338" i="3" s="1"/>
  <c r="G334" i="3"/>
  <c r="F334" i="3"/>
  <c r="AB338" i="3" s="1"/>
  <c r="AJ338" i="3" s="1"/>
  <c r="E334" i="3"/>
  <c r="AA338" i="3" s="1"/>
  <c r="AK333" i="3"/>
  <c r="U333" i="3"/>
  <c r="AQ346" i="3" s="1"/>
  <c r="T333" i="3"/>
  <c r="AP346" i="3" s="1"/>
  <c r="L333" i="3"/>
  <c r="AH346" i="3" s="1"/>
  <c r="K333" i="3"/>
  <c r="AG346" i="3" s="1"/>
  <c r="J333" i="3"/>
  <c r="H333" i="3"/>
  <c r="AD346" i="3" s="1"/>
  <c r="G333" i="3"/>
  <c r="I333" i="3" s="1"/>
  <c r="F333" i="3"/>
  <c r="AB346" i="3" s="1"/>
  <c r="AJ346" i="3" s="1"/>
  <c r="E333" i="3"/>
  <c r="AA346" i="3" s="1"/>
  <c r="AM332" i="3"/>
  <c r="AK332" i="3"/>
  <c r="AG332" i="3"/>
  <c r="AF332" i="3"/>
  <c r="AC332" i="3"/>
  <c r="AB332" i="3"/>
  <c r="AJ332" i="3" s="1"/>
  <c r="AA332" i="3"/>
  <c r="Z332" i="3"/>
  <c r="U332" i="3"/>
  <c r="AQ337" i="3" s="1"/>
  <c r="N332" i="3"/>
  <c r="K332" i="3"/>
  <c r="AG337" i="3" s="1"/>
  <c r="J332" i="3"/>
  <c r="H332" i="3"/>
  <c r="G332" i="3"/>
  <c r="F332" i="3"/>
  <c r="T332" i="3" s="1"/>
  <c r="AP337" i="3" s="1"/>
  <c r="E332" i="3"/>
  <c r="AQ331" i="3"/>
  <c r="AP331" i="3"/>
  <c r="AM331" i="3"/>
  <c r="AK331" i="3"/>
  <c r="AF331" i="3"/>
  <c r="AE331" i="3"/>
  <c r="AD331" i="3"/>
  <c r="AC331" i="3"/>
  <c r="AB331" i="3"/>
  <c r="AJ331" i="3" s="1"/>
  <c r="AA331" i="3"/>
  <c r="Z331" i="3"/>
  <c r="K331" i="3"/>
  <c r="J331" i="3"/>
  <c r="I331" i="3"/>
  <c r="H331" i="3"/>
  <c r="G331" i="3"/>
  <c r="F331" i="3"/>
  <c r="AB336" i="3" s="1"/>
  <c r="E331" i="3"/>
  <c r="AM330" i="3"/>
  <c r="AK330" i="3"/>
  <c r="AH330" i="3"/>
  <c r="AG330" i="3"/>
  <c r="AF330" i="3"/>
  <c r="AD330" i="3"/>
  <c r="AA330" i="3"/>
  <c r="Z330" i="3"/>
  <c r="L330" i="3"/>
  <c r="K330" i="3"/>
  <c r="J330" i="3"/>
  <c r="I330" i="3"/>
  <c r="H330" i="3"/>
  <c r="G330" i="3"/>
  <c r="G348" i="3" s="1"/>
  <c r="F330" i="3"/>
  <c r="T330" i="3" s="1"/>
  <c r="E330" i="3"/>
  <c r="AA345" i="3" s="1"/>
  <c r="AM329" i="3"/>
  <c r="AK329" i="3"/>
  <c r="AJ329" i="3"/>
  <c r="AG329" i="3"/>
  <c r="AF329" i="3"/>
  <c r="AD329" i="3"/>
  <c r="AC329" i="3"/>
  <c r="AB329" i="3"/>
  <c r="AA329" i="3"/>
  <c r="Z329" i="3"/>
  <c r="AM328" i="3"/>
  <c r="AG328" i="3"/>
  <c r="AE328" i="3"/>
  <c r="AD328" i="3"/>
  <c r="AC328" i="3"/>
  <c r="AA328" i="3"/>
  <c r="Z328" i="3"/>
  <c r="AM327" i="3"/>
  <c r="AK327" i="3"/>
  <c r="AG327" i="3"/>
  <c r="AG333" i="3" s="1"/>
  <c r="AD327" i="3"/>
  <c r="AD333" i="3" s="1"/>
  <c r="AC327" i="3"/>
  <c r="Z327" i="3"/>
  <c r="Z333" i="3" s="1"/>
  <c r="AM323" i="3"/>
  <c r="AK323" i="3"/>
  <c r="AD323" i="3"/>
  <c r="AC323" i="3"/>
  <c r="Z323" i="3"/>
  <c r="AM322" i="3"/>
  <c r="AK322" i="3"/>
  <c r="Z322" i="3"/>
  <c r="AM321" i="3"/>
  <c r="AK321" i="3"/>
  <c r="Z321" i="3"/>
  <c r="O321" i="3"/>
  <c r="D321" i="3"/>
  <c r="AM320" i="3"/>
  <c r="AK320" i="3"/>
  <c r="AD320" i="3"/>
  <c r="AC320" i="3"/>
  <c r="Z320" i="3"/>
  <c r="P320" i="3"/>
  <c r="L320" i="3"/>
  <c r="I320" i="3"/>
  <c r="M320" i="3" s="1"/>
  <c r="F320" i="3"/>
  <c r="T320" i="3" s="1"/>
  <c r="E320" i="3"/>
  <c r="U320" i="3" s="1"/>
  <c r="AQ305" i="3" s="1"/>
  <c r="AM319" i="3"/>
  <c r="AK319" i="3"/>
  <c r="AE319" i="3"/>
  <c r="AC319" i="3"/>
  <c r="AA319" i="3"/>
  <c r="Z319" i="3"/>
  <c r="L319" i="3"/>
  <c r="AH304" i="3" s="1"/>
  <c r="K319" i="3"/>
  <c r="J319" i="3"/>
  <c r="H319" i="3"/>
  <c r="G319" i="3"/>
  <c r="F319" i="3"/>
  <c r="E319" i="3"/>
  <c r="AM318" i="3"/>
  <c r="AK318" i="3"/>
  <c r="AK324" i="3" s="1"/>
  <c r="AA318" i="3"/>
  <c r="Z318" i="3"/>
  <c r="Z324" i="3" s="1"/>
  <c r="T318" i="3"/>
  <c r="U318" i="3" s="1"/>
  <c r="AQ314" i="3" s="1"/>
  <c r="K318" i="3"/>
  <c r="AG314" i="3" s="1"/>
  <c r="J318" i="3"/>
  <c r="AF314" i="3" s="1"/>
  <c r="I318" i="3"/>
  <c r="H318" i="3"/>
  <c r="G318" i="3"/>
  <c r="F318" i="3"/>
  <c r="N318" i="3" s="1"/>
  <c r="E318" i="3"/>
  <c r="T317" i="3"/>
  <c r="K317" i="3"/>
  <c r="J317" i="3"/>
  <c r="L317" i="3" s="1"/>
  <c r="H317" i="3"/>
  <c r="G317" i="3"/>
  <c r="AC313" i="3" s="1"/>
  <c r="F317" i="3"/>
  <c r="E317" i="3"/>
  <c r="N317" i="3" s="1"/>
  <c r="T316" i="3"/>
  <c r="N316" i="3"/>
  <c r="AJ303" i="3" s="1"/>
  <c r="K316" i="3"/>
  <c r="J316" i="3"/>
  <c r="L316" i="3" s="1"/>
  <c r="AH303" i="3" s="1"/>
  <c r="H316" i="3"/>
  <c r="G316" i="3"/>
  <c r="I316" i="3" s="1"/>
  <c r="F316" i="3"/>
  <c r="E316" i="3"/>
  <c r="AA303" i="3" s="1"/>
  <c r="K315" i="3"/>
  <c r="L315" i="3" s="1"/>
  <c r="AH312" i="3" s="1"/>
  <c r="J315" i="3"/>
  <c r="H315" i="3"/>
  <c r="I315" i="3" s="1"/>
  <c r="G315" i="3"/>
  <c r="F315" i="3"/>
  <c r="N315" i="3" s="1"/>
  <c r="E315" i="3"/>
  <c r="AM314" i="3"/>
  <c r="AK314" i="3"/>
  <c r="AE314" i="3"/>
  <c r="AD314" i="3"/>
  <c r="AC314" i="3"/>
  <c r="AB314" i="3"/>
  <c r="AJ314" i="3" s="1"/>
  <c r="AA314" i="3"/>
  <c r="Z314" i="3"/>
  <c r="K314" i="3"/>
  <c r="AG323" i="3" s="1"/>
  <c r="J314" i="3"/>
  <c r="AF323" i="3" s="1"/>
  <c r="I314" i="3"/>
  <c r="H314" i="3"/>
  <c r="G314" i="3"/>
  <c r="F314" i="3"/>
  <c r="AB323" i="3" s="1"/>
  <c r="E314" i="3"/>
  <c r="AA323" i="3" s="1"/>
  <c r="AM313" i="3"/>
  <c r="AK313" i="3"/>
  <c r="AH313" i="3"/>
  <c r="AG313" i="3"/>
  <c r="AF313" i="3"/>
  <c r="AD313" i="3"/>
  <c r="AB313" i="3"/>
  <c r="Z313" i="3"/>
  <c r="L313" i="3"/>
  <c r="AH322" i="3" s="1"/>
  <c r="K313" i="3"/>
  <c r="AG322" i="3" s="1"/>
  <c r="J313" i="3"/>
  <c r="AF322" i="3" s="1"/>
  <c r="I313" i="3"/>
  <c r="AE322" i="3" s="1"/>
  <c r="H313" i="3"/>
  <c r="AD322" i="3" s="1"/>
  <c r="G313" i="3"/>
  <c r="AC322" i="3" s="1"/>
  <c r="F313" i="3"/>
  <c r="AB322" i="3" s="1"/>
  <c r="AJ322" i="3" s="1"/>
  <c r="E313" i="3"/>
  <c r="AA322" i="3" s="1"/>
  <c r="AM312" i="3"/>
  <c r="AF312" i="3"/>
  <c r="AD312" i="3"/>
  <c r="AC312" i="3"/>
  <c r="AA312" i="3"/>
  <c r="Z312" i="3"/>
  <c r="Z315" i="3" s="1"/>
  <c r="K312" i="3"/>
  <c r="L312" i="3" s="1"/>
  <c r="AH321" i="3" s="1"/>
  <c r="J312" i="3"/>
  <c r="AF321" i="3" s="1"/>
  <c r="H312" i="3"/>
  <c r="AD321" i="3" s="1"/>
  <c r="G312" i="3"/>
  <c r="AC321" i="3" s="1"/>
  <c r="F312" i="3"/>
  <c r="T312" i="3" s="1"/>
  <c r="E312" i="3"/>
  <c r="AA321" i="3" s="1"/>
  <c r="AM311" i="3"/>
  <c r="AK311" i="3"/>
  <c r="AD311" i="3"/>
  <c r="AA311" i="3"/>
  <c r="Z311" i="3"/>
  <c r="K311" i="3"/>
  <c r="L311" i="3" s="1"/>
  <c r="AH320" i="3" s="1"/>
  <c r="J311" i="3"/>
  <c r="AF320" i="3" s="1"/>
  <c r="I311" i="3"/>
  <c r="H311" i="3"/>
  <c r="G311" i="3"/>
  <c r="F311" i="3"/>
  <c r="AB320" i="3" s="1"/>
  <c r="AJ320" i="3" s="1"/>
  <c r="E311" i="3"/>
  <c r="AA320" i="3" s="1"/>
  <c r="AM310" i="3"/>
  <c r="AK310" i="3"/>
  <c r="AG310" i="3"/>
  <c r="AF310" i="3"/>
  <c r="AD310" i="3"/>
  <c r="Z310" i="3"/>
  <c r="L310" i="3"/>
  <c r="AH302" i="3" s="1"/>
  <c r="K310" i="3"/>
  <c r="J310" i="3"/>
  <c r="I310" i="3"/>
  <c r="H310" i="3"/>
  <c r="G310" i="3"/>
  <c r="F310" i="3"/>
  <c r="T310" i="3" s="1"/>
  <c r="U310" i="3" s="1"/>
  <c r="AQ302" i="3" s="1"/>
  <c r="E310" i="3"/>
  <c r="AM309" i="3"/>
  <c r="AK309" i="3"/>
  <c r="AK315" i="3" s="1"/>
  <c r="AG309" i="3"/>
  <c r="AB309" i="3"/>
  <c r="AJ309" i="3" s="1"/>
  <c r="AA309" i="3"/>
  <c r="Z309" i="3"/>
  <c r="L309" i="3"/>
  <c r="AH301" i="3" s="1"/>
  <c r="K309" i="3"/>
  <c r="J309" i="3"/>
  <c r="H309" i="3"/>
  <c r="G309" i="3"/>
  <c r="F309" i="3"/>
  <c r="N309" i="3" s="1"/>
  <c r="E309" i="3"/>
  <c r="L308" i="3"/>
  <c r="AH300" i="3" s="1"/>
  <c r="K308" i="3"/>
  <c r="J308" i="3"/>
  <c r="H308" i="3"/>
  <c r="G308" i="3"/>
  <c r="F308" i="3"/>
  <c r="N308" i="3" s="1"/>
  <c r="E308" i="3"/>
  <c r="L307" i="3"/>
  <c r="AH311" i="3" s="1"/>
  <c r="K307" i="3"/>
  <c r="AG311" i="3" s="1"/>
  <c r="J307" i="3"/>
  <c r="AF311" i="3" s="1"/>
  <c r="H307" i="3"/>
  <c r="G307" i="3"/>
  <c r="F307" i="3"/>
  <c r="N307" i="3" s="1"/>
  <c r="E307" i="3"/>
  <c r="AK306" i="3"/>
  <c r="AD306" i="3"/>
  <c r="K306" i="3"/>
  <c r="L306" i="3" s="1"/>
  <c r="AH319" i="3" s="1"/>
  <c r="J306" i="3"/>
  <c r="AF319" i="3" s="1"/>
  <c r="I306" i="3"/>
  <c r="H306" i="3"/>
  <c r="AD319" i="3" s="1"/>
  <c r="G306" i="3"/>
  <c r="F306" i="3"/>
  <c r="AB319" i="3" s="1"/>
  <c r="AJ319" i="3" s="1"/>
  <c r="E306" i="3"/>
  <c r="AP305" i="3"/>
  <c r="AM305" i="3"/>
  <c r="AK305" i="3"/>
  <c r="AH305" i="3"/>
  <c r="AG305" i="3"/>
  <c r="AF305" i="3"/>
  <c r="AD305" i="3"/>
  <c r="AC305" i="3"/>
  <c r="AB305" i="3"/>
  <c r="AJ305" i="3" s="1"/>
  <c r="AA305" i="3"/>
  <c r="Z305" i="3"/>
  <c r="L305" i="3"/>
  <c r="AH310" i="3" s="1"/>
  <c r="K305" i="3"/>
  <c r="J305" i="3"/>
  <c r="I305" i="3"/>
  <c r="AE310" i="3" s="1"/>
  <c r="H305" i="3"/>
  <c r="G305" i="3"/>
  <c r="AC310" i="3" s="1"/>
  <c r="F305" i="3"/>
  <c r="T305" i="3" s="1"/>
  <c r="E305" i="3"/>
  <c r="AA310" i="3" s="1"/>
  <c r="AM304" i="3"/>
  <c r="AK304" i="3"/>
  <c r="AG304" i="3"/>
  <c r="AF304" i="3"/>
  <c r="AD304" i="3"/>
  <c r="AC304" i="3"/>
  <c r="AB304" i="3"/>
  <c r="AJ304" i="3" s="1"/>
  <c r="AA304" i="3"/>
  <c r="Z304" i="3"/>
  <c r="L304" i="3"/>
  <c r="AH309" i="3" s="1"/>
  <c r="K304" i="3"/>
  <c r="J304" i="3"/>
  <c r="AF309" i="3" s="1"/>
  <c r="AF315" i="3" s="1"/>
  <c r="H304" i="3"/>
  <c r="AD309" i="3" s="1"/>
  <c r="G304" i="3"/>
  <c r="F304" i="3"/>
  <c r="N304" i="3" s="1"/>
  <c r="E304" i="3"/>
  <c r="AP303" i="3"/>
  <c r="AM303" i="3"/>
  <c r="AK303" i="3"/>
  <c r="AG303" i="3"/>
  <c r="AD303" i="3"/>
  <c r="AC303" i="3"/>
  <c r="AB303" i="3"/>
  <c r="Z303" i="3"/>
  <c r="T303" i="3"/>
  <c r="K303" i="3"/>
  <c r="J303" i="3"/>
  <c r="I303" i="3"/>
  <c r="AE318" i="3" s="1"/>
  <c r="H303" i="3"/>
  <c r="H321" i="3" s="1"/>
  <c r="G303" i="3"/>
  <c r="AC318" i="3" s="1"/>
  <c r="F303" i="3"/>
  <c r="AB318" i="3" s="1"/>
  <c r="E303" i="3"/>
  <c r="AP302" i="3"/>
  <c r="AM302" i="3"/>
  <c r="AK302" i="3"/>
  <c r="AG302" i="3"/>
  <c r="AF302" i="3"/>
  <c r="AE302" i="3"/>
  <c r="AD302" i="3"/>
  <c r="AC302" i="3"/>
  <c r="AB302" i="3"/>
  <c r="AJ302" i="3" s="1"/>
  <c r="AA302" i="3"/>
  <c r="Z302" i="3"/>
  <c r="AM301" i="3"/>
  <c r="AG301" i="3"/>
  <c r="AF301" i="3"/>
  <c r="AD301" i="3"/>
  <c r="AB301" i="3"/>
  <c r="AJ301" i="3" s="1"/>
  <c r="AA301" i="3"/>
  <c r="AA306" i="3" s="1"/>
  <c r="Z301" i="3"/>
  <c r="AM300" i="3"/>
  <c r="AK300" i="3"/>
  <c r="AG300" i="3"/>
  <c r="AF300" i="3"/>
  <c r="AD300" i="3"/>
  <c r="AB300" i="3"/>
  <c r="AA300" i="3"/>
  <c r="Z300" i="3"/>
  <c r="Z306" i="3" s="1"/>
  <c r="AM296" i="3"/>
  <c r="AK296" i="3"/>
  <c r="AG296" i="3"/>
  <c r="AB296" i="3"/>
  <c r="AJ296" i="3" s="1"/>
  <c r="Z296" i="3"/>
  <c r="AM295" i="3"/>
  <c r="AK295" i="3"/>
  <c r="AB295" i="3"/>
  <c r="Z295" i="3"/>
  <c r="AM294" i="3"/>
  <c r="AK294" i="3"/>
  <c r="AG294" i="3"/>
  <c r="Z294" i="3"/>
  <c r="O294" i="3"/>
  <c r="D294" i="3"/>
  <c r="AM293" i="3"/>
  <c r="AK293" i="3"/>
  <c r="AD293" i="3"/>
  <c r="AB293" i="3"/>
  <c r="Z293" i="3"/>
  <c r="T293" i="3"/>
  <c r="K293" i="3"/>
  <c r="J293" i="3"/>
  <c r="I293" i="3"/>
  <c r="H293" i="3"/>
  <c r="G293" i="3"/>
  <c r="F293" i="3"/>
  <c r="N293" i="3" s="1"/>
  <c r="E293" i="3"/>
  <c r="AP292" i="3"/>
  <c r="AM292" i="3"/>
  <c r="AK292" i="3"/>
  <c r="Z292" i="3"/>
  <c r="T292" i="3"/>
  <c r="U292" i="3" s="1"/>
  <c r="AQ277" i="3" s="1"/>
  <c r="M292" i="3"/>
  <c r="K292" i="3"/>
  <c r="J292" i="3"/>
  <c r="L292" i="3" s="1"/>
  <c r="AH277" i="3" s="1"/>
  <c r="H292" i="3"/>
  <c r="G292" i="3"/>
  <c r="I292" i="3" s="1"/>
  <c r="AE277" i="3" s="1"/>
  <c r="F292" i="3"/>
  <c r="E292" i="3"/>
  <c r="AA277" i="3" s="1"/>
  <c r="AM291" i="3"/>
  <c r="AK291" i="3"/>
  <c r="AK297" i="3" s="1"/>
  <c r="AC291" i="3"/>
  <c r="Z291" i="3"/>
  <c r="K291" i="3"/>
  <c r="J291" i="3"/>
  <c r="L291" i="3" s="1"/>
  <c r="H291" i="3"/>
  <c r="AD287" i="3" s="1"/>
  <c r="G291" i="3"/>
  <c r="AC287" i="3" s="1"/>
  <c r="F291" i="3"/>
  <c r="N291" i="3" s="1"/>
  <c r="E291" i="3"/>
  <c r="AA287" i="3" s="1"/>
  <c r="K290" i="3"/>
  <c r="J290" i="3"/>
  <c r="L290" i="3" s="1"/>
  <c r="AH286" i="3" s="1"/>
  <c r="H290" i="3"/>
  <c r="AD286" i="3" s="1"/>
  <c r="G290" i="3"/>
  <c r="I290" i="3" s="1"/>
  <c r="F290" i="3"/>
  <c r="N290" i="3" s="1"/>
  <c r="E290" i="3"/>
  <c r="AA286" i="3" s="1"/>
  <c r="K289" i="3"/>
  <c r="J289" i="3"/>
  <c r="L289" i="3" s="1"/>
  <c r="AH276" i="3" s="1"/>
  <c r="H289" i="3"/>
  <c r="AD276" i="3" s="1"/>
  <c r="G289" i="3"/>
  <c r="I289" i="3" s="1"/>
  <c r="F289" i="3"/>
  <c r="N289" i="3" s="1"/>
  <c r="AJ276" i="3" s="1"/>
  <c r="E289" i="3"/>
  <c r="T288" i="3"/>
  <c r="K288" i="3"/>
  <c r="J288" i="3"/>
  <c r="H288" i="3"/>
  <c r="G288" i="3"/>
  <c r="I288" i="3" s="1"/>
  <c r="F288" i="3"/>
  <c r="N288" i="3" s="1"/>
  <c r="E288" i="3"/>
  <c r="AM287" i="3"/>
  <c r="AK287" i="3"/>
  <c r="AH287" i="3"/>
  <c r="AG287" i="3"/>
  <c r="AF287" i="3"/>
  <c r="AB287" i="3"/>
  <c r="AJ287" i="3" s="1"/>
  <c r="Z287" i="3"/>
  <c r="T287" i="3"/>
  <c r="AP296" i="3" s="1"/>
  <c r="K287" i="3"/>
  <c r="J287" i="3"/>
  <c r="L287" i="3" s="1"/>
  <c r="AH296" i="3" s="1"/>
  <c r="H287" i="3"/>
  <c r="AD296" i="3" s="1"/>
  <c r="G287" i="3"/>
  <c r="I287" i="3" s="1"/>
  <c r="AE296" i="3" s="1"/>
  <c r="F287" i="3"/>
  <c r="N287" i="3" s="1"/>
  <c r="E287" i="3"/>
  <c r="AA296" i="3" s="1"/>
  <c r="AM286" i="3"/>
  <c r="AK286" i="3"/>
  <c r="AG286" i="3"/>
  <c r="AF286" i="3"/>
  <c r="AC286" i="3"/>
  <c r="AB286" i="3"/>
  <c r="Z286" i="3"/>
  <c r="T286" i="3"/>
  <c r="AP295" i="3" s="1"/>
  <c r="K286" i="3"/>
  <c r="AG295" i="3" s="1"/>
  <c r="J286" i="3"/>
  <c r="L286" i="3" s="1"/>
  <c r="AH295" i="3" s="1"/>
  <c r="H286" i="3"/>
  <c r="AD295" i="3" s="1"/>
  <c r="G286" i="3"/>
  <c r="AC295" i="3" s="1"/>
  <c r="F286" i="3"/>
  <c r="N286" i="3" s="1"/>
  <c r="E286" i="3"/>
  <c r="AA295" i="3" s="1"/>
  <c r="AM285" i="3"/>
  <c r="AG285" i="3"/>
  <c r="AE285" i="3"/>
  <c r="AD285" i="3"/>
  <c r="AB285" i="3"/>
  <c r="AJ285" i="3" s="1"/>
  <c r="AA285" i="3"/>
  <c r="Z285" i="3"/>
  <c r="T285" i="3"/>
  <c r="U285" i="3" s="1"/>
  <c r="AQ294" i="3" s="1"/>
  <c r="K285" i="3"/>
  <c r="J285" i="3"/>
  <c r="H285" i="3"/>
  <c r="AD294" i="3" s="1"/>
  <c r="G285" i="3"/>
  <c r="I285" i="3" s="1"/>
  <c r="F285" i="3"/>
  <c r="N285" i="3" s="1"/>
  <c r="E285" i="3"/>
  <c r="AA294" i="3" s="1"/>
  <c r="AP284" i="3"/>
  <c r="AM284" i="3"/>
  <c r="AK284" i="3"/>
  <c r="Z284" i="3"/>
  <c r="T284" i="3"/>
  <c r="K284" i="3"/>
  <c r="AG293" i="3" s="1"/>
  <c r="J284" i="3"/>
  <c r="L284" i="3" s="1"/>
  <c r="AH293" i="3" s="1"/>
  <c r="H284" i="3"/>
  <c r="G284" i="3"/>
  <c r="AC293" i="3" s="1"/>
  <c r="F284" i="3"/>
  <c r="E284" i="3"/>
  <c r="AA293" i="3" s="1"/>
  <c r="AP283" i="3"/>
  <c r="AM283" i="3"/>
  <c r="AK283" i="3"/>
  <c r="AC283" i="3"/>
  <c r="AB283" i="3"/>
  <c r="Z283" i="3"/>
  <c r="T283" i="3"/>
  <c r="U283" i="3" s="1"/>
  <c r="AQ275" i="3" s="1"/>
  <c r="K283" i="3"/>
  <c r="J283" i="3"/>
  <c r="L283" i="3" s="1"/>
  <c r="AH275" i="3" s="1"/>
  <c r="H283" i="3"/>
  <c r="AD275" i="3" s="1"/>
  <c r="G283" i="3"/>
  <c r="I283" i="3" s="1"/>
  <c r="F283" i="3"/>
  <c r="N283" i="3" s="1"/>
  <c r="E283" i="3"/>
  <c r="AM282" i="3"/>
  <c r="AK282" i="3"/>
  <c r="AF282" i="3"/>
  <c r="AC282" i="3"/>
  <c r="Z282" i="3"/>
  <c r="Z288" i="3" s="1"/>
  <c r="U282" i="3"/>
  <c r="AQ274" i="3" s="1"/>
  <c r="T282" i="3"/>
  <c r="AP274" i="3" s="1"/>
  <c r="K282" i="3"/>
  <c r="AG274" i="3" s="1"/>
  <c r="J282" i="3"/>
  <c r="L282" i="3" s="1"/>
  <c r="AH274" i="3" s="1"/>
  <c r="H282" i="3"/>
  <c r="I282" i="3" s="1"/>
  <c r="G282" i="3"/>
  <c r="F282" i="3"/>
  <c r="N282" i="3" s="1"/>
  <c r="E282" i="3"/>
  <c r="U281" i="3"/>
  <c r="AQ273" i="3" s="1"/>
  <c r="T281" i="3"/>
  <c r="K281" i="3"/>
  <c r="AG273" i="3" s="1"/>
  <c r="AG279" i="3" s="1"/>
  <c r="J281" i="3"/>
  <c r="L281" i="3" s="1"/>
  <c r="AH273" i="3" s="1"/>
  <c r="H281" i="3"/>
  <c r="I281" i="3" s="1"/>
  <c r="G281" i="3"/>
  <c r="F281" i="3"/>
  <c r="N281" i="3" s="1"/>
  <c r="E281" i="3"/>
  <c r="U280" i="3"/>
  <c r="AQ284" i="3" s="1"/>
  <c r="T280" i="3"/>
  <c r="K280" i="3"/>
  <c r="AG284" i="3" s="1"/>
  <c r="J280" i="3"/>
  <c r="AF284" i="3" s="1"/>
  <c r="H280" i="3"/>
  <c r="I280" i="3" s="1"/>
  <c r="G280" i="3"/>
  <c r="AC284" i="3" s="1"/>
  <c r="F280" i="3"/>
  <c r="N280" i="3" s="1"/>
  <c r="E280" i="3"/>
  <c r="AA284" i="3" s="1"/>
  <c r="Z279" i="3"/>
  <c r="T279" i="3"/>
  <c r="U279" i="3" s="1"/>
  <c r="AQ292" i="3" s="1"/>
  <c r="K279" i="3"/>
  <c r="AG292" i="3" s="1"/>
  <c r="J279" i="3"/>
  <c r="L279" i="3" s="1"/>
  <c r="AH292" i="3" s="1"/>
  <c r="H279" i="3"/>
  <c r="AD292" i="3" s="1"/>
  <c r="G279" i="3"/>
  <c r="I279" i="3" s="1"/>
  <c r="AE292" i="3" s="1"/>
  <c r="F279" i="3"/>
  <c r="AB292" i="3" s="1"/>
  <c r="AJ292" i="3" s="1"/>
  <c r="E279" i="3"/>
  <c r="AA292" i="3" s="1"/>
  <c r="AM278" i="3"/>
  <c r="AK278" i="3"/>
  <c r="AG278" i="3"/>
  <c r="AE278" i="3"/>
  <c r="AD278" i="3"/>
  <c r="AC278" i="3"/>
  <c r="AB278" i="3"/>
  <c r="AJ278" i="3" s="1"/>
  <c r="AA278" i="3"/>
  <c r="Z278" i="3"/>
  <c r="T278" i="3"/>
  <c r="U278" i="3" s="1"/>
  <c r="AQ283" i="3" s="1"/>
  <c r="K278" i="3"/>
  <c r="AG283" i="3" s="1"/>
  <c r="J278" i="3"/>
  <c r="L278" i="3" s="1"/>
  <c r="AH283" i="3" s="1"/>
  <c r="H278" i="3"/>
  <c r="AD283" i="3" s="1"/>
  <c r="G278" i="3"/>
  <c r="F278" i="3"/>
  <c r="N278" i="3" s="1"/>
  <c r="E278" i="3"/>
  <c r="AA283" i="3" s="1"/>
  <c r="AP277" i="3"/>
  <c r="AM277" i="3"/>
  <c r="AK277" i="3"/>
  <c r="AG277" i="3"/>
  <c r="AF277" i="3"/>
  <c r="AD277" i="3"/>
  <c r="AC277" i="3"/>
  <c r="AB277" i="3"/>
  <c r="Z277" i="3"/>
  <c r="U277" i="3"/>
  <c r="AQ282" i="3" s="1"/>
  <c r="T277" i="3"/>
  <c r="AP282" i="3" s="1"/>
  <c r="K277" i="3"/>
  <c r="AG282" i="3" s="1"/>
  <c r="AG288" i="3" s="1"/>
  <c r="J277" i="3"/>
  <c r="H277" i="3"/>
  <c r="AD282" i="3" s="1"/>
  <c r="G277" i="3"/>
  <c r="F277" i="3"/>
  <c r="AB282" i="3" s="1"/>
  <c r="E277" i="3"/>
  <c r="AA282" i="3" s="1"/>
  <c r="AM276" i="3"/>
  <c r="AK276" i="3"/>
  <c r="AG276" i="3"/>
  <c r="AF276" i="3"/>
  <c r="AC276" i="3"/>
  <c r="AB276" i="3"/>
  <c r="AA276" i="3"/>
  <c r="Z276" i="3"/>
  <c r="N276" i="3"/>
  <c r="K276" i="3"/>
  <c r="L276" i="3" s="1"/>
  <c r="J276" i="3"/>
  <c r="J294" i="3" s="1"/>
  <c r="H276" i="3"/>
  <c r="I276" i="3" s="1"/>
  <c r="G276" i="3"/>
  <c r="G294" i="3" s="1"/>
  <c r="F276" i="3"/>
  <c r="E276" i="3"/>
  <c r="AP275" i="3"/>
  <c r="AM275" i="3"/>
  <c r="AK275" i="3"/>
  <c r="AG275" i="3"/>
  <c r="AF275" i="3"/>
  <c r="AC275" i="3"/>
  <c r="AB275" i="3"/>
  <c r="AJ275" i="3" s="1"/>
  <c r="AA275" i="3"/>
  <c r="Z275" i="3"/>
  <c r="AM274" i="3"/>
  <c r="AF274" i="3"/>
  <c r="AC274" i="3"/>
  <c r="AB274" i="3"/>
  <c r="AJ274" i="3" s="1"/>
  <c r="AA274" i="3"/>
  <c r="Z274" i="3"/>
  <c r="AP273" i="3"/>
  <c r="AM273" i="3"/>
  <c r="AK273" i="3"/>
  <c r="AK279" i="3" s="1"/>
  <c r="AF273" i="3"/>
  <c r="AC273" i="3"/>
  <c r="AC279" i="3" s="1"/>
  <c r="AB273" i="3"/>
  <c r="AB279" i="3" s="1"/>
  <c r="AJ279" i="3" s="1"/>
  <c r="AA273" i="3"/>
  <c r="AA279" i="3" s="1"/>
  <c r="Z273" i="3"/>
  <c r="AK270" i="3"/>
  <c r="AM269" i="3"/>
  <c r="AK269" i="3"/>
  <c r="AF269" i="3"/>
  <c r="AC269" i="3"/>
  <c r="Z269" i="3"/>
  <c r="AM268" i="3"/>
  <c r="AK268" i="3"/>
  <c r="AF268" i="3"/>
  <c r="AA268" i="3"/>
  <c r="Z268" i="3"/>
  <c r="AM267" i="3"/>
  <c r="AK267" i="3"/>
  <c r="AD267" i="3"/>
  <c r="Z267" i="3"/>
  <c r="O267" i="3"/>
  <c r="J267" i="3"/>
  <c r="D267" i="3"/>
  <c r="AM266" i="3"/>
  <c r="AK266" i="3"/>
  <c r="AA266" i="3"/>
  <c r="Z266" i="3"/>
  <c r="Z270" i="3" s="1"/>
  <c r="N266" i="3"/>
  <c r="K266" i="3"/>
  <c r="J266" i="3"/>
  <c r="L266" i="3" s="1"/>
  <c r="AH251" i="3" s="1"/>
  <c r="H266" i="3"/>
  <c r="I266" i="3" s="1"/>
  <c r="G266" i="3"/>
  <c r="F266" i="3"/>
  <c r="E266" i="3"/>
  <c r="AM265" i="3"/>
  <c r="AK265" i="3"/>
  <c r="AD265" i="3"/>
  <c r="Z265" i="3"/>
  <c r="K265" i="3"/>
  <c r="L265" i="3" s="1"/>
  <c r="AH250" i="3" s="1"/>
  <c r="J265" i="3"/>
  <c r="I265" i="3"/>
  <c r="H265" i="3"/>
  <c r="G265" i="3"/>
  <c r="F265" i="3"/>
  <c r="N265" i="3" s="1"/>
  <c r="E265" i="3"/>
  <c r="AM264" i="3"/>
  <c r="AK264" i="3"/>
  <c r="AG264" i="3"/>
  <c r="Z264" i="3"/>
  <c r="L264" i="3"/>
  <c r="AH260" i="3" s="1"/>
  <c r="K264" i="3"/>
  <c r="AG260" i="3" s="1"/>
  <c r="J264" i="3"/>
  <c r="I264" i="3"/>
  <c r="H264" i="3"/>
  <c r="G264" i="3"/>
  <c r="F264" i="3"/>
  <c r="T264" i="3" s="1"/>
  <c r="E264" i="3"/>
  <c r="L263" i="3"/>
  <c r="AH259" i="3" s="1"/>
  <c r="K263" i="3"/>
  <c r="J263" i="3"/>
  <c r="I263" i="3"/>
  <c r="AE259" i="3" s="1"/>
  <c r="H263" i="3"/>
  <c r="G263" i="3"/>
  <c r="F263" i="3"/>
  <c r="T263" i="3" s="1"/>
  <c r="E263" i="3"/>
  <c r="L262" i="3"/>
  <c r="AH249" i="3" s="1"/>
  <c r="K262" i="3"/>
  <c r="J262" i="3"/>
  <c r="I262" i="3"/>
  <c r="M262" i="3" s="1"/>
  <c r="V262" i="3" s="1"/>
  <c r="H262" i="3"/>
  <c r="G262" i="3"/>
  <c r="F262" i="3"/>
  <c r="T262" i="3" s="1"/>
  <c r="E262" i="3"/>
  <c r="AA261" i="3"/>
  <c r="N261" i="3"/>
  <c r="K261" i="3"/>
  <c r="L261" i="3" s="1"/>
  <c r="AH258" i="3" s="1"/>
  <c r="J261" i="3"/>
  <c r="H261" i="3"/>
  <c r="I261" i="3" s="1"/>
  <c r="G261" i="3"/>
  <c r="F261" i="3"/>
  <c r="E261" i="3"/>
  <c r="AM260" i="3"/>
  <c r="AK260" i="3"/>
  <c r="AF260" i="3"/>
  <c r="AD260" i="3"/>
  <c r="AC260" i="3"/>
  <c r="AB260" i="3"/>
  <c r="AJ260" i="3" s="1"/>
  <c r="AA260" i="3"/>
  <c r="Z260" i="3"/>
  <c r="K260" i="3"/>
  <c r="L260" i="3" s="1"/>
  <c r="AH269" i="3" s="1"/>
  <c r="J260" i="3"/>
  <c r="I260" i="3"/>
  <c r="H260" i="3"/>
  <c r="AD269" i="3" s="1"/>
  <c r="G260" i="3"/>
  <c r="F260" i="3"/>
  <c r="N260" i="3" s="1"/>
  <c r="E260" i="3"/>
  <c r="AA269" i="3" s="1"/>
  <c r="AM259" i="3"/>
  <c r="AK259" i="3"/>
  <c r="AG259" i="3"/>
  <c r="AF259" i="3"/>
  <c r="AD259" i="3"/>
  <c r="AC259" i="3"/>
  <c r="AB259" i="3"/>
  <c r="AJ259" i="3" s="1"/>
  <c r="AA259" i="3"/>
  <c r="Z259" i="3"/>
  <c r="L259" i="3"/>
  <c r="AH268" i="3" s="1"/>
  <c r="K259" i="3"/>
  <c r="AG268" i="3" s="1"/>
  <c r="J259" i="3"/>
  <c r="I259" i="3"/>
  <c r="AE268" i="3" s="1"/>
  <c r="H259" i="3"/>
  <c r="AD268" i="3" s="1"/>
  <c r="G259" i="3"/>
  <c r="AC268" i="3" s="1"/>
  <c r="F259" i="3"/>
  <c r="T259" i="3" s="1"/>
  <c r="E259" i="3"/>
  <c r="AM258" i="3"/>
  <c r="AF258" i="3"/>
  <c r="AD258" i="3"/>
  <c r="AC258" i="3"/>
  <c r="AA258" i="3"/>
  <c r="Z258" i="3"/>
  <c r="Z261" i="3" s="1"/>
  <c r="K258" i="3"/>
  <c r="AG267" i="3" s="1"/>
  <c r="J258" i="3"/>
  <c r="L258" i="3" s="1"/>
  <c r="AH267" i="3" s="1"/>
  <c r="H258" i="3"/>
  <c r="G258" i="3"/>
  <c r="AC267" i="3" s="1"/>
  <c r="F258" i="3"/>
  <c r="N258" i="3" s="1"/>
  <c r="E258" i="3"/>
  <c r="AA267" i="3" s="1"/>
  <c r="AM257" i="3"/>
  <c r="AK257" i="3"/>
  <c r="AD257" i="3"/>
  <c r="AA257" i="3"/>
  <c r="Z257" i="3"/>
  <c r="K257" i="3"/>
  <c r="AG266" i="3" s="1"/>
  <c r="J257" i="3"/>
  <c r="AF266" i="3" s="1"/>
  <c r="I257" i="3"/>
  <c r="H257" i="3"/>
  <c r="AD266" i="3" s="1"/>
  <c r="G257" i="3"/>
  <c r="AC266" i="3" s="1"/>
  <c r="F257" i="3"/>
  <c r="N257" i="3" s="1"/>
  <c r="E257" i="3"/>
  <c r="AM256" i="3"/>
  <c r="AK256" i="3"/>
  <c r="AG256" i="3"/>
  <c r="AF256" i="3"/>
  <c r="AD256" i="3"/>
  <c r="Z256" i="3"/>
  <c r="L256" i="3"/>
  <c r="AH248" i="3" s="1"/>
  <c r="K256" i="3"/>
  <c r="J256" i="3"/>
  <c r="I256" i="3"/>
  <c r="H256" i="3"/>
  <c r="G256" i="3"/>
  <c r="F256" i="3"/>
  <c r="T256" i="3" s="1"/>
  <c r="U256" i="3" s="1"/>
  <c r="AQ248" i="3" s="1"/>
  <c r="E256" i="3"/>
  <c r="AM255" i="3"/>
  <c r="AK255" i="3"/>
  <c r="AK261" i="3" s="1"/>
  <c r="AJ255" i="3"/>
  <c r="AG255" i="3"/>
  <c r="AB255" i="3"/>
  <c r="AA255" i="3"/>
  <c r="Z255" i="3"/>
  <c r="L255" i="3"/>
  <c r="AH247" i="3" s="1"/>
  <c r="K255" i="3"/>
  <c r="J255" i="3"/>
  <c r="H255" i="3"/>
  <c r="G255" i="3"/>
  <c r="F255" i="3"/>
  <c r="N255" i="3" s="1"/>
  <c r="E255" i="3"/>
  <c r="L254" i="3"/>
  <c r="AH246" i="3" s="1"/>
  <c r="K254" i="3"/>
  <c r="J254" i="3"/>
  <c r="H254" i="3"/>
  <c r="G254" i="3"/>
  <c r="F254" i="3"/>
  <c r="N254" i="3" s="1"/>
  <c r="E254" i="3"/>
  <c r="L253" i="3"/>
  <c r="AH257" i="3" s="1"/>
  <c r="K253" i="3"/>
  <c r="AG257" i="3" s="1"/>
  <c r="J253" i="3"/>
  <c r="AF257" i="3" s="1"/>
  <c r="H253" i="3"/>
  <c r="G253" i="3"/>
  <c r="F253" i="3"/>
  <c r="N253" i="3" s="1"/>
  <c r="E253" i="3"/>
  <c r="AK252" i="3"/>
  <c r="AD252" i="3"/>
  <c r="L252" i="3"/>
  <c r="AH265" i="3" s="1"/>
  <c r="K252" i="3"/>
  <c r="AG265" i="3" s="1"/>
  <c r="J252" i="3"/>
  <c r="AF265" i="3" s="1"/>
  <c r="I252" i="3"/>
  <c r="H252" i="3"/>
  <c r="G252" i="3"/>
  <c r="AC265" i="3" s="1"/>
  <c r="F252" i="3"/>
  <c r="AB265" i="3" s="1"/>
  <c r="E252" i="3"/>
  <c r="AA265" i="3" s="1"/>
  <c r="AM251" i="3"/>
  <c r="AK251" i="3"/>
  <c r="AG251" i="3"/>
  <c r="AF251" i="3"/>
  <c r="AD251" i="3"/>
  <c r="AC251" i="3"/>
  <c r="AA251" i="3"/>
  <c r="Z251" i="3"/>
  <c r="L251" i="3"/>
  <c r="AH256" i="3" s="1"/>
  <c r="K251" i="3"/>
  <c r="J251" i="3"/>
  <c r="I251" i="3"/>
  <c r="AE256" i="3" s="1"/>
  <c r="H251" i="3"/>
  <c r="G251" i="3"/>
  <c r="AC256" i="3" s="1"/>
  <c r="F251" i="3"/>
  <c r="T251" i="3" s="1"/>
  <c r="E251" i="3"/>
  <c r="AA256" i="3" s="1"/>
  <c r="AM250" i="3"/>
  <c r="AK250" i="3"/>
  <c r="AJ250" i="3"/>
  <c r="AG250" i="3"/>
  <c r="AF250" i="3"/>
  <c r="AD250" i="3"/>
  <c r="AC250" i="3"/>
  <c r="AB250" i="3"/>
  <c r="AA250" i="3"/>
  <c r="Z250" i="3"/>
  <c r="L250" i="3"/>
  <c r="AH255" i="3" s="1"/>
  <c r="K250" i="3"/>
  <c r="J250" i="3"/>
  <c r="AF255" i="3" s="1"/>
  <c r="H250" i="3"/>
  <c r="AD255" i="3" s="1"/>
  <c r="G250" i="3"/>
  <c r="F250" i="3"/>
  <c r="N250" i="3" s="1"/>
  <c r="E250" i="3"/>
  <c r="AM249" i="3"/>
  <c r="AK249" i="3"/>
  <c r="AG249" i="3"/>
  <c r="AF249" i="3"/>
  <c r="AE249" i="3"/>
  <c r="AD249" i="3"/>
  <c r="AC249" i="3"/>
  <c r="AB249" i="3"/>
  <c r="AA249" i="3"/>
  <c r="Z249" i="3"/>
  <c r="T249" i="3"/>
  <c r="K249" i="3"/>
  <c r="K267" i="3" s="1"/>
  <c r="J249" i="3"/>
  <c r="I249" i="3"/>
  <c r="H249" i="3"/>
  <c r="H267" i="3" s="1"/>
  <c r="G249" i="3"/>
  <c r="G267" i="3" s="1"/>
  <c r="F249" i="3"/>
  <c r="E249" i="3"/>
  <c r="E267" i="3" s="1"/>
  <c r="AP248" i="3"/>
  <c r="AM248" i="3"/>
  <c r="AK248" i="3"/>
  <c r="AG248" i="3"/>
  <c r="AF248" i="3"/>
  <c r="AE248" i="3"/>
  <c r="AD248" i="3"/>
  <c r="AC248" i="3"/>
  <c r="AB248" i="3"/>
  <c r="AJ248" i="3" s="1"/>
  <c r="AA248" i="3"/>
  <c r="Z248" i="3"/>
  <c r="AM247" i="3"/>
  <c r="AJ247" i="3"/>
  <c r="AG247" i="3"/>
  <c r="AF247" i="3"/>
  <c r="AD247" i="3"/>
  <c r="AB247" i="3"/>
  <c r="AA247" i="3"/>
  <c r="AA252" i="3" s="1"/>
  <c r="Z247" i="3"/>
  <c r="AM246" i="3"/>
  <c r="AK246" i="3"/>
  <c r="AG246" i="3"/>
  <c r="AF246" i="3"/>
  <c r="AF252" i="3" s="1"/>
  <c r="AD246" i="3"/>
  <c r="AB246" i="3"/>
  <c r="AA246" i="3"/>
  <c r="Z246" i="3"/>
  <c r="Z252" i="3" s="1"/>
  <c r="AM242" i="3"/>
  <c r="AK242" i="3"/>
  <c r="AB242" i="3"/>
  <c r="AJ242" i="3" s="1"/>
  <c r="Z242" i="3"/>
  <c r="AM241" i="3"/>
  <c r="AK241" i="3"/>
  <c r="Z241" i="3"/>
  <c r="AM240" i="3"/>
  <c r="AK240" i="3"/>
  <c r="Z240" i="3"/>
  <c r="O240" i="3"/>
  <c r="F240" i="3"/>
  <c r="D240" i="3"/>
  <c r="AM239" i="3"/>
  <c r="AK239" i="3"/>
  <c r="Z239" i="3"/>
  <c r="T239" i="3"/>
  <c r="K239" i="3"/>
  <c r="J239" i="3"/>
  <c r="H239" i="3"/>
  <c r="G239" i="3"/>
  <c r="I239" i="3" s="1"/>
  <c r="F239" i="3"/>
  <c r="N239" i="3" s="1"/>
  <c r="E239" i="3"/>
  <c r="AP238" i="3"/>
  <c r="AM238" i="3"/>
  <c r="AK238" i="3"/>
  <c r="Z238" i="3"/>
  <c r="T238" i="3"/>
  <c r="U238" i="3" s="1"/>
  <c r="AQ223" i="3" s="1"/>
  <c r="K238" i="3"/>
  <c r="J238" i="3"/>
  <c r="L238" i="3" s="1"/>
  <c r="AH223" i="3" s="1"/>
  <c r="H238" i="3"/>
  <c r="G238" i="3"/>
  <c r="I238" i="3" s="1"/>
  <c r="AE223" i="3" s="1"/>
  <c r="F238" i="3"/>
  <c r="N238" i="3" s="1"/>
  <c r="E238" i="3"/>
  <c r="AA223" i="3" s="1"/>
  <c r="AM237" i="3"/>
  <c r="AK237" i="3"/>
  <c r="AK243" i="3" s="1"/>
  <c r="AC237" i="3"/>
  <c r="Z237" i="3"/>
  <c r="Z243" i="3" s="1"/>
  <c r="K237" i="3"/>
  <c r="J237" i="3"/>
  <c r="L237" i="3" s="1"/>
  <c r="AH233" i="3" s="1"/>
  <c r="H237" i="3"/>
  <c r="AD233" i="3" s="1"/>
  <c r="G237" i="3"/>
  <c r="AC233" i="3" s="1"/>
  <c r="F237" i="3"/>
  <c r="N237" i="3" s="1"/>
  <c r="E237" i="3"/>
  <c r="AA233" i="3" s="1"/>
  <c r="K236" i="3"/>
  <c r="J236" i="3"/>
  <c r="L236" i="3" s="1"/>
  <c r="AH232" i="3" s="1"/>
  <c r="H236" i="3"/>
  <c r="AD232" i="3" s="1"/>
  <c r="G236" i="3"/>
  <c r="F236" i="3"/>
  <c r="N236" i="3" s="1"/>
  <c r="E236" i="3"/>
  <c r="AA232" i="3" s="1"/>
  <c r="K235" i="3"/>
  <c r="J235" i="3"/>
  <c r="L235" i="3" s="1"/>
  <c r="AH222" i="3" s="1"/>
  <c r="H235" i="3"/>
  <c r="AD222" i="3" s="1"/>
  <c r="G235" i="3"/>
  <c r="I235" i="3" s="1"/>
  <c r="F235" i="3"/>
  <c r="N235" i="3" s="1"/>
  <c r="AJ222" i="3" s="1"/>
  <c r="E235" i="3"/>
  <c r="T234" i="3"/>
  <c r="K234" i="3"/>
  <c r="J234" i="3"/>
  <c r="H234" i="3"/>
  <c r="G234" i="3"/>
  <c r="I234" i="3" s="1"/>
  <c r="F234" i="3"/>
  <c r="N234" i="3" s="1"/>
  <c r="E234" i="3"/>
  <c r="AM233" i="3"/>
  <c r="AK233" i="3"/>
  <c r="AG233" i="3"/>
  <c r="AF233" i="3"/>
  <c r="AB233" i="3"/>
  <c r="Z233" i="3"/>
  <c r="T233" i="3"/>
  <c r="AP242" i="3" s="1"/>
  <c r="M233" i="3"/>
  <c r="K233" i="3"/>
  <c r="AG242" i="3" s="1"/>
  <c r="J233" i="3"/>
  <c r="L233" i="3" s="1"/>
  <c r="AH242" i="3" s="1"/>
  <c r="H233" i="3"/>
  <c r="AD242" i="3" s="1"/>
  <c r="G233" i="3"/>
  <c r="I233" i="3" s="1"/>
  <c r="AE242" i="3" s="1"/>
  <c r="F233" i="3"/>
  <c r="E233" i="3"/>
  <c r="AA242" i="3" s="1"/>
  <c r="AM232" i="3"/>
  <c r="AK232" i="3"/>
  <c r="AG232" i="3"/>
  <c r="AF232" i="3"/>
  <c r="AC232" i="3"/>
  <c r="AB232" i="3"/>
  <c r="Z232" i="3"/>
  <c r="K232" i="3"/>
  <c r="AG241" i="3" s="1"/>
  <c r="J232" i="3"/>
  <c r="L232" i="3" s="1"/>
  <c r="AH241" i="3" s="1"/>
  <c r="H232" i="3"/>
  <c r="AD241" i="3" s="1"/>
  <c r="G232" i="3"/>
  <c r="AC241" i="3" s="1"/>
  <c r="F232" i="3"/>
  <c r="N232" i="3" s="1"/>
  <c r="E232" i="3"/>
  <c r="AA241" i="3" s="1"/>
  <c r="AM231" i="3"/>
  <c r="AG231" i="3"/>
  <c r="AE231" i="3"/>
  <c r="AD231" i="3"/>
  <c r="AB231" i="3"/>
  <c r="AJ231" i="3" s="1"/>
  <c r="AA231" i="3"/>
  <c r="Z231" i="3"/>
  <c r="T231" i="3"/>
  <c r="U231" i="3" s="1"/>
  <c r="AQ240" i="3" s="1"/>
  <c r="K231" i="3"/>
  <c r="AG240" i="3" s="1"/>
  <c r="J231" i="3"/>
  <c r="H231" i="3"/>
  <c r="AD240" i="3" s="1"/>
  <c r="G231" i="3"/>
  <c r="I231" i="3" s="1"/>
  <c r="F231" i="3"/>
  <c r="N231" i="3" s="1"/>
  <c r="E231" i="3"/>
  <c r="AA240" i="3" s="1"/>
  <c r="AP230" i="3"/>
  <c r="AM230" i="3"/>
  <c r="AK230" i="3"/>
  <c r="Z230" i="3"/>
  <c r="T230" i="3"/>
  <c r="K230" i="3"/>
  <c r="AG239" i="3" s="1"/>
  <c r="J230" i="3"/>
  <c r="L230" i="3" s="1"/>
  <c r="AH239" i="3" s="1"/>
  <c r="H230" i="3"/>
  <c r="AD239" i="3" s="1"/>
  <c r="G230" i="3"/>
  <c r="AC239" i="3" s="1"/>
  <c r="F230" i="3"/>
  <c r="AB239" i="3" s="1"/>
  <c r="AJ239" i="3" s="1"/>
  <c r="E230" i="3"/>
  <c r="AA239" i="3" s="1"/>
  <c r="AM229" i="3"/>
  <c r="AK229" i="3"/>
  <c r="AC229" i="3"/>
  <c r="Z229" i="3"/>
  <c r="K229" i="3"/>
  <c r="J229" i="3"/>
  <c r="L229" i="3" s="1"/>
  <c r="AH221" i="3" s="1"/>
  <c r="H229" i="3"/>
  <c r="G229" i="3"/>
  <c r="F229" i="3"/>
  <c r="N229" i="3" s="1"/>
  <c r="E229" i="3"/>
  <c r="AM228" i="3"/>
  <c r="AK228" i="3"/>
  <c r="AF228" i="3"/>
  <c r="Z228" i="3"/>
  <c r="Z234" i="3" s="1"/>
  <c r="U228" i="3"/>
  <c r="AQ220" i="3" s="1"/>
  <c r="T228" i="3"/>
  <c r="K228" i="3"/>
  <c r="AG220" i="3" s="1"/>
  <c r="J228" i="3"/>
  <c r="H228" i="3"/>
  <c r="I228" i="3" s="1"/>
  <c r="G228" i="3"/>
  <c r="F228" i="3"/>
  <c r="N228" i="3" s="1"/>
  <c r="E228" i="3"/>
  <c r="U227" i="3"/>
  <c r="T227" i="3"/>
  <c r="K227" i="3"/>
  <c r="AG219" i="3" s="1"/>
  <c r="AG225" i="3" s="1"/>
  <c r="J227" i="3"/>
  <c r="H227" i="3"/>
  <c r="I227" i="3" s="1"/>
  <c r="G227" i="3"/>
  <c r="F227" i="3"/>
  <c r="N227" i="3" s="1"/>
  <c r="E227" i="3"/>
  <c r="U226" i="3"/>
  <c r="AQ230" i="3" s="1"/>
  <c r="T226" i="3"/>
  <c r="K226" i="3"/>
  <c r="AG230" i="3" s="1"/>
  <c r="J226" i="3"/>
  <c r="AF230" i="3" s="1"/>
  <c r="H226" i="3"/>
  <c r="I226" i="3" s="1"/>
  <c r="G226" i="3"/>
  <c r="AC230" i="3" s="1"/>
  <c r="F226" i="3"/>
  <c r="N226" i="3" s="1"/>
  <c r="E226" i="3"/>
  <c r="AA230" i="3" s="1"/>
  <c r="Z225" i="3"/>
  <c r="T225" i="3"/>
  <c r="K225" i="3"/>
  <c r="AG238" i="3" s="1"/>
  <c r="J225" i="3"/>
  <c r="L225" i="3" s="1"/>
  <c r="AH238" i="3" s="1"/>
  <c r="H225" i="3"/>
  <c r="AD238" i="3" s="1"/>
  <c r="G225" i="3"/>
  <c r="I225" i="3" s="1"/>
  <c r="AE238" i="3" s="1"/>
  <c r="F225" i="3"/>
  <c r="AB238" i="3" s="1"/>
  <c r="E225" i="3"/>
  <c r="AA238" i="3" s="1"/>
  <c r="AM224" i="3"/>
  <c r="AK224" i="3"/>
  <c r="AG224" i="3"/>
  <c r="AD224" i="3"/>
  <c r="AC224" i="3"/>
  <c r="AB224" i="3"/>
  <c r="AJ224" i="3" s="1"/>
  <c r="AA224" i="3"/>
  <c r="Z224" i="3"/>
  <c r="K224" i="3"/>
  <c r="AG229" i="3" s="1"/>
  <c r="J224" i="3"/>
  <c r="L224" i="3" s="1"/>
  <c r="AH229" i="3" s="1"/>
  <c r="H224" i="3"/>
  <c r="AD229" i="3" s="1"/>
  <c r="G224" i="3"/>
  <c r="F224" i="3"/>
  <c r="AB229" i="3" s="1"/>
  <c r="AJ229" i="3" s="1"/>
  <c r="E224" i="3"/>
  <c r="AA229" i="3" s="1"/>
  <c r="AP223" i="3"/>
  <c r="AM223" i="3"/>
  <c r="AK223" i="3"/>
  <c r="AG223" i="3"/>
  <c r="AF223" i="3"/>
  <c r="AD223" i="3"/>
  <c r="AC223" i="3"/>
  <c r="AB223" i="3"/>
  <c r="AJ223" i="3" s="1"/>
  <c r="Z223" i="3"/>
  <c r="U223" i="3"/>
  <c r="AQ228" i="3" s="1"/>
  <c r="T223" i="3"/>
  <c r="AP228" i="3" s="1"/>
  <c r="K223" i="3"/>
  <c r="AG228" i="3" s="1"/>
  <c r="AG234" i="3" s="1"/>
  <c r="J223" i="3"/>
  <c r="H223" i="3"/>
  <c r="AD228" i="3" s="1"/>
  <c r="G223" i="3"/>
  <c r="I223" i="3" s="1"/>
  <c r="F223" i="3"/>
  <c r="AB228" i="3" s="1"/>
  <c r="E223" i="3"/>
  <c r="AA228" i="3" s="1"/>
  <c r="AM222" i="3"/>
  <c r="AK222" i="3"/>
  <c r="AG222" i="3"/>
  <c r="AF222" i="3"/>
  <c r="AC222" i="3"/>
  <c r="AB222" i="3"/>
  <c r="AA222" i="3"/>
  <c r="Z222" i="3"/>
  <c r="N222" i="3"/>
  <c r="K222" i="3"/>
  <c r="J222" i="3"/>
  <c r="L222" i="3" s="1"/>
  <c r="H222" i="3"/>
  <c r="I222" i="3" s="1"/>
  <c r="G222" i="3"/>
  <c r="G240" i="3" s="1"/>
  <c r="F222" i="3"/>
  <c r="E222" i="3"/>
  <c r="AM221" i="3"/>
  <c r="AK221" i="3"/>
  <c r="AG221" i="3"/>
  <c r="AF221" i="3"/>
  <c r="AD221" i="3"/>
  <c r="AC221" i="3"/>
  <c r="AB221" i="3"/>
  <c r="AJ221" i="3" s="1"/>
  <c r="AA221" i="3"/>
  <c r="Z221" i="3"/>
  <c r="AP220" i="3"/>
  <c r="AM220" i="3"/>
  <c r="AF220" i="3"/>
  <c r="AD220" i="3"/>
  <c r="AC220" i="3"/>
  <c r="AB220" i="3"/>
  <c r="AJ220" i="3" s="1"/>
  <c r="AA220" i="3"/>
  <c r="Z220" i="3"/>
  <c r="AQ219" i="3"/>
  <c r="AP219" i="3"/>
  <c r="AM219" i="3"/>
  <c r="AK219" i="3"/>
  <c r="AK225" i="3" s="1"/>
  <c r="AF219" i="3"/>
  <c r="AD219" i="3"/>
  <c r="AD225" i="3" s="1"/>
  <c r="AC219" i="3"/>
  <c r="AC225" i="3" s="1"/>
  <c r="AB219" i="3"/>
  <c r="AB225" i="3" s="1"/>
  <c r="AJ225" i="3" s="1"/>
  <c r="AA219" i="3"/>
  <c r="AA225" i="3" s="1"/>
  <c r="Z219" i="3"/>
  <c r="AK216" i="3"/>
  <c r="AM215" i="3"/>
  <c r="AK215" i="3"/>
  <c r="AF215" i="3"/>
  <c r="Z215" i="3"/>
  <c r="AM214" i="3"/>
  <c r="AK214" i="3"/>
  <c r="AA214" i="3"/>
  <c r="Z214" i="3"/>
  <c r="AM213" i="3"/>
  <c r="AK213" i="3"/>
  <c r="AD213" i="3"/>
  <c r="Z213" i="3"/>
  <c r="O213" i="3"/>
  <c r="J213" i="3"/>
  <c r="D213" i="3"/>
  <c r="AM212" i="3"/>
  <c r="AK212" i="3"/>
  <c r="AA212" i="3"/>
  <c r="Z212" i="3"/>
  <c r="N212" i="3"/>
  <c r="K212" i="3"/>
  <c r="J212" i="3"/>
  <c r="L212" i="3" s="1"/>
  <c r="AH197" i="3" s="1"/>
  <c r="H212" i="3"/>
  <c r="G212" i="3"/>
  <c r="I212" i="3" s="1"/>
  <c r="F212" i="3"/>
  <c r="E212" i="3"/>
  <c r="AM211" i="3"/>
  <c r="AK211" i="3"/>
  <c r="AD211" i="3"/>
  <c r="Z211" i="3"/>
  <c r="K211" i="3"/>
  <c r="J211" i="3"/>
  <c r="L211" i="3" s="1"/>
  <c r="AH196" i="3" s="1"/>
  <c r="I211" i="3"/>
  <c r="H211" i="3"/>
  <c r="G211" i="3"/>
  <c r="F211" i="3"/>
  <c r="N211" i="3" s="1"/>
  <c r="E211" i="3"/>
  <c r="AM210" i="3"/>
  <c r="AK210" i="3"/>
  <c r="AG210" i="3"/>
  <c r="Z210" i="3"/>
  <c r="Z216" i="3" s="1"/>
  <c r="L210" i="3"/>
  <c r="AH206" i="3" s="1"/>
  <c r="K210" i="3"/>
  <c r="J210" i="3"/>
  <c r="I210" i="3"/>
  <c r="H210" i="3"/>
  <c r="G210" i="3"/>
  <c r="F210" i="3"/>
  <c r="T210" i="3" s="1"/>
  <c r="E210" i="3"/>
  <c r="L209" i="3"/>
  <c r="AH205" i="3" s="1"/>
  <c r="K209" i="3"/>
  <c r="J209" i="3"/>
  <c r="I209" i="3"/>
  <c r="H209" i="3"/>
  <c r="G209" i="3"/>
  <c r="F209" i="3"/>
  <c r="T209" i="3" s="1"/>
  <c r="E209" i="3"/>
  <c r="L208" i="3"/>
  <c r="AH195" i="3" s="1"/>
  <c r="K208" i="3"/>
  <c r="J208" i="3"/>
  <c r="I208" i="3"/>
  <c r="M208" i="3" s="1"/>
  <c r="H208" i="3"/>
  <c r="G208" i="3"/>
  <c r="F208" i="3"/>
  <c r="T208" i="3" s="1"/>
  <c r="E208" i="3"/>
  <c r="N207" i="3"/>
  <c r="K207" i="3"/>
  <c r="J207" i="3"/>
  <c r="L207" i="3" s="1"/>
  <c r="AH204" i="3" s="1"/>
  <c r="H207" i="3"/>
  <c r="G207" i="3"/>
  <c r="I207" i="3" s="1"/>
  <c r="F207" i="3"/>
  <c r="E207" i="3"/>
  <c r="AM206" i="3"/>
  <c r="AK206" i="3"/>
  <c r="AG206" i="3"/>
  <c r="AF206" i="3"/>
  <c r="AE206" i="3"/>
  <c r="AD206" i="3"/>
  <c r="AC206" i="3"/>
  <c r="AB206" i="3"/>
  <c r="AJ206" i="3" s="1"/>
  <c r="AA206" i="3"/>
  <c r="Z206" i="3"/>
  <c r="K206" i="3"/>
  <c r="AG215" i="3" s="1"/>
  <c r="J206" i="3"/>
  <c r="L206" i="3" s="1"/>
  <c r="AH215" i="3" s="1"/>
  <c r="I206" i="3"/>
  <c r="H206" i="3"/>
  <c r="AD215" i="3" s="1"/>
  <c r="G206" i="3"/>
  <c r="AC215" i="3" s="1"/>
  <c r="F206" i="3"/>
  <c r="N206" i="3" s="1"/>
  <c r="E206" i="3"/>
  <c r="AA215" i="3" s="1"/>
  <c r="AM205" i="3"/>
  <c r="AK205" i="3"/>
  <c r="AG205" i="3"/>
  <c r="AF205" i="3"/>
  <c r="AE205" i="3"/>
  <c r="AD205" i="3"/>
  <c r="AC205" i="3"/>
  <c r="AB205" i="3"/>
  <c r="AJ205" i="3" s="1"/>
  <c r="AA205" i="3"/>
  <c r="Z205" i="3"/>
  <c r="L205" i="3"/>
  <c r="AH214" i="3" s="1"/>
  <c r="K205" i="3"/>
  <c r="AG214" i="3" s="1"/>
  <c r="J205" i="3"/>
  <c r="AF214" i="3" s="1"/>
  <c r="I205" i="3"/>
  <c r="AE214" i="3" s="1"/>
  <c r="H205" i="3"/>
  <c r="AD214" i="3" s="1"/>
  <c r="G205" i="3"/>
  <c r="AC214" i="3" s="1"/>
  <c r="F205" i="3"/>
  <c r="T205" i="3" s="1"/>
  <c r="E205" i="3"/>
  <c r="AM204" i="3"/>
  <c r="AG204" i="3"/>
  <c r="AF204" i="3"/>
  <c r="AD204" i="3"/>
  <c r="AC204" i="3"/>
  <c r="AA204" i="3"/>
  <c r="Z204" i="3"/>
  <c r="K204" i="3"/>
  <c r="AG213" i="3" s="1"/>
  <c r="J204" i="3"/>
  <c r="L204" i="3" s="1"/>
  <c r="AH213" i="3" s="1"/>
  <c r="H204" i="3"/>
  <c r="G204" i="3"/>
  <c r="AC213" i="3" s="1"/>
  <c r="F204" i="3"/>
  <c r="N204" i="3" s="1"/>
  <c r="E204" i="3"/>
  <c r="AA213" i="3" s="1"/>
  <c r="AM203" i="3"/>
  <c r="AK203" i="3"/>
  <c r="AD203" i="3"/>
  <c r="Z203" i="3"/>
  <c r="K203" i="3"/>
  <c r="AG212" i="3" s="1"/>
  <c r="J203" i="3"/>
  <c r="AF212" i="3" s="1"/>
  <c r="I203" i="3"/>
  <c r="H203" i="3"/>
  <c r="AD212" i="3" s="1"/>
  <c r="G203" i="3"/>
  <c r="AC212" i="3" s="1"/>
  <c r="F203" i="3"/>
  <c r="N203" i="3" s="1"/>
  <c r="E203" i="3"/>
  <c r="AM202" i="3"/>
  <c r="AK202" i="3"/>
  <c r="AG202" i="3"/>
  <c r="Z202" i="3"/>
  <c r="L202" i="3"/>
  <c r="AH194" i="3" s="1"/>
  <c r="K202" i="3"/>
  <c r="J202" i="3"/>
  <c r="I202" i="3"/>
  <c r="H202" i="3"/>
  <c r="G202" i="3"/>
  <c r="F202" i="3"/>
  <c r="T202" i="3" s="1"/>
  <c r="U202" i="3" s="1"/>
  <c r="AQ194" i="3" s="1"/>
  <c r="E202" i="3"/>
  <c r="AM201" i="3"/>
  <c r="AK201" i="3"/>
  <c r="AK207" i="3" s="1"/>
  <c r="AB201" i="3"/>
  <c r="Z201" i="3"/>
  <c r="Z207" i="3" s="1"/>
  <c r="L201" i="3"/>
  <c r="K201" i="3"/>
  <c r="J201" i="3"/>
  <c r="H201" i="3"/>
  <c r="G201" i="3"/>
  <c r="F201" i="3"/>
  <c r="N201" i="3" s="1"/>
  <c r="E201" i="3"/>
  <c r="K200" i="3"/>
  <c r="J200" i="3"/>
  <c r="L200" i="3" s="1"/>
  <c r="AH192" i="3" s="1"/>
  <c r="H200" i="3"/>
  <c r="G200" i="3"/>
  <c r="F200" i="3"/>
  <c r="N200" i="3" s="1"/>
  <c r="E200" i="3"/>
  <c r="K199" i="3"/>
  <c r="AG203" i="3" s="1"/>
  <c r="J199" i="3"/>
  <c r="L199" i="3" s="1"/>
  <c r="AH203" i="3" s="1"/>
  <c r="H199" i="3"/>
  <c r="G199" i="3"/>
  <c r="F199" i="3"/>
  <c r="N199" i="3" s="1"/>
  <c r="E199" i="3"/>
  <c r="AA203" i="3" s="1"/>
  <c r="AD198" i="3"/>
  <c r="K198" i="3"/>
  <c r="AG211" i="3" s="1"/>
  <c r="J198" i="3"/>
  <c r="L198" i="3" s="1"/>
  <c r="AH211" i="3" s="1"/>
  <c r="I198" i="3"/>
  <c r="H198" i="3"/>
  <c r="G198" i="3"/>
  <c r="AC211" i="3" s="1"/>
  <c r="F198" i="3"/>
  <c r="AB211" i="3" s="1"/>
  <c r="E198" i="3"/>
  <c r="AA211" i="3" s="1"/>
  <c r="AM197" i="3"/>
  <c r="AK197" i="3"/>
  <c r="AG197" i="3"/>
  <c r="AF197" i="3"/>
  <c r="AD197" i="3"/>
  <c r="AC197" i="3"/>
  <c r="AA197" i="3"/>
  <c r="Z197" i="3"/>
  <c r="L197" i="3"/>
  <c r="AH202" i="3" s="1"/>
  <c r="K197" i="3"/>
  <c r="J197" i="3"/>
  <c r="AF202" i="3" s="1"/>
  <c r="H197" i="3"/>
  <c r="AD202" i="3" s="1"/>
  <c r="G197" i="3"/>
  <c r="I197" i="3" s="1"/>
  <c r="F197" i="3"/>
  <c r="T197" i="3" s="1"/>
  <c r="E197" i="3"/>
  <c r="AA202" i="3" s="1"/>
  <c r="AM196" i="3"/>
  <c r="AK196" i="3"/>
  <c r="AG196" i="3"/>
  <c r="AF196" i="3"/>
  <c r="AD196" i="3"/>
  <c r="AC196" i="3"/>
  <c r="AB196" i="3"/>
  <c r="AJ196" i="3" s="1"/>
  <c r="AA196" i="3"/>
  <c r="Z196" i="3"/>
  <c r="K196" i="3"/>
  <c r="AG201" i="3" s="1"/>
  <c r="AG207" i="3" s="1"/>
  <c r="J196" i="3"/>
  <c r="L196" i="3" s="1"/>
  <c r="AH201" i="3" s="1"/>
  <c r="H196" i="3"/>
  <c r="AD201" i="3" s="1"/>
  <c r="G196" i="3"/>
  <c r="F196" i="3"/>
  <c r="N196" i="3" s="1"/>
  <c r="E196" i="3"/>
  <c r="AA201" i="3" s="1"/>
  <c r="AJ201" i="3" s="1"/>
  <c r="AM195" i="3"/>
  <c r="AK195" i="3"/>
  <c r="AG195" i="3"/>
  <c r="AF195" i="3"/>
  <c r="AE195" i="3"/>
  <c r="AD195" i="3"/>
  <c r="AC195" i="3"/>
  <c r="AB195" i="3"/>
  <c r="AA195" i="3"/>
  <c r="Z195" i="3"/>
  <c r="T195" i="3"/>
  <c r="K195" i="3"/>
  <c r="K213" i="3" s="1"/>
  <c r="J195" i="3"/>
  <c r="H195" i="3"/>
  <c r="I195" i="3" s="1"/>
  <c r="G195" i="3"/>
  <c r="G213" i="3" s="1"/>
  <c r="F195" i="3"/>
  <c r="F213" i="3" s="1"/>
  <c r="N213" i="3" s="1"/>
  <c r="E195" i="3"/>
  <c r="E213" i="3" s="1"/>
  <c r="AP194" i="3"/>
  <c r="AM194" i="3"/>
  <c r="AK194" i="3"/>
  <c r="AG194" i="3"/>
  <c r="AF194" i="3"/>
  <c r="AE194" i="3"/>
  <c r="AD194" i="3"/>
  <c r="AC194" i="3"/>
  <c r="AB194" i="3"/>
  <c r="AJ194" i="3" s="1"/>
  <c r="AA194" i="3"/>
  <c r="Z194" i="3"/>
  <c r="AM193" i="3"/>
  <c r="AJ193" i="3"/>
  <c r="AH193" i="3"/>
  <c r="AG193" i="3"/>
  <c r="AF193" i="3"/>
  <c r="AD193" i="3"/>
  <c r="AB193" i="3"/>
  <c r="AA193" i="3"/>
  <c r="Z193" i="3"/>
  <c r="AM192" i="3"/>
  <c r="AK192" i="3"/>
  <c r="AK198" i="3" s="1"/>
  <c r="AG192" i="3"/>
  <c r="AG198" i="3" s="1"/>
  <c r="AF192" i="3"/>
  <c r="AF198" i="3" s="1"/>
  <c r="AD192" i="3"/>
  <c r="AB192" i="3"/>
  <c r="AA192" i="3"/>
  <c r="AA198" i="3" s="1"/>
  <c r="Z192" i="3"/>
  <c r="Z198" i="3" s="1"/>
  <c r="AM188" i="3"/>
  <c r="AK188" i="3"/>
  <c r="Z188" i="3"/>
  <c r="AM187" i="3"/>
  <c r="AK187" i="3"/>
  <c r="Z187" i="3"/>
  <c r="AM186" i="3"/>
  <c r="AK186" i="3"/>
  <c r="AA186" i="3"/>
  <c r="Z186" i="3"/>
  <c r="O186" i="3"/>
  <c r="D186" i="3"/>
  <c r="AM185" i="3"/>
  <c r="AK185" i="3"/>
  <c r="AF185" i="3"/>
  <c r="Z185" i="3"/>
  <c r="U185" i="3"/>
  <c r="AQ170" i="3" s="1"/>
  <c r="T185" i="3"/>
  <c r="K185" i="3"/>
  <c r="AG170" i="3" s="1"/>
  <c r="J185" i="3"/>
  <c r="AF170" i="3" s="1"/>
  <c r="H185" i="3"/>
  <c r="G185" i="3"/>
  <c r="I185" i="3" s="1"/>
  <c r="F185" i="3"/>
  <c r="N185" i="3" s="1"/>
  <c r="E185" i="3"/>
  <c r="AM184" i="3"/>
  <c r="AK184" i="3"/>
  <c r="AA184" i="3"/>
  <c r="Z184" i="3"/>
  <c r="K184" i="3"/>
  <c r="J184" i="3"/>
  <c r="L184" i="3" s="1"/>
  <c r="AH169" i="3" s="1"/>
  <c r="H184" i="3"/>
  <c r="G184" i="3"/>
  <c r="I184" i="3" s="1"/>
  <c r="F184" i="3"/>
  <c r="E184" i="3"/>
  <c r="AA169" i="3" s="1"/>
  <c r="AM183" i="3"/>
  <c r="AK183" i="3"/>
  <c r="AK189" i="3" s="1"/>
  <c r="AD183" i="3"/>
  <c r="Z183" i="3"/>
  <c r="Z189" i="3" s="1"/>
  <c r="K183" i="3"/>
  <c r="J183" i="3"/>
  <c r="L183" i="3" s="1"/>
  <c r="AH179" i="3" s="1"/>
  <c r="I183" i="3"/>
  <c r="H183" i="3"/>
  <c r="AD179" i="3" s="1"/>
  <c r="G183" i="3"/>
  <c r="AC179" i="3" s="1"/>
  <c r="F183" i="3"/>
  <c r="N183" i="3" s="1"/>
  <c r="E183" i="3"/>
  <c r="K182" i="3"/>
  <c r="J182" i="3"/>
  <c r="L182" i="3" s="1"/>
  <c r="AH178" i="3" s="1"/>
  <c r="I182" i="3"/>
  <c r="H182" i="3"/>
  <c r="G182" i="3"/>
  <c r="F182" i="3"/>
  <c r="N182" i="3" s="1"/>
  <c r="E182" i="3"/>
  <c r="AA178" i="3" s="1"/>
  <c r="K181" i="3"/>
  <c r="J181" i="3"/>
  <c r="L181" i="3" s="1"/>
  <c r="AH168" i="3" s="1"/>
  <c r="I181" i="3"/>
  <c r="H181" i="3"/>
  <c r="AD168" i="3" s="1"/>
  <c r="G181" i="3"/>
  <c r="F181" i="3"/>
  <c r="N181" i="3" s="1"/>
  <c r="E181" i="3"/>
  <c r="U180" i="3"/>
  <c r="AQ177" i="3" s="1"/>
  <c r="T180" i="3"/>
  <c r="AP177" i="3" s="1"/>
  <c r="K180" i="3"/>
  <c r="AG177" i="3" s="1"/>
  <c r="J180" i="3"/>
  <c r="H180" i="3"/>
  <c r="G180" i="3"/>
  <c r="I180" i="3" s="1"/>
  <c r="F180" i="3"/>
  <c r="N180" i="3" s="1"/>
  <c r="E180" i="3"/>
  <c r="AM179" i="3"/>
  <c r="AK179" i="3"/>
  <c r="AG179" i="3"/>
  <c r="AF179" i="3"/>
  <c r="AB179" i="3"/>
  <c r="AA179" i="3"/>
  <c r="Z179" i="3"/>
  <c r="K179" i="3"/>
  <c r="AG188" i="3" s="1"/>
  <c r="J179" i="3"/>
  <c r="AF188" i="3" s="1"/>
  <c r="H179" i="3"/>
  <c r="AD188" i="3" s="1"/>
  <c r="G179" i="3"/>
  <c r="AC188" i="3" s="1"/>
  <c r="F179" i="3"/>
  <c r="E179" i="3"/>
  <c r="AA188" i="3" s="1"/>
  <c r="AM178" i="3"/>
  <c r="AK178" i="3"/>
  <c r="AG178" i="3"/>
  <c r="AF178" i="3"/>
  <c r="AD178" i="3"/>
  <c r="AC178" i="3"/>
  <c r="AB178" i="3"/>
  <c r="AJ178" i="3" s="1"/>
  <c r="Z178" i="3"/>
  <c r="K178" i="3"/>
  <c r="AG187" i="3" s="1"/>
  <c r="J178" i="3"/>
  <c r="AF187" i="3" s="1"/>
  <c r="I178" i="3"/>
  <c r="H178" i="3"/>
  <c r="AD187" i="3" s="1"/>
  <c r="G178" i="3"/>
  <c r="AC187" i="3" s="1"/>
  <c r="F178" i="3"/>
  <c r="AB187" i="3" s="1"/>
  <c r="E178" i="3"/>
  <c r="AA187" i="3" s="1"/>
  <c r="AM177" i="3"/>
  <c r="AF177" i="3"/>
  <c r="AD177" i="3"/>
  <c r="AB177" i="3"/>
  <c r="AJ177" i="3" s="1"/>
  <c r="AA177" i="3"/>
  <c r="Z177" i="3"/>
  <c r="U177" i="3"/>
  <c r="AQ186" i="3" s="1"/>
  <c r="T177" i="3"/>
  <c r="AP186" i="3" s="1"/>
  <c r="K177" i="3"/>
  <c r="AG186" i="3" s="1"/>
  <c r="J177" i="3"/>
  <c r="AF186" i="3" s="1"/>
  <c r="H177" i="3"/>
  <c r="AD186" i="3" s="1"/>
  <c r="G177" i="3"/>
  <c r="AC186" i="3" s="1"/>
  <c r="F177" i="3"/>
  <c r="AB186" i="3" s="1"/>
  <c r="E177" i="3"/>
  <c r="AQ176" i="3"/>
  <c r="AP176" i="3"/>
  <c r="AM176" i="3"/>
  <c r="AK176" i="3"/>
  <c r="AA176" i="3"/>
  <c r="Z176" i="3"/>
  <c r="N176" i="3"/>
  <c r="K176" i="3"/>
  <c r="AG185" i="3" s="1"/>
  <c r="J176" i="3"/>
  <c r="L176" i="3" s="1"/>
  <c r="AH185" i="3" s="1"/>
  <c r="H176" i="3"/>
  <c r="AD185" i="3" s="1"/>
  <c r="G176" i="3"/>
  <c r="AC185" i="3" s="1"/>
  <c r="F176" i="3"/>
  <c r="E176" i="3"/>
  <c r="AA185" i="3" s="1"/>
  <c r="AM175" i="3"/>
  <c r="AK175" i="3"/>
  <c r="AD175" i="3"/>
  <c r="AC175" i="3"/>
  <c r="Z175" i="3"/>
  <c r="K175" i="3"/>
  <c r="J175" i="3"/>
  <c r="L175" i="3" s="1"/>
  <c r="AH167" i="3" s="1"/>
  <c r="I175" i="3"/>
  <c r="H175" i="3"/>
  <c r="G175" i="3"/>
  <c r="F175" i="3"/>
  <c r="N175" i="3" s="1"/>
  <c r="E175" i="3"/>
  <c r="AM174" i="3"/>
  <c r="AK174" i="3"/>
  <c r="AK180" i="3" s="1"/>
  <c r="AG174" i="3"/>
  <c r="AG180" i="3" s="1"/>
  <c r="AF174" i="3"/>
  <c r="AC174" i="3"/>
  <c r="Z174" i="3"/>
  <c r="Z180" i="3" s="1"/>
  <c r="U174" i="3"/>
  <c r="AQ166" i="3" s="1"/>
  <c r="T174" i="3"/>
  <c r="L174" i="3"/>
  <c r="AH166" i="3" s="1"/>
  <c r="K174" i="3"/>
  <c r="J174" i="3"/>
  <c r="H174" i="3"/>
  <c r="I174" i="3" s="1"/>
  <c r="G174" i="3"/>
  <c r="F174" i="3"/>
  <c r="N174" i="3" s="1"/>
  <c r="E174" i="3"/>
  <c r="U173" i="3"/>
  <c r="T173" i="3"/>
  <c r="L173" i="3"/>
  <c r="AH165" i="3" s="1"/>
  <c r="K173" i="3"/>
  <c r="AG165" i="3" s="1"/>
  <c r="J173" i="3"/>
  <c r="H173" i="3"/>
  <c r="I173" i="3" s="1"/>
  <c r="G173" i="3"/>
  <c r="F173" i="3"/>
  <c r="N173" i="3" s="1"/>
  <c r="E173" i="3"/>
  <c r="U172" i="3"/>
  <c r="T172" i="3"/>
  <c r="L172" i="3"/>
  <c r="AH176" i="3" s="1"/>
  <c r="K172" i="3"/>
  <c r="AG176" i="3" s="1"/>
  <c r="J172" i="3"/>
  <c r="AF176" i="3" s="1"/>
  <c r="H172" i="3"/>
  <c r="I172" i="3" s="1"/>
  <c r="G172" i="3"/>
  <c r="AC176" i="3" s="1"/>
  <c r="F172" i="3"/>
  <c r="N172" i="3" s="1"/>
  <c r="E172" i="3"/>
  <c r="AA171" i="3"/>
  <c r="K171" i="3"/>
  <c r="AG184" i="3" s="1"/>
  <c r="J171" i="3"/>
  <c r="L171" i="3" s="1"/>
  <c r="AH184" i="3" s="1"/>
  <c r="H171" i="3"/>
  <c r="AD184" i="3" s="1"/>
  <c r="G171" i="3"/>
  <c r="I171" i="3" s="1"/>
  <c r="F171" i="3"/>
  <c r="N171" i="3" s="1"/>
  <c r="E171" i="3"/>
  <c r="AP170" i="3"/>
  <c r="AM170" i="3"/>
  <c r="AK170" i="3"/>
  <c r="AD170" i="3"/>
  <c r="AC170" i="3"/>
  <c r="AB170" i="3"/>
  <c r="AJ170" i="3" s="1"/>
  <c r="AA170" i="3"/>
  <c r="Z170" i="3"/>
  <c r="Z171" i="3" s="1"/>
  <c r="K170" i="3"/>
  <c r="AG175" i="3" s="1"/>
  <c r="J170" i="3"/>
  <c r="L170" i="3" s="1"/>
  <c r="AH175" i="3" s="1"/>
  <c r="I170" i="3"/>
  <c r="H170" i="3"/>
  <c r="G170" i="3"/>
  <c r="F170" i="3"/>
  <c r="AB175" i="3" s="1"/>
  <c r="AJ175" i="3" s="1"/>
  <c r="E170" i="3"/>
  <c r="AA175" i="3" s="1"/>
  <c r="AM169" i="3"/>
  <c r="AK169" i="3"/>
  <c r="AG169" i="3"/>
  <c r="AF169" i="3"/>
  <c r="AD169" i="3"/>
  <c r="AC169" i="3"/>
  <c r="Z169" i="3"/>
  <c r="U169" i="3"/>
  <c r="AQ174" i="3" s="1"/>
  <c r="T169" i="3"/>
  <c r="AP174" i="3" s="1"/>
  <c r="L169" i="3"/>
  <c r="AH174" i="3" s="1"/>
  <c r="K169" i="3"/>
  <c r="J169" i="3"/>
  <c r="H169" i="3"/>
  <c r="AD174" i="3" s="1"/>
  <c r="G169" i="3"/>
  <c r="F169" i="3"/>
  <c r="AB174" i="3" s="1"/>
  <c r="E169" i="3"/>
  <c r="AA174" i="3" s="1"/>
  <c r="AM168" i="3"/>
  <c r="AK168" i="3"/>
  <c r="AJ168" i="3"/>
  <c r="AG168" i="3"/>
  <c r="AF168" i="3"/>
  <c r="AC168" i="3"/>
  <c r="AB168" i="3"/>
  <c r="AA168" i="3"/>
  <c r="Z168" i="3"/>
  <c r="K168" i="3"/>
  <c r="L168" i="3" s="1"/>
  <c r="J168" i="3"/>
  <c r="J186" i="3" s="1"/>
  <c r="H168" i="3"/>
  <c r="H186" i="3" s="1"/>
  <c r="G168" i="3"/>
  <c r="G186" i="3" s="1"/>
  <c r="F168" i="3"/>
  <c r="E168" i="3"/>
  <c r="E186" i="3" s="1"/>
  <c r="AM167" i="3"/>
  <c r="AK167" i="3"/>
  <c r="AG167" i="3"/>
  <c r="AF167" i="3"/>
  <c r="AD167" i="3"/>
  <c r="AC167" i="3"/>
  <c r="AB167" i="3"/>
  <c r="AJ167" i="3" s="1"/>
  <c r="AA167" i="3"/>
  <c r="Z167" i="3"/>
  <c r="AP166" i="3"/>
  <c r="AM166" i="3"/>
  <c r="AG166" i="3"/>
  <c r="AF166" i="3"/>
  <c r="AC166" i="3"/>
  <c r="AB166" i="3"/>
  <c r="AJ166" i="3" s="1"/>
  <c r="AA166" i="3"/>
  <c r="Z166" i="3"/>
  <c r="AQ165" i="3"/>
  <c r="AP165" i="3"/>
  <c r="AM165" i="3"/>
  <c r="AK165" i="3"/>
  <c r="AK171" i="3" s="1"/>
  <c r="AJ165" i="3"/>
  <c r="AF165" i="3"/>
  <c r="AC165" i="3"/>
  <c r="AC171" i="3" s="1"/>
  <c r="AB165" i="3"/>
  <c r="AA165" i="3"/>
  <c r="Z165" i="3"/>
  <c r="AM161" i="3"/>
  <c r="AK161" i="3"/>
  <c r="AK162" i="3" s="1"/>
  <c r="AG161" i="3"/>
  <c r="AC161" i="3"/>
  <c r="Z161" i="3"/>
  <c r="AM160" i="3"/>
  <c r="AK160" i="3"/>
  <c r="AJ160" i="3"/>
  <c r="AF160" i="3"/>
  <c r="AB160" i="3"/>
  <c r="Z160" i="3"/>
  <c r="AM159" i="3"/>
  <c r="AK159" i="3"/>
  <c r="AD159" i="3"/>
  <c r="AA159" i="3"/>
  <c r="Z159" i="3"/>
  <c r="O159" i="3"/>
  <c r="K159" i="3"/>
  <c r="D159" i="3"/>
  <c r="AM158" i="3"/>
  <c r="AK158" i="3"/>
  <c r="AB158" i="3"/>
  <c r="AJ158" i="3" s="1"/>
  <c r="AA158" i="3"/>
  <c r="Z158" i="3"/>
  <c r="K158" i="3"/>
  <c r="J158" i="3"/>
  <c r="L158" i="3" s="1"/>
  <c r="AH143" i="3" s="1"/>
  <c r="H158" i="3"/>
  <c r="G158" i="3"/>
  <c r="F158" i="3"/>
  <c r="N158" i="3" s="1"/>
  <c r="E158" i="3"/>
  <c r="AM157" i="3"/>
  <c r="AK157" i="3"/>
  <c r="AE157" i="3"/>
  <c r="Z157" i="3"/>
  <c r="T157" i="3"/>
  <c r="K157" i="3"/>
  <c r="J157" i="3"/>
  <c r="I157" i="3"/>
  <c r="H157" i="3"/>
  <c r="G157" i="3"/>
  <c r="F157" i="3"/>
  <c r="N157" i="3" s="1"/>
  <c r="E157" i="3"/>
  <c r="AP156" i="3"/>
  <c r="AM156" i="3"/>
  <c r="AK156" i="3"/>
  <c r="Z156" i="3"/>
  <c r="Z162" i="3" s="1"/>
  <c r="M156" i="3"/>
  <c r="L156" i="3"/>
  <c r="AH152" i="3" s="1"/>
  <c r="K156" i="3"/>
  <c r="J156" i="3"/>
  <c r="I156" i="3"/>
  <c r="H156" i="3"/>
  <c r="G156" i="3"/>
  <c r="F156" i="3"/>
  <c r="T156" i="3" s="1"/>
  <c r="E156" i="3"/>
  <c r="AA152" i="3" s="1"/>
  <c r="M155" i="3"/>
  <c r="L155" i="3"/>
  <c r="K155" i="3"/>
  <c r="J155" i="3"/>
  <c r="I155" i="3"/>
  <c r="AE151" i="3" s="1"/>
  <c r="H155" i="3"/>
  <c r="G155" i="3"/>
  <c r="F155" i="3"/>
  <c r="T155" i="3" s="1"/>
  <c r="E155" i="3"/>
  <c r="AA151" i="3" s="1"/>
  <c r="M154" i="3"/>
  <c r="L154" i="3"/>
  <c r="K154" i="3"/>
  <c r="J154" i="3"/>
  <c r="I154" i="3"/>
  <c r="H154" i="3"/>
  <c r="G154" i="3"/>
  <c r="F154" i="3"/>
  <c r="T154" i="3" s="1"/>
  <c r="E154" i="3"/>
  <c r="AA141" i="3" s="1"/>
  <c r="K153" i="3"/>
  <c r="AG150" i="3" s="1"/>
  <c r="J153" i="3"/>
  <c r="L153" i="3" s="1"/>
  <c r="AH150" i="3" s="1"/>
  <c r="H153" i="3"/>
  <c r="G153" i="3"/>
  <c r="F153" i="3"/>
  <c r="N153" i="3" s="1"/>
  <c r="E153" i="3"/>
  <c r="AM152" i="3"/>
  <c r="AK152" i="3"/>
  <c r="AG152" i="3"/>
  <c r="AF152" i="3"/>
  <c r="AE152" i="3"/>
  <c r="AD152" i="3"/>
  <c r="AC152" i="3"/>
  <c r="AB152" i="3"/>
  <c r="AJ152" i="3" s="1"/>
  <c r="Z152" i="3"/>
  <c r="T152" i="3"/>
  <c r="K152" i="3"/>
  <c r="J152" i="3"/>
  <c r="I152" i="3"/>
  <c r="AE161" i="3" s="1"/>
  <c r="H152" i="3"/>
  <c r="AD161" i="3" s="1"/>
  <c r="G152" i="3"/>
  <c r="F152" i="3"/>
  <c r="N152" i="3" s="1"/>
  <c r="E152" i="3"/>
  <c r="AA161" i="3" s="1"/>
  <c r="AP151" i="3"/>
  <c r="AM151" i="3"/>
  <c r="AK151" i="3"/>
  <c r="AH151" i="3"/>
  <c r="AG151" i="3"/>
  <c r="AF151" i="3"/>
  <c r="AD151" i="3"/>
  <c r="AC151" i="3"/>
  <c r="AB151" i="3"/>
  <c r="AJ151" i="3" s="1"/>
  <c r="Z151" i="3"/>
  <c r="M151" i="3"/>
  <c r="L151" i="3"/>
  <c r="AH160" i="3" s="1"/>
  <c r="K151" i="3"/>
  <c r="AG160" i="3" s="1"/>
  <c r="J151" i="3"/>
  <c r="I151" i="3"/>
  <c r="AE160" i="3" s="1"/>
  <c r="H151" i="3"/>
  <c r="AD160" i="3" s="1"/>
  <c r="G151" i="3"/>
  <c r="AC160" i="3" s="1"/>
  <c r="F151" i="3"/>
  <c r="T151" i="3" s="1"/>
  <c r="E151" i="3"/>
  <c r="AA160" i="3" s="1"/>
  <c r="AM150" i="3"/>
  <c r="AF150" i="3"/>
  <c r="AD150" i="3"/>
  <c r="AB150" i="3"/>
  <c r="AJ150" i="3" s="1"/>
  <c r="AA150" i="3"/>
  <c r="Z150" i="3"/>
  <c r="K150" i="3"/>
  <c r="AG159" i="3" s="1"/>
  <c r="J150" i="3"/>
  <c r="L150" i="3" s="1"/>
  <c r="AH159" i="3" s="1"/>
  <c r="H150" i="3"/>
  <c r="G150" i="3"/>
  <c r="F150" i="3"/>
  <c r="N150" i="3" s="1"/>
  <c r="E150" i="3"/>
  <c r="AM149" i="3"/>
  <c r="AK149" i="3"/>
  <c r="AA149" i="3"/>
  <c r="Z149" i="3"/>
  <c r="T149" i="3"/>
  <c r="K149" i="3"/>
  <c r="AG158" i="3" s="1"/>
  <c r="J149" i="3"/>
  <c r="I149" i="3"/>
  <c r="AE158" i="3" s="1"/>
  <c r="H149" i="3"/>
  <c r="AD158" i="3" s="1"/>
  <c r="G149" i="3"/>
  <c r="AC158" i="3" s="1"/>
  <c r="F149" i="3"/>
  <c r="N149" i="3" s="1"/>
  <c r="E149" i="3"/>
  <c r="AP148" i="3"/>
  <c r="AM148" i="3"/>
  <c r="AK148" i="3"/>
  <c r="AH148" i="3"/>
  <c r="AG148" i="3"/>
  <c r="AD148" i="3"/>
  <c r="Z148" i="3"/>
  <c r="M148" i="3"/>
  <c r="L148" i="3"/>
  <c r="K148" i="3"/>
  <c r="J148" i="3"/>
  <c r="I148" i="3"/>
  <c r="H148" i="3"/>
  <c r="G148" i="3"/>
  <c r="F148" i="3"/>
  <c r="T148" i="3" s="1"/>
  <c r="E148" i="3"/>
  <c r="AA140" i="3" s="1"/>
  <c r="AA144" i="3" s="1"/>
  <c r="AM147" i="3"/>
  <c r="AK147" i="3"/>
  <c r="AK153" i="3" s="1"/>
  <c r="AG147" i="3"/>
  <c r="AC147" i="3"/>
  <c r="AB147" i="3"/>
  <c r="Z147" i="3"/>
  <c r="T147" i="3"/>
  <c r="U147" i="3" s="1"/>
  <c r="AQ139" i="3" s="1"/>
  <c r="L147" i="3"/>
  <c r="AH139" i="3" s="1"/>
  <c r="K147" i="3"/>
  <c r="J147" i="3"/>
  <c r="H147" i="3"/>
  <c r="AD139" i="3" s="1"/>
  <c r="G147" i="3"/>
  <c r="I147" i="3" s="1"/>
  <c r="F147" i="3"/>
  <c r="N147" i="3" s="1"/>
  <c r="E147" i="3"/>
  <c r="T146" i="3"/>
  <c r="U146" i="3" s="1"/>
  <c r="AQ138" i="3" s="1"/>
  <c r="L146" i="3"/>
  <c r="K146" i="3"/>
  <c r="J146" i="3"/>
  <c r="H146" i="3"/>
  <c r="AD138" i="3" s="1"/>
  <c r="AD144" i="3" s="1"/>
  <c r="G146" i="3"/>
  <c r="AC138" i="3" s="1"/>
  <c r="F146" i="3"/>
  <c r="N146" i="3" s="1"/>
  <c r="E146" i="3"/>
  <c r="T145" i="3"/>
  <c r="AP149" i="3" s="1"/>
  <c r="L145" i="3"/>
  <c r="AH149" i="3" s="1"/>
  <c r="K145" i="3"/>
  <c r="AG149" i="3" s="1"/>
  <c r="J145" i="3"/>
  <c r="AF149" i="3" s="1"/>
  <c r="H145" i="3"/>
  <c r="AD149" i="3" s="1"/>
  <c r="G145" i="3"/>
  <c r="AC149" i="3" s="1"/>
  <c r="F145" i="3"/>
  <c r="N145" i="3" s="1"/>
  <c r="E145" i="3"/>
  <c r="T144" i="3"/>
  <c r="K144" i="3"/>
  <c r="AG157" i="3" s="1"/>
  <c r="J144" i="3"/>
  <c r="I144" i="3"/>
  <c r="H144" i="3"/>
  <c r="AD157" i="3" s="1"/>
  <c r="G144" i="3"/>
  <c r="AC157" i="3" s="1"/>
  <c r="F144" i="3"/>
  <c r="AB157" i="3" s="1"/>
  <c r="E144" i="3"/>
  <c r="AA157" i="3" s="1"/>
  <c r="AM143" i="3"/>
  <c r="AK143" i="3"/>
  <c r="AG143" i="3"/>
  <c r="AF143" i="3"/>
  <c r="AD143" i="3"/>
  <c r="AB143" i="3"/>
  <c r="AJ143" i="3" s="1"/>
  <c r="AA143" i="3"/>
  <c r="Z143" i="3"/>
  <c r="M143" i="3"/>
  <c r="L143" i="3"/>
  <c r="K143" i="3"/>
  <c r="J143" i="3"/>
  <c r="AF148" i="3" s="1"/>
  <c r="I143" i="3"/>
  <c r="AE148" i="3" s="1"/>
  <c r="H143" i="3"/>
  <c r="G143" i="3"/>
  <c r="AC148" i="3" s="1"/>
  <c r="F143" i="3"/>
  <c r="T143" i="3" s="1"/>
  <c r="U143" i="3" s="1"/>
  <c r="AQ148" i="3" s="1"/>
  <c r="E143" i="3"/>
  <c r="AA148" i="3" s="1"/>
  <c r="AM142" i="3"/>
  <c r="AK142" i="3"/>
  <c r="AG142" i="3"/>
  <c r="AE142" i="3"/>
  <c r="AD142" i="3"/>
  <c r="AC142" i="3"/>
  <c r="AB142" i="3"/>
  <c r="AJ142" i="3" s="1"/>
  <c r="AA142" i="3"/>
  <c r="Z142" i="3"/>
  <c r="T142" i="3"/>
  <c r="AP147" i="3" s="1"/>
  <c r="L142" i="3"/>
  <c r="AH147" i="3" s="1"/>
  <c r="K142" i="3"/>
  <c r="J142" i="3"/>
  <c r="AF147" i="3" s="1"/>
  <c r="H142" i="3"/>
  <c r="AD147" i="3" s="1"/>
  <c r="AD153" i="3" s="1"/>
  <c r="G142" i="3"/>
  <c r="F142" i="3"/>
  <c r="N142" i="3" s="1"/>
  <c r="E142" i="3"/>
  <c r="AA147" i="3" s="1"/>
  <c r="AA153" i="3" s="1"/>
  <c r="AM141" i="3"/>
  <c r="AK141" i="3"/>
  <c r="AH141" i="3"/>
  <c r="AG141" i="3"/>
  <c r="AF141" i="3"/>
  <c r="AE141" i="3"/>
  <c r="AD141" i="3"/>
  <c r="AC141" i="3"/>
  <c r="AB141" i="3"/>
  <c r="Z141" i="3"/>
  <c r="U141" i="3"/>
  <c r="AQ156" i="3" s="1"/>
  <c r="T141" i="3"/>
  <c r="K141" i="3"/>
  <c r="AG156" i="3" s="1"/>
  <c r="J141" i="3"/>
  <c r="H141" i="3"/>
  <c r="H159" i="3" s="1"/>
  <c r="G141" i="3"/>
  <c r="I141" i="3" s="1"/>
  <c r="F141" i="3"/>
  <c r="F159" i="3" s="1"/>
  <c r="E141" i="3"/>
  <c r="AM140" i="3"/>
  <c r="AK140" i="3"/>
  <c r="AH140" i="3"/>
  <c r="AG140" i="3"/>
  <c r="AF140" i="3"/>
  <c r="AE140" i="3"/>
  <c r="AD140" i="3"/>
  <c r="AC140" i="3"/>
  <c r="AB140" i="3"/>
  <c r="Z140" i="3"/>
  <c r="AP139" i="3"/>
  <c r="AM139" i="3"/>
  <c r="AG139" i="3"/>
  <c r="AF139" i="3"/>
  <c r="AC139" i="3"/>
  <c r="AB139" i="3"/>
  <c r="AJ139" i="3" s="1"/>
  <c r="AA139" i="3"/>
  <c r="Z139" i="3"/>
  <c r="AP138" i="3"/>
  <c r="AM138" i="3"/>
  <c r="AK138" i="3"/>
  <c r="AH138" i="3"/>
  <c r="AG138" i="3"/>
  <c r="AG144" i="3" s="1"/>
  <c r="AF138" i="3"/>
  <c r="AB138" i="3"/>
  <c r="AB144" i="3" s="1"/>
  <c r="AJ144" i="3" s="1"/>
  <c r="AA138" i="3"/>
  <c r="Z138" i="3"/>
  <c r="Z135" i="3"/>
  <c r="AM134" i="3"/>
  <c r="AK134" i="3"/>
  <c r="AC134" i="3"/>
  <c r="Z134" i="3"/>
  <c r="AM133" i="3"/>
  <c r="AK133" i="3"/>
  <c r="AF133" i="3"/>
  <c r="Z133" i="3"/>
  <c r="AQ132" i="3"/>
  <c r="AM132" i="3"/>
  <c r="AK132" i="3"/>
  <c r="AA132" i="3"/>
  <c r="Z132" i="3"/>
  <c r="O132" i="3"/>
  <c r="D132" i="3"/>
  <c r="AM131" i="3"/>
  <c r="AK131" i="3"/>
  <c r="AF131" i="3"/>
  <c r="Z131" i="3"/>
  <c r="U131" i="3"/>
  <c r="AQ116" i="3" s="1"/>
  <c r="T131" i="3"/>
  <c r="K131" i="3"/>
  <c r="AG116" i="3" s="1"/>
  <c r="J131" i="3"/>
  <c r="L131" i="3" s="1"/>
  <c r="AH116" i="3" s="1"/>
  <c r="H131" i="3"/>
  <c r="G131" i="3"/>
  <c r="I131" i="3" s="1"/>
  <c r="F131" i="3"/>
  <c r="N131" i="3" s="1"/>
  <c r="E131" i="3"/>
  <c r="AM130" i="3"/>
  <c r="AK130" i="3"/>
  <c r="AA130" i="3"/>
  <c r="Z130" i="3"/>
  <c r="K130" i="3"/>
  <c r="J130" i="3"/>
  <c r="L130" i="3" s="1"/>
  <c r="AH115" i="3" s="1"/>
  <c r="H130" i="3"/>
  <c r="I130" i="3" s="1"/>
  <c r="G130" i="3"/>
  <c r="F130" i="3"/>
  <c r="E130" i="3"/>
  <c r="AM129" i="3"/>
  <c r="AK129" i="3"/>
  <c r="AD129" i="3"/>
  <c r="Z129" i="3"/>
  <c r="K129" i="3"/>
  <c r="L129" i="3" s="1"/>
  <c r="AH125" i="3" s="1"/>
  <c r="J129" i="3"/>
  <c r="I129" i="3"/>
  <c r="H129" i="3"/>
  <c r="AD125" i="3" s="1"/>
  <c r="G129" i="3"/>
  <c r="F129" i="3"/>
  <c r="N129" i="3" s="1"/>
  <c r="E129" i="3"/>
  <c r="K128" i="3"/>
  <c r="L128" i="3" s="1"/>
  <c r="AH124" i="3" s="1"/>
  <c r="J128" i="3"/>
  <c r="I128" i="3"/>
  <c r="H128" i="3"/>
  <c r="G128" i="3"/>
  <c r="F128" i="3"/>
  <c r="N128" i="3" s="1"/>
  <c r="E128" i="3"/>
  <c r="AA124" i="3" s="1"/>
  <c r="K127" i="3"/>
  <c r="L127" i="3" s="1"/>
  <c r="AH114" i="3" s="1"/>
  <c r="J127" i="3"/>
  <c r="I127" i="3"/>
  <c r="H127" i="3"/>
  <c r="G127" i="3"/>
  <c r="F127" i="3"/>
  <c r="N127" i="3" s="1"/>
  <c r="E127" i="3"/>
  <c r="U126" i="3"/>
  <c r="AQ123" i="3" s="1"/>
  <c r="T126" i="3"/>
  <c r="AP123" i="3" s="1"/>
  <c r="K126" i="3"/>
  <c r="AG123" i="3" s="1"/>
  <c r="J126" i="3"/>
  <c r="L126" i="3" s="1"/>
  <c r="AH123" i="3" s="1"/>
  <c r="H126" i="3"/>
  <c r="G126" i="3"/>
  <c r="I126" i="3" s="1"/>
  <c r="F126" i="3"/>
  <c r="N126" i="3" s="1"/>
  <c r="E126" i="3"/>
  <c r="AM125" i="3"/>
  <c r="AK125" i="3"/>
  <c r="AG125" i="3"/>
  <c r="AF125" i="3"/>
  <c r="AC125" i="3"/>
  <c r="AB125" i="3"/>
  <c r="AJ125" i="3" s="1"/>
  <c r="AA125" i="3"/>
  <c r="Z125" i="3"/>
  <c r="K125" i="3"/>
  <c r="AG134" i="3" s="1"/>
  <c r="J125" i="3"/>
  <c r="L125" i="3" s="1"/>
  <c r="AH134" i="3" s="1"/>
  <c r="H125" i="3"/>
  <c r="AD134" i="3" s="1"/>
  <c r="G125" i="3"/>
  <c r="I125" i="3" s="1"/>
  <c r="F125" i="3"/>
  <c r="E125" i="3"/>
  <c r="AA134" i="3" s="1"/>
  <c r="AM124" i="3"/>
  <c r="AK124" i="3"/>
  <c r="AG124" i="3"/>
  <c r="AF124" i="3"/>
  <c r="AD124" i="3"/>
  <c r="AC124" i="3"/>
  <c r="AB124" i="3"/>
  <c r="AJ124" i="3" s="1"/>
  <c r="Z124" i="3"/>
  <c r="K124" i="3"/>
  <c r="AG133" i="3" s="1"/>
  <c r="J124" i="3"/>
  <c r="L124" i="3" s="1"/>
  <c r="AH133" i="3" s="1"/>
  <c r="I124" i="3"/>
  <c r="H124" i="3"/>
  <c r="AD133" i="3" s="1"/>
  <c r="G124" i="3"/>
  <c r="AC133" i="3" s="1"/>
  <c r="F124" i="3"/>
  <c r="N124" i="3" s="1"/>
  <c r="E124" i="3"/>
  <c r="AA133" i="3" s="1"/>
  <c r="AM123" i="3"/>
  <c r="AF123" i="3"/>
  <c r="AD123" i="3"/>
  <c r="AB123" i="3"/>
  <c r="AJ123" i="3" s="1"/>
  <c r="AA123" i="3"/>
  <c r="Z123" i="3"/>
  <c r="U123" i="3"/>
  <c r="T123" i="3"/>
  <c r="AP132" i="3" s="1"/>
  <c r="K123" i="3"/>
  <c r="AG132" i="3" s="1"/>
  <c r="J123" i="3"/>
  <c r="AF132" i="3" s="1"/>
  <c r="H123" i="3"/>
  <c r="AD132" i="3" s="1"/>
  <c r="G123" i="3"/>
  <c r="I123" i="3" s="1"/>
  <c r="F123" i="3"/>
  <c r="N123" i="3" s="1"/>
  <c r="E123" i="3"/>
  <c r="AM122" i="3"/>
  <c r="AK122" i="3"/>
  <c r="AA122" i="3"/>
  <c r="Z122" i="3"/>
  <c r="N122" i="3"/>
  <c r="K122" i="3"/>
  <c r="AG131" i="3" s="1"/>
  <c r="J122" i="3"/>
  <c r="L122" i="3" s="1"/>
  <c r="AH131" i="3" s="1"/>
  <c r="H122" i="3"/>
  <c r="AD131" i="3" s="1"/>
  <c r="G122" i="3"/>
  <c r="AC131" i="3" s="1"/>
  <c r="F122" i="3"/>
  <c r="E122" i="3"/>
  <c r="AA131" i="3" s="1"/>
  <c r="AM121" i="3"/>
  <c r="AK121" i="3"/>
  <c r="AD121" i="3"/>
  <c r="AC121" i="3"/>
  <c r="Z121" i="3"/>
  <c r="K121" i="3"/>
  <c r="J121" i="3"/>
  <c r="L121" i="3" s="1"/>
  <c r="AH113" i="3" s="1"/>
  <c r="I121" i="3"/>
  <c r="H121" i="3"/>
  <c r="G121" i="3"/>
  <c r="F121" i="3"/>
  <c r="N121" i="3" s="1"/>
  <c r="E121" i="3"/>
  <c r="AM120" i="3"/>
  <c r="AK120" i="3"/>
  <c r="AK126" i="3" s="1"/>
  <c r="AG120" i="3"/>
  <c r="AG126" i="3" s="1"/>
  <c r="AF120" i="3"/>
  <c r="AC120" i="3"/>
  <c r="Z120" i="3"/>
  <c r="Z126" i="3" s="1"/>
  <c r="L120" i="3"/>
  <c r="AH112" i="3" s="1"/>
  <c r="K120" i="3"/>
  <c r="J120" i="3"/>
  <c r="H120" i="3"/>
  <c r="I120" i="3" s="1"/>
  <c r="G120" i="3"/>
  <c r="F120" i="3"/>
  <c r="T120" i="3" s="1"/>
  <c r="U120" i="3" s="1"/>
  <c r="AQ112" i="3" s="1"/>
  <c r="E120" i="3"/>
  <c r="L119" i="3"/>
  <c r="AH111" i="3" s="1"/>
  <c r="K119" i="3"/>
  <c r="J119" i="3"/>
  <c r="H119" i="3"/>
  <c r="G119" i="3"/>
  <c r="I119" i="3" s="1"/>
  <c r="F119" i="3"/>
  <c r="T119" i="3" s="1"/>
  <c r="E119" i="3"/>
  <c r="L118" i="3"/>
  <c r="AH122" i="3" s="1"/>
  <c r="K118" i="3"/>
  <c r="AG122" i="3" s="1"/>
  <c r="J118" i="3"/>
  <c r="AF122" i="3" s="1"/>
  <c r="H118" i="3"/>
  <c r="AD122" i="3" s="1"/>
  <c r="G118" i="3"/>
  <c r="I118" i="3" s="1"/>
  <c r="F118" i="3"/>
  <c r="T118" i="3" s="1"/>
  <c r="E118" i="3"/>
  <c r="AA117" i="3"/>
  <c r="N117" i="3"/>
  <c r="K117" i="3"/>
  <c r="AG130" i="3" s="1"/>
  <c r="J117" i="3"/>
  <c r="L117" i="3" s="1"/>
  <c r="AH130" i="3" s="1"/>
  <c r="H117" i="3"/>
  <c r="AD130" i="3" s="1"/>
  <c r="G117" i="3"/>
  <c r="I117" i="3" s="1"/>
  <c r="F117" i="3"/>
  <c r="E117" i="3"/>
  <c r="AP116" i="3"/>
  <c r="AM116" i="3"/>
  <c r="AK116" i="3"/>
  <c r="AF116" i="3"/>
  <c r="AD116" i="3"/>
  <c r="AC116" i="3"/>
  <c r="AB116" i="3"/>
  <c r="AJ116" i="3" s="1"/>
  <c r="AA116" i="3"/>
  <c r="Z116" i="3"/>
  <c r="K116" i="3"/>
  <c r="AG121" i="3" s="1"/>
  <c r="J116" i="3"/>
  <c r="L116" i="3" s="1"/>
  <c r="AH121" i="3" s="1"/>
  <c r="I116" i="3"/>
  <c r="H116" i="3"/>
  <c r="G116" i="3"/>
  <c r="F116" i="3"/>
  <c r="AB121" i="3" s="1"/>
  <c r="E116" i="3"/>
  <c r="AA121" i="3" s="1"/>
  <c r="AM115" i="3"/>
  <c r="AK115" i="3"/>
  <c r="AG115" i="3"/>
  <c r="AF115" i="3"/>
  <c r="AD115" i="3"/>
  <c r="AC115" i="3"/>
  <c r="AA115" i="3"/>
  <c r="Z115" i="3"/>
  <c r="L115" i="3"/>
  <c r="AH120" i="3" s="1"/>
  <c r="K115" i="3"/>
  <c r="J115" i="3"/>
  <c r="H115" i="3"/>
  <c r="AD120" i="3" s="1"/>
  <c r="G115" i="3"/>
  <c r="I115" i="3" s="1"/>
  <c r="F115" i="3"/>
  <c r="T115" i="3" s="1"/>
  <c r="E115" i="3"/>
  <c r="AA120" i="3" s="1"/>
  <c r="AA126" i="3" s="1"/>
  <c r="AM114" i="3"/>
  <c r="AK114" i="3"/>
  <c r="AJ114" i="3"/>
  <c r="AG114" i="3"/>
  <c r="AF114" i="3"/>
  <c r="AD114" i="3"/>
  <c r="AC114" i="3"/>
  <c r="AB114" i="3"/>
  <c r="AA114" i="3"/>
  <c r="Z114" i="3"/>
  <c r="K114" i="3"/>
  <c r="J114" i="3"/>
  <c r="L114" i="3" s="1"/>
  <c r="H114" i="3"/>
  <c r="H132" i="3" s="1"/>
  <c r="G114" i="3"/>
  <c r="F114" i="3"/>
  <c r="E114" i="3"/>
  <c r="E132" i="3" s="1"/>
  <c r="AM113" i="3"/>
  <c r="AK113" i="3"/>
  <c r="AG113" i="3"/>
  <c r="AF113" i="3"/>
  <c r="AD113" i="3"/>
  <c r="AC113" i="3"/>
  <c r="AB113" i="3"/>
  <c r="AJ113" i="3" s="1"/>
  <c r="AA113" i="3"/>
  <c r="Z113" i="3"/>
  <c r="AM112" i="3"/>
  <c r="AG112" i="3"/>
  <c r="AF112" i="3"/>
  <c r="AD112" i="3"/>
  <c r="AC112" i="3"/>
  <c r="AB112" i="3"/>
  <c r="AJ112" i="3" s="1"/>
  <c r="AA112" i="3"/>
  <c r="Z112" i="3"/>
  <c r="AM111" i="3"/>
  <c r="AK111" i="3"/>
  <c r="AK117" i="3" s="1"/>
  <c r="AJ111" i="3"/>
  <c r="AG111" i="3"/>
  <c r="AF111" i="3"/>
  <c r="AF117" i="3" s="1"/>
  <c r="AD111" i="3"/>
  <c r="AD117" i="3" s="1"/>
  <c r="AC111" i="3"/>
  <c r="AC117" i="3" s="1"/>
  <c r="AB111" i="3"/>
  <c r="AA111" i="3"/>
  <c r="Z111" i="3"/>
  <c r="Z117" i="3" s="1"/>
  <c r="AM107" i="3"/>
  <c r="AK107" i="3"/>
  <c r="AG107" i="3"/>
  <c r="Z107" i="3"/>
  <c r="AM106" i="3"/>
  <c r="AK106" i="3"/>
  <c r="AB106" i="3"/>
  <c r="AJ106" i="3" s="1"/>
  <c r="Z106" i="3"/>
  <c r="AM105" i="3"/>
  <c r="AK105" i="3"/>
  <c r="Z105" i="3"/>
  <c r="O105" i="3"/>
  <c r="D105" i="3"/>
  <c r="AM104" i="3"/>
  <c r="AK104" i="3"/>
  <c r="AB104" i="3"/>
  <c r="AJ104" i="3" s="1"/>
  <c r="Z104" i="3"/>
  <c r="K104" i="3"/>
  <c r="J104" i="3"/>
  <c r="L104" i="3" s="1"/>
  <c r="H104" i="3"/>
  <c r="G104" i="3"/>
  <c r="F104" i="3"/>
  <c r="N104" i="3" s="1"/>
  <c r="E104" i="3"/>
  <c r="AM103" i="3"/>
  <c r="AK103" i="3"/>
  <c r="AE103" i="3"/>
  <c r="Z103" i="3"/>
  <c r="T103" i="3"/>
  <c r="K103" i="3"/>
  <c r="J103" i="3"/>
  <c r="I103" i="3"/>
  <c r="H103" i="3"/>
  <c r="G103" i="3"/>
  <c r="F103" i="3"/>
  <c r="N103" i="3" s="1"/>
  <c r="E103" i="3"/>
  <c r="AP102" i="3"/>
  <c r="AM102" i="3"/>
  <c r="AK102" i="3"/>
  <c r="AK108" i="3" s="1"/>
  <c r="Z102" i="3"/>
  <c r="Z108" i="3" s="1"/>
  <c r="M102" i="3"/>
  <c r="L102" i="3"/>
  <c r="AH98" i="3" s="1"/>
  <c r="K102" i="3"/>
  <c r="J102" i="3"/>
  <c r="I102" i="3"/>
  <c r="H102" i="3"/>
  <c r="G102" i="3"/>
  <c r="F102" i="3"/>
  <c r="T102" i="3" s="1"/>
  <c r="E102" i="3"/>
  <c r="AA98" i="3" s="1"/>
  <c r="M101" i="3"/>
  <c r="L101" i="3"/>
  <c r="K101" i="3"/>
  <c r="J101" i="3"/>
  <c r="I101" i="3"/>
  <c r="AE97" i="3" s="1"/>
  <c r="H101" i="3"/>
  <c r="G101" i="3"/>
  <c r="F101" i="3"/>
  <c r="T101" i="3" s="1"/>
  <c r="U101" i="3" s="1"/>
  <c r="AQ97" i="3" s="1"/>
  <c r="E101" i="3"/>
  <c r="AA97" i="3" s="1"/>
  <c r="M100" i="3"/>
  <c r="L100" i="3"/>
  <c r="K100" i="3"/>
  <c r="J100" i="3"/>
  <c r="I100" i="3"/>
  <c r="H100" i="3"/>
  <c r="G100" i="3"/>
  <c r="F100" i="3"/>
  <c r="T100" i="3" s="1"/>
  <c r="E100" i="3"/>
  <c r="AA87" i="3" s="1"/>
  <c r="K99" i="3"/>
  <c r="AG96" i="3" s="1"/>
  <c r="J99" i="3"/>
  <c r="L99" i="3" s="1"/>
  <c r="AH96" i="3" s="1"/>
  <c r="H99" i="3"/>
  <c r="G99" i="3"/>
  <c r="F99" i="3"/>
  <c r="N99" i="3" s="1"/>
  <c r="E99" i="3"/>
  <c r="AM98" i="3"/>
  <c r="AK98" i="3"/>
  <c r="AG98" i="3"/>
  <c r="AF98" i="3"/>
  <c r="AE98" i="3"/>
  <c r="AD98" i="3"/>
  <c r="AC98" i="3"/>
  <c r="AB98" i="3"/>
  <c r="AJ98" i="3" s="1"/>
  <c r="Z98" i="3"/>
  <c r="T98" i="3"/>
  <c r="K98" i="3"/>
  <c r="J98" i="3"/>
  <c r="I98" i="3"/>
  <c r="AE107" i="3" s="1"/>
  <c r="H98" i="3"/>
  <c r="AD107" i="3" s="1"/>
  <c r="G98" i="3"/>
  <c r="AC107" i="3" s="1"/>
  <c r="F98" i="3"/>
  <c r="N98" i="3" s="1"/>
  <c r="E98" i="3"/>
  <c r="AA107" i="3" s="1"/>
  <c r="AM97" i="3"/>
  <c r="AK97" i="3"/>
  <c r="AH97" i="3"/>
  <c r="AG97" i="3"/>
  <c r="AF97" i="3"/>
  <c r="AD97" i="3"/>
  <c r="AC97" i="3"/>
  <c r="AB97" i="3"/>
  <c r="AJ97" i="3" s="1"/>
  <c r="Z97" i="3"/>
  <c r="M97" i="3"/>
  <c r="L97" i="3"/>
  <c r="AH106" i="3" s="1"/>
  <c r="K97" i="3"/>
  <c r="AG106" i="3" s="1"/>
  <c r="J97" i="3"/>
  <c r="AF106" i="3" s="1"/>
  <c r="I97" i="3"/>
  <c r="AE106" i="3" s="1"/>
  <c r="H97" i="3"/>
  <c r="AD106" i="3" s="1"/>
  <c r="G97" i="3"/>
  <c r="AC106" i="3" s="1"/>
  <c r="F97" i="3"/>
  <c r="T97" i="3" s="1"/>
  <c r="E97" i="3"/>
  <c r="AA106" i="3" s="1"/>
  <c r="AM96" i="3"/>
  <c r="AF96" i="3"/>
  <c r="AD96" i="3"/>
  <c r="AB96" i="3"/>
  <c r="AJ96" i="3" s="1"/>
  <c r="AA96" i="3"/>
  <c r="Z96" i="3"/>
  <c r="K96" i="3"/>
  <c r="AG105" i="3" s="1"/>
  <c r="J96" i="3"/>
  <c r="L96" i="3" s="1"/>
  <c r="AH105" i="3" s="1"/>
  <c r="H96" i="3"/>
  <c r="AD105" i="3" s="1"/>
  <c r="G96" i="3"/>
  <c r="F96" i="3"/>
  <c r="N96" i="3" s="1"/>
  <c r="E96" i="3"/>
  <c r="AA105" i="3" s="1"/>
  <c r="AM95" i="3"/>
  <c r="AK95" i="3"/>
  <c r="Z95" i="3"/>
  <c r="T95" i="3"/>
  <c r="K95" i="3"/>
  <c r="AG104" i="3" s="1"/>
  <c r="J95" i="3"/>
  <c r="I95" i="3"/>
  <c r="AE104" i="3" s="1"/>
  <c r="H95" i="3"/>
  <c r="AD104" i="3" s="1"/>
  <c r="G95" i="3"/>
  <c r="AC104" i="3" s="1"/>
  <c r="F95" i="3"/>
  <c r="N95" i="3" s="1"/>
  <c r="E95" i="3"/>
  <c r="AA104" i="3" s="1"/>
  <c r="AM94" i="3"/>
  <c r="AK94" i="3"/>
  <c r="AH94" i="3"/>
  <c r="Z94" i="3"/>
  <c r="M94" i="3"/>
  <c r="L94" i="3"/>
  <c r="K94" i="3"/>
  <c r="J94" i="3"/>
  <c r="I94" i="3"/>
  <c r="H94" i="3"/>
  <c r="G94" i="3"/>
  <c r="F94" i="3"/>
  <c r="T94" i="3" s="1"/>
  <c r="E94" i="3"/>
  <c r="AM93" i="3"/>
  <c r="AK93" i="3"/>
  <c r="AK99" i="3" s="1"/>
  <c r="AC93" i="3"/>
  <c r="Z93" i="3"/>
  <c r="Z99" i="3" s="1"/>
  <c r="L93" i="3"/>
  <c r="K93" i="3"/>
  <c r="J93" i="3"/>
  <c r="H93" i="3"/>
  <c r="AD85" i="3" s="1"/>
  <c r="G93" i="3"/>
  <c r="F93" i="3"/>
  <c r="N93" i="3" s="1"/>
  <c r="E93" i="3"/>
  <c r="L92" i="3"/>
  <c r="K92" i="3"/>
  <c r="J92" i="3"/>
  <c r="H92" i="3"/>
  <c r="AD84" i="3" s="1"/>
  <c r="AD90" i="3" s="1"/>
  <c r="G92" i="3"/>
  <c r="F92" i="3"/>
  <c r="N92" i="3" s="1"/>
  <c r="E92" i="3"/>
  <c r="L91" i="3"/>
  <c r="AH95" i="3" s="1"/>
  <c r="K91" i="3"/>
  <c r="AG95" i="3" s="1"/>
  <c r="J91" i="3"/>
  <c r="AF95" i="3" s="1"/>
  <c r="H91" i="3"/>
  <c r="AD95" i="3" s="1"/>
  <c r="G91" i="3"/>
  <c r="AC95" i="3" s="1"/>
  <c r="F91" i="3"/>
  <c r="N91" i="3" s="1"/>
  <c r="E91" i="3"/>
  <c r="AA95" i="3" s="1"/>
  <c r="T90" i="3"/>
  <c r="K90" i="3"/>
  <c r="AG103" i="3" s="1"/>
  <c r="J90" i="3"/>
  <c r="I90" i="3"/>
  <c r="H90" i="3"/>
  <c r="AD103" i="3" s="1"/>
  <c r="G90" i="3"/>
  <c r="AC103" i="3" s="1"/>
  <c r="F90" i="3"/>
  <c r="AB103" i="3" s="1"/>
  <c r="AJ103" i="3" s="1"/>
  <c r="E90" i="3"/>
  <c r="AA103" i="3" s="1"/>
  <c r="AM89" i="3"/>
  <c r="AK89" i="3"/>
  <c r="AH89" i="3"/>
  <c r="AG89" i="3"/>
  <c r="AF89" i="3"/>
  <c r="AD89" i="3"/>
  <c r="AB89" i="3"/>
  <c r="AJ89" i="3" s="1"/>
  <c r="AA89" i="3"/>
  <c r="Z89" i="3"/>
  <c r="M89" i="3"/>
  <c r="L89" i="3"/>
  <c r="K89" i="3"/>
  <c r="AG94" i="3" s="1"/>
  <c r="J89" i="3"/>
  <c r="AF94" i="3" s="1"/>
  <c r="I89" i="3"/>
  <c r="AE94" i="3" s="1"/>
  <c r="H89" i="3"/>
  <c r="AD94" i="3" s="1"/>
  <c r="G89" i="3"/>
  <c r="AC94" i="3" s="1"/>
  <c r="F89" i="3"/>
  <c r="T89" i="3" s="1"/>
  <c r="AP94" i="3" s="1"/>
  <c r="E89" i="3"/>
  <c r="AA94" i="3" s="1"/>
  <c r="AM88" i="3"/>
  <c r="AK88" i="3"/>
  <c r="AG88" i="3"/>
  <c r="AE88" i="3"/>
  <c r="AD88" i="3"/>
  <c r="AC88" i="3"/>
  <c r="AB88" i="3"/>
  <c r="AJ88" i="3" s="1"/>
  <c r="AA88" i="3"/>
  <c r="Z88" i="3"/>
  <c r="L88" i="3"/>
  <c r="AH93" i="3" s="1"/>
  <c r="AH99" i="3" s="1"/>
  <c r="K88" i="3"/>
  <c r="AG93" i="3" s="1"/>
  <c r="AG99" i="3" s="1"/>
  <c r="J88" i="3"/>
  <c r="AF93" i="3" s="1"/>
  <c r="H88" i="3"/>
  <c r="AD93" i="3" s="1"/>
  <c r="G88" i="3"/>
  <c r="I88" i="3" s="1"/>
  <c r="F88" i="3"/>
  <c r="AB93" i="3" s="1"/>
  <c r="AJ93" i="3" s="1"/>
  <c r="E88" i="3"/>
  <c r="AA93" i="3" s="1"/>
  <c r="AM87" i="3"/>
  <c r="AK87" i="3"/>
  <c r="AH87" i="3"/>
  <c r="AG87" i="3"/>
  <c r="AF87" i="3"/>
  <c r="AE87" i="3"/>
  <c r="AD87" i="3"/>
  <c r="AC87" i="3"/>
  <c r="AB87" i="3"/>
  <c r="Z87" i="3"/>
  <c r="U87" i="3"/>
  <c r="AQ102" i="3" s="1"/>
  <c r="T87" i="3"/>
  <c r="K87" i="3"/>
  <c r="AG102" i="3" s="1"/>
  <c r="J87" i="3"/>
  <c r="H87" i="3"/>
  <c r="G87" i="3"/>
  <c r="I87" i="3" s="1"/>
  <c r="F87" i="3"/>
  <c r="F105" i="3" s="1"/>
  <c r="E87" i="3"/>
  <c r="E105" i="3" s="1"/>
  <c r="AM86" i="3"/>
  <c r="AK86" i="3"/>
  <c r="AI86" i="3"/>
  <c r="AH86" i="3"/>
  <c r="AG86" i="3"/>
  <c r="AF86" i="3"/>
  <c r="AE86" i="3"/>
  <c r="AD86" i="3"/>
  <c r="AC86" i="3"/>
  <c r="AB86" i="3"/>
  <c r="AA86" i="3"/>
  <c r="Z86" i="3"/>
  <c r="AM85" i="3"/>
  <c r="AH85" i="3"/>
  <c r="AG85" i="3"/>
  <c r="AF85" i="3"/>
  <c r="AC85" i="3"/>
  <c r="AB85" i="3"/>
  <c r="AJ85" i="3" s="1"/>
  <c r="AA85" i="3"/>
  <c r="Z85" i="3"/>
  <c r="AM84" i="3"/>
  <c r="AK84" i="3"/>
  <c r="AK90" i="3" s="1"/>
  <c r="AH84" i="3"/>
  <c r="AG84" i="3"/>
  <c r="AG90" i="3" s="1"/>
  <c r="AF84" i="3"/>
  <c r="AC84" i="3"/>
  <c r="AB84" i="3"/>
  <c r="AB90" i="3" s="1"/>
  <c r="AA84" i="3"/>
  <c r="AA90" i="3" s="1"/>
  <c r="Z84" i="3"/>
  <c r="Z90" i="3" s="1"/>
  <c r="Z81" i="3"/>
  <c r="AM80" i="3"/>
  <c r="AK80" i="3"/>
  <c r="AC80" i="3"/>
  <c r="Z80" i="3"/>
  <c r="AM79" i="3"/>
  <c r="AK79" i="3"/>
  <c r="AF79" i="3"/>
  <c r="Z79" i="3"/>
  <c r="AM78" i="3"/>
  <c r="AK78" i="3"/>
  <c r="AA78" i="3"/>
  <c r="Z78" i="3"/>
  <c r="O78" i="3"/>
  <c r="D78" i="3"/>
  <c r="AM77" i="3"/>
  <c r="AK77" i="3"/>
  <c r="AF77" i="3"/>
  <c r="Z77" i="3"/>
  <c r="K77" i="3"/>
  <c r="J77" i="3"/>
  <c r="H77" i="3"/>
  <c r="G77" i="3"/>
  <c r="I77" i="3" s="1"/>
  <c r="F77" i="3"/>
  <c r="T77" i="3" s="1"/>
  <c r="E77" i="3"/>
  <c r="AM76" i="3"/>
  <c r="AK76" i="3"/>
  <c r="Z76" i="3"/>
  <c r="N76" i="3"/>
  <c r="K76" i="3"/>
  <c r="J76" i="3"/>
  <c r="L76" i="3" s="1"/>
  <c r="AH61" i="3" s="1"/>
  <c r="H76" i="3"/>
  <c r="G76" i="3"/>
  <c r="I76" i="3" s="1"/>
  <c r="M76" i="3" s="1"/>
  <c r="AI61" i="3" s="1"/>
  <c r="F76" i="3"/>
  <c r="T76" i="3" s="1"/>
  <c r="U76" i="3" s="1"/>
  <c r="E76" i="3"/>
  <c r="AM75" i="3"/>
  <c r="AK75" i="3"/>
  <c r="AK81" i="3" s="1"/>
  <c r="AD75" i="3"/>
  <c r="Z75" i="3"/>
  <c r="K75" i="3"/>
  <c r="J75" i="3"/>
  <c r="L75" i="3" s="1"/>
  <c r="AH71" i="3" s="1"/>
  <c r="I75" i="3"/>
  <c r="H75" i="3"/>
  <c r="G75" i="3"/>
  <c r="F75" i="3"/>
  <c r="N75" i="3" s="1"/>
  <c r="E75" i="3"/>
  <c r="K74" i="3"/>
  <c r="J74" i="3"/>
  <c r="L74" i="3" s="1"/>
  <c r="AH70" i="3" s="1"/>
  <c r="I74" i="3"/>
  <c r="H74" i="3"/>
  <c r="G74" i="3"/>
  <c r="F74" i="3"/>
  <c r="N74" i="3" s="1"/>
  <c r="E74" i="3"/>
  <c r="K73" i="3"/>
  <c r="J73" i="3"/>
  <c r="L73" i="3" s="1"/>
  <c r="I73" i="3"/>
  <c r="M73" i="3" s="1"/>
  <c r="H73" i="3"/>
  <c r="G73" i="3"/>
  <c r="F73" i="3"/>
  <c r="N73" i="3" s="1"/>
  <c r="E73" i="3"/>
  <c r="U72" i="3"/>
  <c r="AQ69" i="3" s="1"/>
  <c r="T72" i="3"/>
  <c r="K72" i="3"/>
  <c r="AG69" i="3" s="1"/>
  <c r="J72" i="3"/>
  <c r="H72" i="3"/>
  <c r="G72" i="3"/>
  <c r="I72" i="3" s="1"/>
  <c r="F72" i="3"/>
  <c r="N72" i="3" s="1"/>
  <c r="E72" i="3"/>
  <c r="AM71" i="3"/>
  <c r="AK71" i="3"/>
  <c r="AG71" i="3"/>
  <c r="AF71" i="3"/>
  <c r="AD71" i="3"/>
  <c r="AC71" i="3"/>
  <c r="AB71" i="3"/>
  <c r="AA71" i="3"/>
  <c r="Z71" i="3"/>
  <c r="N71" i="3"/>
  <c r="K71" i="3"/>
  <c r="AG80" i="3" s="1"/>
  <c r="J71" i="3"/>
  <c r="L71" i="3" s="1"/>
  <c r="AH80" i="3" s="1"/>
  <c r="H71" i="3"/>
  <c r="AD80" i="3" s="1"/>
  <c r="G71" i="3"/>
  <c r="I71" i="3" s="1"/>
  <c r="F71" i="3"/>
  <c r="E71" i="3"/>
  <c r="AA80" i="3" s="1"/>
  <c r="AM70" i="3"/>
  <c r="AK70" i="3"/>
  <c r="AG70" i="3"/>
  <c r="AF70" i="3"/>
  <c r="AD70" i="3"/>
  <c r="AC70" i="3"/>
  <c r="AB70" i="3"/>
  <c r="AJ70" i="3" s="1"/>
  <c r="AA70" i="3"/>
  <c r="Z70" i="3"/>
  <c r="K70" i="3"/>
  <c r="AG79" i="3" s="1"/>
  <c r="J70" i="3"/>
  <c r="L70" i="3" s="1"/>
  <c r="AH79" i="3" s="1"/>
  <c r="I70" i="3"/>
  <c r="H70" i="3"/>
  <c r="AD79" i="3" s="1"/>
  <c r="G70" i="3"/>
  <c r="AC79" i="3" s="1"/>
  <c r="F70" i="3"/>
  <c r="N70" i="3" s="1"/>
  <c r="E70" i="3"/>
  <c r="AA79" i="3" s="1"/>
  <c r="AP69" i="3"/>
  <c r="AM69" i="3"/>
  <c r="AF69" i="3"/>
  <c r="AD69" i="3"/>
  <c r="AC69" i="3"/>
  <c r="AB69" i="3"/>
  <c r="AJ69" i="3" s="1"/>
  <c r="AA69" i="3"/>
  <c r="Z69" i="3"/>
  <c r="U69" i="3"/>
  <c r="AQ78" i="3" s="1"/>
  <c r="T69" i="3"/>
  <c r="AP78" i="3" s="1"/>
  <c r="K69" i="3"/>
  <c r="AG78" i="3" s="1"/>
  <c r="J69" i="3"/>
  <c r="AF78" i="3" s="1"/>
  <c r="H69" i="3"/>
  <c r="AD78" i="3" s="1"/>
  <c r="G69" i="3"/>
  <c r="I69" i="3" s="1"/>
  <c r="F69" i="3"/>
  <c r="N69" i="3" s="1"/>
  <c r="E69" i="3"/>
  <c r="AM68" i="3"/>
  <c r="AK68" i="3"/>
  <c r="AA68" i="3"/>
  <c r="Z68" i="3"/>
  <c r="N68" i="3"/>
  <c r="K68" i="3"/>
  <c r="AG77" i="3" s="1"/>
  <c r="J68" i="3"/>
  <c r="L68" i="3" s="1"/>
  <c r="AH77" i="3" s="1"/>
  <c r="H68" i="3"/>
  <c r="AD77" i="3" s="1"/>
  <c r="G68" i="3"/>
  <c r="AC77" i="3" s="1"/>
  <c r="F68" i="3"/>
  <c r="E68" i="3"/>
  <c r="AA77" i="3" s="1"/>
  <c r="AM67" i="3"/>
  <c r="AK67" i="3"/>
  <c r="AF67" i="3"/>
  <c r="AA67" i="3"/>
  <c r="Z67" i="3"/>
  <c r="K67" i="3"/>
  <c r="AG59" i="3" s="1"/>
  <c r="J67" i="3"/>
  <c r="H67" i="3"/>
  <c r="I67" i="3" s="1"/>
  <c r="G67" i="3"/>
  <c r="F67" i="3"/>
  <c r="T67" i="3" s="1"/>
  <c r="E67" i="3"/>
  <c r="AP66" i="3"/>
  <c r="AM66" i="3"/>
  <c r="AK66" i="3"/>
  <c r="AF66" i="3"/>
  <c r="AF72" i="3" s="1"/>
  <c r="AB66" i="3"/>
  <c r="Z66" i="3"/>
  <c r="U66" i="3"/>
  <c r="AQ58" i="3" s="1"/>
  <c r="T66" i="3"/>
  <c r="K66" i="3"/>
  <c r="J66" i="3"/>
  <c r="H66" i="3"/>
  <c r="G66" i="3"/>
  <c r="I66" i="3" s="1"/>
  <c r="F66" i="3"/>
  <c r="N66" i="3" s="1"/>
  <c r="E66" i="3"/>
  <c r="U65" i="3"/>
  <c r="T65" i="3"/>
  <c r="K65" i="3"/>
  <c r="J65" i="3"/>
  <c r="H65" i="3"/>
  <c r="AD57" i="3" s="1"/>
  <c r="AD63" i="3" s="1"/>
  <c r="G65" i="3"/>
  <c r="I65" i="3" s="1"/>
  <c r="F65" i="3"/>
  <c r="N65" i="3" s="1"/>
  <c r="E65" i="3"/>
  <c r="U64" i="3"/>
  <c r="AQ68" i="3" s="1"/>
  <c r="T64" i="3"/>
  <c r="AP68" i="3" s="1"/>
  <c r="K64" i="3"/>
  <c r="J64" i="3"/>
  <c r="AF68" i="3" s="1"/>
  <c r="H64" i="3"/>
  <c r="AD68" i="3" s="1"/>
  <c r="G64" i="3"/>
  <c r="AC68" i="3" s="1"/>
  <c r="F64" i="3"/>
  <c r="AB68" i="3" s="1"/>
  <c r="E64" i="3"/>
  <c r="Z63" i="3"/>
  <c r="K63" i="3"/>
  <c r="AG76" i="3" s="1"/>
  <c r="J63" i="3"/>
  <c r="AF76" i="3" s="1"/>
  <c r="I63" i="3"/>
  <c r="AE76" i="3" s="1"/>
  <c r="H63" i="3"/>
  <c r="AD76" i="3" s="1"/>
  <c r="G63" i="3"/>
  <c r="AC76" i="3" s="1"/>
  <c r="F63" i="3"/>
  <c r="AB76" i="3" s="1"/>
  <c r="E63" i="3"/>
  <c r="AA76" i="3" s="1"/>
  <c r="AM62" i="3"/>
  <c r="AK62" i="3"/>
  <c r="AG62" i="3"/>
  <c r="AF62" i="3"/>
  <c r="AD62" i="3"/>
  <c r="AC62" i="3"/>
  <c r="AB62" i="3"/>
  <c r="AJ62" i="3" s="1"/>
  <c r="AA62" i="3"/>
  <c r="Z62" i="3"/>
  <c r="L62" i="3"/>
  <c r="AH67" i="3" s="1"/>
  <c r="K62" i="3"/>
  <c r="AG67" i="3" s="1"/>
  <c r="J62" i="3"/>
  <c r="H62" i="3"/>
  <c r="G62" i="3"/>
  <c r="AC67" i="3" s="1"/>
  <c r="F62" i="3"/>
  <c r="AB67" i="3" s="1"/>
  <c r="E62" i="3"/>
  <c r="AQ61" i="3"/>
  <c r="AP61" i="3"/>
  <c r="AM61" i="3"/>
  <c r="AK61" i="3"/>
  <c r="AG61" i="3"/>
  <c r="AF61" i="3"/>
  <c r="AD61" i="3"/>
  <c r="AC61" i="3"/>
  <c r="AB61" i="3"/>
  <c r="AJ61" i="3" s="1"/>
  <c r="AA61" i="3"/>
  <c r="Z61" i="3"/>
  <c r="U61" i="3"/>
  <c r="AQ66" i="3" s="1"/>
  <c r="T61" i="3"/>
  <c r="K61" i="3"/>
  <c r="J61" i="3"/>
  <c r="H61" i="3"/>
  <c r="AD66" i="3" s="1"/>
  <c r="G61" i="3"/>
  <c r="I61" i="3" s="1"/>
  <c r="F61" i="3"/>
  <c r="N61" i="3" s="1"/>
  <c r="E61" i="3"/>
  <c r="AA66" i="3" s="1"/>
  <c r="AA72" i="3" s="1"/>
  <c r="AM60" i="3"/>
  <c r="AK60" i="3"/>
  <c r="AJ60" i="3"/>
  <c r="AI60" i="3"/>
  <c r="AH60" i="3"/>
  <c r="AG60" i="3"/>
  <c r="AF60" i="3"/>
  <c r="AD60" i="3"/>
  <c r="AC60" i="3"/>
  <c r="AB60" i="3"/>
  <c r="AA60" i="3"/>
  <c r="Z60" i="3"/>
  <c r="N60" i="3"/>
  <c r="K60" i="3"/>
  <c r="J60" i="3"/>
  <c r="H60" i="3"/>
  <c r="G60" i="3"/>
  <c r="AC75" i="3" s="1"/>
  <c r="F60" i="3"/>
  <c r="E60" i="3"/>
  <c r="AM59" i="3"/>
  <c r="AK59" i="3"/>
  <c r="AD59" i="3"/>
  <c r="AC59" i="3"/>
  <c r="AA59" i="3"/>
  <c r="Z59" i="3"/>
  <c r="AP58" i="3"/>
  <c r="AM58" i="3"/>
  <c r="AF58" i="3"/>
  <c r="AD58" i="3"/>
  <c r="AC58" i="3"/>
  <c r="AB58" i="3"/>
  <c r="AJ58" i="3" s="1"/>
  <c r="AA58" i="3"/>
  <c r="Z58" i="3"/>
  <c r="AQ57" i="3"/>
  <c r="AP57" i="3"/>
  <c r="AM57" i="3"/>
  <c r="AK57" i="3"/>
  <c r="AF57" i="3"/>
  <c r="AB57" i="3"/>
  <c r="AA57" i="3"/>
  <c r="AA63" i="3" s="1"/>
  <c r="Z57" i="3"/>
  <c r="AK54" i="3"/>
  <c r="AM53" i="3"/>
  <c r="AK53" i="3"/>
  <c r="AG53" i="3"/>
  <c r="AF53" i="3"/>
  <c r="Z53" i="3"/>
  <c r="AQ52" i="3"/>
  <c r="AM52" i="3"/>
  <c r="AK52" i="3"/>
  <c r="AB52" i="3"/>
  <c r="AJ52" i="3" s="1"/>
  <c r="AA52" i="3"/>
  <c r="Z52" i="3"/>
  <c r="AM51" i="3"/>
  <c r="AK51" i="3"/>
  <c r="AD51" i="3"/>
  <c r="Z51" i="3"/>
  <c r="O51" i="3"/>
  <c r="D51" i="3"/>
  <c r="AM50" i="3"/>
  <c r="AK50" i="3"/>
  <c r="AG50" i="3"/>
  <c r="AB50" i="3"/>
  <c r="AA50" i="3"/>
  <c r="Z50" i="3"/>
  <c r="N50" i="3"/>
  <c r="K50" i="3"/>
  <c r="J50" i="3"/>
  <c r="L50" i="3" s="1"/>
  <c r="AH35" i="3" s="1"/>
  <c r="H50" i="3"/>
  <c r="G50" i="3"/>
  <c r="AC35" i="3" s="1"/>
  <c r="F50" i="3"/>
  <c r="E50" i="3"/>
  <c r="AA35" i="3" s="1"/>
  <c r="AM49" i="3"/>
  <c r="AK49" i="3"/>
  <c r="AD49" i="3"/>
  <c r="Z49" i="3"/>
  <c r="T49" i="3"/>
  <c r="AP34" i="3" s="1"/>
  <c r="K49" i="3"/>
  <c r="J49" i="3"/>
  <c r="AF34" i="3" s="1"/>
  <c r="I49" i="3"/>
  <c r="H49" i="3"/>
  <c r="AD34" i="3" s="1"/>
  <c r="G49" i="3"/>
  <c r="F49" i="3"/>
  <c r="N49" i="3" s="1"/>
  <c r="E49" i="3"/>
  <c r="AM48" i="3"/>
  <c r="AK48" i="3"/>
  <c r="AG48" i="3"/>
  <c r="AG54" i="3" s="1"/>
  <c r="Z48" i="3"/>
  <c r="Z54" i="3" s="1"/>
  <c r="T48" i="3"/>
  <c r="L48" i="3"/>
  <c r="AH44" i="3" s="1"/>
  <c r="K48" i="3"/>
  <c r="AG44" i="3" s="1"/>
  <c r="J48" i="3"/>
  <c r="AF44" i="3" s="1"/>
  <c r="H48" i="3"/>
  <c r="I48" i="3" s="1"/>
  <c r="G48" i="3"/>
  <c r="F48" i="3"/>
  <c r="N48" i="3" s="1"/>
  <c r="E48" i="3"/>
  <c r="U48" i="3" s="1"/>
  <c r="AQ44" i="3" s="1"/>
  <c r="T47" i="3"/>
  <c r="L47" i="3"/>
  <c r="AH43" i="3" s="1"/>
  <c r="K47" i="3"/>
  <c r="J47" i="3"/>
  <c r="H47" i="3"/>
  <c r="I47" i="3" s="1"/>
  <c r="G47" i="3"/>
  <c r="F47" i="3"/>
  <c r="N47" i="3" s="1"/>
  <c r="E47" i="3"/>
  <c r="U47" i="3" s="1"/>
  <c r="AQ43" i="3" s="1"/>
  <c r="T46" i="3"/>
  <c r="AP33" i="3" s="1"/>
  <c r="L46" i="3"/>
  <c r="AH33" i="3" s="1"/>
  <c r="K46" i="3"/>
  <c r="AG33" i="3" s="1"/>
  <c r="J46" i="3"/>
  <c r="H46" i="3"/>
  <c r="I46" i="3" s="1"/>
  <c r="G46" i="3"/>
  <c r="F46" i="3"/>
  <c r="N46" i="3" s="1"/>
  <c r="AJ33" i="3" s="1"/>
  <c r="E46" i="3"/>
  <c r="U46" i="3" s="1"/>
  <c r="AQ33" i="3" s="1"/>
  <c r="N45" i="3"/>
  <c r="K45" i="3"/>
  <c r="AG42" i="3" s="1"/>
  <c r="J45" i="3"/>
  <c r="L45" i="3" s="1"/>
  <c r="AH42" i="3" s="1"/>
  <c r="H45" i="3"/>
  <c r="G45" i="3"/>
  <c r="I45" i="3" s="1"/>
  <c r="F45" i="3"/>
  <c r="E45" i="3"/>
  <c r="AP44" i="3"/>
  <c r="AM44" i="3"/>
  <c r="AK44" i="3"/>
  <c r="AD44" i="3"/>
  <c r="AC44" i="3"/>
  <c r="AB44" i="3"/>
  <c r="Z44" i="3"/>
  <c r="T44" i="3"/>
  <c r="AP53" i="3" s="1"/>
  <c r="K44" i="3"/>
  <c r="J44" i="3"/>
  <c r="L44" i="3" s="1"/>
  <c r="AH53" i="3" s="1"/>
  <c r="I44" i="3"/>
  <c r="H44" i="3"/>
  <c r="AD53" i="3" s="1"/>
  <c r="G44" i="3"/>
  <c r="AC53" i="3" s="1"/>
  <c r="F44" i="3"/>
  <c r="N44" i="3" s="1"/>
  <c r="E44" i="3"/>
  <c r="AA53" i="3" s="1"/>
  <c r="AP43" i="3"/>
  <c r="AM43" i="3"/>
  <c r="AK43" i="3"/>
  <c r="AG43" i="3"/>
  <c r="AF43" i="3"/>
  <c r="AC43" i="3"/>
  <c r="AB43" i="3"/>
  <c r="Z43" i="3"/>
  <c r="T43" i="3"/>
  <c r="AP52" i="3" s="1"/>
  <c r="L43" i="3"/>
  <c r="AH52" i="3" s="1"/>
  <c r="K43" i="3"/>
  <c r="AG52" i="3" s="1"/>
  <c r="J43" i="3"/>
  <c r="AF52" i="3" s="1"/>
  <c r="H43" i="3"/>
  <c r="I43" i="3" s="1"/>
  <c r="G43" i="3"/>
  <c r="AC52" i="3" s="1"/>
  <c r="F43" i="3"/>
  <c r="N43" i="3" s="1"/>
  <c r="E43" i="3"/>
  <c r="U43" i="3" s="1"/>
  <c r="AM42" i="3"/>
  <c r="AD42" i="3"/>
  <c r="AA42" i="3"/>
  <c r="Z42" i="3"/>
  <c r="N42" i="3"/>
  <c r="K42" i="3"/>
  <c r="AG51" i="3" s="1"/>
  <c r="J42" i="3"/>
  <c r="L42" i="3" s="1"/>
  <c r="AH51" i="3" s="1"/>
  <c r="H42" i="3"/>
  <c r="G42" i="3"/>
  <c r="AC51" i="3" s="1"/>
  <c r="F42" i="3"/>
  <c r="E42" i="3"/>
  <c r="AA51" i="3" s="1"/>
  <c r="AM41" i="3"/>
  <c r="AK41" i="3"/>
  <c r="AD41" i="3"/>
  <c r="AA41" i="3"/>
  <c r="Z41" i="3"/>
  <c r="T41" i="3"/>
  <c r="AP50" i="3" s="1"/>
  <c r="K41" i="3"/>
  <c r="J41" i="3"/>
  <c r="AF50" i="3" s="1"/>
  <c r="I41" i="3"/>
  <c r="H41" i="3"/>
  <c r="AD50" i="3" s="1"/>
  <c r="G41" i="3"/>
  <c r="AC50" i="3" s="1"/>
  <c r="F41" i="3"/>
  <c r="N41" i="3" s="1"/>
  <c r="E41" i="3"/>
  <c r="AP40" i="3"/>
  <c r="AM40" i="3"/>
  <c r="AK40" i="3"/>
  <c r="AG40" i="3"/>
  <c r="AC40" i="3"/>
  <c r="Z40" i="3"/>
  <c r="T40" i="3"/>
  <c r="U40" i="3" s="1"/>
  <c r="AQ32" i="3" s="1"/>
  <c r="L40" i="3"/>
  <c r="K40" i="3"/>
  <c r="J40" i="3"/>
  <c r="H40" i="3"/>
  <c r="I40" i="3" s="1"/>
  <c r="G40" i="3"/>
  <c r="F40" i="3"/>
  <c r="N40" i="3" s="1"/>
  <c r="E40" i="3"/>
  <c r="AM39" i="3"/>
  <c r="AK39" i="3"/>
  <c r="AK45" i="3" s="1"/>
  <c r="AF39" i="3"/>
  <c r="AB39" i="3"/>
  <c r="Z39" i="3"/>
  <c r="Z45" i="3" s="1"/>
  <c r="K39" i="3"/>
  <c r="L39" i="3" s="1"/>
  <c r="AH31" i="3" s="1"/>
  <c r="J39" i="3"/>
  <c r="H39" i="3"/>
  <c r="AD31" i="3" s="1"/>
  <c r="G39" i="3"/>
  <c r="F39" i="3"/>
  <c r="N39" i="3" s="1"/>
  <c r="E39" i="3"/>
  <c r="K38" i="3"/>
  <c r="L38" i="3" s="1"/>
  <c r="AH30" i="3" s="1"/>
  <c r="J38" i="3"/>
  <c r="H38" i="3"/>
  <c r="AD30" i="3" s="1"/>
  <c r="AD36" i="3" s="1"/>
  <c r="G38" i="3"/>
  <c r="F38" i="3"/>
  <c r="N38" i="3" s="1"/>
  <c r="E38" i="3"/>
  <c r="K37" i="3"/>
  <c r="L37" i="3" s="1"/>
  <c r="AH41" i="3" s="1"/>
  <c r="J37" i="3"/>
  <c r="AF41" i="3" s="1"/>
  <c r="H37" i="3"/>
  <c r="G37" i="3"/>
  <c r="F37" i="3"/>
  <c r="N37" i="3" s="1"/>
  <c r="E37" i="3"/>
  <c r="T36" i="3"/>
  <c r="AP49" i="3" s="1"/>
  <c r="K36" i="3"/>
  <c r="AG49" i="3" s="1"/>
  <c r="J36" i="3"/>
  <c r="L36" i="3" s="1"/>
  <c r="AH49" i="3" s="1"/>
  <c r="I36" i="3"/>
  <c r="H36" i="3"/>
  <c r="G36" i="3"/>
  <c r="AC49" i="3" s="1"/>
  <c r="F36" i="3"/>
  <c r="AB49" i="3" s="1"/>
  <c r="E36" i="3"/>
  <c r="AA49" i="3" s="1"/>
  <c r="AM35" i="3"/>
  <c r="AK35" i="3"/>
  <c r="AG35" i="3"/>
  <c r="AF35" i="3"/>
  <c r="AD35" i="3"/>
  <c r="Z35" i="3"/>
  <c r="T35" i="3"/>
  <c r="U35" i="3" s="1"/>
  <c r="AQ40" i="3" s="1"/>
  <c r="L35" i="3"/>
  <c r="AH40" i="3" s="1"/>
  <c r="K35" i="3"/>
  <c r="J35" i="3"/>
  <c r="AF40" i="3" s="1"/>
  <c r="H35" i="3"/>
  <c r="AD40" i="3" s="1"/>
  <c r="G35" i="3"/>
  <c r="F35" i="3"/>
  <c r="AB40" i="3" s="1"/>
  <c r="E35" i="3"/>
  <c r="AA40" i="3" s="1"/>
  <c r="AM34" i="3"/>
  <c r="AK34" i="3"/>
  <c r="AJ34" i="3"/>
  <c r="AG34" i="3"/>
  <c r="AC34" i="3"/>
  <c r="AB34" i="3"/>
  <c r="AA34" i="3"/>
  <c r="Z34" i="3"/>
  <c r="K34" i="3"/>
  <c r="AG39" i="3" s="1"/>
  <c r="J34" i="3"/>
  <c r="H34" i="3"/>
  <c r="AD39" i="3" s="1"/>
  <c r="G34" i="3"/>
  <c r="F34" i="3"/>
  <c r="N34" i="3" s="1"/>
  <c r="E34" i="3"/>
  <c r="AA39" i="3" s="1"/>
  <c r="AM33" i="3"/>
  <c r="AK33" i="3"/>
  <c r="AF33" i="3"/>
  <c r="AE33" i="3"/>
  <c r="AD33" i="3"/>
  <c r="AC33" i="3"/>
  <c r="AB33" i="3"/>
  <c r="Z33" i="3"/>
  <c r="T33" i="3"/>
  <c r="K33" i="3"/>
  <c r="K51" i="3" s="1"/>
  <c r="J33" i="3"/>
  <c r="H33" i="3"/>
  <c r="H51" i="3" s="1"/>
  <c r="G33" i="3"/>
  <c r="I33" i="3" s="1"/>
  <c r="F33" i="3"/>
  <c r="F51" i="3" s="1"/>
  <c r="E33" i="3"/>
  <c r="E51" i="3" s="1"/>
  <c r="AP32" i="3"/>
  <c r="AM32" i="3"/>
  <c r="AK32" i="3"/>
  <c r="AH32" i="3"/>
  <c r="AG32" i="3"/>
  <c r="AF32" i="3"/>
  <c r="AD32" i="3"/>
  <c r="AC32" i="3"/>
  <c r="AB32" i="3"/>
  <c r="AJ32" i="3" s="1"/>
  <c r="AA32" i="3"/>
  <c r="Z32" i="3"/>
  <c r="Z36" i="3" s="1"/>
  <c r="AM31" i="3"/>
  <c r="AJ31" i="3"/>
  <c r="AG31" i="3"/>
  <c r="AF31" i="3"/>
  <c r="AB31" i="3"/>
  <c r="AA31" i="3"/>
  <c r="Z31" i="3"/>
  <c r="AM30" i="3"/>
  <c r="AK30" i="3"/>
  <c r="AK36" i="3" s="1"/>
  <c r="AF30" i="3"/>
  <c r="AF36" i="3" s="1"/>
  <c r="AB30" i="3"/>
  <c r="AA30" i="3"/>
  <c r="Z30" i="3"/>
  <c r="AM26" i="3"/>
  <c r="AK26" i="3"/>
  <c r="AC26" i="3"/>
  <c r="AB26" i="3"/>
  <c r="Z26" i="3"/>
  <c r="AM25" i="3"/>
  <c r="AK25" i="3"/>
  <c r="AF25" i="3"/>
  <c r="Z25" i="3"/>
  <c r="AM24" i="3"/>
  <c r="AK24" i="3"/>
  <c r="AA24" i="3"/>
  <c r="Z24" i="3"/>
  <c r="O24" i="3"/>
  <c r="D24" i="3"/>
  <c r="AM23" i="3"/>
  <c r="AK23" i="3"/>
  <c r="AF23" i="3"/>
  <c r="AE23" i="3"/>
  <c r="Z23" i="3"/>
  <c r="T23" i="3"/>
  <c r="K23" i="3"/>
  <c r="K833" i="3" s="1"/>
  <c r="AG818" i="3" s="1"/>
  <c r="J23" i="3"/>
  <c r="H23" i="3"/>
  <c r="H833" i="3" s="1"/>
  <c r="AD818" i="3" s="1"/>
  <c r="G23" i="3"/>
  <c r="F23" i="3"/>
  <c r="E23" i="3"/>
  <c r="E833" i="3" s="1"/>
  <c r="AA818" i="3" s="1"/>
  <c r="AM22" i="3"/>
  <c r="AK22" i="3"/>
  <c r="Z22" i="3"/>
  <c r="K22" i="3"/>
  <c r="K832" i="3" s="1"/>
  <c r="AG817" i="3" s="1"/>
  <c r="J22" i="3"/>
  <c r="I22" i="3"/>
  <c r="H22" i="3"/>
  <c r="H832" i="3" s="1"/>
  <c r="AD817" i="3" s="1"/>
  <c r="G22" i="3"/>
  <c r="G832" i="3" s="1"/>
  <c r="F22" i="3"/>
  <c r="E22" i="3"/>
  <c r="AM21" i="3"/>
  <c r="AK21" i="3"/>
  <c r="AK27" i="3" s="1"/>
  <c r="AD21" i="3"/>
  <c r="AC21" i="3"/>
  <c r="Z21" i="3"/>
  <c r="L21" i="3"/>
  <c r="K21" i="3"/>
  <c r="K831" i="3" s="1"/>
  <c r="AG827" i="3" s="1"/>
  <c r="J21" i="3"/>
  <c r="J831" i="3" s="1"/>
  <c r="H21" i="3"/>
  <c r="G21" i="3"/>
  <c r="G831" i="3" s="1"/>
  <c r="F21" i="3"/>
  <c r="F831" i="3" s="1"/>
  <c r="E21" i="3"/>
  <c r="L20" i="3"/>
  <c r="AH16" i="3" s="1"/>
  <c r="K20" i="3"/>
  <c r="K830" i="3" s="1"/>
  <c r="AG826" i="3" s="1"/>
  <c r="J20" i="3"/>
  <c r="J830" i="3" s="1"/>
  <c r="H20" i="3"/>
  <c r="G20" i="3"/>
  <c r="G830" i="3" s="1"/>
  <c r="F20" i="3"/>
  <c r="F830" i="3" s="1"/>
  <c r="E20" i="3"/>
  <c r="L19" i="3"/>
  <c r="K19" i="3"/>
  <c r="K829" i="3" s="1"/>
  <c r="AG816" i="3" s="1"/>
  <c r="J19" i="3"/>
  <c r="J829" i="3" s="1"/>
  <c r="H19" i="3"/>
  <c r="G19" i="3"/>
  <c r="G829" i="3" s="1"/>
  <c r="F19" i="3"/>
  <c r="F829" i="3" s="1"/>
  <c r="E19" i="3"/>
  <c r="T18" i="3"/>
  <c r="K18" i="3"/>
  <c r="J18" i="3"/>
  <c r="H18" i="3"/>
  <c r="H828" i="3" s="1"/>
  <c r="AD825" i="3" s="1"/>
  <c r="G18" i="3"/>
  <c r="F18" i="3"/>
  <c r="E18" i="3"/>
  <c r="E828" i="3" s="1"/>
  <c r="AA825" i="3" s="1"/>
  <c r="AM17" i="3"/>
  <c r="AK17" i="3"/>
  <c r="AH17" i="3"/>
  <c r="AG17" i="3"/>
  <c r="AF17" i="3"/>
  <c r="AA17" i="3"/>
  <c r="Z17" i="3"/>
  <c r="K17" i="3"/>
  <c r="K827" i="3" s="1"/>
  <c r="AG836" i="3" s="1"/>
  <c r="J17" i="3"/>
  <c r="AF26" i="3" s="1"/>
  <c r="I17" i="3"/>
  <c r="AE26" i="3" s="1"/>
  <c r="H17" i="3"/>
  <c r="H827" i="3" s="1"/>
  <c r="AD836" i="3" s="1"/>
  <c r="G17" i="3"/>
  <c r="G827" i="3" s="1"/>
  <c r="F17" i="3"/>
  <c r="E17" i="3"/>
  <c r="AM16" i="3"/>
  <c r="AK16" i="3"/>
  <c r="AG16" i="3"/>
  <c r="AF16" i="3"/>
  <c r="AC16" i="3"/>
  <c r="AB16" i="3"/>
  <c r="AJ16" i="3" s="1"/>
  <c r="AA16" i="3"/>
  <c r="Z16" i="3"/>
  <c r="L16" i="3"/>
  <c r="AH25" i="3" s="1"/>
  <c r="K16" i="3"/>
  <c r="K826" i="3" s="1"/>
  <c r="AG835" i="3" s="1"/>
  <c r="J16" i="3"/>
  <c r="J826" i="3" s="1"/>
  <c r="H16" i="3"/>
  <c r="G16" i="3"/>
  <c r="G826" i="3" s="1"/>
  <c r="F16" i="3"/>
  <c r="F826" i="3" s="1"/>
  <c r="E16" i="3"/>
  <c r="AA25" i="3" s="1"/>
  <c r="AM15" i="3"/>
  <c r="AD15" i="3"/>
  <c r="AC15" i="3"/>
  <c r="AA15" i="3"/>
  <c r="Z15" i="3"/>
  <c r="T15" i="3"/>
  <c r="U15" i="3" s="1"/>
  <c r="AQ24" i="3" s="1"/>
  <c r="K15" i="3"/>
  <c r="K825" i="3" s="1"/>
  <c r="AG834" i="3" s="1"/>
  <c r="J15" i="3"/>
  <c r="H15" i="3"/>
  <c r="H825" i="3" s="1"/>
  <c r="AD834" i="3" s="1"/>
  <c r="G15" i="3"/>
  <c r="AC24" i="3" s="1"/>
  <c r="F15" i="3"/>
  <c r="AB24" i="3" s="1"/>
  <c r="AJ24" i="3" s="1"/>
  <c r="E15" i="3"/>
  <c r="E825" i="3" s="1"/>
  <c r="AA834" i="3" s="1"/>
  <c r="AP14" i="3"/>
  <c r="AM14" i="3"/>
  <c r="AK14" i="3"/>
  <c r="AA14" i="3"/>
  <c r="Z14" i="3"/>
  <c r="K14" i="3"/>
  <c r="K824" i="3" s="1"/>
  <c r="AG833" i="3" s="1"/>
  <c r="J14" i="3"/>
  <c r="I14" i="3"/>
  <c r="H14" i="3"/>
  <c r="G14" i="3"/>
  <c r="G824" i="3" s="1"/>
  <c r="F14" i="3"/>
  <c r="F824" i="3" s="1"/>
  <c r="E14" i="3"/>
  <c r="AM13" i="3"/>
  <c r="AK13" i="3"/>
  <c r="AC13" i="3"/>
  <c r="AA13" i="3"/>
  <c r="Z13" i="3"/>
  <c r="L13" i="3"/>
  <c r="K13" i="3"/>
  <c r="J13" i="3"/>
  <c r="H13" i="3"/>
  <c r="G13" i="3"/>
  <c r="G823" i="3" s="1"/>
  <c r="F13" i="3"/>
  <c r="F823" i="3" s="1"/>
  <c r="E13" i="3"/>
  <c r="AM12" i="3"/>
  <c r="AK12" i="3"/>
  <c r="AK18" i="3" s="1"/>
  <c r="AF12" i="3"/>
  <c r="AD12" i="3"/>
  <c r="Z12" i="3"/>
  <c r="U12" i="3"/>
  <c r="AQ4" i="3" s="1"/>
  <c r="T12" i="3"/>
  <c r="K12" i="3"/>
  <c r="J12" i="3"/>
  <c r="J822" i="3" s="1"/>
  <c r="I12" i="3"/>
  <c r="H12" i="3"/>
  <c r="G12" i="3"/>
  <c r="F12" i="3"/>
  <c r="F822" i="3" s="1"/>
  <c r="E12" i="3"/>
  <c r="E822" i="3" s="1"/>
  <c r="AA814" i="3" s="1"/>
  <c r="U11" i="3"/>
  <c r="AQ3" i="3" s="1"/>
  <c r="T11" i="3"/>
  <c r="K11" i="3"/>
  <c r="J11" i="3"/>
  <c r="J821" i="3" s="1"/>
  <c r="I11" i="3"/>
  <c r="AE3" i="3" s="1"/>
  <c r="H11" i="3"/>
  <c r="G11" i="3"/>
  <c r="F11" i="3"/>
  <c r="F821" i="3" s="1"/>
  <c r="E11" i="3"/>
  <c r="E821" i="3" s="1"/>
  <c r="AA813" i="3" s="1"/>
  <c r="U10" i="3"/>
  <c r="AQ14" i="3" s="1"/>
  <c r="T10" i="3"/>
  <c r="K10" i="3"/>
  <c r="J10" i="3"/>
  <c r="J820" i="3" s="1"/>
  <c r="I10" i="3"/>
  <c r="AE14" i="3" s="1"/>
  <c r="H10" i="3"/>
  <c r="AD14" i="3" s="1"/>
  <c r="G10" i="3"/>
  <c r="AC14" i="3" s="1"/>
  <c r="F10" i="3"/>
  <c r="F820" i="3" s="1"/>
  <c r="E10" i="3"/>
  <c r="E820" i="3" s="1"/>
  <c r="AA824" i="3" s="1"/>
  <c r="Z9" i="3"/>
  <c r="K9" i="3"/>
  <c r="K819" i="3" s="1"/>
  <c r="AG832" i="3" s="1"/>
  <c r="J9" i="3"/>
  <c r="I9" i="3"/>
  <c r="AE22" i="3" s="1"/>
  <c r="H9" i="3"/>
  <c r="G9" i="3"/>
  <c r="G819" i="3" s="1"/>
  <c r="F9" i="3"/>
  <c r="F819" i="3" s="1"/>
  <c r="E9" i="3"/>
  <c r="AM8" i="3"/>
  <c r="AK8" i="3"/>
  <c r="AD8" i="3"/>
  <c r="AC8" i="3"/>
  <c r="AB8" i="3"/>
  <c r="AJ8" i="3" s="1"/>
  <c r="AA8" i="3"/>
  <c r="Z8" i="3"/>
  <c r="L8" i="3"/>
  <c r="AH13" i="3" s="1"/>
  <c r="K8" i="3"/>
  <c r="K818" i="3" s="1"/>
  <c r="AG823" i="3" s="1"/>
  <c r="J8" i="3"/>
  <c r="J818" i="3" s="1"/>
  <c r="H8" i="3"/>
  <c r="G8" i="3"/>
  <c r="G818" i="3" s="1"/>
  <c r="F8" i="3"/>
  <c r="F818" i="3" s="1"/>
  <c r="E8" i="3"/>
  <c r="AM7" i="3"/>
  <c r="AK7" i="3"/>
  <c r="AG7" i="3"/>
  <c r="AF7" i="3"/>
  <c r="AE7" i="3"/>
  <c r="AD7" i="3"/>
  <c r="AC7" i="3"/>
  <c r="Z7" i="3"/>
  <c r="U7" i="3"/>
  <c r="AQ12" i="3" s="1"/>
  <c r="T7" i="3"/>
  <c r="AP12" i="3" s="1"/>
  <c r="K7" i="3"/>
  <c r="J7" i="3"/>
  <c r="J817" i="3" s="1"/>
  <c r="I7" i="3"/>
  <c r="AE12" i="3" s="1"/>
  <c r="H7" i="3"/>
  <c r="G7" i="3"/>
  <c r="F7" i="3"/>
  <c r="F817" i="3" s="1"/>
  <c r="E7" i="3"/>
  <c r="E817" i="3" s="1"/>
  <c r="AA822" i="3" s="1"/>
  <c r="AM6" i="3"/>
  <c r="AK6" i="3"/>
  <c r="AH6" i="3"/>
  <c r="AG6" i="3"/>
  <c r="AF6" i="3"/>
  <c r="AC6" i="3"/>
  <c r="AB6" i="3"/>
  <c r="AA6" i="3"/>
  <c r="Z6" i="3"/>
  <c r="N6" i="3"/>
  <c r="L6" i="3"/>
  <c r="K6" i="3"/>
  <c r="AG21" i="3" s="1"/>
  <c r="J6" i="3"/>
  <c r="AF21" i="3" s="1"/>
  <c r="H6" i="3"/>
  <c r="H816" i="3" s="1"/>
  <c r="G6" i="3"/>
  <c r="F6" i="3"/>
  <c r="E6" i="3"/>
  <c r="E816" i="3" s="1"/>
  <c r="AM5" i="3"/>
  <c r="AK5" i="3"/>
  <c r="AH5" i="3"/>
  <c r="AG5" i="3"/>
  <c r="AF5" i="3"/>
  <c r="AD5" i="3"/>
  <c r="AC5" i="3"/>
  <c r="AB5" i="3"/>
  <c r="AJ5" i="3" s="1"/>
  <c r="AA5" i="3"/>
  <c r="Z5" i="3"/>
  <c r="AP4" i="3"/>
  <c r="AM4" i="3"/>
  <c r="AF4" i="3"/>
  <c r="AE4" i="3"/>
  <c r="AD4" i="3"/>
  <c r="AC4" i="3"/>
  <c r="AB4" i="3"/>
  <c r="AJ4" i="3" s="1"/>
  <c r="AA4" i="3"/>
  <c r="Z4" i="3"/>
  <c r="AP3" i="3"/>
  <c r="AM3" i="3"/>
  <c r="AK3" i="3"/>
  <c r="AK9" i="3" s="1"/>
  <c r="AF3" i="3"/>
  <c r="AD3" i="3"/>
  <c r="AC3" i="3"/>
  <c r="AB3" i="3"/>
  <c r="AA3" i="3"/>
  <c r="Z3" i="3"/>
  <c r="AM863" i="2"/>
  <c r="Z863" i="2"/>
  <c r="AM862" i="2"/>
  <c r="AM861" i="2"/>
  <c r="Z861" i="2"/>
  <c r="AM860" i="2"/>
  <c r="O860" i="2"/>
  <c r="D860" i="2"/>
  <c r="Z845" i="2" s="1"/>
  <c r="AM859" i="2"/>
  <c r="O859" i="2"/>
  <c r="D859" i="2"/>
  <c r="AM858" i="2"/>
  <c r="O858" i="2"/>
  <c r="AK854" i="2" s="1"/>
  <c r="D858" i="2"/>
  <c r="O857" i="2"/>
  <c r="D857" i="2"/>
  <c r="O856" i="2"/>
  <c r="D856" i="2"/>
  <c r="Z843" i="2" s="1"/>
  <c r="O855" i="2"/>
  <c r="D855" i="2"/>
  <c r="AM854" i="2"/>
  <c r="Z854" i="2"/>
  <c r="O854" i="2"/>
  <c r="AK863" i="2" s="1"/>
  <c r="D854" i="2"/>
  <c r="AM853" i="2"/>
  <c r="AK853" i="2"/>
  <c r="Z853" i="2"/>
  <c r="O853" i="2"/>
  <c r="AK862" i="2" s="1"/>
  <c r="D853" i="2"/>
  <c r="Z862" i="2" s="1"/>
  <c r="AM852" i="2"/>
  <c r="AK852" i="2"/>
  <c r="Z852" i="2"/>
  <c r="O852" i="2"/>
  <c r="AK861" i="2" s="1"/>
  <c r="D852" i="2"/>
  <c r="AM851" i="2"/>
  <c r="AK851" i="2"/>
  <c r="O851" i="2"/>
  <c r="AK860" i="2" s="1"/>
  <c r="D851" i="2"/>
  <c r="Z860" i="2" s="1"/>
  <c r="AM850" i="2"/>
  <c r="O850" i="2"/>
  <c r="AK842" i="2" s="1"/>
  <c r="D850" i="2"/>
  <c r="AM849" i="2"/>
  <c r="Z849" i="2"/>
  <c r="O849" i="2"/>
  <c r="D849" i="2"/>
  <c r="O848" i="2"/>
  <c r="AK840" i="2" s="1"/>
  <c r="AK846" i="2" s="1"/>
  <c r="D848" i="2"/>
  <c r="O847" i="2"/>
  <c r="D847" i="2"/>
  <c r="Z851" i="2" s="1"/>
  <c r="O846" i="2"/>
  <c r="AK859" i="2" s="1"/>
  <c r="D846" i="2"/>
  <c r="Z859" i="2" s="1"/>
  <c r="AM845" i="2"/>
  <c r="AK845" i="2"/>
  <c r="O845" i="2"/>
  <c r="AK850" i="2" s="1"/>
  <c r="D845" i="2"/>
  <c r="Z850" i="2" s="1"/>
  <c r="AM844" i="2"/>
  <c r="AK844" i="2"/>
  <c r="Z844" i="2"/>
  <c r="O844" i="2"/>
  <c r="AK849" i="2" s="1"/>
  <c r="AK855" i="2" s="1"/>
  <c r="D844" i="2"/>
  <c r="AM843" i="2"/>
  <c r="AK843" i="2"/>
  <c r="O843" i="2"/>
  <c r="O861" i="2" s="1"/>
  <c r="D843" i="2"/>
  <c r="AM842" i="2"/>
  <c r="Z842" i="2"/>
  <c r="AM841" i="2"/>
  <c r="AK841" i="2"/>
  <c r="Z841" i="2"/>
  <c r="AM840" i="2"/>
  <c r="Z840" i="2"/>
  <c r="Z846" i="2" s="1"/>
  <c r="AM836" i="2"/>
  <c r="AK836" i="2"/>
  <c r="AF836" i="2"/>
  <c r="Z836" i="2"/>
  <c r="AM835" i="2"/>
  <c r="AK835" i="2"/>
  <c r="AA835" i="2"/>
  <c r="Z835" i="2"/>
  <c r="AM834" i="2"/>
  <c r="AK834" i="2"/>
  <c r="AD834" i="2"/>
  <c r="AC834" i="2"/>
  <c r="Z834" i="2"/>
  <c r="O834" i="2"/>
  <c r="D834" i="2"/>
  <c r="AM833" i="2"/>
  <c r="AK833" i="2"/>
  <c r="AA833" i="2"/>
  <c r="Z833" i="2"/>
  <c r="K833" i="2"/>
  <c r="J833" i="2"/>
  <c r="L833" i="2" s="1"/>
  <c r="AH818" i="2" s="1"/>
  <c r="H833" i="2"/>
  <c r="G833" i="2"/>
  <c r="I833" i="2" s="1"/>
  <c r="F833" i="2"/>
  <c r="T833" i="2" s="1"/>
  <c r="E833" i="2"/>
  <c r="AA818" i="2" s="1"/>
  <c r="AM832" i="2"/>
  <c r="AK832" i="2"/>
  <c r="AC832" i="2"/>
  <c r="Z832" i="2"/>
  <c r="K832" i="2"/>
  <c r="J832" i="2"/>
  <c r="L832" i="2" s="1"/>
  <c r="AH817" i="2" s="1"/>
  <c r="H832" i="2"/>
  <c r="G832" i="2"/>
  <c r="F832" i="2"/>
  <c r="N832" i="2" s="1"/>
  <c r="E832" i="2"/>
  <c r="AM831" i="2"/>
  <c r="AK831" i="2"/>
  <c r="AF831" i="2"/>
  <c r="Z831" i="2"/>
  <c r="K831" i="2"/>
  <c r="J831" i="2"/>
  <c r="H831" i="2"/>
  <c r="I831" i="2" s="1"/>
  <c r="G831" i="2"/>
  <c r="F831" i="2"/>
  <c r="T831" i="2" s="1"/>
  <c r="E831" i="2"/>
  <c r="K830" i="2"/>
  <c r="J830" i="2"/>
  <c r="H830" i="2"/>
  <c r="I830" i="2" s="1"/>
  <c r="G830" i="2"/>
  <c r="F830" i="2"/>
  <c r="T830" i="2" s="1"/>
  <c r="AP826" i="2" s="1"/>
  <c r="E830" i="2"/>
  <c r="U829" i="2"/>
  <c r="AQ816" i="2" s="1"/>
  <c r="K829" i="2"/>
  <c r="J829" i="2"/>
  <c r="H829" i="2"/>
  <c r="I829" i="2" s="1"/>
  <c r="G829" i="2"/>
  <c r="F829" i="2"/>
  <c r="T829" i="2" s="1"/>
  <c r="AP816" i="2" s="1"/>
  <c r="E829" i="2"/>
  <c r="K828" i="2"/>
  <c r="J828" i="2"/>
  <c r="L828" i="2" s="1"/>
  <c r="M828" i="2" s="1"/>
  <c r="H828" i="2"/>
  <c r="G828" i="2"/>
  <c r="I828" i="2" s="1"/>
  <c r="AE825" i="2" s="1"/>
  <c r="F828" i="2"/>
  <c r="T828" i="2" s="1"/>
  <c r="E828" i="2"/>
  <c r="AM827" i="2"/>
  <c r="AK827" i="2"/>
  <c r="AF827" i="2"/>
  <c r="AD827" i="2"/>
  <c r="AC827" i="2"/>
  <c r="AB827" i="2"/>
  <c r="AJ827" i="2" s="1"/>
  <c r="AA827" i="2"/>
  <c r="Z827" i="2"/>
  <c r="K827" i="2"/>
  <c r="AG836" i="2" s="1"/>
  <c r="J827" i="2"/>
  <c r="L827" i="2" s="1"/>
  <c r="AH836" i="2" s="1"/>
  <c r="H827" i="2"/>
  <c r="G827" i="2"/>
  <c r="AC836" i="2" s="1"/>
  <c r="F827" i="2"/>
  <c r="N827" i="2" s="1"/>
  <c r="E827" i="2"/>
  <c r="AA836" i="2" s="1"/>
  <c r="AM826" i="2"/>
  <c r="AK826" i="2"/>
  <c r="AF826" i="2"/>
  <c r="AD826" i="2"/>
  <c r="AC826" i="2"/>
  <c r="AB826" i="2"/>
  <c r="AJ826" i="2" s="1"/>
  <c r="AA826" i="2"/>
  <c r="Z826" i="2"/>
  <c r="K826" i="2"/>
  <c r="J826" i="2"/>
  <c r="AF835" i="2" s="1"/>
  <c r="H826" i="2"/>
  <c r="AD835" i="2" s="1"/>
  <c r="G826" i="2"/>
  <c r="I826" i="2" s="1"/>
  <c r="F826" i="2"/>
  <c r="T826" i="2" s="1"/>
  <c r="U826" i="2" s="1"/>
  <c r="AQ835" i="2" s="1"/>
  <c r="E826" i="2"/>
  <c r="AM825" i="2"/>
  <c r="AG825" i="2"/>
  <c r="AF825" i="2"/>
  <c r="AD825" i="2"/>
  <c r="AC825" i="2"/>
  <c r="AA825" i="2"/>
  <c r="Z825" i="2"/>
  <c r="Z828" i="2" s="1"/>
  <c r="K825" i="2"/>
  <c r="AG834" i="2" s="1"/>
  <c r="J825" i="2"/>
  <c r="L825" i="2" s="1"/>
  <c r="AH834" i="2" s="1"/>
  <c r="H825" i="2"/>
  <c r="G825" i="2"/>
  <c r="I825" i="2" s="1"/>
  <c r="AE834" i="2" s="1"/>
  <c r="F825" i="2"/>
  <c r="E825" i="2"/>
  <c r="AA834" i="2" s="1"/>
  <c r="AM824" i="2"/>
  <c r="AK824" i="2"/>
  <c r="AD824" i="2"/>
  <c r="AC824" i="2"/>
  <c r="Z824" i="2"/>
  <c r="K824" i="2"/>
  <c r="AG833" i="2" s="1"/>
  <c r="J824" i="2"/>
  <c r="AF833" i="2" s="1"/>
  <c r="H824" i="2"/>
  <c r="AD833" i="2" s="1"/>
  <c r="G824" i="2"/>
  <c r="AC833" i="2" s="1"/>
  <c r="F824" i="2"/>
  <c r="N824" i="2" s="1"/>
  <c r="E824" i="2"/>
  <c r="AM823" i="2"/>
  <c r="AK823" i="2"/>
  <c r="AG823" i="2"/>
  <c r="AF823" i="2"/>
  <c r="Z823" i="2"/>
  <c r="U823" i="2"/>
  <c r="AQ815" i="2" s="1"/>
  <c r="K823" i="2"/>
  <c r="L823" i="2" s="1"/>
  <c r="J823" i="2"/>
  <c r="H823" i="2"/>
  <c r="G823" i="2"/>
  <c r="I823" i="2" s="1"/>
  <c r="F823" i="2"/>
  <c r="T823" i="2" s="1"/>
  <c r="E823" i="2"/>
  <c r="AM822" i="2"/>
  <c r="AK822" i="2"/>
  <c r="AA822" i="2"/>
  <c r="Z822" i="2"/>
  <c r="K822" i="2"/>
  <c r="J822" i="2"/>
  <c r="L822" i="2" s="1"/>
  <c r="AH814" i="2" s="1"/>
  <c r="H822" i="2"/>
  <c r="G822" i="2"/>
  <c r="F822" i="2"/>
  <c r="E822" i="2"/>
  <c r="K821" i="2"/>
  <c r="J821" i="2"/>
  <c r="L821" i="2" s="1"/>
  <c r="AH813" i="2" s="1"/>
  <c r="H821" i="2"/>
  <c r="G821" i="2"/>
  <c r="F821" i="2"/>
  <c r="E821" i="2"/>
  <c r="K820" i="2"/>
  <c r="AG824" i="2" s="1"/>
  <c r="J820" i="2"/>
  <c r="L820" i="2" s="1"/>
  <c r="AH824" i="2" s="1"/>
  <c r="H820" i="2"/>
  <c r="G820" i="2"/>
  <c r="I820" i="2" s="1"/>
  <c r="F820" i="2"/>
  <c r="E820" i="2"/>
  <c r="AA824" i="2" s="1"/>
  <c r="AK819" i="2"/>
  <c r="K819" i="2"/>
  <c r="AG832" i="2" s="1"/>
  <c r="J819" i="2"/>
  <c r="L819" i="2" s="1"/>
  <c r="AH832" i="2" s="1"/>
  <c r="H819" i="2"/>
  <c r="AD832" i="2" s="1"/>
  <c r="G819" i="2"/>
  <c r="F819" i="2"/>
  <c r="AB832" i="2" s="1"/>
  <c r="AJ832" i="2" s="1"/>
  <c r="E819" i="2"/>
  <c r="AA832" i="2" s="1"/>
  <c r="AM818" i="2"/>
  <c r="AK818" i="2"/>
  <c r="AG818" i="2"/>
  <c r="AF818" i="2"/>
  <c r="AD818" i="2"/>
  <c r="AC818" i="2"/>
  <c r="Z818" i="2"/>
  <c r="U818" i="2"/>
  <c r="AQ823" i="2" s="1"/>
  <c r="K818" i="2"/>
  <c r="L818" i="2" s="1"/>
  <c r="AH823" i="2" s="1"/>
  <c r="J818" i="2"/>
  <c r="H818" i="2"/>
  <c r="AD823" i="2" s="1"/>
  <c r="G818" i="2"/>
  <c r="I818" i="2" s="1"/>
  <c r="F818" i="2"/>
  <c r="T818" i="2" s="1"/>
  <c r="AP823" i="2" s="1"/>
  <c r="E818" i="2"/>
  <c r="AA823" i="2" s="1"/>
  <c r="AM817" i="2"/>
  <c r="AK817" i="2"/>
  <c r="AJ817" i="2"/>
  <c r="AG817" i="2"/>
  <c r="AF817" i="2"/>
  <c r="AC817" i="2"/>
  <c r="AB817" i="2"/>
  <c r="AA817" i="2"/>
  <c r="Z817" i="2"/>
  <c r="L817" i="2"/>
  <c r="AH822" i="2" s="1"/>
  <c r="K817" i="2"/>
  <c r="AG822" i="2" s="1"/>
  <c r="J817" i="2"/>
  <c r="AF822" i="2" s="1"/>
  <c r="H817" i="2"/>
  <c r="AD822" i="2" s="1"/>
  <c r="G817" i="2"/>
  <c r="F817" i="2"/>
  <c r="T817" i="2" s="1"/>
  <c r="E817" i="2"/>
  <c r="AM816" i="2"/>
  <c r="AK816" i="2"/>
  <c r="AF816" i="2"/>
  <c r="AE816" i="2"/>
  <c r="AD816" i="2"/>
  <c r="AC816" i="2"/>
  <c r="AB816" i="2"/>
  <c r="AA816" i="2"/>
  <c r="Z816" i="2"/>
  <c r="T816" i="2"/>
  <c r="K816" i="2"/>
  <c r="K834" i="2" s="1"/>
  <c r="J816" i="2"/>
  <c r="I816" i="2"/>
  <c r="H816" i="2"/>
  <c r="H834" i="2" s="1"/>
  <c r="G816" i="2"/>
  <c r="F816" i="2"/>
  <c r="E816" i="2"/>
  <c r="AP815" i="2"/>
  <c r="AM815" i="2"/>
  <c r="AK815" i="2"/>
  <c r="AH815" i="2"/>
  <c r="AF815" i="2"/>
  <c r="AD815" i="2"/>
  <c r="AC815" i="2"/>
  <c r="AB815" i="2"/>
  <c r="AJ815" i="2" s="1"/>
  <c r="AA815" i="2"/>
  <c r="Z815" i="2"/>
  <c r="AM814" i="2"/>
  <c r="AG814" i="2"/>
  <c r="AF814" i="2"/>
  <c r="AD814" i="2"/>
  <c r="AA814" i="2"/>
  <c r="Z814" i="2"/>
  <c r="AM813" i="2"/>
  <c r="AK813" i="2"/>
  <c r="AG813" i="2"/>
  <c r="AF813" i="2"/>
  <c r="AF819" i="2" s="1"/>
  <c r="AD813" i="2"/>
  <c r="AA813" i="2"/>
  <c r="Z813" i="2"/>
  <c r="Z819" i="2" s="1"/>
  <c r="AM809" i="2"/>
  <c r="AK809" i="2"/>
  <c r="AD809" i="2"/>
  <c r="AA809" i="2"/>
  <c r="Z809" i="2"/>
  <c r="AM808" i="2"/>
  <c r="AK808" i="2"/>
  <c r="AG808" i="2"/>
  <c r="AD808" i="2"/>
  <c r="Z808" i="2"/>
  <c r="AM807" i="2"/>
  <c r="AK807" i="2"/>
  <c r="AG807" i="2"/>
  <c r="AF807" i="2"/>
  <c r="AB807" i="2"/>
  <c r="AJ807" i="2" s="1"/>
  <c r="AA807" i="2"/>
  <c r="Z807" i="2"/>
  <c r="O807" i="2"/>
  <c r="D807" i="2"/>
  <c r="AM806" i="2"/>
  <c r="AK806" i="2"/>
  <c r="AF806" i="2"/>
  <c r="AD806" i="2"/>
  <c r="AC806" i="2"/>
  <c r="Z806" i="2"/>
  <c r="L806" i="2"/>
  <c r="AH791" i="2" s="1"/>
  <c r="K806" i="2"/>
  <c r="J806" i="2"/>
  <c r="I806" i="2"/>
  <c r="H806" i="2"/>
  <c r="AD791" i="2" s="1"/>
  <c r="G806" i="2"/>
  <c r="F806" i="2"/>
  <c r="N806" i="2" s="1"/>
  <c r="E806" i="2"/>
  <c r="AM805" i="2"/>
  <c r="AK805" i="2"/>
  <c r="AF805" i="2"/>
  <c r="AB805" i="2"/>
  <c r="AJ805" i="2" s="1"/>
  <c r="Z805" i="2"/>
  <c r="U805" i="2"/>
  <c r="AQ790" i="2" s="1"/>
  <c r="L805" i="2"/>
  <c r="AH790" i="2" s="1"/>
  <c r="K805" i="2"/>
  <c r="AG790" i="2" s="1"/>
  <c r="J805" i="2"/>
  <c r="H805" i="2"/>
  <c r="G805" i="2"/>
  <c r="AC790" i="2" s="1"/>
  <c r="F805" i="2"/>
  <c r="T805" i="2" s="1"/>
  <c r="AP790" i="2" s="1"/>
  <c r="E805" i="2"/>
  <c r="AM804" i="2"/>
  <c r="AK804" i="2"/>
  <c r="AB804" i="2"/>
  <c r="Z804" i="2"/>
  <c r="N804" i="2"/>
  <c r="K804" i="2"/>
  <c r="J804" i="2"/>
  <c r="L804" i="2" s="1"/>
  <c r="AH800" i="2" s="1"/>
  <c r="H804" i="2"/>
  <c r="G804" i="2"/>
  <c r="F804" i="2"/>
  <c r="E804" i="2"/>
  <c r="N803" i="2"/>
  <c r="K803" i="2"/>
  <c r="J803" i="2"/>
  <c r="L803" i="2" s="1"/>
  <c r="AH799" i="2" s="1"/>
  <c r="H803" i="2"/>
  <c r="G803" i="2"/>
  <c r="F803" i="2"/>
  <c r="T803" i="2" s="1"/>
  <c r="E803" i="2"/>
  <c r="N802" i="2"/>
  <c r="AJ789" i="2" s="1"/>
  <c r="K802" i="2"/>
  <c r="J802" i="2"/>
  <c r="AF789" i="2" s="1"/>
  <c r="H802" i="2"/>
  <c r="G802" i="2"/>
  <c r="F802" i="2"/>
  <c r="E802" i="2"/>
  <c r="AK801" i="2"/>
  <c r="L801" i="2"/>
  <c r="AH798" i="2" s="1"/>
  <c r="K801" i="2"/>
  <c r="J801" i="2"/>
  <c r="I801" i="2"/>
  <c r="H801" i="2"/>
  <c r="G801" i="2"/>
  <c r="F801" i="2"/>
  <c r="AB798" i="2" s="1"/>
  <c r="AJ798" i="2" s="1"/>
  <c r="E801" i="2"/>
  <c r="AM800" i="2"/>
  <c r="AK800" i="2"/>
  <c r="AG800" i="2"/>
  <c r="AF800" i="2"/>
  <c r="AD800" i="2"/>
  <c r="AA800" i="2"/>
  <c r="Z800" i="2"/>
  <c r="U800" i="2"/>
  <c r="AQ809" i="2" s="1"/>
  <c r="L800" i="2"/>
  <c r="AH809" i="2" s="1"/>
  <c r="K800" i="2"/>
  <c r="AG809" i="2" s="1"/>
  <c r="J800" i="2"/>
  <c r="AF809" i="2" s="1"/>
  <c r="H800" i="2"/>
  <c r="G800" i="2"/>
  <c r="I800" i="2" s="1"/>
  <c r="F800" i="2"/>
  <c r="T800" i="2" s="1"/>
  <c r="AP809" i="2" s="1"/>
  <c r="E800" i="2"/>
  <c r="AM799" i="2"/>
  <c r="AK799" i="2"/>
  <c r="AJ799" i="2"/>
  <c r="AG799" i="2"/>
  <c r="AD799" i="2"/>
  <c r="AB799" i="2"/>
  <c r="AA799" i="2"/>
  <c r="Z799" i="2"/>
  <c r="N799" i="2"/>
  <c r="K799" i="2"/>
  <c r="J799" i="2"/>
  <c r="L799" i="2" s="1"/>
  <c r="AH808" i="2" s="1"/>
  <c r="H799" i="2"/>
  <c r="G799" i="2"/>
  <c r="F799" i="2"/>
  <c r="E799" i="2"/>
  <c r="AA808" i="2" s="1"/>
  <c r="AM798" i="2"/>
  <c r="AG798" i="2"/>
  <c r="AF798" i="2"/>
  <c r="AD798" i="2"/>
  <c r="AC798" i="2"/>
  <c r="AA798" i="2"/>
  <c r="Z798" i="2"/>
  <c r="L798" i="2"/>
  <c r="AH807" i="2" s="1"/>
  <c r="K798" i="2"/>
  <c r="J798" i="2"/>
  <c r="I798" i="2"/>
  <c r="H798" i="2"/>
  <c r="AD807" i="2" s="1"/>
  <c r="G798" i="2"/>
  <c r="AC807" i="2" s="1"/>
  <c r="F798" i="2"/>
  <c r="N798" i="2" s="1"/>
  <c r="E798" i="2"/>
  <c r="AM797" i="2"/>
  <c r="AK797" i="2"/>
  <c r="AG797" i="2"/>
  <c r="AD797" i="2"/>
  <c r="AB797" i="2"/>
  <c r="AJ797" i="2" s="1"/>
  <c r="Z797" i="2"/>
  <c r="L797" i="2"/>
  <c r="AH806" i="2" s="1"/>
  <c r="K797" i="2"/>
  <c r="AG806" i="2" s="1"/>
  <c r="J797" i="2"/>
  <c r="H797" i="2"/>
  <c r="G797" i="2"/>
  <c r="I797" i="2" s="1"/>
  <c r="F797" i="2"/>
  <c r="AB806" i="2" s="1"/>
  <c r="E797" i="2"/>
  <c r="AA806" i="2" s="1"/>
  <c r="AM796" i="2"/>
  <c r="AK796" i="2"/>
  <c r="AD796" i="2"/>
  <c r="AB796" i="2"/>
  <c r="AJ796" i="2" s="1"/>
  <c r="AA796" i="2"/>
  <c r="Z796" i="2"/>
  <c r="K796" i="2"/>
  <c r="J796" i="2"/>
  <c r="L796" i="2" s="1"/>
  <c r="AH788" i="2" s="1"/>
  <c r="H796" i="2"/>
  <c r="G796" i="2"/>
  <c r="I796" i="2" s="1"/>
  <c r="F796" i="2"/>
  <c r="E796" i="2"/>
  <c r="AM795" i="2"/>
  <c r="AK795" i="2"/>
  <c r="AG795" i="2"/>
  <c r="AD795" i="2"/>
  <c r="AD801" i="2" s="1"/>
  <c r="Z795" i="2"/>
  <c r="Z801" i="2" s="1"/>
  <c r="T795" i="2"/>
  <c r="K795" i="2"/>
  <c r="J795" i="2"/>
  <c r="I795" i="2"/>
  <c r="H795" i="2"/>
  <c r="G795" i="2"/>
  <c r="F795" i="2"/>
  <c r="N795" i="2" s="1"/>
  <c r="E795" i="2"/>
  <c r="AA787" i="2" s="1"/>
  <c r="T794" i="2"/>
  <c r="U794" i="2" s="1"/>
  <c r="AQ786" i="2" s="1"/>
  <c r="K794" i="2"/>
  <c r="J794" i="2"/>
  <c r="I794" i="2"/>
  <c r="H794" i="2"/>
  <c r="G794" i="2"/>
  <c r="F794" i="2"/>
  <c r="N794" i="2" s="1"/>
  <c r="E794" i="2"/>
  <c r="AA786" i="2" s="1"/>
  <c r="T793" i="2"/>
  <c r="K793" i="2"/>
  <c r="J793" i="2"/>
  <c r="L793" i="2" s="1"/>
  <c r="AH797" i="2" s="1"/>
  <c r="I793" i="2"/>
  <c r="H793" i="2"/>
  <c r="G793" i="2"/>
  <c r="AC797" i="2" s="1"/>
  <c r="F793" i="2"/>
  <c r="N793" i="2" s="1"/>
  <c r="E793" i="2"/>
  <c r="AA797" i="2" s="1"/>
  <c r="U792" i="2"/>
  <c r="AQ805" i="2" s="1"/>
  <c r="L792" i="2"/>
  <c r="AH805" i="2" s="1"/>
  <c r="K792" i="2"/>
  <c r="AG805" i="2" s="1"/>
  <c r="J792" i="2"/>
  <c r="H792" i="2"/>
  <c r="AD805" i="2" s="1"/>
  <c r="G792" i="2"/>
  <c r="I792" i="2" s="1"/>
  <c r="F792" i="2"/>
  <c r="T792" i="2" s="1"/>
  <c r="AP805" i="2" s="1"/>
  <c r="E792" i="2"/>
  <c r="AA805" i="2" s="1"/>
  <c r="AM791" i="2"/>
  <c r="AK791" i="2"/>
  <c r="AJ791" i="2"/>
  <c r="AG791" i="2"/>
  <c r="AF791" i="2"/>
  <c r="AC791" i="2"/>
  <c r="AB791" i="2"/>
  <c r="AA791" i="2"/>
  <c r="Z791" i="2"/>
  <c r="K791" i="2"/>
  <c r="AG796" i="2" s="1"/>
  <c r="AG801" i="2" s="1"/>
  <c r="J791" i="2"/>
  <c r="L791" i="2" s="1"/>
  <c r="AH796" i="2" s="1"/>
  <c r="H791" i="2"/>
  <c r="G791" i="2"/>
  <c r="F791" i="2"/>
  <c r="T791" i="2" s="1"/>
  <c r="E791" i="2"/>
  <c r="AM790" i="2"/>
  <c r="AK790" i="2"/>
  <c r="AF790" i="2"/>
  <c r="AD790" i="2"/>
  <c r="AB790" i="2"/>
  <c r="AJ790" i="2" s="1"/>
  <c r="AA790" i="2"/>
  <c r="Z790" i="2"/>
  <c r="T790" i="2"/>
  <c r="K790" i="2"/>
  <c r="J790" i="2"/>
  <c r="I790" i="2"/>
  <c r="AE795" i="2" s="1"/>
  <c r="H790" i="2"/>
  <c r="G790" i="2"/>
  <c r="AC795" i="2" s="1"/>
  <c r="F790" i="2"/>
  <c r="AB795" i="2" s="1"/>
  <c r="E790" i="2"/>
  <c r="AA795" i="2" s="1"/>
  <c r="AM789" i="2"/>
  <c r="AK789" i="2"/>
  <c r="AG789" i="2"/>
  <c r="AD789" i="2"/>
  <c r="AA789" i="2"/>
  <c r="Z789" i="2"/>
  <c r="M789" i="2"/>
  <c r="AI804" i="2" s="1"/>
  <c r="L789" i="2"/>
  <c r="AH804" i="2" s="1"/>
  <c r="K789" i="2"/>
  <c r="J789" i="2"/>
  <c r="H789" i="2"/>
  <c r="H807" i="2" s="1"/>
  <c r="G789" i="2"/>
  <c r="I789" i="2" s="1"/>
  <c r="F789" i="2"/>
  <c r="T789" i="2" s="1"/>
  <c r="E789" i="2"/>
  <c r="AM788" i="2"/>
  <c r="AK788" i="2"/>
  <c r="AG788" i="2"/>
  <c r="AF788" i="2"/>
  <c r="AD788" i="2"/>
  <c r="AC788" i="2"/>
  <c r="AB788" i="2"/>
  <c r="AA788" i="2"/>
  <c r="Z788" i="2"/>
  <c r="AM787" i="2"/>
  <c r="AG787" i="2"/>
  <c r="AD787" i="2"/>
  <c r="AC787" i="2"/>
  <c r="AB787" i="2"/>
  <c r="Z787" i="2"/>
  <c r="AM786" i="2"/>
  <c r="AK786" i="2"/>
  <c r="AK792" i="2" s="1"/>
  <c r="AG786" i="2"/>
  <c r="AG792" i="2" s="1"/>
  <c r="AD786" i="2"/>
  <c r="AC786" i="2"/>
  <c r="AB786" i="2"/>
  <c r="Z786" i="2"/>
  <c r="Z792" i="2" s="1"/>
  <c r="AP782" i="2"/>
  <c r="AM782" i="2"/>
  <c r="AK782" i="2"/>
  <c r="AD782" i="2"/>
  <c r="Z782" i="2"/>
  <c r="AM781" i="2"/>
  <c r="AK781" i="2"/>
  <c r="AC781" i="2"/>
  <c r="Z781" i="2"/>
  <c r="AM780" i="2"/>
  <c r="AK780" i="2"/>
  <c r="AJ780" i="2"/>
  <c r="AF780" i="2"/>
  <c r="AC780" i="2"/>
  <c r="AB780" i="2"/>
  <c r="Z780" i="2"/>
  <c r="O780" i="2"/>
  <c r="D780" i="2"/>
  <c r="AP779" i="2"/>
  <c r="AM779" i="2"/>
  <c r="AK779" i="2"/>
  <c r="AG779" i="2"/>
  <c r="Z779" i="2"/>
  <c r="M779" i="2"/>
  <c r="L779" i="2"/>
  <c r="AH764" i="2" s="1"/>
  <c r="K779" i="2"/>
  <c r="J779" i="2"/>
  <c r="H779" i="2"/>
  <c r="AD764" i="2" s="1"/>
  <c r="G779" i="2"/>
  <c r="I779" i="2" s="1"/>
  <c r="AE764" i="2" s="1"/>
  <c r="F779" i="2"/>
  <c r="T779" i="2" s="1"/>
  <c r="E779" i="2"/>
  <c r="AA764" i="2" s="1"/>
  <c r="AM778" i="2"/>
  <c r="AK778" i="2"/>
  <c r="AF778" i="2"/>
  <c r="AC778" i="2"/>
  <c r="AB778" i="2"/>
  <c r="Z778" i="2"/>
  <c r="U778" i="2"/>
  <c r="T778" i="2"/>
  <c r="K778" i="2"/>
  <c r="AG763" i="2" s="1"/>
  <c r="J778" i="2"/>
  <c r="L778" i="2" s="1"/>
  <c r="H778" i="2"/>
  <c r="AD763" i="2" s="1"/>
  <c r="G778" i="2"/>
  <c r="F778" i="2"/>
  <c r="N778" i="2" s="1"/>
  <c r="E778" i="2"/>
  <c r="AM777" i="2"/>
  <c r="AK777" i="2"/>
  <c r="AF777" i="2"/>
  <c r="AA777" i="2"/>
  <c r="Z777" i="2"/>
  <c r="U777" i="2"/>
  <c r="AQ773" i="2" s="1"/>
  <c r="T777" i="2"/>
  <c r="AP773" i="2" s="1"/>
  <c r="K777" i="2"/>
  <c r="AG773" i="2" s="1"/>
  <c r="J777" i="2"/>
  <c r="I777" i="2"/>
  <c r="H777" i="2"/>
  <c r="G777" i="2"/>
  <c r="F777" i="2"/>
  <c r="N777" i="2" s="1"/>
  <c r="E777" i="2"/>
  <c r="AA773" i="2" s="1"/>
  <c r="U776" i="2"/>
  <c r="AQ772" i="2" s="1"/>
  <c r="T776" i="2"/>
  <c r="AP772" i="2" s="1"/>
  <c r="K776" i="2"/>
  <c r="AG772" i="2" s="1"/>
  <c r="J776" i="2"/>
  <c r="H776" i="2"/>
  <c r="G776" i="2"/>
  <c r="I776" i="2" s="1"/>
  <c r="F776" i="2"/>
  <c r="AB772" i="2" s="1"/>
  <c r="AJ772" i="2" s="1"/>
  <c r="E776" i="2"/>
  <c r="U775" i="2"/>
  <c r="AQ762" i="2" s="1"/>
  <c r="T775" i="2"/>
  <c r="AP762" i="2" s="1"/>
  <c r="K775" i="2"/>
  <c r="AG762" i="2" s="1"/>
  <c r="J775" i="2"/>
  <c r="H775" i="2"/>
  <c r="G775" i="2"/>
  <c r="I775" i="2" s="1"/>
  <c r="F775" i="2"/>
  <c r="AB762" i="2" s="1"/>
  <c r="E775" i="2"/>
  <c r="L774" i="2"/>
  <c r="K774" i="2"/>
  <c r="J774" i="2"/>
  <c r="H774" i="2"/>
  <c r="AD771" i="2" s="1"/>
  <c r="G774" i="2"/>
  <c r="I774" i="2" s="1"/>
  <c r="AE771" i="2" s="1"/>
  <c r="F774" i="2"/>
  <c r="T774" i="2" s="1"/>
  <c r="E774" i="2"/>
  <c r="AA771" i="2" s="1"/>
  <c r="AM773" i="2"/>
  <c r="AK773" i="2"/>
  <c r="AE773" i="2"/>
  <c r="AD773" i="2"/>
  <c r="AC773" i="2"/>
  <c r="AB773" i="2"/>
  <c r="AJ773" i="2" s="1"/>
  <c r="Z773" i="2"/>
  <c r="U773" i="2"/>
  <c r="AQ782" i="2" s="1"/>
  <c r="T773" i="2"/>
  <c r="K773" i="2"/>
  <c r="AG782" i="2" s="1"/>
  <c r="J773" i="2"/>
  <c r="L773" i="2" s="1"/>
  <c r="AH782" i="2" s="1"/>
  <c r="H773" i="2"/>
  <c r="G773" i="2"/>
  <c r="F773" i="2"/>
  <c r="N773" i="2" s="1"/>
  <c r="E773" i="2"/>
  <c r="AA782" i="2" s="1"/>
  <c r="AM772" i="2"/>
  <c r="AK772" i="2"/>
  <c r="AE772" i="2"/>
  <c r="AD772" i="2"/>
  <c r="AC772" i="2"/>
  <c r="AA772" i="2"/>
  <c r="Z772" i="2"/>
  <c r="T772" i="2"/>
  <c r="K772" i="2"/>
  <c r="AG781" i="2" s="1"/>
  <c r="J772" i="2"/>
  <c r="I772" i="2"/>
  <c r="AE781" i="2" s="1"/>
  <c r="H772" i="2"/>
  <c r="AD781" i="2" s="1"/>
  <c r="G772" i="2"/>
  <c r="F772" i="2"/>
  <c r="N772" i="2" s="1"/>
  <c r="E772" i="2"/>
  <c r="AA781" i="2" s="1"/>
  <c r="AP771" i="2"/>
  <c r="AM771" i="2"/>
  <c r="AH771" i="2"/>
  <c r="AG771" i="2"/>
  <c r="AF771" i="2"/>
  <c r="AC771" i="2"/>
  <c r="AB771" i="2"/>
  <c r="Z771" i="2"/>
  <c r="L771" i="2"/>
  <c r="K771" i="2"/>
  <c r="AG780" i="2" s="1"/>
  <c r="J771" i="2"/>
  <c r="H771" i="2"/>
  <c r="AD780" i="2" s="1"/>
  <c r="G771" i="2"/>
  <c r="I771" i="2" s="1"/>
  <c r="AE780" i="2" s="1"/>
  <c r="F771" i="2"/>
  <c r="T771" i="2" s="1"/>
  <c r="E771" i="2"/>
  <c r="AA780" i="2" s="1"/>
  <c r="AM770" i="2"/>
  <c r="AK770" i="2"/>
  <c r="AK774" i="2" s="1"/>
  <c r="AF770" i="2"/>
  <c r="AC770" i="2"/>
  <c r="AB770" i="2"/>
  <c r="AJ770" i="2" s="1"/>
  <c r="Z770" i="2"/>
  <c r="U770" i="2"/>
  <c r="AQ779" i="2" s="1"/>
  <c r="T770" i="2"/>
  <c r="K770" i="2"/>
  <c r="J770" i="2"/>
  <c r="AF779" i="2" s="1"/>
  <c r="H770" i="2"/>
  <c r="AD779" i="2" s="1"/>
  <c r="G770" i="2"/>
  <c r="F770" i="2"/>
  <c r="N770" i="2" s="1"/>
  <c r="E770" i="2"/>
  <c r="AA779" i="2" s="1"/>
  <c r="AM769" i="2"/>
  <c r="AK769" i="2"/>
  <c r="AE769" i="2"/>
  <c r="AA769" i="2"/>
  <c r="Z769" i="2"/>
  <c r="U769" i="2"/>
  <c r="AQ761" i="2" s="1"/>
  <c r="T769" i="2"/>
  <c r="AP761" i="2" s="1"/>
  <c r="K769" i="2"/>
  <c r="AG761" i="2" s="1"/>
  <c r="J769" i="2"/>
  <c r="H769" i="2"/>
  <c r="G769" i="2"/>
  <c r="I769" i="2" s="1"/>
  <c r="F769" i="2"/>
  <c r="N769" i="2" s="1"/>
  <c r="E769" i="2"/>
  <c r="AM768" i="2"/>
  <c r="AK768" i="2"/>
  <c r="AD768" i="2"/>
  <c r="Z768" i="2"/>
  <c r="Z774" i="2" s="1"/>
  <c r="M768" i="2"/>
  <c r="K768" i="2"/>
  <c r="J768" i="2"/>
  <c r="L768" i="2" s="1"/>
  <c r="I768" i="2"/>
  <c r="AE760" i="2" s="1"/>
  <c r="H768" i="2"/>
  <c r="G768" i="2"/>
  <c r="F768" i="2"/>
  <c r="E768" i="2"/>
  <c r="AA760" i="2" s="1"/>
  <c r="K767" i="2"/>
  <c r="J767" i="2"/>
  <c r="L767" i="2" s="1"/>
  <c r="I767" i="2"/>
  <c r="AE759" i="2" s="1"/>
  <c r="H767" i="2"/>
  <c r="G767" i="2"/>
  <c r="F767" i="2"/>
  <c r="E767" i="2"/>
  <c r="AA759" i="2" s="1"/>
  <c r="M766" i="2"/>
  <c r="K766" i="2"/>
  <c r="AG770" i="2" s="1"/>
  <c r="J766" i="2"/>
  <c r="L766" i="2" s="1"/>
  <c r="AH770" i="2" s="1"/>
  <c r="I766" i="2"/>
  <c r="AE770" i="2" s="1"/>
  <c r="H766" i="2"/>
  <c r="AD770" i="2" s="1"/>
  <c r="G766" i="2"/>
  <c r="F766" i="2"/>
  <c r="T766" i="2" s="1"/>
  <c r="E766" i="2"/>
  <c r="AA770" i="2" s="1"/>
  <c r="U765" i="2"/>
  <c r="AQ778" i="2" s="1"/>
  <c r="T765" i="2"/>
  <c r="AP778" i="2" s="1"/>
  <c r="K765" i="2"/>
  <c r="AG778" i="2" s="1"/>
  <c r="J765" i="2"/>
  <c r="L765" i="2" s="1"/>
  <c r="AH778" i="2" s="1"/>
  <c r="H765" i="2"/>
  <c r="AD778" i="2" s="1"/>
  <c r="G765" i="2"/>
  <c r="I765" i="2" s="1"/>
  <c r="F765" i="2"/>
  <c r="N765" i="2" s="1"/>
  <c r="E765" i="2"/>
  <c r="AA778" i="2" s="1"/>
  <c r="AA783" i="2" s="1"/>
  <c r="AM764" i="2"/>
  <c r="AK764" i="2"/>
  <c r="AG764" i="2"/>
  <c r="AF764" i="2"/>
  <c r="AC764" i="2"/>
  <c r="AB764" i="2"/>
  <c r="AJ764" i="2" s="1"/>
  <c r="Z764" i="2"/>
  <c r="T764" i="2"/>
  <c r="AP769" i="2" s="1"/>
  <c r="K764" i="2"/>
  <c r="AG769" i="2" s="1"/>
  <c r="AG774" i="2" s="1"/>
  <c r="J764" i="2"/>
  <c r="H764" i="2"/>
  <c r="AD769" i="2" s="1"/>
  <c r="G764" i="2"/>
  <c r="I764" i="2" s="1"/>
  <c r="F764" i="2"/>
  <c r="AB769" i="2" s="1"/>
  <c r="AJ769" i="2" s="1"/>
  <c r="E764" i="2"/>
  <c r="AQ763" i="2"/>
  <c r="AP763" i="2"/>
  <c r="AM763" i="2"/>
  <c r="AK763" i="2"/>
  <c r="AH763" i="2"/>
  <c r="AF763" i="2"/>
  <c r="AB763" i="2"/>
  <c r="AJ763" i="2" s="1"/>
  <c r="AA763" i="2"/>
  <c r="Z763" i="2"/>
  <c r="K763" i="2"/>
  <c r="AG768" i="2" s="1"/>
  <c r="J763" i="2"/>
  <c r="L763" i="2" s="1"/>
  <c r="M763" i="2" s="1"/>
  <c r="I763" i="2"/>
  <c r="AE768" i="2" s="1"/>
  <c r="H763" i="2"/>
  <c r="G763" i="2"/>
  <c r="AC768" i="2" s="1"/>
  <c r="F763" i="2"/>
  <c r="E763" i="2"/>
  <c r="AM762" i="2"/>
  <c r="AK762" i="2"/>
  <c r="AD762" i="2"/>
  <c r="AC762" i="2"/>
  <c r="AA762" i="2"/>
  <c r="Z762" i="2"/>
  <c r="S762" i="2"/>
  <c r="R762" i="2" s="1"/>
  <c r="L762" i="2"/>
  <c r="K762" i="2"/>
  <c r="J762" i="2"/>
  <c r="I762" i="2"/>
  <c r="M762" i="2" s="1"/>
  <c r="H762" i="2"/>
  <c r="AD777" i="2" s="1"/>
  <c r="G762" i="2"/>
  <c r="F762" i="2"/>
  <c r="E762" i="2"/>
  <c r="AM761" i="2"/>
  <c r="AK761" i="2"/>
  <c r="AF761" i="2"/>
  <c r="AD761" i="2"/>
  <c r="AC761" i="2"/>
  <c r="AB761" i="2"/>
  <c r="AJ761" i="2" s="1"/>
  <c r="AA761" i="2"/>
  <c r="Z761" i="2"/>
  <c r="AM760" i="2"/>
  <c r="AI760" i="2"/>
  <c r="AH760" i="2"/>
  <c r="AG760" i="2"/>
  <c r="AF760" i="2"/>
  <c r="AD760" i="2"/>
  <c r="AC760" i="2"/>
  <c r="Z760" i="2"/>
  <c r="AM759" i="2"/>
  <c r="AK759" i="2"/>
  <c r="AK765" i="2" s="1"/>
  <c r="AG759" i="2"/>
  <c r="AF759" i="2"/>
  <c r="AD759" i="2"/>
  <c r="AC759" i="2"/>
  <c r="Z759" i="2"/>
  <c r="Z765" i="2" s="1"/>
  <c r="AM755" i="2"/>
  <c r="AK755" i="2"/>
  <c r="AD755" i="2"/>
  <c r="AA755" i="2"/>
  <c r="Z755" i="2"/>
  <c r="AM754" i="2"/>
  <c r="AK754" i="2"/>
  <c r="AG754" i="2"/>
  <c r="AD754" i="2"/>
  <c r="Z754" i="2"/>
  <c r="AM753" i="2"/>
  <c r="AK753" i="2"/>
  <c r="AG753" i="2"/>
  <c r="AF753" i="2"/>
  <c r="AB753" i="2"/>
  <c r="Z753" i="2"/>
  <c r="O753" i="2"/>
  <c r="D753" i="2"/>
  <c r="AM752" i="2"/>
  <c r="AK752" i="2"/>
  <c r="AD752" i="2"/>
  <c r="AC752" i="2"/>
  <c r="Z752" i="2"/>
  <c r="L752" i="2"/>
  <c r="AH737" i="2" s="1"/>
  <c r="K752" i="2"/>
  <c r="J752" i="2"/>
  <c r="H752" i="2"/>
  <c r="AD737" i="2" s="1"/>
  <c r="G752" i="2"/>
  <c r="F752" i="2"/>
  <c r="N752" i="2" s="1"/>
  <c r="E752" i="2"/>
  <c r="AM751" i="2"/>
  <c r="AK751" i="2"/>
  <c r="AF751" i="2"/>
  <c r="AB751" i="2"/>
  <c r="Z751" i="2"/>
  <c r="U751" i="2"/>
  <c r="AQ736" i="2" s="1"/>
  <c r="L751" i="2"/>
  <c r="AH736" i="2" s="1"/>
  <c r="K751" i="2"/>
  <c r="AG736" i="2" s="1"/>
  <c r="J751" i="2"/>
  <c r="H751" i="2"/>
  <c r="G751" i="2"/>
  <c r="AC736" i="2" s="1"/>
  <c r="F751" i="2"/>
  <c r="T751" i="2" s="1"/>
  <c r="AP736" i="2" s="1"/>
  <c r="E751" i="2"/>
  <c r="AM750" i="2"/>
  <c r="AK750" i="2"/>
  <c r="AB750" i="2"/>
  <c r="AA750" i="2"/>
  <c r="Z750" i="2"/>
  <c r="K750" i="2"/>
  <c r="J750" i="2"/>
  <c r="L750" i="2" s="1"/>
  <c r="AH746" i="2" s="1"/>
  <c r="H750" i="2"/>
  <c r="G750" i="2"/>
  <c r="F750" i="2"/>
  <c r="E750" i="2"/>
  <c r="K749" i="2"/>
  <c r="J749" i="2"/>
  <c r="L749" i="2" s="1"/>
  <c r="AH745" i="2" s="1"/>
  <c r="H749" i="2"/>
  <c r="G749" i="2"/>
  <c r="F749" i="2"/>
  <c r="E749" i="2"/>
  <c r="K748" i="2"/>
  <c r="J748" i="2"/>
  <c r="AF735" i="2" s="1"/>
  <c r="H748" i="2"/>
  <c r="G748" i="2"/>
  <c r="F748" i="2"/>
  <c r="E748" i="2"/>
  <c r="AK747" i="2"/>
  <c r="L747" i="2"/>
  <c r="AH744" i="2" s="1"/>
  <c r="K747" i="2"/>
  <c r="J747" i="2"/>
  <c r="H747" i="2"/>
  <c r="I747" i="2" s="1"/>
  <c r="G747" i="2"/>
  <c r="F747" i="2"/>
  <c r="N747" i="2" s="1"/>
  <c r="E747" i="2"/>
  <c r="AM746" i="2"/>
  <c r="AK746" i="2"/>
  <c r="AG746" i="2"/>
  <c r="AF746" i="2"/>
  <c r="AD746" i="2"/>
  <c r="AA746" i="2"/>
  <c r="Z746" i="2"/>
  <c r="K746" i="2"/>
  <c r="AG755" i="2" s="1"/>
  <c r="J746" i="2"/>
  <c r="AF755" i="2" s="1"/>
  <c r="H746" i="2"/>
  <c r="G746" i="2"/>
  <c r="I746" i="2" s="1"/>
  <c r="F746" i="2"/>
  <c r="T746" i="2" s="1"/>
  <c r="E746" i="2"/>
  <c r="AM745" i="2"/>
  <c r="AK745" i="2"/>
  <c r="AG745" i="2"/>
  <c r="AD745" i="2"/>
  <c r="AA745" i="2"/>
  <c r="Z745" i="2"/>
  <c r="K745" i="2"/>
  <c r="J745" i="2"/>
  <c r="L745" i="2" s="1"/>
  <c r="AH754" i="2" s="1"/>
  <c r="H745" i="2"/>
  <c r="G745" i="2"/>
  <c r="I745" i="2" s="1"/>
  <c r="F745" i="2"/>
  <c r="N745" i="2" s="1"/>
  <c r="E745" i="2"/>
  <c r="AA754" i="2" s="1"/>
  <c r="AM744" i="2"/>
  <c r="AG744" i="2"/>
  <c r="AF744" i="2"/>
  <c r="AD744" i="2"/>
  <c r="AC744" i="2"/>
  <c r="AB744" i="2"/>
  <c r="AJ744" i="2" s="1"/>
  <c r="AA744" i="2"/>
  <c r="Z744" i="2"/>
  <c r="L744" i="2"/>
  <c r="AH753" i="2" s="1"/>
  <c r="K744" i="2"/>
  <c r="J744" i="2"/>
  <c r="H744" i="2"/>
  <c r="AD753" i="2" s="1"/>
  <c r="G744" i="2"/>
  <c r="AC753" i="2" s="1"/>
  <c r="F744" i="2"/>
  <c r="N744" i="2" s="1"/>
  <c r="E744" i="2"/>
  <c r="AA753" i="2" s="1"/>
  <c r="AM743" i="2"/>
  <c r="AK743" i="2"/>
  <c r="AG743" i="2"/>
  <c r="AB743" i="2"/>
  <c r="Z743" i="2"/>
  <c r="L743" i="2"/>
  <c r="AH752" i="2" s="1"/>
  <c r="K743" i="2"/>
  <c r="AG752" i="2" s="1"/>
  <c r="J743" i="2"/>
  <c r="AF752" i="2" s="1"/>
  <c r="H743" i="2"/>
  <c r="G743" i="2"/>
  <c r="I743" i="2" s="1"/>
  <c r="F743" i="2"/>
  <c r="AB752" i="2" s="1"/>
  <c r="E743" i="2"/>
  <c r="AA752" i="2" s="1"/>
  <c r="AM742" i="2"/>
  <c r="AK742" i="2"/>
  <c r="AA742" i="2"/>
  <c r="Z742" i="2"/>
  <c r="K742" i="2"/>
  <c r="J742" i="2"/>
  <c r="L742" i="2" s="1"/>
  <c r="AH734" i="2" s="1"/>
  <c r="H742" i="2"/>
  <c r="G742" i="2"/>
  <c r="I742" i="2" s="1"/>
  <c r="F742" i="2"/>
  <c r="E742" i="2"/>
  <c r="AM741" i="2"/>
  <c r="AK741" i="2"/>
  <c r="AD741" i="2"/>
  <c r="Z741" i="2"/>
  <c r="Z747" i="2" s="1"/>
  <c r="T741" i="2"/>
  <c r="K741" i="2"/>
  <c r="J741" i="2"/>
  <c r="I741" i="2"/>
  <c r="AE733" i="2" s="1"/>
  <c r="H741" i="2"/>
  <c r="G741" i="2"/>
  <c r="F741" i="2"/>
  <c r="N741" i="2" s="1"/>
  <c r="E741" i="2"/>
  <c r="AA733" i="2" s="1"/>
  <c r="T740" i="2"/>
  <c r="K740" i="2"/>
  <c r="J740" i="2"/>
  <c r="I740" i="2"/>
  <c r="H740" i="2"/>
  <c r="G740" i="2"/>
  <c r="F740" i="2"/>
  <c r="N740" i="2" s="1"/>
  <c r="E740" i="2"/>
  <c r="AA732" i="2" s="1"/>
  <c r="AA738" i="2" s="1"/>
  <c r="T739" i="2"/>
  <c r="K739" i="2"/>
  <c r="J739" i="2"/>
  <c r="L739" i="2" s="1"/>
  <c r="AH743" i="2" s="1"/>
  <c r="I739" i="2"/>
  <c r="H739" i="2"/>
  <c r="AD743" i="2" s="1"/>
  <c r="G739" i="2"/>
  <c r="AC743" i="2" s="1"/>
  <c r="F739" i="2"/>
  <c r="N739" i="2" s="1"/>
  <c r="E739" i="2"/>
  <c r="AA743" i="2" s="1"/>
  <c r="AG738" i="2"/>
  <c r="U738" i="2"/>
  <c r="AQ751" i="2" s="1"/>
  <c r="L738" i="2"/>
  <c r="AH751" i="2" s="1"/>
  <c r="K738" i="2"/>
  <c r="AG751" i="2" s="1"/>
  <c r="J738" i="2"/>
  <c r="H738" i="2"/>
  <c r="AD751" i="2" s="1"/>
  <c r="G738" i="2"/>
  <c r="I738" i="2" s="1"/>
  <c r="F738" i="2"/>
  <c r="T738" i="2" s="1"/>
  <c r="AP751" i="2" s="1"/>
  <c r="E738" i="2"/>
  <c r="AA751" i="2" s="1"/>
  <c r="AM737" i="2"/>
  <c r="AK737" i="2"/>
  <c r="AG737" i="2"/>
  <c r="AF737" i="2"/>
  <c r="AC737" i="2"/>
  <c r="AB737" i="2"/>
  <c r="AJ737" i="2" s="1"/>
  <c r="AA737" i="2"/>
  <c r="Z737" i="2"/>
  <c r="N737" i="2"/>
  <c r="K737" i="2"/>
  <c r="AG742" i="2" s="1"/>
  <c r="J737" i="2"/>
  <c r="L737" i="2" s="1"/>
  <c r="AH742" i="2" s="1"/>
  <c r="H737" i="2"/>
  <c r="AD742" i="2" s="1"/>
  <c r="G737" i="2"/>
  <c r="F737" i="2"/>
  <c r="T737" i="2" s="1"/>
  <c r="E737" i="2"/>
  <c r="AM736" i="2"/>
  <c r="AK736" i="2"/>
  <c r="AF736" i="2"/>
  <c r="AD736" i="2"/>
  <c r="AB736" i="2"/>
  <c r="AJ736" i="2" s="1"/>
  <c r="AA736" i="2"/>
  <c r="Z736" i="2"/>
  <c r="T736" i="2"/>
  <c r="K736" i="2"/>
  <c r="AG741" i="2" s="1"/>
  <c r="AG747" i="2" s="1"/>
  <c r="J736" i="2"/>
  <c r="I736" i="2"/>
  <c r="H736" i="2"/>
  <c r="G736" i="2"/>
  <c r="AC741" i="2" s="1"/>
  <c r="F736" i="2"/>
  <c r="AB741" i="2" s="1"/>
  <c r="E736" i="2"/>
  <c r="AA741" i="2" s="1"/>
  <c r="AA747" i="2" s="1"/>
  <c r="AM735" i="2"/>
  <c r="AK735" i="2"/>
  <c r="AG735" i="2"/>
  <c r="AD735" i="2"/>
  <c r="AA735" i="2"/>
  <c r="Z735" i="2"/>
  <c r="L735" i="2"/>
  <c r="AH750" i="2" s="1"/>
  <c r="K735" i="2"/>
  <c r="K753" i="2" s="1"/>
  <c r="J735" i="2"/>
  <c r="H735" i="2"/>
  <c r="H753" i="2" s="1"/>
  <c r="G735" i="2"/>
  <c r="I735" i="2" s="1"/>
  <c r="F735" i="2"/>
  <c r="T735" i="2" s="1"/>
  <c r="E735" i="2"/>
  <c r="E753" i="2" s="1"/>
  <c r="AM734" i="2"/>
  <c r="AK734" i="2"/>
  <c r="AG734" i="2"/>
  <c r="AF734" i="2"/>
  <c r="AD734" i="2"/>
  <c r="AC734" i="2"/>
  <c r="AB734" i="2"/>
  <c r="AA734" i="2"/>
  <c r="Z734" i="2"/>
  <c r="AM733" i="2"/>
  <c r="AG733" i="2"/>
  <c r="AD733" i="2"/>
  <c r="AC733" i="2"/>
  <c r="AB733" i="2"/>
  <c r="AJ733" i="2" s="1"/>
  <c r="Z733" i="2"/>
  <c r="AM732" i="2"/>
  <c r="AK732" i="2"/>
  <c r="AG732" i="2"/>
  <c r="AD732" i="2"/>
  <c r="AC732" i="2"/>
  <c r="AB732" i="2"/>
  <c r="Z732" i="2"/>
  <c r="Z738" i="2" s="1"/>
  <c r="AM728" i="2"/>
  <c r="AK728" i="2"/>
  <c r="Z728" i="2"/>
  <c r="AP727" i="2"/>
  <c r="AM727" i="2"/>
  <c r="AK727" i="2"/>
  <c r="AG727" i="2"/>
  <c r="AC727" i="2"/>
  <c r="Z727" i="2"/>
  <c r="AM726" i="2"/>
  <c r="AK726" i="2"/>
  <c r="AF726" i="2"/>
  <c r="AC726" i="2"/>
  <c r="AB726" i="2"/>
  <c r="AJ726" i="2" s="1"/>
  <c r="Z726" i="2"/>
  <c r="O726" i="2"/>
  <c r="D726" i="2"/>
  <c r="AM725" i="2"/>
  <c r="AK725" i="2"/>
  <c r="AG725" i="2"/>
  <c r="Z725" i="2"/>
  <c r="L725" i="2"/>
  <c r="AH710" i="2" s="1"/>
  <c r="K725" i="2"/>
  <c r="J725" i="2"/>
  <c r="H725" i="2"/>
  <c r="AD710" i="2" s="1"/>
  <c r="G725" i="2"/>
  <c r="I725" i="2" s="1"/>
  <c r="M725" i="2" s="1"/>
  <c r="V725" i="2" s="1"/>
  <c r="F725" i="2"/>
  <c r="T725" i="2" s="1"/>
  <c r="E725" i="2"/>
  <c r="AA710" i="2" s="1"/>
  <c r="AM724" i="2"/>
  <c r="AK724" i="2"/>
  <c r="AJ724" i="2"/>
  <c r="AF724" i="2"/>
  <c r="AB724" i="2"/>
  <c r="Z724" i="2"/>
  <c r="K724" i="2"/>
  <c r="AG709" i="2" s="1"/>
  <c r="J724" i="2"/>
  <c r="L724" i="2" s="1"/>
  <c r="H724" i="2"/>
  <c r="AD709" i="2" s="1"/>
  <c r="G724" i="2"/>
  <c r="F724" i="2"/>
  <c r="N724" i="2" s="1"/>
  <c r="E724" i="2"/>
  <c r="AM723" i="2"/>
  <c r="AK723" i="2"/>
  <c r="AK729" i="2" s="1"/>
  <c r="AF723" i="2"/>
  <c r="AA723" i="2"/>
  <c r="Z723" i="2"/>
  <c r="Z729" i="2" s="1"/>
  <c r="U723" i="2"/>
  <c r="AQ719" i="2" s="1"/>
  <c r="T723" i="2"/>
  <c r="AP719" i="2" s="1"/>
  <c r="K723" i="2"/>
  <c r="AG719" i="2" s="1"/>
  <c r="J723" i="2"/>
  <c r="I723" i="2"/>
  <c r="H723" i="2"/>
  <c r="G723" i="2"/>
  <c r="F723" i="2"/>
  <c r="N723" i="2" s="1"/>
  <c r="E723" i="2"/>
  <c r="T722" i="2"/>
  <c r="AP718" i="2" s="1"/>
  <c r="K722" i="2"/>
  <c r="AG718" i="2" s="1"/>
  <c r="J722" i="2"/>
  <c r="H722" i="2"/>
  <c r="G722" i="2"/>
  <c r="I722" i="2" s="1"/>
  <c r="F722" i="2"/>
  <c r="AB718" i="2" s="1"/>
  <c r="AJ718" i="2" s="1"/>
  <c r="E722" i="2"/>
  <c r="T721" i="2"/>
  <c r="AP708" i="2" s="1"/>
  <c r="K721" i="2"/>
  <c r="AG708" i="2" s="1"/>
  <c r="J721" i="2"/>
  <c r="H721" i="2"/>
  <c r="I721" i="2" s="1"/>
  <c r="G721" i="2"/>
  <c r="F721" i="2"/>
  <c r="AB708" i="2" s="1"/>
  <c r="E721" i="2"/>
  <c r="T720" i="2"/>
  <c r="M720" i="2"/>
  <c r="L720" i="2"/>
  <c r="K720" i="2"/>
  <c r="J720" i="2"/>
  <c r="H720" i="2"/>
  <c r="AD717" i="2" s="1"/>
  <c r="G720" i="2"/>
  <c r="I720" i="2" s="1"/>
  <c r="AE717" i="2" s="1"/>
  <c r="F720" i="2"/>
  <c r="E720" i="2"/>
  <c r="AA717" i="2" s="1"/>
  <c r="AM719" i="2"/>
  <c r="AK719" i="2"/>
  <c r="AJ719" i="2"/>
  <c r="AE719" i="2"/>
  <c r="AD719" i="2"/>
  <c r="AC719" i="2"/>
  <c r="AB719" i="2"/>
  <c r="AA719" i="2"/>
  <c r="Z719" i="2"/>
  <c r="K719" i="2"/>
  <c r="AG728" i="2" s="1"/>
  <c r="J719" i="2"/>
  <c r="L719" i="2" s="1"/>
  <c r="AH728" i="2" s="1"/>
  <c r="H719" i="2"/>
  <c r="AD728" i="2" s="1"/>
  <c r="G719" i="2"/>
  <c r="F719" i="2"/>
  <c r="N719" i="2" s="1"/>
  <c r="E719" i="2"/>
  <c r="AA728" i="2" s="1"/>
  <c r="AM718" i="2"/>
  <c r="AK718" i="2"/>
  <c r="AE718" i="2"/>
  <c r="AD718" i="2"/>
  <c r="AC718" i="2"/>
  <c r="AA718" i="2"/>
  <c r="Z718" i="2"/>
  <c r="U718" i="2"/>
  <c r="AQ727" i="2" s="1"/>
  <c r="T718" i="2"/>
  <c r="K718" i="2"/>
  <c r="J718" i="2"/>
  <c r="H718" i="2"/>
  <c r="I718" i="2" s="1"/>
  <c r="G718" i="2"/>
  <c r="F718" i="2"/>
  <c r="N718" i="2" s="1"/>
  <c r="E718" i="2"/>
  <c r="AA727" i="2" s="1"/>
  <c r="AP717" i="2"/>
  <c r="AM717" i="2"/>
  <c r="AH717" i="2"/>
  <c r="AG717" i="2"/>
  <c r="AF717" i="2"/>
  <c r="AC717" i="2"/>
  <c r="AB717" i="2"/>
  <c r="AJ717" i="2" s="1"/>
  <c r="Z717" i="2"/>
  <c r="T717" i="2"/>
  <c r="L717" i="2"/>
  <c r="AH726" i="2" s="1"/>
  <c r="K717" i="2"/>
  <c r="AG726" i="2" s="1"/>
  <c r="J717" i="2"/>
  <c r="H717" i="2"/>
  <c r="AD726" i="2" s="1"/>
  <c r="G717" i="2"/>
  <c r="I717" i="2" s="1"/>
  <c r="F717" i="2"/>
  <c r="N717" i="2" s="1"/>
  <c r="E717" i="2"/>
  <c r="AA726" i="2" s="1"/>
  <c r="AM716" i="2"/>
  <c r="AK716" i="2"/>
  <c r="AK720" i="2" s="1"/>
  <c r="AF716" i="2"/>
  <c r="AC716" i="2"/>
  <c r="AB716" i="2"/>
  <c r="Z716" i="2"/>
  <c r="K716" i="2"/>
  <c r="J716" i="2"/>
  <c r="AF725" i="2" s="1"/>
  <c r="H716" i="2"/>
  <c r="AD725" i="2" s="1"/>
  <c r="G716" i="2"/>
  <c r="F716" i="2"/>
  <c r="N716" i="2" s="1"/>
  <c r="E716" i="2"/>
  <c r="AA725" i="2" s="1"/>
  <c r="AM715" i="2"/>
  <c r="AK715" i="2"/>
  <c r="AA715" i="2"/>
  <c r="Z715" i="2"/>
  <c r="U715" i="2"/>
  <c r="AQ707" i="2" s="1"/>
  <c r="T715" i="2"/>
  <c r="AP707" i="2" s="1"/>
  <c r="K715" i="2"/>
  <c r="AG707" i="2" s="1"/>
  <c r="J715" i="2"/>
  <c r="H715" i="2"/>
  <c r="I715" i="2" s="1"/>
  <c r="G715" i="2"/>
  <c r="F715" i="2"/>
  <c r="N715" i="2" s="1"/>
  <c r="E715" i="2"/>
  <c r="AM714" i="2"/>
  <c r="AK714" i="2"/>
  <c r="AD714" i="2"/>
  <c r="AD720" i="2" s="1"/>
  <c r="Z714" i="2"/>
  <c r="K714" i="2"/>
  <c r="L714" i="2" s="1"/>
  <c r="J714" i="2"/>
  <c r="I714" i="2"/>
  <c r="AE706" i="2" s="1"/>
  <c r="H714" i="2"/>
  <c r="G714" i="2"/>
  <c r="F714" i="2"/>
  <c r="N714" i="2" s="1"/>
  <c r="E714" i="2"/>
  <c r="M713" i="2"/>
  <c r="K713" i="2"/>
  <c r="L713" i="2" s="1"/>
  <c r="AH705" i="2" s="1"/>
  <c r="J713" i="2"/>
  <c r="I713" i="2"/>
  <c r="AE705" i="2" s="1"/>
  <c r="H713" i="2"/>
  <c r="G713" i="2"/>
  <c r="F713" i="2"/>
  <c r="E713" i="2"/>
  <c r="AA705" i="2" s="1"/>
  <c r="N712" i="2"/>
  <c r="K712" i="2"/>
  <c r="L712" i="2" s="1"/>
  <c r="AH716" i="2" s="1"/>
  <c r="J712" i="2"/>
  <c r="I712" i="2"/>
  <c r="AE716" i="2" s="1"/>
  <c r="H712" i="2"/>
  <c r="AD716" i="2" s="1"/>
  <c r="G712" i="2"/>
  <c r="F712" i="2"/>
  <c r="T712" i="2" s="1"/>
  <c r="E712" i="2"/>
  <c r="AA716" i="2" s="1"/>
  <c r="K711" i="2"/>
  <c r="AG724" i="2" s="1"/>
  <c r="J711" i="2"/>
  <c r="L711" i="2" s="1"/>
  <c r="AH724" i="2" s="1"/>
  <c r="H711" i="2"/>
  <c r="AD724" i="2" s="1"/>
  <c r="G711" i="2"/>
  <c r="I711" i="2" s="1"/>
  <c r="F711" i="2"/>
  <c r="N711" i="2" s="1"/>
  <c r="E711" i="2"/>
  <c r="AA724" i="2" s="1"/>
  <c r="AA729" i="2" s="1"/>
  <c r="AM710" i="2"/>
  <c r="AK710" i="2"/>
  <c r="AG710" i="2"/>
  <c r="AF710" i="2"/>
  <c r="AE710" i="2"/>
  <c r="AC710" i="2"/>
  <c r="AB710" i="2"/>
  <c r="AJ710" i="2" s="1"/>
  <c r="Z710" i="2"/>
  <c r="T710" i="2"/>
  <c r="AP715" i="2" s="1"/>
  <c r="K710" i="2"/>
  <c r="AG715" i="2" s="1"/>
  <c r="J710" i="2"/>
  <c r="H710" i="2"/>
  <c r="AD715" i="2" s="1"/>
  <c r="G710" i="2"/>
  <c r="AC715" i="2" s="1"/>
  <c r="F710" i="2"/>
  <c r="AB715" i="2" s="1"/>
  <c r="AJ715" i="2" s="1"/>
  <c r="E710" i="2"/>
  <c r="AM709" i="2"/>
  <c r="AK709" i="2"/>
  <c r="AH709" i="2"/>
  <c r="AF709" i="2"/>
  <c r="AB709" i="2"/>
  <c r="AJ709" i="2" s="1"/>
  <c r="AA709" i="2"/>
  <c r="Z709" i="2"/>
  <c r="N709" i="2"/>
  <c r="K709" i="2"/>
  <c r="AG714" i="2" s="1"/>
  <c r="J709" i="2"/>
  <c r="L709" i="2" s="1"/>
  <c r="I709" i="2"/>
  <c r="AE714" i="2" s="1"/>
  <c r="H709" i="2"/>
  <c r="G709" i="2"/>
  <c r="AC714" i="2" s="1"/>
  <c r="F709" i="2"/>
  <c r="E709" i="2"/>
  <c r="AA714" i="2" s="1"/>
  <c r="AA720" i="2" s="1"/>
  <c r="AM708" i="2"/>
  <c r="AK708" i="2"/>
  <c r="AD708" i="2"/>
  <c r="AC708" i="2"/>
  <c r="AA708" i="2"/>
  <c r="Z708" i="2"/>
  <c r="S708" i="2"/>
  <c r="R708" i="2" s="1"/>
  <c r="L708" i="2"/>
  <c r="K708" i="2"/>
  <c r="J708" i="2"/>
  <c r="I708" i="2"/>
  <c r="M708" i="2" s="1"/>
  <c r="H708" i="2"/>
  <c r="AD723" i="2" s="1"/>
  <c r="G708" i="2"/>
  <c r="F708" i="2"/>
  <c r="F726" i="2" s="1"/>
  <c r="E708" i="2"/>
  <c r="AM707" i="2"/>
  <c r="AK707" i="2"/>
  <c r="AD707" i="2"/>
  <c r="AC707" i="2"/>
  <c r="AB707" i="2"/>
  <c r="AJ707" i="2" s="1"/>
  <c r="AA707" i="2"/>
  <c r="Z707" i="2"/>
  <c r="AM706" i="2"/>
  <c r="AG706" i="2"/>
  <c r="AF706" i="2"/>
  <c r="AD706" i="2"/>
  <c r="AC706" i="2"/>
  <c r="AA706" i="2"/>
  <c r="Z706" i="2"/>
  <c r="AM705" i="2"/>
  <c r="AK705" i="2"/>
  <c r="AK711" i="2" s="1"/>
  <c r="AG705" i="2"/>
  <c r="AF705" i="2"/>
  <c r="AD705" i="2"/>
  <c r="AC705" i="2"/>
  <c r="Z705" i="2"/>
  <c r="Z711" i="2" s="1"/>
  <c r="AM701" i="2"/>
  <c r="AK701" i="2"/>
  <c r="AD701" i="2"/>
  <c r="AA701" i="2"/>
  <c r="Z701" i="2"/>
  <c r="AM700" i="2"/>
  <c r="AK700" i="2"/>
  <c r="AG700" i="2"/>
  <c r="AD700" i="2"/>
  <c r="Z700" i="2"/>
  <c r="AM699" i="2"/>
  <c r="AK699" i="2"/>
  <c r="AJ699" i="2"/>
  <c r="AB699" i="2"/>
  <c r="Z699" i="2"/>
  <c r="O699" i="2"/>
  <c r="D699" i="2"/>
  <c r="AM698" i="2"/>
  <c r="AK698" i="2"/>
  <c r="AD698" i="2"/>
  <c r="AC698" i="2"/>
  <c r="Z698" i="2"/>
  <c r="L698" i="2"/>
  <c r="K698" i="2"/>
  <c r="J698" i="2"/>
  <c r="I698" i="2"/>
  <c r="H698" i="2"/>
  <c r="G698" i="2"/>
  <c r="F698" i="2"/>
  <c r="N698" i="2" s="1"/>
  <c r="E698" i="2"/>
  <c r="AM697" i="2"/>
  <c r="AK697" i="2"/>
  <c r="AG697" i="2"/>
  <c r="AF697" i="2"/>
  <c r="Z697" i="2"/>
  <c r="U697" i="2"/>
  <c r="AQ682" i="2" s="1"/>
  <c r="K697" i="2"/>
  <c r="L697" i="2" s="1"/>
  <c r="AH682" i="2" s="1"/>
  <c r="J697" i="2"/>
  <c r="H697" i="2"/>
  <c r="G697" i="2"/>
  <c r="I697" i="2" s="1"/>
  <c r="F697" i="2"/>
  <c r="T697" i="2" s="1"/>
  <c r="E697" i="2"/>
  <c r="AM696" i="2"/>
  <c r="AK696" i="2"/>
  <c r="AK702" i="2" s="1"/>
  <c r="Z696" i="2"/>
  <c r="Z702" i="2" s="1"/>
  <c r="T696" i="2"/>
  <c r="N696" i="2"/>
  <c r="K696" i="2"/>
  <c r="J696" i="2"/>
  <c r="L696" i="2" s="1"/>
  <c r="AH692" i="2" s="1"/>
  <c r="H696" i="2"/>
  <c r="G696" i="2"/>
  <c r="F696" i="2"/>
  <c r="E696" i="2"/>
  <c r="T695" i="2"/>
  <c r="K695" i="2"/>
  <c r="J695" i="2"/>
  <c r="H695" i="2"/>
  <c r="G695" i="2"/>
  <c r="F695" i="2"/>
  <c r="E695" i="2"/>
  <c r="K694" i="2"/>
  <c r="J694" i="2"/>
  <c r="L694" i="2" s="1"/>
  <c r="H694" i="2"/>
  <c r="G694" i="2"/>
  <c r="F694" i="2"/>
  <c r="E694" i="2"/>
  <c r="AK693" i="2"/>
  <c r="L693" i="2"/>
  <c r="AH690" i="2" s="1"/>
  <c r="K693" i="2"/>
  <c r="J693" i="2"/>
  <c r="H693" i="2"/>
  <c r="I693" i="2" s="1"/>
  <c r="G693" i="2"/>
  <c r="F693" i="2"/>
  <c r="N693" i="2" s="1"/>
  <c r="E693" i="2"/>
  <c r="AM692" i="2"/>
  <c r="AK692" i="2"/>
  <c r="AG692" i="2"/>
  <c r="AD692" i="2"/>
  <c r="AB692" i="2"/>
  <c r="AJ692" i="2" s="1"/>
  <c r="AA692" i="2"/>
  <c r="Z692" i="2"/>
  <c r="U692" i="2"/>
  <c r="AQ701" i="2" s="1"/>
  <c r="K692" i="2"/>
  <c r="AG701" i="2" s="1"/>
  <c r="J692" i="2"/>
  <c r="AF701" i="2" s="1"/>
  <c r="H692" i="2"/>
  <c r="G692" i="2"/>
  <c r="F692" i="2"/>
  <c r="T692" i="2" s="1"/>
  <c r="AP701" i="2" s="1"/>
  <c r="E692" i="2"/>
  <c r="AM691" i="2"/>
  <c r="AK691" i="2"/>
  <c r="AG691" i="2"/>
  <c r="AD691" i="2"/>
  <c r="AA691" i="2"/>
  <c r="Z691" i="2"/>
  <c r="K691" i="2"/>
  <c r="J691" i="2"/>
  <c r="H691" i="2"/>
  <c r="G691" i="2"/>
  <c r="I691" i="2" s="1"/>
  <c r="F691" i="2"/>
  <c r="E691" i="2"/>
  <c r="AA700" i="2" s="1"/>
  <c r="AM690" i="2"/>
  <c r="AG690" i="2"/>
  <c r="AF690" i="2"/>
  <c r="AC690" i="2"/>
  <c r="AB690" i="2"/>
  <c r="AJ690" i="2" s="1"/>
  <c r="AA690" i="2"/>
  <c r="Z690" i="2"/>
  <c r="T690" i="2"/>
  <c r="K690" i="2"/>
  <c r="AG699" i="2" s="1"/>
  <c r="J690" i="2"/>
  <c r="H690" i="2"/>
  <c r="AD699" i="2" s="1"/>
  <c r="G690" i="2"/>
  <c r="AC699" i="2" s="1"/>
  <c r="F690" i="2"/>
  <c r="N690" i="2" s="1"/>
  <c r="E690" i="2"/>
  <c r="AA699" i="2" s="1"/>
  <c r="AP689" i="2"/>
  <c r="AM689" i="2"/>
  <c r="AK689" i="2"/>
  <c r="AD689" i="2"/>
  <c r="AB689" i="2"/>
  <c r="AA689" i="2"/>
  <c r="Z689" i="2"/>
  <c r="K689" i="2"/>
  <c r="AG698" i="2" s="1"/>
  <c r="J689" i="2"/>
  <c r="AF698" i="2" s="1"/>
  <c r="I689" i="2"/>
  <c r="AE698" i="2" s="1"/>
  <c r="H689" i="2"/>
  <c r="G689" i="2"/>
  <c r="F689" i="2"/>
  <c r="E689" i="2"/>
  <c r="AA698" i="2" s="1"/>
  <c r="AA702" i="2" s="1"/>
  <c r="AM688" i="2"/>
  <c r="AK688" i="2"/>
  <c r="AG688" i="2"/>
  <c r="AC688" i="2"/>
  <c r="AB688" i="2"/>
  <c r="AJ688" i="2" s="1"/>
  <c r="Z688" i="2"/>
  <c r="T688" i="2"/>
  <c r="U688" i="2" s="1"/>
  <c r="AQ680" i="2" s="1"/>
  <c r="L688" i="2"/>
  <c r="K688" i="2"/>
  <c r="J688" i="2"/>
  <c r="I688" i="2"/>
  <c r="H688" i="2"/>
  <c r="G688" i="2"/>
  <c r="F688" i="2"/>
  <c r="N688" i="2" s="1"/>
  <c r="E688" i="2"/>
  <c r="AM687" i="2"/>
  <c r="AK687" i="2"/>
  <c r="AF687" i="2"/>
  <c r="AB687" i="2"/>
  <c r="Z687" i="2"/>
  <c r="U687" i="2"/>
  <c r="AQ679" i="2" s="1"/>
  <c r="T687" i="2"/>
  <c r="K687" i="2"/>
  <c r="L687" i="2" s="1"/>
  <c r="AH679" i="2" s="1"/>
  <c r="J687" i="2"/>
  <c r="H687" i="2"/>
  <c r="AD679" i="2" s="1"/>
  <c r="G687" i="2"/>
  <c r="F687" i="2"/>
  <c r="N687" i="2" s="1"/>
  <c r="E687" i="2"/>
  <c r="AA679" i="2" s="1"/>
  <c r="U686" i="2"/>
  <c r="T686" i="2"/>
  <c r="K686" i="2"/>
  <c r="AG678" i="2" s="1"/>
  <c r="J686" i="2"/>
  <c r="H686" i="2"/>
  <c r="AD678" i="2" s="1"/>
  <c r="AD684" i="2" s="1"/>
  <c r="G686" i="2"/>
  <c r="F686" i="2"/>
  <c r="N686" i="2" s="1"/>
  <c r="E686" i="2"/>
  <c r="U685" i="2"/>
  <c r="AQ689" i="2" s="1"/>
  <c r="T685" i="2"/>
  <c r="L685" i="2"/>
  <c r="AH689" i="2" s="1"/>
  <c r="K685" i="2"/>
  <c r="AG689" i="2" s="1"/>
  <c r="J685" i="2"/>
  <c r="AF689" i="2" s="1"/>
  <c r="H685" i="2"/>
  <c r="G685" i="2"/>
  <c r="F685" i="2"/>
  <c r="N685" i="2" s="1"/>
  <c r="E685" i="2"/>
  <c r="K684" i="2"/>
  <c r="J684" i="2"/>
  <c r="L684" i="2" s="1"/>
  <c r="AH697" i="2" s="1"/>
  <c r="I684" i="2"/>
  <c r="AE697" i="2" s="1"/>
  <c r="H684" i="2"/>
  <c r="AD697" i="2" s="1"/>
  <c r="G684" i="2"/>
  <c r="AC697" i="2" s="1"/>
  <c r="F684" i="2"/>
  <c r="E684" i="2"/>
  <c r="AA697" i="2" s="1"/>
  <c r="AM683" i="2"/>
  <c r="AK683" i="2"/>
  <c r="AH683" i="2"/>
  <c r="AG683" i="2"/>
  <c r="AF683" i="2"/>
  <c r="AD683" i="2"/>
  <c r="AC683" i="2"/>
  <c r="AB683" i="2"/>
  <c r="AJ683" i="2" s="1"/>
  <c r="AA683" i="2"/>
  <c r="Z683" i="2"/>
  <c r="T683" i="2"/>
  <c r="AP688" i="2" s="1"/>
  <c r="L683" i="2"/>
  <c r="AH688" i="2" s="1"/>
  <c r="K683" i="2"/>
  <c r="J683" i="2"/>
  <c r="AF688" i="2" s="1"/>
  <c r="H683" i="2"/>
  <c r="AD688" i="2" s="1"/>
  <c r="G683" i="2"/>
  <c r="F683" i="2"/>
  <c r="N683" i="2" s="1"/>
  <c r="E683" i="2"/>
  <c r="AA688" i="2" s="1"/>
  <c r="AP682" i="2"/>
  <c r="AM682" i="2"/>
  <c r="AK682" i="2"/>
  <c r="AJ682" i="2"/>
  <c r="AG682" i="2"/>
  <c r="AF682" i="2"/>
  <c r="AE682" i="2"/>
  <c r="AD682" i="2"/>
  <c r="AC682" i="2"/>
  <c r="AB682" i="2"/>
  <c r="AA682" i="2"/>
  <c r="Z682" i="2"/>
  <c r="U682" i="2"/>
  <c r="AQ687" i="2" s="1"/>
  <c r="T682" i="2"/>
  <c r="AP687" i="2" s="1"/>
  <c r="K682" i="2"/>
  <c r="AG687" i="2" s="1"/>
  <c r="AG693" i="2" s="1"/>
  <c r="J682" i="2"/>
  <c r="H682" i="2"/>
  <c r="AD687" i="2" s="1"/>
  <c r="G682" i="2"/>
  <c r="F682" i="2"/>
  <c r="N682" i="2" s="1"/>
  <c r="E682" i="2"/>
  <c r="AA687" i="2" s="1"/>
  <c r="AM681" i="2"/>
  <c r="AK681" i="2"/>
  <c r="AH681" i="2"/>
  <c r="AG681" i="2"/>
  <c r="AF681" i="2"/>
  <c r="AD681" i="2"/>
  <c r="AB681" i="2"/>
  <c r="AA681" i="2"/>
  <c r="Z681" i="2"/>
  <c r="N681" i="2"/>
  <c r="K681" i="2"/>
  <c r="J681" i="2"/>
  <c r="H681" i="2"/>
  <c r="AD696" i="2" s="1"/>
  <c r="G681" i="2"/>
  <c r="F681" i="2"/>
  <c r="T681" i="2" s="1"/>
  <c r="E681" i="2"/>
  <c r="AA696" i="2" s="1"/>
  <c r="AP680" i="2"/>
  <c r="AM680" i="2"/>
  <c r="AK680" i="2"/>
  <c r="AH680" i="2"/>
  <c r="AG680" i="2"/>
  <c r="AF680" i="2"/>
  <c r="AD680" i="2"/>
  <c r="AC680" i="2"/>
  <c r="AB680" i="2"/>
  <c r="AJ680" i="2" s="1"/>
  <c r="AA680" i="2"/>
  <c r="Z680" i="2"/>
  <c r="Z684" i="2" s="1"/>
  <c r="AP679" i="2"/>
  <c r="AM679" i="2"/>
  <c r="AG679" i="2"/>
  <c r="AF679" i="2"/>
  <c r="AB679" i="2"/>
  <c r="AJ679" i="2" s="1"/>
  <c r="Z679" i="2"/>
  <c r="AQ678" i="2"/>
  <c r="AP678" i="2"/>
  <c r="AM678" i="2"/>
  <c r="AK678" i="2"/>
  <c r="AK684" i="2" s="1"/>
  <c r="AF678" i="2"/>
  <c r="AF684" i="2" s="1"/>
  <c r="AB678" i="2"/>
  <c r="AJ678" i="2" s="1"/>
  <c r="AA678" i="2"/>
  <c r="Z678" i="2"/>
  <c r="AM674" i="2"/>
  <c r="AK674" i="2"/>
  <c r="AJ674" i="2"/>
  <c r="AG674" i="2"/>
  <c r="AB674" i="2"/>
  <c r="Z674" i="2"/>
  <c r="AM673" i="2"/>
  <c r="AK673" i="2"/>
  <c r="AJ673" i="2"/>
  <c r="AB673" i="2"/>
  <c r="Z673" i="2"/>
  <c r="AM672" i="2"/>
  <c r="AK672" i="2"/>
  <c r="AD672" i="2"/>
  <c r="Z672" i="2"/>
  <c r="O672" i="2"/>
  <c r="D672" i="2"/>
  <c r="AM671" i="2"/>
  <c r="AK671" i="2"/>
  <c r="AE671" i="2"/>
  <c r="AB671" i="2"/>
  <c r="Z671" i="2"/>
  <c r="T671" i="2"/>
  <c r="K671" i="2"/>
  <c r="J671" i="2"/>
  <c r="H671" i="2"/>
  <c r="G671" i="2"/>
  <c r="I671" i="2" s="1"/>
  <c r="F671" i="2"/>
  <c r="AB656" i="2" s="1"/>
  <c r="AJ656" i="2" s="1"/>
  <c r="E671" i="2"/>
  <c r="AM670" i="2"/>
  <c r="AK670" i="2"/>
  <c r="AD670" i="2"/>
  <c r="Z670" i="2"/>
  <c r="T670" i="2"/>
  <c r="K670" i="2"/>
  <c r="J670" i="2"/>
  <c r="L670" i="2" s="1"/>
  <c r="AH655" i="2" s="1"/>
  <c r="I670" i="2"/>
  <c r="AE655" i="2" s="1"/>
  <c r="H670" i="2"/>
  <c r="G670" i="2"/>
  <c r="F670" i="2"/>
  <c r="N670" i="2" s="1"/>
  <c r="E670" i="2"/>
  <c r="AA655" i="2" s="1"/>
  <c r="AM669" i="2"/>
  <c r="AK669" i="2"/>
  <c r="AK675" i="2" s="1"/>
  <c r="AG669" i="2"/>
  <c r="AG675" i="2" s="1"/>
  <c r="AC669" i="2"/>
  <c r="Z669" i="2"/>
  <c r="L669" i="2"/>
  <c r="K669" i="2"/>
  <c r="AG665" i="2" s="1"/>
  <c r="J669" i="2"/>
  <c r="H669" i="2"/>
  <c r="I669" i="2" s="1"/>
  <c r="M669" i="2" s="1"/>
  <c r="G669" i="2"/>
  <c r="F669" i="2"/>
  <c r="T669" i="2" s="1"/>
  <c r="E669" i="2"/>
  <c r="AA665" i="2" s="1"/>
  <c r="L668" i="2"/>
  <c r="AH664" i="2" s="1"/>
  <c r="K668" i="2"/>
  <c r="J668" i="2"/>
  <c r="H668" i="2"/>
  <c r="G668" i="2"/>
  <c r="F668" i="2"/>
  <c r="T668" i="2" s="1"/>
  <c r="E668" i="2"/>
  <c r="AA664" i="2" s="1"/>
  <c r="L667" i="2"/>
  <c r="AH654" i="2" s="1"/>
  <c r="K667" i="2"/>
  <c r="J667" i="2"/>
  <c r="H667" i="2"/>
  <c r="G667" i="2"/>
  <c r="F667" i="2"/>
  <c r="T667" i="2" s="1"/>
  <c r="E667" i="2"/>
  <c r="AA654" i="2" s="1"/>
  <c r="T666" i="2"/>
  <c r="K666" i="2"/>
  <c r="AG663" i="2" s="1"/>
  <c r="J666" i="2"/>
  <c r="H666" i="2"/>
  <c r="AD663" i="2" s="1"/>
  <c r="G666" i="2"/>
  <c r="F666" i="2"/>
  <c r="N666" i="2" s="1"/>
  <c r="E666" i="2"/>
  <c r="AP665" i="2"/>
  <c r="AM665" i="2"/>
  <c r="AK665" i="2"/>
  <c r="AH665" i="2"/>
  <c r="AF665" i="2"/>
  <c r="AE665" i="2"/>
  <c r="AD665" i="2"/>
  <c r="AC665" i="2"/>
  <c r="Z665" i="2"/>
  <c r="T665" i="2"/>
  <c r="K665" i="2"/>
  <c r="J665" i="2"/>
  <c r="L665" i="2" s="1"/>
  <c r="AH674" i="2" s="1"/>
  <c r="I665" i="2"/>
  <c r="H665" i="2"/>
  <c r="AD674" i="2" s="1"/>
  <c r="G665" i="2"/>
  <c r="AC674" i="2" s="1"/>
  <c r="F665" i="2"/>
  <c r="E665" i="2"/>
  <c r="AA674" i="2" s="1"/>
  <c r="AP664" i="2"/>
  <c r="AM664" i="2"/>
  <c r="AK664" i="2"/>
  <c r="AG664" i="2"/>
  <c r="AF664" i="2"/>
  <c r="AC664" i="2"/>
  <c r="Z664" i="2"/>
  <c r="L664" i="2"/>
  <c r="AH673" i="2" s="1"/>
  <c r="K664" i="2"/>
  <c r="AG673" i="2" s="1"/>
  <c r="J664" i="2"/>
  <c r="AF673" i="2" s="1"/>
  <c r="H664" i="2"/>
  <c r="G664" i="2"/>
  <c r="AC673" i="2" s="1"/>
  <c r="F664" i="2"/>
  <c r="T664" i="2" s="1"/>
  <c r="E664" i="2"/>
  <c r="AA673" i="2" s="1"/>
  <c r="AM663" i="2"/>
  <c r="AA663" i="2"/>
  <c r="Z663" i="2"/>
  <c r="K663" i="2"/>
  <c r="AG672" i="2" s="1"/>
  <c r="J663" i="2"/>
  <c r="H663" i="2"/>
  <c r="G663" i="2"/>
  <c r="F663" i="2"/>
  <c r="E663" i="2"/>
  <c r="AA672" i="2" s="1"/>
  <c r="AM662" i="2"/>
  <c r="AK662" i="2"/>
  <c r="AF662" i="2"/>
  <c r="AA662" i="2"/>
  <c r="Z662" i="2"/>
  <c r="T662" i="2"/>
  <c r="K662" i="2"/>
  <c r="AG671" i="2" s="1"/>
  <c r="J662" i="2"/>
  <c r="I662" i="2"/>
  <c r="H662" i="2"/>
  <c r="AD671" i="2" s="1"/>
  <c r="G662" i="2"/>
  <c r="AC671" i="2" s="1"/>
  <c r="F662" i="2"/>
  <c r="N662" i="2" s="1"/>
  <c r="E662" i="2"/>
  <c r="AA671" i="2" s="1"/>
  <c r="AJ671" i="2" s="1"/>
  <c r="AM661" i="2"/>
  <c r="AK661" i="2"/>
  <c r="AG661" i="2"/>
  <c r="AC661" i="2"/>
  <c r="Z661" i="2"/>
  <c r="M661" i="2"/>
  <c r="L661" i="2"/>
  <c r="K661" i="2"/>
  <c r="J661" i="2"/>
  <c r="H661" i="2"/>
  <c r="I661" i="2" s="1"/>
  <c r="AE653" i="2" s="1"/>
  <c r="G661" i="2"/>
  <c r="F661" i="2"/>
  <c r="T661" i="2" s="1"/>
  <c r="E661" i="2"/>
  <c r="AM660" i="2"/>
  <c r="AK660" i="2"/>
  <c r="AF660" i="2"/>
  <c r="AB660" i="2"/>
  <c r="AJ660" i="2" s="1"/>
  <c r="Z660" i="2"/>
  <c r="Z666" i="2" s="1"/>
  <c r="K660" i="2"/>
  <c r="J660" i="2"/>
  <c r="H660" i="2"/>
  <c r="AD652" i="2" s="1"/>
  <c r="G660" i="2"/>
  <c r="I660" i="2" s="1"/>
  <c r="F660" i="2"/>
  <c r="N660" i="2" s="1"/>
  <c r="E660" i="2"/>
  <c r="K659" i="2"/>
  <c r="J659" i="2"/>
  <c r="H659" i="2"/>
  <c r="AD651" i="2" s="1"/>
  <c r="G659" i="2"/>
  <c r="F659" i="2"/>
  <c r="N659" i="2" s="1"/>
  <c r="E659" i="2"/>
  <c r="K658" i="2"/>
  <c r="J658" i="2"/>
  <c r="H658" i="2"/>
  <c r="AD662" i="2" s="1"/>
  <c r="G658" i="2"/>
  <c r="F658" i="2"/>
  <c r="N658" i="2" s="1"/>
  <c r="E658" i="2"/>
  <c r="T657" i="2"/>
  <c r="K657" i="2"/>
  <c r="AG670" i="2" s="1"/>
  <c r="J657" i="2"/>
  <c r="I657" i="2"/>
  <c r="H657" i="2"/>
  <c r="G657" i="2"/>
  <c r="AC670" i="2" s="1"/>
  <c r="F657" i="2"/>
  <c r="AB670" i="2" s="1"/>
  <c r="E657" i="2"/>
  <c r="AA670" i="2" s="1"/>
  <c r="AM656" i="2"/>
  <c r="AK656" i="2"/>
  <c r="AG656" i="2"/>
  <c r="AD656" i="2"/>
  <c r="AC656" i="2"/>
  <c r="AA656" i="2"/>
  <c r="Z656" i="2"/>
  <c r="L656" i="2"/>
  <c r="AH661" i="2" s="1"/>
  <c r="K656" i="2"/>
  <c r="J656" i="2"/>
  <c r="AF661" i="2" s="1"/>
  <c r="H656" i="2"/>
  <c r="G656" i="2"/>
  <c r="F656" i="2"/>
  <c r="T656" i="2" s="1"/>
  <c r="E656" i="2"/>
  <c r="AA661" i="2" s="1"/>
  <c r="AA666" i="2" s="1"/>
  <c r="AM655" i="2"/>
  <c r="AK655" i="2"/>
  <c r="AJ655" i="2"/>
  <c r="AG655" i="2"/>
  <c r="AF655" i="2"/>
  <c r="AD655" i="2"/>
  <c r="AC655" i="2"/>
  <c r="AB655" i="2"/>
  <c r="Z655" i="2"/>
  <c r="K655" i="2"/>
  <c r="J655" i="2"/>
  <c r="H655" i="2"/>
  <c r="AD660" i="2" s="1"/>
  <c r="G655" i="2"/>
  <c r="AC660" i="2" s="1"/>
  <c r="F655" i="2"/>
  <c r="N655" i="2" s="1"/>
  <c r="E655" i="2"/>
  <c r="AA660" i="2" s="1"/>
  <c r="AM654" i="2"/>
  <c r="AK654" i="2"/>
  <c r="AG654" i="2"/>
  <c r="AF654" i="2"/>
  <c r="AC654" i="2"/>
  <c r="AB654" i="2"/>
  <c r="Z654" i="2"/>
  <c r="K654" i="2"/>
  <c r="K672" i="2" s="1"/>
  <c r="J654" i="2"/>
  <c r="I654" i="2"/>
  <c r="H654" i="2"/>
  <c r="G654" i="2"/>
  <c r="G672" i="2" s="1"/>
  <c r="F654" i="2"/>
  <c r="AB669" i="2" s="1"/>
  <c r="E654" i="2"/>
  <c r="AP653" i="2"/>
  <c r="AM653" i="2"/>
  <c r="AK653" i="2"/>
  <c r="AI653" i="2"/>
  <c r="AH653" i="2"/>
  <c r="AG653" i="2"/>
  <c r="AF653" i="2"/>
  <c r="AD653" i="2"/>
  <c r="AC653" i="2"/>
  <c r="AB653" i="2"/>
  <c r="AA653" i="2"/>
  <c r="Z653" i="2"/>
  <c r="Z657" i="2" s="1"/>
  <c r="AM652" i="2"/>
  <c r="AF652" i="2"/>
  <c r="AB652" i="2"/>
  <c r="AJ652" i="2" s="1"/>
  <c r="AA652" i="2"/>
  <c r="Z652" i="2"/>
  <c r="AM651" i="2"/>
  <c r="AK651" i="2"/>
  <c r="AF651" i="2"/>
  <c r="AB651" i="2"/>
  <c r="AA651" i="2"/>
  <c r="Z651" i="2"/>
  <c r="AM647" i="2"/>
  <c r="AK647" i="2"/>
  <c r="AF647" i="2"/>
  <c r="AC647" i="2"/>
  <c r="Z647" i="2"/>
  <c r="AQ646" i="2"/>
  <c r="AM646" i="2"/>
  <c r="AK646" i="2"/>
  <c r="AF646" i="2"/>
  <c r="AA646" i="2"/>
  <c r="Z646" i="2"/>
  <c r="AM645" i="2"/>
  <c r="AK645" i="2"/>
  <c r="AD645" i="2"/>
  <c r="AA645" i="2"/>
  <c r="Z645" i="2"/>
  <c r="O645" i="2"/>
  <c r="D645" i="2"/>
  <c r="AM644" i="2"/>
  <c r="AK644" i="2"/>
  <c r="AF644" i="2"/>
  <c r="AE644" i="2"/>
  <c r="Z644" i="2"/>
  <c r="T644" i="2"/>
  <c r="K644" i="2"/>
  <c r="J644" i="2"/>
  <c r="H644" i="2"/>
  <c r="G644" i="2"/>
  <c r="I644" i="2" s="1"/>
  <c r="F644" i="2"/>
  <c r="AB629" i="2" s="1"/>
  <c r="AJ629" i="2" s="1"/>
  <c r="E644" i="2"/>
  <c r="AM643" i="2"/>
  <c r="AK643" i="2"/>
  <c r="AD643" i="2"/>
  <c r="AA643" i="2"/>
  <c r="Z643" i="2"/>
  <c r="Z648" i="2" s="1"/>
  <c r="K643" i="2"/>
  <c r="J643" i="2"/>
  <c r="L643" i="2" s="1"/>
  <c r="AH628" i="2" s="1"/>
  <c r="I643" i="2"/>
  <c r="AE628" i="2" s="1"/>
  <c r="H643" i="2"/>
  <c r="G643" i="2"/>
  <c r="F643" i="2"/>
  <c r="T643" i="2" s="1"/>
  <c r="E643" i="2"/>
  <c r="AA628" i="2" s="1"/>
  <c r="AM642" i="2"/>
  <c r="AK642" i="2"/>
  <c r="AK648" i="2" s="1"/>
  <c r="AG642" i="2"/>
  <c r="AG648" i="2" s="1"/>
  <c r="AD642" i="2"/>
  <c r="Z642" i="2"/>
  <c r="U642" i="2"/>
  <c r="T642" i="2"/>
  <c r="L642" i="2"/>
  <c r="K642" i="2"/>
  <c r="AG638" i="2" s="1"/>
  <c r="J642" i="2"/>
  <c r="AF638" i="2" s="1"/>
  <c r="I642" i="2"/>
  <c r="H642" i="2"/>
  <c r="G642" i="2"/>
  <c r="F642" i="2"/>
  <c r="N642" i="2" s="1"/>
  <c r="E642" i="2"/>
  <c r="U641" i="2"/>
  <c r="AQ637" i="2" s="1"/>
  <c r="T641" i="2"/>
  <c r="L641" i="2"/>
  <c r="AH637" i="2" s="1"/>
  <c r="K641" i="2"/>
  <c r="J641" i="2"/>
  <c r="I641" i="2"/>
  <c r="H641" i="2"/>
  <c r="G641" i="2"/>
  <c r="F641" i="2"/>
  <c r="N641" i="2" s="1"/>
  <c r="E641" i="2"/>
  <c r="U640" i="2"/>
  <c r="T640" i="2"/>
  <c r="L640" i="2"/>
  <c r="AH627" i="2" s="1"/>
  <c r="K640" i="2"/>
  <c r="J640" i="2"/>
  <c r="H640" i="2"/>
  <c r="AD627" i="2" s="1"/>
  <c r="AD630" i="2" s="1"/>
  <c r="G640" i="2"/>
  <c r="F640" i="2"/>
  <c r="N640" i="2" s="1"/>
  <c r="E640" i="2"/>
  <c r="N639" i="2"/>
  <c r="K639" i="2"/>
  <c r="AG636" i="2" s="1"/>
  <c r="J639" i="2"/>
  <c r="L639" i="2" s="1"/>
  <c r="AH636" i="2" s="1"/>
  <c r="H639" i="2"/>
  <c r="G639" i="2"/>
  <c r="I639" i="2" s="1"/>
  <c r="M639" i="2" s="1"/>
  <c r="F639" i="2"/>
  <c r="AB636" i="2" s="1"/>
  <c r="AJ636" i="2" s="1"/>
  <c r="E639" i="2"/>
  <c r="AQ638" i="2"/>
  <c r="AP638" i="2"/>
  <c r="AM638" i="2"/>
  <c r="AK638" i="2"/>
  <c r="AH638" i="2"/>
  <c r="AD638" i="2"/>
  <c r="AC638" i="2"/>
  <c r="AB638" i="2"/>
  <c r="AJ638" i="2" s="1"/>
  <c r="AA638" i="2"/>
  <c r="Z638" i="2"/>
  <c r="K638" i="2"/>
  <c r="AG647" i="2" s="1"/>
  <c r="J638" i="2"/>
  <c r="L638" i="2" s="1"/>
  <c r="AH647" i="2" s="1"/>
  <c r="I638" i="2"/>
  <c r="AE647" i="2" s="1"/>
  <c r="H638" i="2"/>
  <c r="AD647" i="2" s="1"/>
  <c r="G638" i="2"/>
  <c r="F638" i="2"/>
  <c r="T638" i="2" s="1"/>
  <c r="E638" i="2"/>
  <c r="AA647" i="2" s="1"/>
  <c r="AP637" i="2"/>
  <c r="AM637" i="2"/>
  <c r="AK637" i="2"/>
  <c r="AG637" i="2"/>
  <c r="AF637" i="2"/>
  <c r="AD637" i="2"/>
  <c r="AC637" i="2"/>
  <c r="AB637" i="2"/>
  <c r="AJ637" i="2" s="1"/>
  <c r="AA637" i="2"/>
  <c r="Z637" i="2"/>
  <c r="U637" i="2"/>
  <c r="T637" i="2"/>
  <c r="AP646" i="2" s="1"/>
  <c r="L637" i="2"/>
  <c r="AH646" i="2" s="1"/>
  <c r="K637" i="2"/>
  <c r="AG646" i="2" s="1"/>
  <c r="J637" i="2"/>
  <c r="H637" i="2"/>
  <c r="AD646" i="2" s="1"/>
  <c r="G637" i="2"/>
  <c r="AC646" i="2" s="1"/>
  <c r="F637" i="2"/>
  <c r="N637" i="2" s="1"/>
  <c r="E637" i="2"/>
  <c r="AM636" i="2"/>
  <c r="AF636" i="2"/>
  <c r="AF639" i="2" s="1"/>
  <c r="AE636" i="2"/>
  <c r="AD636" i="2"/>
  <c r="AC636" i="2"/>
  <c r="AA636" i="2"/>
  <c r="Z636" i="2"/>
  <c r="N636" i="2"/>
  <c r="K636" i="2"/>
  <c r="AG645" i="2" s="1"/>
  <c r="J636" i="2"/>
  <c r="H636" i="2"/>
  <c r="G636" i="2"/>
  <c r="I636" i="2" s="1"/>
  <c r="F636" i="2"/>
  <c r="AB645" i="2" s="1"/>
  <c r="AJ645" i="2" s="1"/>
  <c r="E636" i="2"/>
  <c r="AP635" i="2"/>
  <c r="AM635" i="2"/>
  <c r="AK635" i="2"/>
  <c r="AD635" i="2"/>
  <c r="AA635" i="2"/>
  <c r="Z635" i="2"/>
  <c r="K635" i="2"/>
  <c r="AG644" i="2" s="1"/>
  <c r="J635" i="2"/>
  <c r="L635" i="2" s="1"/>
  <c r="AH644" i="2" s="1"/>
  <c r="I635" i="2"/>
  <c r="M635" i="2" s="1"/>
  <c r="H635" i="2"/>
  <c r="AD644" i="2" s="1"/>
  <c r="G635" i="2"/>
  <c r="AC644" i="2" s="1"/>
  <c r="F635" i="2"/>
  <c r="E635" i="2"/>
  <c r="AA644" i="2" s="1"/>
  <c r="AM634" i="2"/>
  <c r="AK634" i="2"/>
  <c r="AG634" i="2"/>
  <c r="AD634" i="2"/>
  <c r="AC634" i="2"/>
  <c r="Z634" i="2"/>
  <c r="U634" i="2"/>
  <c r="T634" i="2"/>
  <c r="L634" i="2"/>
  <c r="AH626" i="2" s="1"/>
  <c r="K634" i="2"/>
  <c r="J634" i="2"/>
  <c r="I634" i="2"/>
  <c r="H634" i="2"/>
  <c r="G634" i="2"/>
  <c r="F634" i="2"/>
  <c r="N634" i="2" s="1"/>
  <c r="E634" i="2"/>
  <c r="AM633" i="2"/>
  <c r="AK633" i="2"/>
  <c r="AF633" i="2"/>
  <c r="AB633" i="2"/>
  <c r="Z633" i="2"/>
  <c r="Z639" i="2" s="1"/>
  <c r="L633" i="2"/>
  <c r="AH625" i="2" s="1"/>
  <c r="K633" i="2"/>
  <c r="J633" i="2"/>
  <c r="H633" i="2"/>
  <c r="G633" i="2"/>
  <c r="F633" i="2"/>
  <c r="T633" i="2" s="1"/>
  <c r="U633" i="2" s="1"/>
  <c r="AQ625" i="2" s="1"/>
  <c r="E633" i="2"/>
  <c r="U632" i="2"/>
  <c r="AQ624" i="2" s="1"/>
  <c r="K632" i="2"/>
  <c r="AG624" i="2" s="1"/>
  <c r="AG630" i="2" s="1"/>
  <c r="J632" i="2"/>
  <c r="H632" i="2"/>
  <c r="G632" i="2"/>
  <c r="F632" i="2"/>
  <c r="T632" i="2" s="1"/>
  <c r="AP624" i="2" s="1"/>
  <c r="E632" i="2"/>
  <c r="U631" i="2"/>
  <c r="AQ635" i="2" s="1"/>
  <c r="L631" i="2"/>
  <c r="AH635" i="2" s="1"/>
  <c r="K631" i="2"/>
  <c r="AG635" i="2" s="1"/>
  <c r="J631" i="2"/>
  <c r="AF635" i="2" s="1"/>
  <c r="H631" i="2"/>
  <c r="G631" i="2"/>
  <c r="F631" i="2"/>
  <c r="T631" i="2" s="1"/>
  <c r="E631" i="2"/>
  <c r="K630" i="2"/>
  <c r="AG643" i="2" s="1"/>
  <c r="J630" i="2"/>
  <c r="L630" i="2" s="1"/>
  <c r="AH643" i="2" s="1"/>
  <c r="I630" i="2"/>
  <c r="AE643" i="2" s="1"/>
  <c r="H630" i="2"/>
  <c r="G630" i="2"/>
  <c r="AC643" i="2" s="1"/>
  <c r="F630" i="2"/>
  <c r="E630" i="2"/>
  <c r="N630" i="2" s="1"/>
  <c r="AM629" i="2"/>
  <c r="AK629" i="2"/>
  <c r="AG629" i="2"/>
  <c r="AD629" i="2"/>
  <c r="AC629" i="2"/>
  <c r="AA629" i="2"/>
  <c r="Z629" i="2"/>
  <c r="U629" i="2"/>
  <c r="AQ634" i="2" s="1"/>
  <c r="T629" i="2"/>
  <c r="AP634" i="2" s="1"/>
  <c r="L629" i="2"/>
  <c r="AH634" i="2" s="1"/>
  <c r="K629" i="2"/>
  <c r="J629" i="2"/>
  <c r="AF634" i="2" s="1"/>
  <c r="H629" i="2"/>
  <c r="I629" i="2" s="1"/>
  <c r="G629" i="2"/>
  <c r="F629" i="2"/>
  <c r="AB634" i="2" s="1"/>
  <c r="E629" i="2"/>
  <c r="AA634" i="2" s="1"/>
  <c r="AM628" i="2"/>
  <c r="AK628" i="2"/>
  <c r="AJ628" i="2"/>
  <c r="AG628" i="2"/>
  <c r="AF628" i="2"/>
  <c r="AD628" i="2"/>
  <c r="AC628" i="2"/>
  <c r="AB628" i="2"/>
  <c r="Z628" i="2"/>
  <c r="U628" i="2"/>
  <c r="AQ633" i="2" s="1"/>
  <c r="K628" i="2"/>
  <c r="AG633" i="2" s="1"/>
  <c r="AG639" i="2" s="1"/>
  <c r="J628" i="2"/>
  <c r="H628" i="2"/>
  <c r="AD633" i="2" s="1"/>
  <c r="G628" i="2"/>
  <c r="F628" i="2"/>
  <c r="T628" i="2" s="1"/>
  <c r="AP633" i="2" s="1"/>
  <c r="E628" i="2"/>
  <c r="AA633" i="2" s="1"/>
  <c r="AA639" i="2" s="1"/>
  <c r="AQ627" i="2"/>
  <c r="AP627" i="2"/>
  <c r="AM627" i="2"/>
  <c r="AK627" i="2"/>
  <c r="AJ627" i="2"/>
  <c r="AG627" i="2"/>
  <c r="AF627" i="2"/>
  <c r="AC627" i="2"/>
  <c r="AB627" i="2"/>
  <c r="AA627" i="2"/>
  <c r="Z627" i="2"/>
  <c r="N627" i="2"/>
  <c r="K627" i="2"/>
  <c r="J627" i="2"/>
  <c r="H627" i="2"/>
  <c r="H645" i="2" s="1"/>
  <c r="G627" i="2"/>
  <c r="I627" i="2" s="1"/>
  <c r="F627" i="2"/>
  <c r="AB642" i="2" s="1"/>
  <c r="E627" i="2"/>
  <c r="AQ626" i="2"/>
  <c r="AP626" i="2"/>
  <c r="AM626" i="2"/>
  <c r="AK626" i="2"/>
  <c r="AG626" i="2"/>
  <c r="AF626" i="2"/>
  <c r="AE626" i="2"/>
  <c r="AD626" i="2"/>
  <c r="AC626" i="2"/>
  <c r="AB626" i="2"/>
  <c r="AJ626" i="2" s="1"/>
  <c r="AA626" i="2"/>
  <c r="Z626" i="2"/>
  <c r="Z630" i="2" s="1"/>
  <c r="AP625" i="2"/>
  <c r="AM625" i="2"/>
  <c r="AJ625" i="2"/>
  <c r="AG625" i="2"/>
  <c r="AF625" i="2"/>
  <c r="AD625" i="2"/>
  <c r="AB625" i="2"/>
  <c r="AA625" i="2"/>
  <c r="Z625" i="2"/>
  <c r="AM624" i="2"/>
  <c r="AK624" i="2"/>
  <c r="AK630" i="2" s="1"/>
  <c r="AJ624" i="2"/>
  <c r="AF624" i="2"/>
  <c r="AD624" i="2"/>
  <c r="AB624" i="2"/>
  <c r="AA624" i="2"/>
  <c r="AA630" i="2" s="1"/>
  <c r="Z624" i="2"/>
  <c r="AM620" i="2"/>
  <c r="AK620" i="2"/>
  <c r="AG620" i="2"/>
  <c r="AB620" i="2"/>
  <c r="AJ620" i="2" s="1"/>
  <c r="Z620" i="2"/>
  <c r="AM619" i="2"/>
  <c r="AK619" i="2"/>
  <c r="AB619" i="2"/>
  <c r="AJ619" i="2" s="1"/>
  <c r="AA619" i="2"/>
  <c r="Z619" i="2"/>
  <c r="AM618" i="2"/>
  <c r="AK618" i="2"/>
  <c r="AD618" i="2"/>
  <c r="Z618" i="2"/>
  <c r="O618" i="2"/>
  <c r="J618" i="2"/>
  <c r="D618" i="2"/>
  <c r="AM617" i="2"/>
  <c r="AK617" i="2"/>
  <c r="AE617" i="2"/>
  <c r="AB617" i="2"/>
  <c r="Z617" i="2"/>
  <c r="T617" i="2"/>
  <c r="U617" i="2" s="1"/>
  <c r="AQ602" i="2" s="1"/>
  <c r="N617" i="2"/>
  <c r="K617" i="2"/>
  <c r="J617" i="2"/>
  <c r="H617" i="2"/>
  <c r="G617" i="2"/>
  <c r="I617" i="2" s="1"/>
  <c r="F617" i="2"/>
  <c r="AB602" i="2" s="1"/>
  <c r="AJ602" i="2" s="1"/>
  <c r="E617" i="2"/>
  <c r="AP616" i="2"/>
  <c r="AM616" i="2"/>
  <c r="AK616" i="2"/>
  <c r="AD616" i="2"/>
  <c r="Z616" i="2"/>
  <c r="T616" i="2"/>
  <c r="M616" i="2"/>
  <c r="K616" i="2"/>
  <c r="J616" i="2"/>
  <c r="L616" i="2" s="1"/>
  <c r="AH601" i="2" s="1"/>
  <c r="I616" i="2"/>
  <c r="AE601" i="2" s="1"/>
  <c r="H616" i="2"/>
  <c r="G616" i="2"/>
  <c r="F616" i="2"/>
  <c r="N616" i="2" s="1"/>
  <c r="E616" i="2"/>
  <c r="AA601" i="2" s="1"/>
  <c r="AM615" i="2"/>
  <c r="AK615" i="2"/>
  <c r="AK621" i="2" s="1"/>
  <c r="AG615" i="2"/>
  <c r="AG621" i="2" s="1"/>
  <c r="AC615" i="2"/>
  <c r="Z615" i="2"/>
  <c r="L615" i="2"/>
  <c r="K615" i="2"/>
  <c r="J615" i="2"/>
  <c r="H615" i="2"/>
  <c r="I615" i="2" s="1"/>
  <c r="M615" i="2" s="1"/>
  <c r="G615" i="2"/>
  <c r="F615" i="2"/>
  <c r="T615" i="2" s="1"/>
  <c r="E615" i="2"/>
  <c r="AA611" i="2" s="1"/>
  <c r="L614" i="2"/>
  <c r="K614" i="2"/>
  <c r="J614" i="2"/>
  <c r="H614" i="2"/>
  <c r="AD610" i="2" s="1"/>
  <c r="G614" i="2"/>
  <c r="I614" i="2" s="1"/>
  <c r="F614" i="2"/>
  <c r="T614" i="2" s="1"/>
  <c r="U614" i="2" s="1"/>
  <c r="AQ610" i="2" s="1"/>
  <c r="E614" i="2"/>
  <c r="AA610" i="2" s="1"/>
  <c r="L613" i="2"/>
  <c r="AH600" i="2" s="1"/>
  <c r="K613" i="2"/>
  <c r="J613" i="2"/>
  <c r="H613" i="2"/>
  <c r="AD600" i="2" s="1"/>
  <c r="G613" i="2"/>
  <c r="F613" i="2"/>
  <c r="T613" i="2" s="1"/>
  <c r="E613" i="2"/>
  <c r="AA600" i="2" s="1"/>
  <c r="T612" i="2"/>
  <c r="N612" i="2"/>
  <c r="K612" i="2"/>
  <c r="J612" i="2"/>
  <c r="H612" i="2"/>
  <c r="G612" i="2"/>
  <c r="F612" i="2"/>
  <c r="E612" i="2"/>
  <c r="AM611" i="2"/>
  <c r="AK611" i="2"/>
  <c r="AH611" i="2"/>
  <c r="AG611" i="2"/>
  <c r="AF611" i="2"/>
  <c r="AE611" i="2"/>
  <c r="AD611" i="2"/>
  <c r="AC611" i="2"/>
  <c r="AB611" i="2"/>
  <c r="Z611" i="2"/>
  <c r="T611" i="2"/>
  <c r="K611" i="2"/>
  <c r="J611" i="2"/>
  <c r="L611" i="2" s="1"/>
  <c r="AH620" i="2" s="1"/>
  <c r="I611" i="2"/>
  <c r="AE620" i="2" s="1"/>
  <c r="H611" i="2"/>
  <c r="AD620" i="2" s="1"/>
  <c r="G611" i="2"/>
  <c r="AC620" i="2" s="1"/>
  <c r="F611" i="2"/>
  <c r="N611" i="2" s="1"/>
  <c r="E611" i="2"/>
  <c r="AA620" i="2" s="1"/>
  <c r="AP610" i="2"/>
  <c r="AM610" i="2"/>
  <c r="AK610" i="2"/>
  <c r="AH610" i="2"/>
  <c r="AG610" i="2"/>
  <c r="AF610" i="2"/>
  <c r="AC610" i="2"/>
  <c r="AB610" i="2"/>
  <c r="AJ610" i="2" s="1"/>
  <c r="Z610" i="2"/>
  <c r="M610" i="2"/>
  <c r="L610" i="2"/>
  <c r="AH619" i="2" s="1"/>
  <c r="K610" i="2"/>
  <c r="AG619" i="2" s="1"/>
  <c r="J610" i="2"/>
  <c r="AF619" i="2" s="1"/>
  <c r="H610" i="2"/>
  <c r="AD619" i="2" s="1"/>
  <c r="G610" i="2"/>
  <c r="I610" i="2" s="1"/>
  <c r="AE619" i="2" s="1"/>
  <c r="F610" i="2"/>
  <c r="T610" i="2" s="1"/>
  <c r="E610" i="2"/>
  <c r="AM609" i="2"/>
  <c r="AG609" i="2"/>
  <c r="AD609" i="2"/>
  <c r="AB609" i="2"/>
  <c r="AA609" i="2"/>
  <c r="Z609" i="2"/>
  <c r="N609" i="2"/>
  <c r="K609" i="2"/>
  <c r="AG618" i="2" s="1"/>
  <c r="J609" i="2"/>
  <c r="H609" i="2"/>
  <c r="G609" i="2"/>
  <c r="F609" i="2"/>
  <c r="AB618" i="2" s="1"/>
  <c r="AJ618" i="2" s="1"/>
  <c r="E609" i="2"/>
  <c r="AA618" i="2" s="1"/>
  <c r="AM608" i="2"/>
  <c r="AK608" i="2"/>
  <c r="Z608" i="2"/>
  <c r="T608" i="2"/>
  <c r="K608" i="2"/>
  <c r="AG617" i="2" s="1"/>
  <c r="J608" i="2"/>
  <c r="I608" i="2"/>
  <c r="H608" i="2"/>
  <c r="AD617" i="2" s="1"/>
  <c r="G608" i="2"/>
  <c r="AC617" i="2" s="1"/>
  <c r="F608" i="2"/>
  <c r="E608" i="2"/>
  <c r="AA617" i="2" s="1"/>
  <c r="AJ617" i="2" s="1"/>
  <c r="AP607" i="2"/>
  <c r="AM607" i="2"/>
  <c r="AK607" i="2"/>
  <c r="AG607" i="2"/>
  <c r="AC607" i="2"/>
  <c r="Z607" i="2"/>
  <c r="L607" i="2"/>
  <c r="M607" i="2" s="1"/>
  <c r="K607" i="2"/>
  <c r="J607" i="2"/>
  <c r="H607" i="2"/>
  <c r="I607" i="2" s="1"/>
  <c r="AE599" i="2" s="1"/>
  <c r="G607" i="2"/>
  <c r="F607" i="2"/>
  <c r="T607" i="2" s="1"/>
  <c r="U607" i="2" s="1"/>
  <c r="AQ599" i="2" s="1"/>
  <c r="E607" i="2"/>
  <c r="AM606" i="2"/>
  <c r="AK606" i="2"/>
  <c r="AF606" i="2"/>
  <c r="AC606" i="2"/>
  <c r="AB606" i="2"/>
  <c r="Z606" i="2"/>
  <c r="Z612" i="2" s="1"/>
  <c r="K606" i="2"/>
  <c r="AG598" i="2" s="1"/>
  <c r="J606" i="2"/>
  <c r="L606" i="2" s="1"/>
  <c r="AH598" i="2" s="1"/>
  <c r="H606" i="2"/>
  <c r="AD598" i="2" s="1"/>
  <c r="G606" i="2"/>
  <c r="F606" i="2"/>
  <c r="N606" i="2" s="1"/>
  <c r="E606" i="2"/>
  <c r="K605" i="2"/>
  <c r="AG597" i="2" s="1"/>
  <c r="AG603" i="2" s="1"/>
  <c r="J605" i="2"/>
  <c r="H605" i="2"/>
  <c r="AD597" i="2" s="1"/>
  <c r="G605" i="2"/>
  <c r="F605" i="2"/>
  <c r="N605" i="2" s="1"/>
  <c r="E605" i="2"/>
  <c r="K604" i="2"/>
  <c r="AG608" i="2" s="1"/>
  <c r="J604" i="2"/>
  <c r="H604" i="2"/>
  <c r="AD608" i="2" s="1"/>
  <c r="G604" i="2"/>
  <c r="F604" i="2"/>
  <c r="N604" i="2" s="1"/>
  <c r="E604" i="2"/>
  <c r="AA608" i="2" s="1"/>
  <c r="AD603" i="2"/>
  <c r="T603" i="2"/>
  <c r="K603" i="2"/>
  <c r="AG616" i="2" s="1"/>
  <c r="J603" i="2"/>
  <c r="I603" i="2"/>
  <c r="H603" i="2"/>
  <c r="G603" i="2"/>
  <c r="AC616" i="2" s="1"/>
  <c r="F603" i="2"/>
  <c r="AB616" i="2" s="1"/>
  <c r="E603" i="2"/>
  <c r="AA616" i="2" s="1"/>
  <c r="AP602" i="2"/>
  <c r="AM602" i="2"/>
  <c r="AK602" i="2"/>
  <c r="AG602" i="2"/>
  <c r="AD602" i="2"/>
  <c r="AC602" i="2"/>
  <c r="AA602" i="2"/>
  <c r="Z602" i="2"/>
  <c r="L602" i="2"/>
  <c r="AH607" i="2" s="1"/>
  <c r="K602" i="2"/>
  <c r="J602" i="2"/>
  <c r="AF607" i="2" s="1"/>
  <c r="H602" i="2"/>
  <c r="AD607" i="2" s="1"/>
  <c r="G602" i="2"/>
  <c r="F602" i="2"/>
  <c r="T602" i="2" s="1"/>
  <c r="E602" i="2"/>
  <c r="AA607" i="2" s="1"/>
  <c r="AM601" i="2"/>
  <c r="AK601" i="2"/>
  <c r="AJ601" i="2"/>
  <c r="AG601" i="2"/>
  <c r="AF601" i="2"/>
  <c r="AD601" i="2"/>
  <c r="AC601" i="2"/>
  <c r="AB601" i="2"/>
  <c r="Z601" i="2"/>
  <c r="K601" i="2"/>
  <c r="AG606" i="2" s="1"/>
  <c r="J601" i="2"/>
  <c r="L601" i="2" s="1"/>
  <c r="AH606" i="2" s="1"/>
  <c r="H601" i="2"/>
  <c r="AD606" i="2" s="1"/>
  <c r="G601" i="2"/>
  <c r="F601" i="2"/>
  <c r="N601" i="2" s="1"/>
  <c r="E601" i="2"/>
  <c r="AA606" i="2" s="1"/>
  <c r="AA612" i="2" s="1"/>
  <c r="AM600" i="2"/>
  <c r="AK600" i="2"/>
  <c r="AG600" i="2"/>
  <c r="AF600" i="2"/>
  <c r="AC600" i="2"/>
  <c r="AB600" i="2"/>
  <c r="Z600" i="2"/>
  <c r="K600" i="2"/>
  <c r="K618" i="2" s="1"/>
  <c r="J600" i="2"/>
  <c r="I600" i="2"/>
  <c r="H600" i="2"/>
  <c r="G600" i="2"/>
  <c r="F600" i="2"/>
  <c r="E600" i="2"/>
  <c r="AM599" i="2"/>
  <c r="AK599" i="2"/>
  <c r="AI599" i="2"/>
  <c r="AH599" i="2"/>
  <c r="AG599" i="2"/>
  <c r="AF599" i="2"/>
  <c r="AD599" i="2"/>
  <c r="AC599" i="2"/>
  <c r="AB599" i="2"/>
  <c r="AJ599" i="2" s="1"/>
  <c r="AA599" i="2"/>
  <c r="Z599" i="2"/>
  <c r="Z603" i="2" s="1"/>
  <c r="AM598" i="2"/>
  <c r="AF598" i="2"/>
  <c r="AC598" i="2"/>
  <c r="AB598" i="2"/>
  <c r="AJ598" i="2" s="1"/>
  <c r="AA598" i="2"/>
  <c r="Z598" i="2"/>
  <c r="AM597" i="2"/>
  <c r="AK597" i="2"/>
  <c r="AF597" i="2"/>
  <c r="AB597" i="2"/>
  <c r="AB603" i="2" s="1"/>
  <c r="AA597" i="2"/>
  <c r="Z597" i="2"/>
  <c r="AM593" i="2"/>
  <c r="AK593" i="2"/>
  <c r="AK594" i="2" s="1"/>
  <c r="AF593" i="2"/>
  <c r="AC593" i="2"/>
  <c r="Z593" i="2"/>
  <c r="AM592" i="2"/>
  <c r="AK592" i="2"/>
  <c r="AI592" i="2"/>
  <c r="AF592" i="2"/>
  <c r="AA592" i="2"/>
  <c r="Z592" i="2"/>
  <c r="AM591" i="2"/>
  <c r="AK591" i="2"/>
  <c r="AD591" i="2"/>
  <c r="AA591" i="2"/>
  <c r="Z591" i="2"/>
  <c r="O591" i="2"/>
  <c r="D591" i="2"/>
  <c r="AM590" i="2"/>
  <c r="AK590" i="2"/>
  <c r="Z590" i="2"/>
  <c r="T590" i="2"/>
  <c r="N590" i="2"/>
  <c r="K590" i="2"/>
  <c r="J590" i="2"/>
  <c r="H590" i="2"/>
  <c r="G590" i="2"/>
  <c r="I590" i="2" s="1"/>
  <c r="AE575" i="2" s="1"/>
  <c r="F590" i="2"/>
  <c r="AB575" i="2" s="1"/>
  <c r="AJ575" i="2" s="1"/>
  <c r="E590" i="2"/>
  <c r="AM589" i="2"/>
  <c r="AK589" i="2"/>
  <c r="Z589" i="2"/>
  <c r="Z594" i="2" s="1"/>
  <c r="K589" i="2"/>
  <c r="J589" i="2"/>
  <c r="L589" i="2" s="1"/>
  <c r="AH574" i="2" s="1"/>
  <c r="I589" i="2"/>
  <c r="M589" i="2" s="1"/>
  <c r="H589" i="2"/>
  <c r="G589" i="2"/>
  <c r="F589" i="2"/>
  <c r="T589" i="2" s="1"/>
  <c r="U589" i="2" s="1"/>
  <c r="E589" i="2"/>
  <c r="AM588" i="2"/>
  <c r="AK588" i="2"/>
  <c r="AG588" i="2"/>
  <c r="AD588" i="2"/>
  <c r="AD594" i="2" s="1"/>
  <c r="Z588" i="2"/>
  <c r="L588" i="2"/>
  <c r="AH584" i="2" s="1"/>
  <c r="K588" i="2"/>
  <c r="J588" i="2"/>
  <c r="I588" i="2"/>
  <c r="H588" i="2"/>
  <c r="G588" i="2"/>
  <c r="F588" i="2"/>
  <c r="N588" i="2" s="1"/>
  <c r="E588" i="2"/>
  <c r="L587" i="2"/>
  <c r="AH583" i="2" s="1"/>
  <c r="K587" i="2"/>
  <c r="J587" i="2"/>
  <c r="I587" i="2"/>
  <c r="H587" i="2"/>
  <c r="AD583" i="2" s="1"/>
  <c r="G587" i="2"/>
  <c r="F587" i="2"/>
  <c r="N587" i="2" s="1"/>
  <c r="E587" i="2"/>
  <c r="L586" i="2"/>
  <c r="AH573" i="2" s="1"/>
  <c r="K586" i="2"/>
  <c r="J586" i="2"/>
  <c r="H586" i="2"/>
  <c r="G586" i="2"/>
  <c r="F586" i="2"/>
  <c r="N586" i="2" s="1"/>
  <c r="E586" i="2"/>
  <c r="T585" i="2"/>
  <c r="AP582" i="2" s="1"/>
  <c r="N585" i="2"/>
  <c r="K585" i="2"/>
  <c r="AG582" i="2" s="1"/>
  <c r="J585" i="2"/>
  <c r="H585" i="2"/>
  <c r="G585" i="2"/>
  <c r="I585" i="2" s="1"/>
  <c r="F585" i="2"/>
  <c r="AB582" i="2" s="1"/>
  <c r="E585" i="2"/>
  <c r="AM584" i="2"/>
  <c r="AK584" i="2"/>
  <c r="AG584" i="2"/>
  <c r="AF584" i="2"/>
  <c r="AD584" i="2"/>
  <c r="AC584" i="2"/>
  <c r="AB584" i="2"/>
  <c r="AJ584" i="2" s="1"/>
  <c r="AA584" i="2"/>
  <c r="Z584" i="2"/>
  <c r="K584" i="2"/>
  <c r="AG593" i="2" s="1"/>
  <c r="J584" i="2"/>
  <c r="L584" i="2" s="1"/>
  <c r="AH593" i="2" s="1"/>
  <c r="I584" i="2"/>
  <c r="H584" i="2"/>
  <c r="AD593" i="2" s="1"/>
  <c r="G584" i="2"/>
  <c r="F584" i="2"/>
  <c r="T584" i="2" s="1"/>
  <c r="E584" i="2"/>
  <c r="AA593" i="2" s="1"/>
  <c r="AM583" i="2"/>
  <c r="AK583" i="2"/>
  <c r="AG583" i="2"/>
  <c r="AF583" i="2"/>
  <c r="AC583" i="2"/>
  <c r="AB583" i="2"/>
  <c r="AJ583" i="2" s="1"/>
  <c r="AA583" i="2"/>
  <c r="Z583" i="2"/>
  <c r="V583" i="2"/>
  <c r="S583" i="2"/>
  <c r="R583" i="2" s="1"/>
  <c r="L583" i="2"/>
  <c r="AH592" i="2" s="1"/>
  <c r="K583" i="2"/>
  <c r="AG592" i="2" s="1"/>
  <c r="J583" i="2"/>
  <c r="I583" i="2"/>
  <c r="M583" i="2" s="1"/>
  <c r="P583" i="2" s="1"/>
  <c r="H583" i="2"/>
  <c r="AD592" i="2" s="1"/>
  <c r="G583" i="2"/>
  <c r="AC592" i="2" s="1"/>
  <c r="F583" i="2"/>
  <c r="N583" i="2" s="1"/>
  <c r="E583" i="2"/>
  <c r="AM582" i="2"/>
  <c r="AE582" i="2"/>
  <c r="AD582" i="2"/>
  <c r="AC582" i="2"/>
  <c r="AA582" i="2"/>
  <c r="Z582" i="2"/>
  <c r="N582" i="2"/>
  <c r="K582" i="2"/>
  <c r="AG591" i="2" s="1"/>
  <c r="J582" i="2"/>
  <c r="H582" i="2"/>
  <c r="G582" i="2"/>
  <c r="I582" i="2" s="1"/>
  <c r="F582" i="2"/>
  <c r="AB591" i="2" s="1"/>
  <c r="AJ591" i="2" s="1"/>
  <c r="E582" i="2"/>
  <c r="AM581" i="2"/>
  <c r="AK581" i="2"/>
  <c r="AF581" i="2"/>
  <c r="AA581" i="2"/>
  <c r="Z581" i="2"/>
  <c r="K581" i="2"/>
  <c r="AG590" i="2" s="1"/>
  <c r="J581" i="2"/>
  <c r="I581" i="2"/>
  <c r="H581" i="2"/>
  <c r="AD590" i="2" s="1"/>
  <c r="G581" i="2"/>
  <c r="AC590" i="2" s="1"/>
  <c r="F581" i="2"/>
  <c r="AB590" i="2" s="1"/>
  <c r="E581" i="2"/>
  <c r="AA590" i="2" s="1"/>
  <c r="AM580" i="2"/>
  <c r="AK580" i="2"/>
  <c r="AF580" i="2"/>
  <c r="Z580" i="2"/>
  <c r="T580" i="2"/>
  <c r="L580" i="2"/>
  <c r="K580" i="2"/>
  <c r="J580" i="2"/>
  <c r="H580" i="2"/>
  <c r="AD572" i="2" s="1"/>
  <c r="G580" i="2"/>
  <c r="F580" i="2"/>
  <c r="N580" i="2" s="1"/>
  <c r="E580" i="2"/>
  <c r="AM579" i="2"/>
  <c r="AK579" i="2"/>
  <c r="AG579" i="2"/>
  <c r="AG585" i="2" s="1"/>
  <c r="AF579" i="2"/>
  <c r="AB579" i="2"/>
  <c r="AB585" i="2" s="1"/>
  <c r="AA579" i="2"/>
  <c r="Z579" i="2"/>
  <c r="K579" i="2"/>
  <c r="AG571" i="2" s="1"/>
  <c r="J579" i="2"/>
  <c r="H579" i="2"/>
  <c r="G579" i="2"/>
  <c r="I579" i="2" s="1"/>
  <c r="F579" i="2"/>
  <c r="T579" i="2" s="1"/>
  <c r="E579" i="2"/>
  <c r="U578" i="2"/>
  <c r="AQ570" i="2" s="1"/>
  <c r="L578" i="2"/>
  <c r="AH570" i="2" s="1"/>
  <c r="K578" i="2"/>
  <c r="AG570" i="2" s="1"/>
  <c r="J578" i="2"/>
  <c r="H578" i="2"/>
  <c r="G578" i="2"/>
  <c r="I578" i="2" s="1"/>
  <c r="F578" i="2"/>
  <c r="T578" i="2" s="1"/>
  <c r="AP570" i="2" s="1"/>
  <c r="E578" i="2"/>
  <c r="K577" i="2"/>
  <c r="AG581" i="2" s="1"/>
  <c r="J577" i="2"/>
  <c r="H577" i="2"/>
  <c r="AD581" i="2" s="1"/>
  <c r="G577" i="2"/>
  <c r="AC581" i="2" s="1"/>
  <c r="F577" i="2"/>
  <c r="AB581" i="2" s="1"/>
  <c r="E577" i="2"/>
  <c r="AA576" i="2"/>
  <c r="Z576" i="2"/>
  <c r="K576" i="2"/>
  <c r="AG589" i="2" s="1"/>
  <c r="J576" i="2"/>
  <c r="AF589" i="2" s="1"/>
  <c r="I576" i="2"/>
  <c r="AE589" i="2" s="1"/>
  <c r="H576" i="2"/>
  <c r="AD589" i="2" s="1"/>
  <c r="G576" i="2"/>
  <c r="AC589" i="2" s="1"/>
  <c r="F576" i="2"/>
  <c r="N576" i="2" s="1"/>
  <c r="E576" i="2"/>
  <c r="AA589" i="2" s="1"/>
  <c r="AM575" i="2"/>
  <c r="AK575" i="2"/>
  <c r="AK576" i="2" s="1"/>
  <c r="AG575" i="2"/>
  <c r="AF575" i="2"/>
  <c r="AD575" i="2"/>
  <c r="AC575" i="2"/>
  <c r="AA575" i="2"/>
  <c r="Z575" i="2"/>
  <c r="U575" i="2"/>
  <c r="AQ580" i="2" s="1"/>
  <c r="T575" i="2"/>
  <c r="AP580" i="2" s="1"/>
  <c r="L575" i="2"/>
  <c r="AH580" i="2" s="1"/>
  <c r="K575" i="2"/>
  <c r="AG580" i="2" s="1"/>
  <c r="J575" i="2"/>
  <c r="H575" i="2"/>
  <c r="AD580" i="2" s="1"/>
  <c r="G575" i="2"/>
  <c r="AC580" i="2" s="1"/>
  <c r="F575" i="2"/>
  <c r="AB580" i="2" s="1"/>
  <c r="E575" i="2"/>
  <c r="AA580" i="2" s="1"/>
  <c r="AQ574" i="2"/>
  <c r="AP574" i="2"/>
  <c r="AM574" i="2"/>
  <c r="AK574" i="2"/>
  <c r="AG574" i="2"/>
  <c r="AF574" i="2"/>
  <c r="AE574" i="2"/>
  <c r="AD574" i="2"/>
  <c r="AC574" i="2"/>
  <c r="AB574" i="2"/>
  <c r="AJ574" i="2" s="1"/>
  <c r="AA574" i="2"/>
  <c r="Z574" i="2"/>
  <c r="L574" i="2"/>
  <c r="AH579" i="2" s="1"/>
  <c r="K574" i="2"/>
  <c r="J574" i="2"/>
  <c r="H574" i="2"/>
  <c r="AD579" i="2" s="1"/>
  <c r="G574" i="2"/>
  <c r="I574" i="2" s="1"/>
  <c r="F574" i="2"/>
  <c r="T574" i="2" s="1"/>
  <c r="AP579" i="2" s="1"/>
  <c r="E574" i="2"/>
  <c r="AM573" i="2"/>
  <c r="AK573" i="2"/>
  <c r="AJ573" i="2"/>
  <c r="AG573" i="2"/>
  <c r="AF573" i="2"/>
  <c r="AC573" i="2"/>
  <c r="AB573" i="2"/>
  <c r="AA573" i="2"/>
  <c r="Z573" i="2"/>
  <c r="N573" i="2"/>
  <c r="K573" i="2"/>
  <c r="J573" i="2"/>
  <c r="AF588" i="2" s="1"/>
  <c r="H573" i="2"/>
  <c r="G573" i="2"/>
  <c r="F573" i="2"/>
  <c r="E573" i="2"/>
  <c r="AM572" i="2"/>
  <c r="AK572" i="2"/>
  <c r="AH572" i="2"/>
  <c r="AG572" i="2"/>
  <c r="AF572" i="2"/>
  <c r="AC572" i="2"/>
  <c r="AB572" i="2"/>
  <c r="AJ572" i="2" s="1"/>
  <c r="AA572" i="2"/>
  <c r="Z572" i="2"/>
  <c r="AM571" i="2"/>
  <c r="AF571" i="2"/>
  <c r="AD571" i="2"/>
  <c r="AB571" i="2"/>
  <c r="AJ571" i="2" s="1"/>
  <c r="AA571" i="2"/>
  <c r="Z571" i="2"/>
  <c r="AM570" i="2"/>
  <c r="AK570" i="2"/>
  <c r="AF570" i="2"/>
  <c r="AD570" i="2"/>
  <c r="AB570" i="2"/>
  <c r="AJ570" i="2" s="1"/>
  <c r="AA570" i="2"/>
  <c r="Z570" i="2"/>
  <c r="AK567" i="2"/>
  <c r="AM566" i="2"/>
  <c r="AK566" i="2"/>
  <c r="AG566" i="2"/>
  <c r="AF566" i="2"/>
  <c r="AB566" i="2"/>
  <c r="Z566" i="2"/>
  <c r="AM565" i="2"/>
  <c r="AK565" i="2"/>
  <c r="AJ565" i="2"/>
  <c r="AB565" i="2"/>
  <c r="Z565" i="2"/>
  <c r="AM564" i="2"/>
  <c r="AK564" i="2"/>
  <c r="AG564" i="2"/>
  <c r="AD564" i="2"/>
  <c r="Z564" i="2"/>
  <c r="O564" i="2"/>
  <c r="D564" i="2"/>
  <c r="AM563" i="2"/>
  <c r="AK563" i="2"/>
  <c r="AD563" i="2"/>
  <c r="AB563" i="2"/>
  <c r="AJ563" i="2" s="1"/>
  <c r="AA563" i="2"/>
  <c r="Z563" i="2"/>
  <c r="N563" i="2"/>
  <c r="K563" i="2"/>
  <c r="J563" i="2"/>
  <c r="AF548" i="2" s="1"/>
  <c r="H563" i="2"/>
  <c r="G563" i="2"/>
  <c r="F563" i="2"/>
  <c r="E563" i="2"/>
  <c r="AM562" i="2"/>
  <c r="AK562" i="2"/>
  <c r="AG562" i="2"/>
  <c r="AE562" i="2"/>
  <c r="AD562" i="2"/>
  <c r="Z562" i="2"/>
  <c r="T562" i="2"/>
  <c r="K562" i="2"/>
  <c r="J562" i="2"/>
  <c r="L562" i="2" s="1"/>
  <c r="AH547" i="2" s="1"/>
  <c r="I562" i="2"/>
  <c r="H562" i="2"/>
  <c r="G562" i="2"/>
  <c r="F562" i="2"/>
  <c r="N562" i="2" s="1"/>
  <c r="E562" i="2"/>
  <c r="AA547" i="2" s="1"/>
  <c r="AM561" i="2"/>
  <c r="AK561" i="2"/>
  <c r="AC561" i="2"/>
  <c r="Z561" i="2"/>
  <c r="Z567" i="2" s="1"/>
  <c r="T561" i="2"/>
  <c r="L561" i="2"/>
  <c r="AH557" i="2" s="1"/>
  <c r="K561" i="2"/>
  <c r="J561" i="2"/>
  <c r="AF557" i="2" s="1"/>
  <c r="H561" i="2"/>
  <c r="G561" i="2"/>
  <c r="AC557" i="2" s="1"/>
  <c r="F561" i="2"/>
  <c r="E561" i="2"/>
  <c r="AA557" i="2" s="1"/>
  <c r="T560" i="2"/>
  <c r="L560" i="2"/>
  <c r="K560" i="2"/>
  <c r="J560" i="2"/>
  <c r="AF556" i="2" s="1"/>
  <c r="H560" i="2"/>
  <c r="AD556" i="2" s="1"/>
  <c r="G560" i="2"/>
  <c r="I560" i="2" s="1"/>
  <c r="AE556" i="2" s="1"/>
  <c r="F560" i="2"/>
  <c r="N560" i="2" s="1"/>
  <c r="E560" i="2"/>
  <c r="AA556" i="2" s="1"/>
  <c r="T559" i="2"/>
  <c r="L559" i="2"/>
  <c r="AH546" i="2" s="1"/>
  <c r="K559" i="2"/>
  <c r="J559" i="2"/>
  <c r="H559" i="2"/>
  <c r="AD546" i="2" s="1"/>
  <c r="G559" i="2"/>
  <c r="AC546" i="2" s="1"/>
  <c r="F559" i="2"/>
  <c r="E559" i="2"/>
  <c r="AA546" i="2" s="1"/>
  <c r="N558" i="2"/>
  <c r="K558" i="2"/>
  <c r="J558" i="2"/>
  <c r="L558" i="2" s="1"/>
  <c r="AH555" i="2" s="1"/>
  <c r="H558" i="2"/>
  <c r="G558" i="2"/>
  <c r="F558" i="2"/>
  <c r="E558" i="2"/>
  <c r="AP557" i="2"/>
  <c r="AM557" i="2"/>
  <c r="AK557" i="2"/>
  <c r="AG557" i="2"/>
  <c r="AD557" i="2"/>
  <c r="AB557" i="2"/>
  <c r="Z557" i="2"/>
  <c r="T557" i="2"/>
  <c r="K557" i="2"/>
  <c r="J557" i="2"/>
  <c r="L557" i="2" s="1"/>
  <c r="AH566" i="2" s="1"/>
  <c r="I557" i="2"/>
  <c r="H557" i="2"/>
  <c r="AD566" i="2" s="1"/>
  <c r="G557" i="2"/>
  <c r="AC566" i="2" s="1"/>
  <c r="F557" i="2"/>
  <c r="N557" i="2" s="1"/>
  <c r="E557" i="2"/>
  <c r="AA566" i="2" s="1"/>
  <c r="AP556" i="2"/>
  <c r="AM556" i="2"/>
  <c r="AK556" i="2"/>
  <c r="AH556" i="2"/>
  <c r="AG556" i="2"/>
  <c r="AC556" i="2"/>
  <c r="AB556" i="2"/>
  <c r="AJ556" i="2" s="1"/>
  <c r="Z556" i="2"/>
  <c r="T556" i="2"/>
  <c r="AP565" i="2" s="1"/>
  <c r="L556" i="2"/>
  <c r="AH565" i="2" s="1"/>
  <c r="K556" i="2"/>
  <c r="AG565" i="2" s="1"/>
  <c r="J556" i="2"/>
  <c r="AF565" i="2" s="1"/>
  <c r="H556" i="2"/>
  <c r="AD565" i="2" s="1"/>
  <c r="G556" i="2"/>
  <c r="I556" i="2" s="1"/>
  <c r="F556" i="2"/>
  <c r="E556" i="2"/>
  <c r="AA565" i="2" s="1"/>
  <c r="AM555" i="2"/>
  <c r="AG555" i="2"/>
  <c r="AD555" i="2"/>
  <c r="AA555" i="2"/>
  <c r="Z555" i="2"/>
  <c r="K555" i="2"/>
  <c r="J555" i="2"/>
  <c r="L555" i="2" s="1"/>
  <c r="AH564" i="2" s="1"/>
  <c r="H555" i="2"/>
  <c r="G555" i="2"/>
  <c r="F555" i="2"/>
  <c r="N555" i="2" s="1"/>
  <c r="E555" i="2"/>
  <c r="AA564" i="2" s="1"/>
  <c r="AP554" i="2"/>
  <c r="AM554" i="2"/>
  <c r="AK554" i="2"/>
  <c r="Z554" i="2"/>
  <c r="T554" i="2"/>
  <c r="K554" i="2"/>
  <c r="AG563" i="2" s="1"/>
  <c r="J554" i="2"/>
  <c r="I554" i="2"/>
  <c r="H554" i="2"/>
  <c r="G554" i="2"/>
  <c r="AC563" i="2" s="1"/>
  <c r="F554" i="2"/>
  <c r="N554" i="2" s="1"/>
  <c r="E554" i="2"/>
  <c r="AP553" i="2"/>
  <c r="AM553" i="2"/>
  <c r="AK553" i="2"/>
  <c r="AG553" i="2"/>
  <c r="AC553" i="2"/>
  <c r="AB553" i="2"/>
  <c r="Z553" i="2"/>
  <c r="T553" i="2"/>
  <c r="M553" i="2"/>
  <c r="L553" i="2"/>
  <c r="AH545" i="2" s="1"/>
  <c r="K553" i="2"/>
  <c r="J553" i="2"/>
  <c r="H553" i="2"/>
  <c r="G553" i="2"/>
  <c r="I553" i="2" s="1"/>
  <c r="AE545" i="2" s="1"/>
  <c r="F553" i="2"/>
  <c r="E553" i="2"/>
  <c r="AA545" i="2" s="1"/>
  <c r="AM552" i="2"/>
  <c r="AK552" i="2"/>
  <c r="AK558" i="2" s="1"/>
  <c r="AF552" i="2"/>
  <c r="AC552" i="2"/>
  <c r="AB552" i="2"/>
  <c r="AJ552" i="2" s="1"/>
  <c r="Z552" i="2"/>
  <c r="U552" i="2"/>
  <c r="AQ544" i="2" s="1"/>
  <c r="T552" i="2"/>
  <c r="AP544" i="2" s="1"/>
  <c r="K552" i="2"/>
  <c r="AG544" i="2" s="1"/>
  <c r="J552" i="2"/>
  <c r="L552" i="2" s="1"/>
  <c r="AH544" i="2" s="1"/>
  <c r="H552" i="2"/>
  <c r="AD544" i="2" s="1"/>
  <c r="G552" i="2"/>
  <c r="I552" i="2" s="1"/>
  <c r="F552" i="2"/>
  <c r="N552" i="2" s="1"/>
  <c r="E552" i="2"/>
  <c r="U551" i="2"/>
  <c r="T551" i="2"/>
  <c r="K551" i="2"/>
  <c r="AG543" i="2" s="1"/>
  <c r="AG549" i="2" s="1"/>
  <c r="J551" i="2"/>
  <c r="L551" i="2" s="1"/>
  <c r="AH543" i="2" s="1"/>
  <c r="H551" i="2"/>
  <c r="AD543" i="2" s="1"/>
  <c r="AD549" i="2" s="1"/>
  <c r="G551" i="2"/>
  <c r="F551" i="2"/>
  <c r="N551" i="2" s="1"/>
  <c r="E551" i="2"/>
  <c r="U550" i="2"/>
  <c r="AQ554" i="2" s="1"/>
  <c r="T550" i="2"/>
  <c r="K550" i="2"/>
  <c r="AG554" i="2" s="1"/>
  <c r="J550" i="2"/>
  <c r="H550" i="2"/>
  <c r="AD554" i="2" s="1"/>
  <c r="G550" i="2"/>
  <c r="F550" i="2"/>
  <c r="N550" i="2" s="1"/>
  <c r="E550" i="2"/>
  <c r="AA554" i="2" s="1"/>
  <c r="T549" i="2"/>
  <c r="K549" i="2"/>
  <c r="J549" i="2"/>
  <c r="I549" i="2"/>
  <c r="H549" i="2"/>
  <c r="G549" i="2"/>
  <c r="AC562" i="2" s="1"/>
  <c r="F549" i="2"/>
  <c r="AB562" i="2" s="1"/>
  <c r="AJ562" i="2" s="1"/>
  <c r="E549" i="2"/>
  <c r="AA562" i="2" s="1"/>
  <c r="AM548" i="2"/>
  <c r="AK548" i="2"/>
  <c r="AG548" i="2"/>
  <c r="AD548" i="2"/>
  <c r="AA548" i="2"/>
  <c r="Z548" i="2"/>
  <c r="T548" i="2"/>
  <c r="L548" i="2"/>
  <c r="AH553" i="2" s="1"/>
  <c r="K548" i="2"/>
  <c r="J548" i="2"/>
  <c r="AF553" i="2" s="1"/>
  <c r="H548" i="2"/>
  <c r="AD553" i="2" s="1"/>
  <c r="G548" i="2"/>
  <c r="I548" i="2" s="1"/>
  <c r="F548" i="2"/>
  <c r="E548" i="2"/>
  <c r="AA553" i="2" s="1"/>
  <c r="AM547" i="2"/>
  <c r="AK547" i="2"/>
  <c r="AG547" i="2"/>
  <c r="AD547" i="2"/>
  <c r="AC547" i="2"/>
  <c r="AB547" i="2"/>
  <c r="AJ547" i="2" s="1"/>
  <c r="Z547" i="2"/>
  <c r="U547" i="2"/>
  <c r="AQ552" i="2" s="1"/>
  <c r="T547" i="2"/>
  <c r="AP552" i="2" s="1"/>
  <c r="K547" i="2"/>
  <c r="AG552" i="2" s="1"/>
  <c r="J547" i="2"/>
  <c r="H547" i="2"/>
  <c r="AD552" i="2" s="1"/>
  <c r="AD558" i="2" s="1"/>
  <c r="G547" i="2"/>
  <c r="F547" i="2"/>
  <c r="N547" i="2" s="1"/>
  <c r="E547" i="2"/>
  <c r="AA552" i="2" s="1"/>
  <c r="AP546" i="2"/>
  <c r="AM546" i="2"/>
  <c r="AK546" i="2"/>
  <c r="AG546" i="2"/>
  <c r="AF546" i="2"/>
  <c r="AB546" i="2"/>
  <c r="Z546" i="2"/>
  <c r="U546" i="2"/>
  <c r="AQ561" i="2" s="1"/>
  <c r="T546" i="2"/>
  <c r="N546" i="2"/>
  <c r="K546" i="2"/>
  <c r="K564" i="2" s="1"/>
  <c r="J546" i="2"/>
  <c r="H546" i="2"/>
  <c r="G546" i="2"/>
  <c r="I546" i="2" s="1"/>
  <c r="F546" i="2"/>
  <c r="E546" i="2"/>
  <c r="E564" i="2" s="1"/>
  <c r="AP545" i="2"/>
  <c r="AM545" i="2"/>
  <c r="AK545" i="2"/>
  <c r="AG545" i="2"/>
  <c r="AF545" i="2"/>
  <c r="AD545" i="2"/>
  <c r="AC545" i="2"/>
  <c r="AB545" i="2"/>
  <c r="AJ545" i="2" s="1"/>
  <c r="Z545" i="2"/>
  <c r="AM544" i="2"/>
  <c r="AJ544" i="2"/>
  <c r="AF544" i="2"/>
  <c r="AC544" i="2"/>
  <c r="AB544" i="2"/>
  <c r="AA544" i="2"/>
  <c r="Z544" i="2"/>
  <c r="AQ543" i="2"/>
  <c r="AP543" i="2"/>
  <c r="AM543" i="2"/>
  <c r="AK543" i="2"/>
  <c r="AK549" i="2" s="1"/>
  <c r="AF543" i="2"/>
  <c r="AB543" i="2"/>
  <c r="AA543" i="2"/>
  <c r="Z543" i="2"/>
  <c r="AM539" i="2"/>
  <c r="AK539" i="2"/>
  <c r="AF539" i="2"/>
  <c r="AC539" i="2"/>
  <c r="Z539" i="2"/>
  <c r="AM538" i="2"/>
  <c r="AK538" i="2"/>
  <c r="AF538" i="2"/>
  <c r="AA538" i="2"/>
  <c r="Z538" i="2"/>
  <c r="AQ537" i="2"/>
  <c r="AM537" i="2"/>
  <c r="AK537" i="2"/>
  <c r="AD537" i="2"/>
  <c r="AC537" i="2"/>
  <c r="AA537" i="2"/>
  <c r="Z537" i="2"/>
  <c r="O537" i="2"/>
  <c r="F537" i="2"/>
  <c r="D537" i="2"/>
  <c r="AM536" i="2"/>
  <c r="AK536" i="2"/>
  <c r="AF536" i="2"/>
  <c r="AE536" i="2"/>
  <c r="Z536" i="2"/>
  <c r="T536" i="2"/>
  <c r="N536" i="2"/>
  <c r="K536" i="2"/>
  <c r="J536" i="2"/>
  <c r="H536" i="2"/>
  <c r="G536" i="2"/>
  <c r="I536" i="2" s="1"/>
  <c r="F536" i="2"/>
  <c r="AB521" i="2" s="1"/>
  <c r="AJ521" i="2" s="1"/>
  <c r="E536" i="2"/>
  <c r="AA521" i="2" s="1"/>
  <c r="AM535" i="2"/>
  <c r="AK535" i="2"/>
  <c r="AD535" i="2"/>
  <c r="AC535" i="2"/>
  <c r="Z535" i="2"/>
  <c r="Z540" i="2" s="1"/>
  <c r="K535" i="2"/>
  <c r="J535" i="2"/>
  <c r="L535" i="2" s="1"/>
  <c r="AH520" i="2" s="1"/>
  <c r="I535" i="2"/>
  <c r="H535" i="2"/>
  <c r="AD520" i="2" s="1"/>
  <c r="G535" i="2"/>
  <c r="F535" i="2"/>
  <c r="N535" i="2" s="1"/>
  <c r="E535" i="2"/>
  <c r="AA520" i="2" s="1"/>
  <c r="AM534" i="2"/>
  <c r="AK534" i="2"/>
  <c r="AK540" i="2" s="1"/>
  <c r="AG534" i="2"/>
  <c r="AG540" i="2" s="1"/>
  <c r="AD534" i="2"/>
  <c r="Z534" i="2"/>
  <c r="L534" i="2"/>
  <c r="AH530" i="2" s="1"/>
  <c r="K534" i="2"/>
  <c r="AG530" i="2" s="1"/>
  <c r="J534" i="2"/>
  <c r="I534" i="2"/>
  <c r="H534" i="2"/>
  <c r="AD530" i="2" s="1"/>
  <c r="G534" i="2"/>
  <c r="F534" i="2"/>
  <c r="N534" i="2" s="1"/>
  <c r="E534" i="2"/>
  <c r="L533" i="2"/>
  <c r="AH529" i="2" s="1"/>
  <c r="K533" i="2"/>
  <c r="J533" i="2"/>
  <c r="I533" i="2"/>
  <c r="H533" i="2"/>
  <c r="G533" i="2"/>
  <c r="F533" i="2"/>
  <c r="N533" i="2" s="1"/>
  <c r="E533" i="2"/>
  <c r="V532" i="2"/>
  <c r="S532" i="2"/>
  <c r="R532" i="2" s="1"/>
  <c r="L532" i="2"/>
  <c r="AH519" i="2" s="1"/>
  <c r="K532" i="2"/>
  <c r="AG519" i="2" s="1"/>
  <c r="J532" i="2"/>
  <c r="I532" i="2"/>
  <c r="M532" i="2" s="1"/>
  <c r="P532" i="2" s="1"/>
  <c r="H532" i="2"/>
  <c r="AD519" i="2" s="1"/>
  <c r="G532" i="2"/>
  <c r="F532" i="2"/>
  <c r="N532" i="2" s="1"/>
  <c r="AJ519" i="2" s="1"/>
  <c r="E532" i="2"/>
  <c r="K531" i="2"/>
  <c r="AG528" i="2" s="1"/>
  <c r="J531" i="2"/>
  <c r="H531" i="2"/>
  <c r="G531" i="2"/>
  <c r="I531" i="2" s="1"/>
  <c r="F531" i="2"/>
  <c r="E531" i="2"/>
  <c r="AM530" i="2"/>
  <c r="AK530" i="2"/>
  <c r="AF530" i="2"/>
  <c r="AC530" i="2"/>
  <c r="AB530" i="2"/>
  <c r="AJ530" i="2" s="1"/>
  <c r="AA530" i="2"/>
  <c r="Z530" i="2"/>
  <c r="K530" i="2"/>
  <c r="AG539" i="2" s="1"/>
  <c r="J530" i="2"/>
  <c r="L530" i="2" s="1"/>
  <c r="AH539" i="2" s="1"/>
  <c r="I530" i="2"/>
  <c r="H530" i="2"/>
  <c r="AD539" i="2" s="1"/>
  <c r="G530" i="2"/>
  <c r="F530" i="2"/>
  <c r="E530" i="2"/>
  <c r="AA539" i="2" s="1"/>
  <c r="AM529" i="2"/>
  <c r="AK529" i="2"/>
  <c r="AG529" i="2"/>
  <c r="AF529" i="2"/>
  <c r="AD529" i="2"/>
  <c r="AC529" i="2"/>
  <c r="AB529" i="2"/>
  <c r="AJ529" i="2" s="1"/>
  <c r="AA529" i="2"/>
  <c r="Z529" i="2"/>
  <c r="L529" i="2"/>
  <c r="AH538" i="2" s="1"/>
  <c r="K529" i="2"/>
  <c r="AG538" i="2" s="1"/>
  <c r="J529" i="2"/>
  <c r="I529" i="2"/>
  <c r="AE538" i="2" s="1"/>
  <c r="H529" i="2"/>
  <c r="AD538" i="2" s="1"/>
  <c r="G529" i="2"/>
  <c r="AC538" i="2" s="1"/>
  <c r="F529" i="2"/>
  <c r="N529" i="2" s="1"/>
  <c r="E529" i="2"/>
  <c r="AM528" i="2"/>
  <c r="AF528" i="2"/>
  <c r="AD528" i="2"/>
  <c r="AC528" i="2"/>
  <c r="AA528" i="2"/>
  <c r="Z528" i="2"/>
  <c r="U528" i="2"/>
  <c r="T528" i="2"/>
  <c r="AP537" i="2" s="1"/>
  <c r="N528" i="2"/>
  <c r="K528" i="2"/>
  <c r="AG537" i="2" s="1"/>
  <c r="J528" i="2"/>
  <c r="H528" i="2"/>
  <c r="G528" i="2"/>
  <c r="I528" i="2" s="1"/>
  <c r="F528" i="2"/>
  <c r="AB537" i="2" s="1"/>
  <c r="AJ537" i="2" s="1"/>
  <c r="E528" i="2"/>
  <c r="AP527" i="2"/>
  <c r="AM527" i="2"/>
  <c r="AK527" i="2"/>
  <c r="AD527" i="2"/>
  <c r="AA527" i="2"/>
  <c r="Z527" i="2"/>
  <c r="Z531" i="2" s="1"/>
  <c r="M527" i="2"/>
  <c r="K527" i="2"/>
  <c r="AG536" i="2" s="1"/>
  <c r="J527" i="2"/>
  <c r="L527" i="2" s="1"/>
  <c r="AH536" i="2" s="1"/>
  <c r="I527" i="2"/>
  <c r="H527" i="2"/>
  <c r="AD536" i="2" s="1"/>
  <c r="G527" i="2"/>
  <c r="AC536" i="2" s="1"/>
  <c r="F527" i="2"/>
  <c r="N527" i="2" s="1"/>
  <c r="E527" i="2"/>
  <c r="AA536" i="2" s="1"/>
  <c r="AM526" i="2"/>
  <c r="AK526" i="2"/>
  <c r="AG526" i="2"/>
  <c r="AF526" i="2"/>
  <c r="AC526" i="2"/>
  <c r="Z526" i="2"/>
  <c r="L526" i="2"/>
  <c r="K526" i="2"/>
  <c r="J526" i="2"/>
  <c r="H526" i="2"/>
  <c r="G526" i="2"/>
  <c r="F526" i="2"/>
  <c r="N526" i="2" s="1"/>
  <c r="E526" i="2"/>
  <c r="AM525" i="2"/>
  <c r="AK525" i="2"/>
  <c r="AK531" i="2" s="1"/>
  <c r="AJ525" i="2"/>
  <c r="AF525" i="2"/>
  <c r="AF531" i="2" s="1"/>
  <c r="AB525" i="2"/>
  <c r="AA525" i="2"/>
  <c r="Z525" i="2"/>
  <c r="U525" i="2"/>
  <c r="AQ517" i="2" s="1"/>
  <c r="K525" i="2"/>
  <c r="L525" i="2" s="1"/>
  <c r="AH517" i="2" s="1"/>
  <c r="J525" i="2"/>
  <c r="H525" i="2"/>
  <c r="G525" i="2"/>
  <c r="F525" i="2"/>
  <c r="T525" i="2" s="1"/>
  <c r="AP517" i="2" s="1"/>
  <c r="E525" i="2"/>
  <c r="K524" i="2"/>
  <c r="J524" i="2"/>
  <c r="H524" i="2"/>
  <c r="G524" i="2"/>
  <c r="F524" i="2"/>
  <c r="T524" i="2" s="1"/>
  <c r="E524" i="2"/>
  <c r="L523" i="2"/>
  <c r="AH527" i="2" s="1"/>
  <c r="K523" i="2"/>
  <c r="AG527" i="2" s="1"/>
  <c r="J523" i="2"/>
  <c r="AF527" i="2" s="1"/>
  <c r="H523" i="2"/>
  <c r="G523" i="2"/>
  <c r="F523" i="2"/>
  <c r="T523" i="2" s="1"/>
  <c r="U523" i="2" s="1"/>
  <c r="AQ527" i="2" s="1"/>
  <c r="E523" i="2"/>
  <c r="K522" i="2"/>
  <c r="AG535" i="2" s="1"/>
  <c r="J522" i="2"/>
  <c r="L522" i="2" s="1"/>
  <c r="I522" i="2"/>
  <c r="AE535" i="2" s="1"/>
  <c r="H522" i="2"/>
  <c r="G522" i="2"/>
  <c r="F522" i="2"/>
  <c r="E522" i="2"/>
  <c r="AA535" i="2" s="1"/>
  <c r="AM521" i="2"/>
  <c r="AK521" i="2"/>
  <c r="AK522" i="2" s="1"/>
  <c r="AG521" i="2"/>
  <c r="AD521" i="2"/>
  <c r="AC521" i="2"/>
  <c r="Z521" i="2"/>
  <c r="L521" i="2"/>
  <c r="AH526" i="2" s="1"/>
  <c r="K521" i="2"/>
  <c r="J521" i="2"/>
  <c r="I521" i="2"/>
  <c r="H521" i="2"/>
  <c r="AD526" i="2" s="1"/>
  <c r="G521" i="2"/>
  <c r="F521" i="2"/>
  <c r="AB526" i="2" s="1"/>
  <c r="AJ526" i="2" s="1"/>
  <c r="E521" i="2"/>
  <c r="AA526" i="2" s="1"/>
  <c r="AA531" i="2" s="1"/>
  <c r="AM520" i="2"/>
  <c r="AK520" i="2"/>
  <c r="AG520" i="2"/>
  <c r="AF520" i="2"/>
  <c r="AC520" i="2"/>
  <c r="Z520" i="2"/>
  <c r="L520" i="2"/>
  <c r="AH525" i="2" s="1"/>
  <c r="K520" i="2"/>
  <c r="AG525" i="2" s="1"/>
  <c r="AG531" i="2" s="1"/>
  <c r="J520" i="2"/>
  <c r="H520" i="2"/>
  <c r="AD525" i="2" s="1"/>
  <c r="G520" i="2"/>
  <c r="F520" i="2"/>
  <c r="T520" i="2" s="1"/>
  <c r="E520" i="2"/>
  <c r="AM519" i="2"/>
  <c r="AK519" i="2"/>
  <c r="AF519" i="2"/>
  <c r="AE519" i="2"/>
  <c r="AC519" i="2"/>
  <c r="AB519" i="2"/>
  <c r="AA519" i="2"/>
  <c r="Z519" i="2"/>
  <c r="T519" i="2"/>
  <c r="N519" i="2"/>
  <c r="K519" i="2"/>
  <c r="J519" i="2"/>
  <c r="H519" i="2"/>
  <c r="G519" i="2"/>
  <c r="I519" i="2" s="1"/>
  <c r="F519" i="2"/>
  <c r="AB534" i="2" s="1"/>
  <c r="E519" i="2"/>
  <c r="AM518" i="2"/>
  <c r="AK518" i="2"/>
  <c r="AH518" i="2"/>
  <c r="AG518" i="2"/>
  <c r="AF518" i="2"/>
  <c r="AC518" i="2"/>
  <c r="AB518" i="2"/>
  <c r="AJ518" i="2" s="1"/>
  <c r="AA518" i="2"/>
  <c r="Z518" i="2"/>
  <c r="Z522" i="2" s="1"/>
  <c r="AM517" i="2"/>
  <c r="AJ517" i="2"/>
  <c r="AG517" i="2"/>
  <c r="AF517" i="2"/>
  <c r="AD517" i="2"/>
  <c r="AB517" i="2"/>
  <c r="AA517" i="2"/>
  <c r="Z517" i="2"/>
  <c r="AM516" i="2"/>
  <c r="AK516" i="2"/>
  <c r="AF516" i="2"/>
  <c r="AD516" i="2"/>
  <c r="AB516" i="2"/>
  <c r="AA516" i="2"/>
  <c r="AA522" i="2" s="1"/>
  <c r="Z516" i="2"/>
  <c r="AM512" i="2"/>
  <c r="AK512" i="2"/>
  <c r="AJ512" i="2"/>
  <c r="AG512" i="2"/>
  <c r="AB512" i="2"/>
  <c r="AA512" i="2"/>
  <c r="Z512" i="2"/>
  <c r="AM511" i="2"/>
  <c r="AK511" i="2"/>
  <c r="AB511" i="2"/>
  <c r="AJ511" i="2" s="1"/>
  <c r="AA511" i="2"/>
  <c r="Z511" i="2"/>
  <c r="AM510" i="2"/>
  <c r="AK510" i="2"/>
  <c r="AG510" i="2"/>
  <c r="AD510" i="2"/>
  <c r="Z510" i="2"/>
  <c r="O510" i="2"/>
  <c r="D510" i="2"/>
  <c r="AM509" i="2"/>
  <c r="AK509" i="2"/>
  <c r="AE509" i="2"/>
  <c r="AD509" i="2"/>
  <c r="AB509" i="2"/>
  <c r="AJ509" i="2" s="1"/>
  <c r="Z509" i="2"/>
  <c r="K509" i="2"/>
  <c r="J509" i="2"/>
  <c r="H509" i="2"/>
  <c r="G509" i="2"/>
  <c r="I509" i="2" s="1"/>
  <c r="F509" i="2"/>
  <c r="E509" i="2"/>
  <c r="AM508" i="2"/>
  <c r="AK508" i="2"/>
  <c r="AG508" i="2"/>
  <c r="AD508" i="2"/>
  <c r="Z508" i="2"/>
  <c r="T508" i="2"/>
  <c r="L508" i="2"/>
  <c r="AH493" i="2" s="1"/>
  <c r="K508" i="2"/>
  <c r="J508" i="2"/>
  <c r="AF493" i="2" s="1"/>
  <c r="I508" i="2"/>
  <c r="H508" i="2"/>
  <c r="G508" i="2"/>
  <c r="F508" i="2"/>
  <c r="N508" i="2" s="1"/>
  <c r="E508" i="2"/>
  <c r="AA493" i="2" s="1"/>
  <c r="AM507" i="2"/>
  <c r="AK507" i="2"/>
  <c r="AK513" i="2" s="1"/>
  <c r="AC507" i="2"/>
  <c r="Z507" i="2"/>
  <c r="L507" i="2"/>
  <c r="K507" i="2"/>
  <c r="J507" i="2"/>
  <c r="H507" i="2"/>
  <c r="G507" i="2"/>
  <c r="F507" i="2"/>
  <c r="T507" i="2" s="1"/>
  <c r="U507" i="2" s="1"/>
  <c r="AQ503" i="2" s="1"/>
  <c r="E507" i="2"/>
  <c r="AA503" i="2" s="1"/>
  <c r="L506" i="2"/>
  <c r="K506" i="2"/>
  <c r="J506" i="2"/>
  <c r="H506" i="2"/>
  <c r="AD502" i="2" s="1"/>
  <c r="G506" i="2"/>
  <c r="I506" i="2" s="1"/>
  <c r="AE502" i="2" s="1"/>
  <c r="F506" i="2"/>
  <c r="T506" i="2" s="1"/>
  <c r="E506" i="2"/>
  <c r="AA502" i="2" s="1"/>
  <c r="L505" i="2"/>
  <c r="K505" i="2"/>
  <c r="J505" i="2"/>
  <c r="H505" i="2"/>
  <c r="AD492" i="2" s="1"/>
  <c r="G505" i="2"/>
  <c r="F505" i="2"/>
  <c r="T505" i="2" s="1"/>
  <c r="E505" i="2"/>
  <c r="N504" i="2"/>
  <c r="K504" i="2"/>
  <c r="J504" i="2"/>
  <c r="I504" i="2"/>
  <c r="H504" i="2"/>
  <c r="G504" i="2"/>
  <c r="AC501" i="2" s="1"/>
  <c r="F504" i="2"/>
  <c r="T504" i="2" s="1"/>
  <c r="E504" i="2"/>
  <c r="AP503" i="2"/>
  <c r="AM503" i="2"/>
  <c r="AK503" i="2"/>
  <c r="AH503" i="2"/>
  <c r="AG503" i="2"/>
  <c r="AF503" i="2"/>
  <c r="AD503" i="2"/>
  <c r="AB503" i="2"/>
  <c r="AJ503" i="2" s="1"/>
  <c r="Z503" i="2"/>
  <c r="T503" i="2"/>
  <c r="L503" i="2"/>
  <c r="AH512" i="2" s="1"/>
  <c r="K503" i="2"/>
  <c r="J503" i="2"/>
  <c r="AF512" i="2" s="1"/>
  <c r="I503" i="2"/>
  <c r="H503" i="2"/>
  <c r="AD512" i="2" s="1"/>
  <c r="G503" i="2"/>
  <c r="AC512" i="2" s="1"/>
  <c r="F503" i="2"/>
  <c r="N503" i="2" s="1"/>
  <c r="E503" i="2"/>
  <c r="AP502" i="2"/>
  <c r="AM502" i="2"/>
  <c r="AK502" i="2"/>
  <c r="AH502" i="2"/>
  <c r="AG502" i="2"/>
  <c r="AF502" i="2"/>
  <c r="AC502" i="2"/>
  <c r="AB502" i="2"/>
  <c r="AJ502" i="2" s="1"/>
  <c r="Z502" i="2"/>
  <c r="T502" i="2"/>
  <c r="AP511" i="2" s="1"/>
  <c r="L502" i="2"/>
  <c r="AH511" i="2" s="1"/>
  <c r="K502" i="2"/>
  <c r="AG511" i="2" s="1"/>
  <c r="J502" i="2"/>
  <c r="AF511" i="2" s="1"/>
  <c r="H502" i="2"/>
  <c r="AD511" i="2" s="1"/>
  <c r="G502" i="2"/>
  <c r="F502" i="2"/>
  <c r="N502" i="2" s="1"/>
  <c r="E502" i="2"/>
  <c r="AM501" i="2"/>
  <c r="AJ501" i="2"/>
  <c r="AG501" i="2"/>
  <c r="AD501" i="2"/>
  <c r="AB501" i="2"/>
  <c r="AA501" i="2"/>
  <c r="Z501" i="2"/>
  <c r="T501" i="2"/>
  <c r="K501" i="2"/>
  <c r="J501" i="2"/>
  <c r="H501" i="2"/>
  <c r="G501" i="2"/>
  <c r="F501" i="2"/>
  <c r="E501" i="2"/>
  <c r="AA510" i="2" s="1"/>
  <c r="AM500" i="2"/>
  <c r="AK500" i="2"/>
  <c r="AG500" i="2"/>
  <c r="Z500" i="2"/>
  <c r="T500" i="2"/>
  <c r="L500" i="2"/>
  <c r="AH509" i="2" s="1"/>
  <c r="K500" i="2"/>
  <c r="AG509" i="2" s="1"/>
  <c r="J500" i="2"/>
  <c r="AF509" i="2" s="1"/>
  <c r="I500" i="2"/>
  <c r="H500" i="2"/>
  <c r="G500" i="2"/>
  <c r="AC509" i="2" s="1"/>
  <c r="F500" i="2"/>
  <c r="E500" i="2"/>
  <c r="AA509" i="2" s="1"/>
  <c r="AM499" i="2"/>
  <c r="AK499" i="2"/>
  <c r="AG499" i="2"/>
  <c r="AC499" i="2"/>
  <c r="AB499" i="2"/>
  <c r="Z499" i="2"/>
  <c r="L499" i="2"/>
  <c r="AH491" i="2" s="1"/>
  <c r="K499" i="2"/>
  <c r="J499" i="2"/>
  <c r="H499" i="2"/>
  <c r="G499" i="2"/>
  <c r="F499" i="2"/>
  <c r="T499" i="2" s="1"/>
  <c r="E499" i="2"/>
  <c r="AM498" i="2"/>
  <c r="AK498" i="2"/>
  <c r="AB498" i="2"/>
  <c r="Z498" i="2"/>
  <c r="Z504" i="2" s="1"/>
  <c r="U498" i="2"/>
  <c r="AQ490" i="2" s="1"/>
  <c r="T498" i="2"/>
  <c r="K498" i="2"/>
  <c r="AG490" i="2" s="1"/>
  <c r="J498" i="2"/>
  <c r="H498" i="2"/>
  <c r="AD490" i="2" s="1"/>
  <c r="G498" i="2"/>
  <c r="F498" i="2"/>
  <c r="N498" i="2" s="1"/>
  <c r="E498" i="2"/>
  <c r="U497" i="2"/>
  <c r="T497" i="2"/>
  <c r="K497" i="2"/>
  <c r="AG489" i="2" s="1"/>
  <c r="AG495" i="2" s="1"/>
  <c r="J497" i="2"/>
  <c r="H497" i="2"/>
  <c r="G497" i="2"/>
  <c r="F497" i="2"/>
  <c r="N497" i="2" s="1"/>
  <c r="E497" i="2"/>
  <c r="U496" i="2"/>
  <c r="AQ500" i="2" s="1"/>
  <c r="T496" i="2"/>
  <c r="AP500" i="2" s="1"/>
  <c r="K496" i="2"/>
  <c r="K510" i="2" s="1"/>
  <c r="J496" i="2"/>
  <c r="H496" i="2"/>
  <c r="AD500" i="2" s="1"/>
  <c r="G496" i="2"/>
  <c r="F496" i="2"/>
  <c r="N496" i="2" s="1"/>
  <c r="E496" i="2"/>
  <c r="AA500" i="2" s="1"/>
  <c r="T495" i="2"/>
  <c r="K495" i="2"/>
  <c r="J495" i="2"/>
  <c r="AF508" i="2" s="1"/>
  <c r="I495" i="2"/>
  <c r="AE508" i="2" s="1"/>
  <c r="H495" i="2"/>
  <c r="G495" i="2"/>
  <c r="AC508" i="2" s="1"/>
  <c r="F495" i="2"/>
  <c r="AB508" i="2" s="1"/>
  <c r="E495" i="2"/>
  <c r="AA508" i="2" s="1"/>
  <c r="AM494" i="2"/>
  <c r="AK494" i="2"/>
  <c r="AG494" i="2"/>
  <c r="AD494" i="2"/>
  <c r="AC494" i="2"/>
  <c r="AA494" i="2"/>
  <c r="Z494" i="2"/>
  <c r="L494" i="2"/>
  <c r="AH499" i="2" s="1"/>
  <c r="K494" i="2"/>
  <c r="J494" i="2"/>
  <c r="AF499" i="2" s="1"/>
  <c r="H494" i="2"/>
  <c r="AD499" i="2" s="1"/>
  <c r="G494" i="2"/>
  <c r="F494" i="2"/>
  <c r="T494" i="2" s="1"/>
  <c r="E494" i="2"/>
  <c r="AA499" i="2" s="1"/>
  <c r="AJ499" i="2" s="1"/>
  <c r="AM493" i="2"/>
  <c r="AK493" i="2"/>
  <c r="AJ493" i="2"/>
  <c r="AG493" i="2"/>
  <c r="AD493" i="2"/>
  <c r="AC493" i="2"/>
  <c r="AB493" i="2"/>
  <c r="Z493" i="2"/>
  <c r="T493" i="2"/>
  <c r="AP498" i="2" s="1"/>
  <c r="K493" i="2"/>
  <c r="AG498" i="2" s="1"/>
  <c r="J493" i="2"/>
  <c r="H493" i="2"/>
  <c r="AD498" i="2" s="1"/>
  <c r="G493" i="2"/>
  <c r="F493" i="2"/>
  <c r="N493" i="2" s="1"/>
  <c r="E493" i="2"/>
  <c r="AA498" i="2" s="1"/>
  <c r="AJ498" i="2" s="1"/>
  <c r="AP492" i="2"/>
  <c r="AM492" i="2"/>
  <c r="AK492" i="2"/>
  <c r="AH492" i="2"/>
  <c r="AG492" i="2"/>
  <c r="AF492" i="2"/>
  <c r="AB492" i="2"/>
  <c r="AA492" i="2"/>
  <c r="Z492" i="2"/>
  <c r="K492" i="2"/>
  <c r="AG507" i="2" s="1"/>
  <c r="J492" i="2"/>
  <c r="H492" i="2"/>
  <c r="G492" i="2"/>
  <c r="F492" i="2"/>
  <c r="E492" i="2"/>
  <c r="AM491" i="2"/>
  <c r="AK491" i="2"/>
  <c r="AG491" i="2"/>
  <c r="AF491" i="2"/>
  <c r="AD491" i="2"/>
  <c r="AC491" i="2"/>
  <c r="AB491" i="2"/>
  <c r="AJ491" i="2" s="1"/>
  <c r="AA491" i="2"/>
  <c r="Z491" i="2"/>
  <c r="AP490" i="2"/>
  <c r="AM490" i="2"/>
  <c r="AF490" i="2"/>
  <c r="AB490" i="2"/>
  <c r="AJ490" i="2" s="1"/>
  <c r="AA490" i="2"/>
  <c r="Z490" i="2"/>
  <c r="AQ489" i="2"/>
  <c r="AP489" i="2"/>
  <c r="AM489" i="2"/>
  <c r="AK489" i="2"/>
  <c r="AD489" i="2"/>
  <c r="AD495" i="2" s="1"/>
  <c r="AC489" i="2"/>
  <c r="AB489" i="2"/>
  <c r="AA489" i="2"/>
  <c r="Z489" i="2"/>
  <c r="AK486" i="2"/>
  <c r="AM485" i="2"/>
  <c r="AK485" i="2"/>
  <c r="AF485" i="2"/>
  <c r="AE485" i="2"/>
  <c r="AC485" i="2"/>
  <c r="AA485" i="2"/>
  <c r="Z485" i="2"/>
  <c r="AM484" i="2"/>
  <c r="AK484" i="2"/>
  <c r="AF484" i="2"/>
  <c r="AD484" i="2"/>
  <c r="AA484" i="2"/>
  <c r="Z484" i="2"/>
  <c r="AM483" i="2"/>
  <c r="AK483" i="2"/>
  <c r="AG483" i="2"/>
  <c r="AF483" i="2"/>
  <c r="AD483" i="2"/>
  <c r="AC483" i="2"/>
  <c r="Z483" i="2"/>
  <c r="O483" i="2"/>
  <c r="E483" i="2"/>
  <c r="D483" i="2"/>
  <c r="AM482" i="2"/>
  <c r="AK482" i="2"/>
  <c r="AH482" i="2"/>
  <c r="AC482" i="2"/>
  <c r="AA482" i="2"/>
  <c r="Z482" i="2"/>
  <c r="K482" i="2"/>
  <c r="L482" i="2" s="1"/>
  <c r="AH467" i="2" s="1"/>
  <c r="J482" i="2"/>
  <c r="I482" i="2"/>
  <c r="AE467" i="2" s="1"/>
  <c r="H482" i="2"/>
  <c r="G482" i="2"/>
  <c r="AC467" i="2" s="1"/>
  <c r="F482" i="2"/>
  <c r="T482" i="2" s="1"/>
  <c r="E482" i="2"/>
  <c r="AA467" i="2" s="1"/>
  <c r="AM481" i="2"/>
  <c r="AK481" i="2"/>
  <c r="AG481" i="2"/>
  <c r="AC481" i="2"/>
  <c r="AA481" i="2"/>
  <c r="Z481" i="2"/>
  <c r="V481" i="2"/>
  <c r="S481" i="2"/>
  <c r="R481" i="2" s="1"/>
  <c r="L481" i="2"/>
  <c r="AH466" i="2" s="1"/>
  <c r="K481" i="2"/>
  <c r="J481" i="2"/>
  <c r="AF466" i="2" s="1"/>
  <c r="I481" i="2"/>
  <c r="M481" i="2" s="1"/>
  <c r="P481" i="2" s="1"/>
  <c r="H481" i="2"/>
  <c r="AD466" i="2" s="1"/>
  <c r="G481" i="2"/>
  <c r="F481" i="2"/>
  <c r="N481" i="2" s="1"/>
  <c r="E481" i="2"/>
  <c r="AM480" i="2"/>
  <c r="AK480" i="2"/>
  <c r="AJ480" i="2"/>
  <c r="AG480" i="2"/>
  <c r="AG486" i="2" s="1"/>
  <c r="AD480" i="2"/>
  <c r="AB480" i="2"/>
  <c r="Z480" i="2"/>
  <c r="Z486" i="2" s="1"/>
  <c r="L480" i="2"/>
  <c r="AH476" i="2" s="1"/>
  <c r="K480" i="2"/>
  <c r="J480" i="2"/>
  <c r="H480" i="2"/>
  <c r="G480" i="2"/>
  <c r="I480" i="2" s="1"/>
  <c r="F480" i="2"/>
  <c r="T480" i="2" s="1"/>
  <c r="AP476" i="2" s="1"/>
  <c r="E480" i="2"/>
  <c r="L479" i="2"/>
  <c r="AH475" i="2" s="1"/>
  <c r="K479" i="2"/>
  <c r="J479" i="2"/>
  <c r="H479" i="2"/>
  <c r="G479" i="2"/>
  <c r="F479" i="2"/>
  <c r="T479" i="2" s="1"/>
  <c r="AP475" i="2" s="1"/>
  <c r="E479" i="2"/>
  <c r="U478" i="2"/>
  <c r="AQ465" i="2" s="1"/>
  <c r="L478" i="2"/>
  <c r="AH465" i="2" s="1"/>
  <c r="K478" i="2"/>
  <c r="AG465" i="2" s="1"/>
  <c r="J478" i="2"/>
  <c r="H478" i="2"/>
  <c r="G478" i="2"/>
  <c r="F478" i="2"/>
  <c r="T478" i="2" s="1"/>
  <c r="E478" i="2"/>
  <c r="AA465" i="2" s="1"/>
  <c r="AD477" i="2"/>
  <c r="Z477" i="2"/>
  <c r="K477" i="2"/>
  <c r="AG474" i="2" s="1"/>
  <c r="J477" i="2"/>
  <c r="L477" i="2" s="1"/>
  <c r="AH474" i="2" s="1"/>
  <c r="I477" i="2"/>
  <c r="AE474" i="2" s="1"/>
  <c r="H477" i="2"/>
  <c r="G477" i="2"/>
  <c r="F477" i="2"/>
  <c r="E477" i="2"/>
  <c r="N477" i="2" s="1"/>
  <c r="AM476" i="2"/>
  <c r="AK476" i="2"/>
  <c r="AG476" i="2"/>
  <c r="AF476" i="2"/>
  <c r="AD476" i="2"/>
  <c r="AC476" i="2"/>
  <c r="AA476" i="2"/>
  <c r="Z476" i="2"/>
  <c r="V476" i="2"/>
  <c r="S476" i="2"/>
  <c r="R476" i="2" s="1"/>
  <c r="L476" i="2"/>
  <c r="AH485" i="2" s="1"/>
  <c r="K476" i="2"/>
  <c r="AG485" i="2" s="1"/>
  <c r="J476" i="2"/>
  <c r="I476" i="2"/>
  <c r="M476" i="2" s="1"/>
  <c r="P476" i="2" s="1"/>
  <c r="H476" i="2"/>
  <c r="AD485" i="2" s="1"/>
  <c r="G476" i="2"/>
  <c r="F476" i="2"/>
  <c r="N476" i="2" s="1"/>
  <c r="E476" i="2"/>
  <c r="AM475" i="2"/>
  <c r="AK475" i="2"/>
  <c r="AJ475" i="2"/>
  <c r="AG475" i="2"/>
  <c r="AF475" i="2"/>
  <c r="AD475" i="2"/>
  <c r="AB475" i="2"/>
  <c r="AA475" i="2"/>
  <c r="Z475" i="2"/>
  <c r="U475" i="2"/>
  <c r="AQ484" i="2" s="1"/>
  <c r="K475" i="2"/>
  <c r="AG484" i="2" s="1"/>
  <c r="J475" i="2"/>
  <c r="H475" i="2"/>
  <c r="G475" i="2"/>
  <c r="F475" i="2"/>
  <c r="T475" i="2" s="1"/>
  <c r="AP484" i="2" s="1"/>
  <c r="E475" i="2"/>
  <c r="AM474" i="2"/>
  <c r="AF474" i="2"/>
  <c r="AD474" i="2"/>
  <c r="AC474" i="2"/>
  <c r="Z474" i="2"/>
  <c r="K474" i="2"/>
  <c r="J474" i="2"/>
  <c r="L474" i="2" s="1"/>
  <c r="AH483" i="2" s="1"/>
  <c r="I474" i="2"/>
  <c r="AE483" i="2" s="1"/>
  <c r="H474" i="2"/>
  <c r="G474" i="2"/>
  <c r="F474" i="2"/>
  <c r="N474" i="2" s="1"/>
  <c r="E474" i="2"/>
  <c r="AA483" i="2" s="1"/>
  <c r="AM473" i="2"/>
  <c r="AK473" i="2"/>
  <c r="AG473" i="2"/>
  <c r="AD473" i="2"/>
  <c r="AA473" i="2"/>
  <c r="Z473" i="2"/>
  <c r="L473" i="2"/>
  <c r="K473" i="2"/>
  <c r="AG482" i="2" s="1"/>
  <c r="J473" i="2"/>
  <c r="AF482" i="2" s="1"/>
  <c r="H473" i="2"/>
  <c r="I473" i="2" s="1"/>
  <c r="G473" i="2"/>
  <c r="F473" i="2"/>
  <c r="N473" i="2" s="1"/>
  <c r="E473" i="2"/>
  <c r="AM472" i="2"/>
  <c r="AK472" i="2"/>
  <c r="AJ472" i="2"/>
  <c r="AF472" i="2"/>
  <c r="AD472" i="2"/>
  <c r="AB472" i="2"/>
  <c r="Z472" i="2"/>
  <c r="U472" i="2"/>
  <c r="AQ464" i="2" s="1"/>
  <c r="K472" i="2"/>
  <c r="L472" i="2" s="1"/>
  <c r="AH464" i="2" s="1"/>
  <c r="J472" i="2"/>
  <c r="H472" i="2"/>
  <c r="G472" i="2"/>
  <c r="I472" i="2" s="1"/>
  <c r="F472" i="2"/>
  <c r="T472" i="2" s="1"/>
  <c r="E472" i="2"/>
  <c r="AM471" i="2"/>
  <c r="AK471" i="2"/>
  <c r="AG471" i="2"/>
  <c r="AA471" i="2"/>
  <c r="Z471" i="2"/>
  <c r="K471" i="2"/>
  <c r="J471" i="2"/>
  <c r="H471" i="2"/>
  <c r="G471" i="2"/>
  <c r="F471" i="2"/>
  <c r="N471" i="2" s="1"/>
  <c r="E471" i="2"/>
  <c r="K470" i="2"/>
  <c r="J470" i="2"/>
  <c r="H470" i="2"/>
  <c r="G470" i="2"/>
  <c r="F470" i="2"/>
  <c r="AB462" i="2" s="1"/>
  <c r="E470" i="2"/>
  <c r="T469" i="2"/>
  <c r="N469" i="2"/>
  <c r="K469" i="2"/>
  <c r="J469" i="2"/>
  <c r="H469" i="2"/>
  <c r="G469" i="2"/>
  <c r="I469" i="2" s="1"/>
  <c r="F469" i="2"/>
  <c r="AB473" i="2" s="1"/>
  <c r="AJ473" i="2" s="1"/>
  <c r="E469" i="2"/>
  <c r="AK468" i="2"/>
  <c r="AD468" i="2"/>
  <c r="T468" i="2"/>
  <c r="AP481" i="2" s="1"/>
  <c r="L468" i="2"/>
  <c r="AH481" i="2" s="1"/>
  <c r="K468" i="2"/>
  <c r="J468" i="2"/>
  <c r="AF481" i="2" s="1"/>
  <c r="I468" i="2"/>
  <c r="H468" i="2"/>
  <c r="AD481" i="2" s="1"/>
  <c r="G468" i="2"/>
  <c r="F468" i="2"/>
  <c r="AB481" i="2" s="1"/>
  <c r="AJ481" i="2" s="1"/>
  <c r="E468" i="2"/>
  <c r="AM467" i="2"/>
  <c r="AK467" i="2"/>
  <c r="AG467" i="2"/>
  <c r="AF467" i="2"/>
  <c r="AD467" i="2"/>
  <c r="Z467" i="2"/>
  <c r="K467" i="2"/>
  <c r="L467" i="2" s="1"/>
  <c r="AH472" i="2" s="1"/>
  <c r="J467" i="2"/>
  <c r="H467" i="2"/>
  <c r="G467" i="2"/>
  <c r="F467" i="2"/>
  <c r="T467" i="2" s="1"/>
  <c r="AP472" i="2" s="1"/>
  <c r="E467" i="2"/>
  <c r="AA472" i="2" s="1"/>
  <c r="AM466" i="2"/>
  <c r="AK466" i="2"/>
  <c r="AI466" i="2"/>
  <c r="AG466" i="2"/>
  <c r="AE466" i="2"/>
  <c r="AC466" i="2"/>
  <c r="AB466" i="2"/>
  <c r="AJ466" i="2" s="1"/>
  <c r="AA466" i="2"/>
  <c r="Z466" i="2"/>
  <c r="N466" i="2"/>
  <c r="K466" i="2"/>
  <c r="J466" i="2"/>
  <c r="H466" i="2"/>
  <c r="AD471" i="2" s="1"/>
  <c r="G466" i="2"/>
  <c r="F466" i="2"/>
  <c r="AB471" i="2" s="1"/>
  <c r="E466" i="2"/>
  <c r="AP465" i="2"/>
  <c r="AM465" i="2"/>
  <c r="AK465" i="2"/>
  <c r="AF465" i="2"/>
  <c r="AD465" i="2"/>
  <c r="AB465" i="2"/>
  <c r="Z465" i="2"/>
  <c r="T465" i="2"/>
  <c r="K465" i="2"/>
  <c r="J465" i="2"/>
  <c r="L465" i="2" s="1"/>
  <c r="I465" i="2"/>
  <c r="AE480" i="2" s="1"/>
  <c r="H465" i="2"/>
  <c r="H483" i="2" s="1"/>
  <c r="G465" i="2"/>
  <c r="F465" i="2"/>
  <c r="E465" i="2"/>
  <c r="AA480" i="2" s="1"/>
  <c r="AA486" i="2" s="1"/>
  <c r="AP464" i="2"/>
  <c r="AM464" i="2"/>
  <c r="AK464" i="2"/>
  <c r="AF464" i="2"/>
  <c r="AD464" i="2"/>
  <c r="AC464" i="2"/>
  <c r="AB464" i="2"/>
  <c r="AJ464" i="2" s="1"/>
  <c r="AA464" i="2"/>
  <c r="Z464" i="2"/>
  <c r="AM463" i="2"/>
  <c r="AG463" i="2"/>
  <c r="AD463" i="2"/>
  <c r="AB463" i="2"/>
  <c r="AJ463" i="2" s="1"/>
  <c r="AA463" i="2"/>
  <c r="AA468" i="2" s="1"/>
  <c r="Z463" i="2"/>
  <c r="AM462" i="2"/>
  <c r="AK462" i="2"/>
  <c r="AG462" i="2"/>
  <c r="AD462" i="2"/>
  <c r="AA462" i="2"/>
  <c r="Z462" i="2"/>
  <c r="AM458" i="2"/>
  <c r="AK458" i="2"/>
  <c r="AG458" i="2"/>
  <c r="AB458" i="2"/>
  <c r="Z458" i="2"/>
  <c r="AP457" i="2"/>
  <c r="AM457" i="2"/>
  <c r="AK457" i="2"/>
  <c r="AB457" i="2"/>
  <c r="Z457" i="2"/>
  <c r="AM456" i="2"/>
  <c r="AK456" i="2"/>
  <c r="AG456" i="2"/>
  <c r="AC456" i="2"/>
  <c r="AB456" i="2"/>
  <c r="Z456" i="2"/>
  <c r="O456" i="2"/>
  <c r="D456" i="2"/>
  <c r="AM455" i="2"/>
  <c r="AK455" i="2"/>
  <c r="AH455" i="2"/>
  <c r="AG455" i="2"/>
  <c r="AD455" i="2"/>
  <c r="Z455" i="2"/>
  <c r="T455" i="2"/>
  <c r="K455" i="2"/>
  <c r="AG440" i="2" s="1"/>
  <c r="J455" i="2"/>
  <c r="L455" i="2" s="1"/>
  <c r="AH440" i="2" s="1"/>
  <c r="I455" i="2"/>
  <c r="AE440" i="2" s="1"/>
  <c r="H455" i="2"/>
  <c r="G455" i="2"/>
  <c r="F455" i="2"/>
  <c r="E455" i="2"/>
  <c r="AA440" i="2" s="1"/>
  <c r="AP454" i="2"/>
  <c r="AM454" i="2"/>
  <c r="AK454" i="2"/>
  <c r="AH454" i="2"/>
  <c r="AG454" i="2"/>
  <c r="AC454" i="2"/>
  <c r="Z454" i="2"/>
  <c r="M454" i="2"/>
  <c r="L454" i="2"/>
  <c r="AH439" i="2" s="1"/>
  <c r="K454" i="2"/>
  <c r="J454" i="2"/>
  <c r="H454" i="2"/>
  <c r="AD439" i="2" s="1"/>
  <c r="G454" i="2"/>
  <c r="I454" i="2" s="1"/>
  <c r="F454" i="2"/>
  <c r="T454" i="2" s="1"/>
  <c r="E454" i="2"/>
  <c r="AA439" i="2" s="1"/>
  <c r="AM453" i="2"/>
  <c r="AK453" i="2"/>
  <c r="AK459" i="2" s="1"/>
  <c r="AF453" i="2"/>
  <c r="AC453" i="2"/>
  <c r="Z453" i="2"/>
  <c r="U453" i="2"/>
  <c r="AQ449" i="2" s="1"/>
  <c r="T453" i="2"/>
  <c r="K453" i="2"/>
  <c r="J453" i="2"/>
  <c r="AF449" i="2" s="1"/>
  <c r="H453" i="2"/>
  <c r="AD449" i="2" s="1"/>
  <c r="G453" i="2"/>
  <c r="F453" i="2"/>
  <c r="N453" i="2" s="1"/>
  <c r="E453" i="2"/>
  <c r="U452" i="2"/>
  <c r="AQ448" i="2" s="1"/>
  <c r="T452" i="2"/>
  <c r="K452" i="2"/>
  <c r="AG448" i="2" s="1"/>
  <c r="J452" i="2"/>
  <c r="H452" i="2"/>
  <c r="AD448" i="2" s="1"/>
  <c r="G452" i="2"/>
  <c r="I452" i="2" s="1"/>
  <c r="F452" i="2"/>
  <c r="N452" i="2" s="1"/>
  <c r="E452" i="2"/>
  <c r="AA448" i="2" s="1"/>
  <c r="U451" i="2"/>
  <c r="T451" i="2"/>
  <c r="K451" i="2"/>
  <c r="AG438" i="2" s="1"/>
  <c r="J451" i="2"/>
  <c r="L451" i="2" s="1"/>
  <c r="AH438" i="2" s="1"/>
  <c r="H451" i="2"/>
  <c r="G451" i="2"/>
  <c r="F451" i="2"/>
  <c r="N451" i="2" s="1"/>
  <c r="AJ438" i="2" s="1"/>
  <c r="E451" i="2"/>
  <c r="T450" i="2"/>
  <c r="K450" i="2"/>
  <c r="J450" i="2"/>
  <c r="I450" i="2"/>
  <c r="AE447" i="2" s="1"/>
  <c r="H450" i="2"/>
  <c r="G450" i="2"/>
  <c r="AC447" i="2" s="1"/>
  <c r="F450" i="2"/>
  <c r="E450" i="2"/>
  <c r="AA447" i="2" s="1"/>
  <c r="AP449" i="2"/>
  <c r="AM449" i="2"/>
  <c r="AK449" i="2"/>
  <c r="AG449" i="2"/>
  <c r="AC449" i="2"/>
  <c r="AB449" i="2"/>
  <c r="AJ449" i="2" s="1"/>
  <c r="AA449" i="2"/>
  <c r="Z449" i="2"/>
  <c r="L449" i="2"/>
  <c r="AH458" i="2" s="1"/>
  <c r="K449" i="2"/>
  <c r="J449" i="2"/>
  <c r="AF458" i="2" s="1"/>
  <c r="H449" i="2"/>
  <c r="AD458" i="2" s="1"/>
  <c r="G449" i="2"/>
  <c r="I449" i="2" s="1"/>
  <c r="AE458" i="2" s="1"/>
  <c r="F449" i="2"/>
  <c r="T449" i="2" s="1"/>
  <c r="E449" i="2"/>
  <c r="AA458" i="2" s="1"/>
  <c r="AP448" i="2"/>
  <c r="AM448" i="2"/>
  <c r="AK448" i="2"/>
  <c r="AJ448" i="2"/>
  <c r="AF448" i="2"/>
  <c r="AB448" i="2"/>
  <c r="Z448" i="2"/>
  <c r="U448" i="2"/>
  <c r="AQ457" i="2" s="1"/>
  <c r="T448" i="2"/>
  <c r="K448" i="2"/>
  <c r="AG457" i="2" s="1"/>
  <c r="J448" i="2"/>
  <c r="H448" i="2"/>
  <c r="AD457" i="2" s="1"/>
  <c r="G448" i="2"/>
  <c r="F448" i="2"/>
  <c r="N448" i="2" s="1"/>
  <c r="E448" i="2"/>
  <c r="AA457" i="2" s="1"/>
  <c r="AM447" i="2"/>
  <c r="AG447" i="2"/>
  <c r="AD447" i="2"/>
  <c r="AB447" i="2"/>
  <c r="AJ447" i="2" s="1"/>
  <c r="Z447" i="2"/>
  <c r="T447" i="2"/>
  <c r="K447" i="2"/>
  <c r="J447" i="2"/>
  <c r="I447" i="2"/>
  <c r="AE456" i="2" s="1"/>
  <c r="H447" i="2"/>
  <c r="AD456" i="2" s="1"/>
  <c r="G447" i="2"/>
  <c r="F447" i="2"/>
  <c r="E447" i="2"/>
  <c r="AA456" i="2" s="1"/>
  <c r="AM446" i="2"/>
  <c r="AK446" i="2"/>
  <c r="AC446" i="2"/>
  <c r="Z446" i="2"/>
  <c r="Z450" i="2" s="1"/>
  <c r="L446" i="2"/>
  <c r="K446" i="2"/>
  <c r="J446" i="2"/>
  <c r="AF455" i="2" s="1"/>
  <c r="H446" i="2"/>
  <c r="G446" i="2"/>
  <c r="AC455" i="2" s="1"/>
  <c r="F446" i="2"/>
  <c r="AB455" i="2" s="1"/>
  <c r="AJ455" i="2" s="1"/>
  <c r="E446" i="2"/>
  <c r="AA455" i="2" s="1"/>
  <c r="AM445" i="2"/>
  <c r="AK445" i="2"/>
  <c r="AF445" i="2"/>
  <c r="AC445" i="2"/>
  <c r="AB445" i="2"/>
  <c r="Z445" i="2"/>
  <c r="U445" i="2"/>
  <c r="AQ437" i="2" s="1"/>
  <c r="T445" i="2"/>
  <c r="AP437" i="2" s="1"/>
  <c r="K445" i="2"/>
  <c r="AG437" i="2" s="1"/>
  <c r="J445" i="2"/>
  <c r="H445" i="2"/>
  <c r="G445" i="2"/>
  <c r="I445" i="2" s="1"/>
  <c r="F445" i="2"/>
  <c r="N445" i="2" s="1"/>
  <c r="E445" i="2"/>
  <c r="AM444" i="2"/>
  <c r="AK444" i="2"/>
  <c r="AK450" i="2" s="1"/>
  <c r="AE444" i="2"/>
  <c r="AC444" i="2"/>
  <c r="AA444" i="2"/>
  <c r="Z444" i="2"/>
  <c r="U444" i="2"/>
  <c r="AQ436" i="2" s="1"/>
  <c r="T444" i="2"/>
  <c r="AP436" i="2" s="1"/>
  <c r="K444" i="2"/>
  <c r="AG436" i="2" s="1"/>
  <c r="J444" i="2"/>
  <c r="L444" i="2" s="1"/>
  <c r="AH436" i="2" s="1"/>
  <c r="H444" i="2"/>
  <c r="AD436" i="2" s="1"/>
  <c r="G444" i="2"/>
  <c r="I444" i="2" s="1"/>
  <c r="F444" i="2"/>
  <c r="AB436" i="2" s="1"/>
  <c r="AJ436" i="2" s="1"/>
  <c r="E444" i="2"/>
  <c r="K443" i="2"/>
  <c r="AG435" i="2" s="1"/>
  <c r="J443" i="2"/>
  <c r="H443" i="2"/>
  <c r="G443" i="2"/>
  <c r="I443" i="2" s="1"/>
  <c r="F443" i="2"/>
  <c r="AB435" i="2" s="1"/>
  <c r="E443" i="2"/>
  <c r="N442" i="2"/>
  <c r="K442" i="2"/>
  <c r="AG446" i="2" s="1"/>
  <c r="J442" i="2"/>
  <c r="H442" i="2"/>
  <c r="AD446" i="2" s="1"/>
  <c r="G442" i="2"/>
  <c r="I442" i="2" s="1"/>
  <c r="F442" i="2"/>
  <c r="AB446" i="2" s="1"/>
  <c r="AJ446" i="2" s="1"/>
  <c r="E442" i="2"/>
  <c r="AA446" i="2" s="1"/>
  <c r="T441" i="2"/>
  <c r="L441" i="2"/>
  <c r="K441" i="2"/>
  <c r="J441" i="2"/>
  <c r="AF454" i="2" s="1"/>
  <c r="H441" i="2"/>
  <c r="AD454" i="2" s="1"/>
  <c r="G441" i="2"/>
  <c r="F441" i="2"/>
  <c r="AB454" i="2" s="1"/>
  <c r="E441" i="2"/>
  <c r="AA454" i="2" s="1"/>
  <c r="AM440" i="2"/>
  <c r="AK440" i="2"/>
  <c r="AK441" i="2" s="1"/>
  <c r="AJ440" i="2"/>
  <c r="AF440" i="2"/>
  <c r="AD440" i="2"/>
  <c r="AC440" i="2"/>
  <c r="AB440" i="2"/>
  <c r="Z440" i="2"/>
  <c r="U440" i="2"/>
  <c r="AQ445" i="2" s="1"/>
  <c r="T440" i="2"/>
  <c r="AP445" i="2" s="1"/>
  <c r="K440" i="2"/>
  <c r="AG445" i="2" s="1"/>
  <c r="J440" i="2"/>
  <c r="L440" i="2" s="1"/>
  <c r="AH445" i="2" s="1"/>
  <c r="H440" i="2"/>
  <c r="AD445" i="2" s="1"/>
  <c r="G440" i="2"/>
  <c r="F440" i="2"/>
  <c r="N440" i="2" s="1"/>
  <c r="E440" i="2"/>
  <c r="AA445" i="2" s="1"/>
  <c r="AJ445" i="2" s="1"/>
  <c r="AM439" i="2"/>
  <c r="AK439" i="2"/>
  <c r="AI439" i="2"/>
  <c r="AG439" i="2"/>
  <c r="AF439" i="2"/>
  <c r="AE439" i="2"/>
  <c r="AC439" i="2"/>
  <c r="Z439" i="2"/>
  <c r="U439" i="2"/>
  <c r="AQ444" i="2" s="1"/>
  <c r="T439" i="2"/>
  <c r="AP444" i="2" s="1"/>
  <c r="K439" i="2"/>
  <c r="AG444" i="2" s="1"/>
  <c r="J439" i="2"/>
  <c r="L439" i="2" s="1"/>
  <c r="AH444" i="2" s="1"/>
  <c r="H439" i="2"/>
  <c r="AD444" i="2" s="1"/>
  <c r="AD450" i="2" s="1"/>
  <c r="G439" i="2"/>
  <c r="I439" i="2" s="1"/>
  <c r="F439" i="2"/>
  <c r="AB444" i="2" s="1"/>
  <c r="E439" i="2"/>
  <c r="AQ438" i="2"/>
  <c r="AP438" i="2"/>
  <c r="AM438" i="2"/>
  <c r="AK438" i="2"/>
  <c r="AF438" i="2"/>
  <c r="AD438" i="2"/>
  <c r="AB438" i="2"/>
  <c r="AA438" i="2"/>
  <c r="Z438" i="2"/>
  <c r="Z441" i="2" s="1"/>
  <c r="K438" i="2"/>
  <c r="K456" i="2" s="1"/>
  <c r="J438" i="2"/>
  <c r="L438" i="2" s="1"/>
  <c r="I438" i="2"/>
  <c r="AE453" i="2" s="1"/>
  <c r="H438" i="2"/>
  <c r="G438" i="2"/>
  <c r="G456" i="2" s="1"/>
  <c r="F438" i="2"/>
  <c r="T438" i="2" s="1"/>
  <c r="E438" i="2"/>
  <c r="AA453" i="2" s="1"/>
  <c r="AM437" i="2"/>
  <c r="AK437" i="2"/>
  <c r="AF437" i="2"/>
  <c r="AD437" i="2"/>
  <c r="AC437" i="2"/>
  <c r="AB437" i="2"/>
  <c r="AJ437" i="2" s="1"/>
  <c r="AA437" i="2"/>
  <c r="Z437" i="2"/>
  <c r="AM436" i="2"/>
  <c r="AF436" i="2"/>
  <c r="AE436" i="2"/>
  <c r="AC436" i="2"/>
  <c r="AA436" i="2"/>
  <c r="Z436" i="2"/>
  <c r="AM435" i="2"/>
  <c r="AK435" i="2"/>
  <c r="AD435" i="2"/>
  <c r="AC435" i="2"/>
  <c r="AA435" i="2"/>
  <c r="Z435" i="2"/>
  <c r="AK432" i="2"/>
  <c r="AM431" i="2"/>
  <c r="AK431" i="2"/>
  <c r="AF431" i="2"/>
  <c r="AC431" i="2"/>
  <c r="AA431" i="2"/>
  <c r="Z431" i="2"/>
  <c r="AQ430" i="2"/>
  <c r="AP430" i="2"/>
  <c r="AM430" i="2"/>
  <c r="AK430" i="2"/>
  <c r="AF430" i="2"/>
  <c r="AD430" i="2"/>
  <c r="AA430" i="2"/>
  <c r="Z430" i="2"/>
  <c r="AM429" i="2"/>
  <c r="AK429" i="2"/>
  <c r="AG429" i="2"/>
  <c r="AF429" i="2"/>
  <c r="AD429" i="2"/>
  <c r="AC429" i="2"/>
  <c r="Z429" i="2"/>
  <c r="O429" i="2"/>
  <c r="D429" i="2"/>
  <c r="AM428" i="2"/>
  <c r="AK428" i="2"/>
  <c r="AD428" i="2"/>
  <c r="AC428" i="2"/>
  <c r="AA428" i="2"/>
  <c r="Z428" i="2"/>
  <c r="K428" i="2"/>
  <c r="J428" i="2"/>
  <c r="L428" i="2" s="1"/>
  <c r="AH413" i="2" s="1"/>
  <c r="I428" i="2"/>
  <c r="AE413" i="2" s="1"/>
  <c r="H428" i="2"/>
  <c r="G428" i="2"/>
  <c r="F428" i="2"/>
  <c r="T428" i="2" s="1"/>
  <c r="E428" i="2"/>
  <c r="AA413" i="2" s="1"/>
  <c r="AM427" i="2"/>
  <c r="AK427" i="2"/>
  <c r="AG427" i="2"/>
  <c r="AC427" i="2"/>
  <c r="AA427" i="2"/>
  <c r="Z427" i="2"/>
  <c r="L427" i="2"/>
  <c r="AH412" i="2" s="1"/>
  <c r="K427" i="2"/>
  <c r="J427" i="2"/>
  <c r="I427" i="2"/>
  <c r="M427" i="2" s="1"/>
  <c r="H427" i="2"/>
  <c r="AD412" i="2" s="1"/>
  <c r="G427" i="2"/>
  <c r="F427" i="2"/>
  <c r="N427" i="2" s="1"/>
  <c r="E427" i="2"/>
  <c r="AM426" i="2"/>
  <c r="AK426" i="2"/>
  <c r="AG426" i="2"/>
  <c r="AF426" i="2"/>
  <c r="AB426" i="2"/>
  <c r="AJ426" i="2" s="1"/>
  <c r="Z426" i="2"/>
  <c r="U426" i="2"/>
  <c r="AQ422" i="2" s="1"/>
  <c r="K426" i="2"/>
  <c r="L426" i="2" s="1"/>
  <c r="AH422" i="2" s="1"/>
  <c r="J426" i="2"/>
  <c r="H426" i="2"/>
  <c r="G426" i="2"/>
  <c r="I426" i="2" s="1"/>
  <c r="F426" i="2"/>
  <c r="T426" i="2" s="1"/>
  <c r="AP422" i="2" s="1"/>
  <c r="E426" i="2"/>
  <c r="L425" i="2"/>
  <c r="AH421" i="2" s="1"/>
  <c r="K425" i="2"/>
  <c r="AG421" i="2" s="1"/>
  <c r="J425" i="2"/>
  <c r="H425" i="2"/>
  <c r="G425" i="2"/>
  <c r="F425" i="2"/>
  <c r="T425" i="2" s="1"/>
  <c r="AP421" i="2" s="1"/>
  <c r="E425" i="2"/>
  <c r="U424" i="2"/>
  <c r="AQ411" i="2" s="1"/>
  <c r="K424" i="2"/>
  <c r="J424" i="2"/>
  <c r="H424" i="2"/>
  <c r="G424" i="2"/>
  <c r="F424" i="2"/>
  <c r="T424" i="2" s="1"/>
  <c r="AP411" i="2" s="1"/>
  <c r="E424" i="2"/>
  <c r="Z423" i="2"/>
  <c r="M423" i="2"/>
  <c r="K423" i="2"/>
  <c r="AG420" i="2" s="1"/>
  <c r="J423" i="2"/>
  <c r="L423" i="2" s="1"/>
  <c r="AH420" i="2" s="1"/>
  <c r="I423" i="2"/>
  <c r="AE420" i="2" s="1"/>
  <c r="H423" i="2"/>
  <c r="G423" i="2"/>
  <c r="F423" i="2"/>
  <c r="E423" i="2"/>
  <c r="AM422" i="2"/>
  <c r="AK422" i="2"/>
  <c r="AG422" i="2"/>
  <c r="AF422" i="2"/>
  <c r="AD422" i="2"/>
  <c r="AC422" i="2"/>
  <c r="AA422" i="2"/>
  <c r="Z422" i="2"/>
  <c r="L422" i="2"/>
  <c r="AH431" i="2" s="1"/>
  <c r="K422" i="2"/>
  <c r="AG431" i="2" s="1"/>
  <c r="J422" i="2"/>
  <c r="I422" i="2"/>
  <c r="H422" i="2"/>
  <c r="AD431" i="2" s="1"/>
  <c r="G422" i="2"/>
  <c r="F422" i="2"/>
  <c r="N422" i="2" s="1"/>
  <c r="E422" i="2"/>
  <c r="AM421" i="2"/>
  <c r="AK421" i="2"/>
  <c r="AF421" i="2"/>
  <c r="AD421" i="2"/>
  <c r="AB421" i="2"/>
  <c r="AJ421" i="2" s="1"/>
  <c r="AA421" i="2"/>
  <c r="Z421" i="2"/>
  <c r="K421" i="2"/>
  <c r="AG430" i="2" s="1"/>
  <c r="J421" i="2"/>
  <c r="H421" i="2"/>
  <c r="G421" i="2"/>
  <c r="F421" i="2"/>
  <c r="T421" i="2" s="1"/>
  <c r="U421" i="2" s="1"/>
  <c r="E421" i="2"/>
  <c r="AM420" i="2"/>
  <c r="AF420" i="2"/>
  <c r="AD420" i="2"/>
  <c r="AC420" i="2"/>
  <c r="AA420" i="2"/>
  <c r="Z420" i="2"/>
  <c r="K420" i="2"/>
  <c r="J420" i="2"/>
  <c r="L420" i="2" s="1"/>
  <c r="AH429" i="2" s="1"/>
  <c r="I420" i="2"/>
  <c r="AE429" i="2" s="1"/>
  <c r="H420" i="2"/>
  <c r="G420" i="2"/>
  <c r="F420" i="2"/>
  <c r="N420" i="2" s="1"/>
  <c r="E420" i="2"/>
  <c r="AA429" i="2" s="1"/>
  <c r="AM419" i="2"/>
  <c r="AK419" i="2"/>
  <c r="AG419" i="2"/>
  <c r="AD419" i="2"/>
  <c r="AC419" i="2"/>
  <c r="AA419" i="2"/>
  <c r="Z419" i="2"/>
  <c r="L419" i="2"/>
  <c r="AH428" i="2" s="1"/>
  <c r="K419" i="2"/>
  <c r="AG428" i="2" s="1"/>
  <c r="J419" i="2"/>
  <c r="AF428" i="2" s="1"/>
  <c r="I419" i="2"/>
  <c r="H419" i="2"/>
  <c r="G419" i="2"/>
  <c r="F419" i="2"/>
  <c r="N419" i="2" s="1"/>
  <c r="E419" i="2"/>
  <c r="AM418" i="2"/>
  <c r="AK418" i="2"/>
  <c r="AJ418" i="2"/>
  <c r="AG418" i="2"/>
  <c r="AF418" i="2"/>
  <c r="AD418" i="2"/>
  <c r="AB418" i="2"/>
  <c r="Z418" i="2"/>
  <c r="L418" i="2"/>
  <c r="AH410" i="2" s="1"/>
  <c r="K418" i="2"/>
  <c r="J418" i="2"/>
  <c r="H418" i="2"/>
  <c r="G418" i="2"/>
  <c r="I418" i="2" s="1"/>
  <c r="F418" i="2"/>
  <c r="T418" i="2" s="1"/>
  <c r="U418" i="2" s="1"/>
  <c r="AQ410" i="2" s="1"/>
  <c r="E418" i="2"/>
  <c r="AM417" i="2"/>
  <c r="AK417" i="2"/>
  <c r="AG417" i="2"/>
  <c r="AB417" i="2"/>
  <c r="AA417" i="2"/>
  <c r="AA423" i="2" s="1"/>
  <c r="Z417" i="2"/>
  <c r="N417" i="2"/>
  <c r="K417" i="2"/>
  <c r="J417" i="2"/>
  <c r="H417" i="2"/>
  <c r="G417" i="2"/>
  <c r="F417" i="2"/>
  <c r="T417" i="2" s="1"/>
  <c r="E417" i="2"/>
  <c r="T416" i="2"/>
  <c r="U416" i="2" s="1"/>
  <c r="AQ408" i="2" s="1"/>
  <c r="N416" i="2"/>
  <c r="K416" i="2"/>
  <c r="J416" i="2"/>
  <c r="H416" i="2"/>
  <c r="G416" i="2"/>
  <c r="F416" i="2"/>
  <c r="AB408" i="2" s="1"/>
  <c r="E416" i="2"/>
  <c r="T415" i="2"/>
  <c r="K415" i="2"/>
  <c r="J415" i="2"/>
  <c r="H415" i="2"/>
  <c r="G415" i="2"/>
  <c r="I415" i="2" s="1"/>
  <c r="F415" i="2"/>
  <c r="AB419" i="2" s="1"/>
  <c r="AJ419" i="2" s="1"/>
  <c r="E415" i="2"/>
  <c r="AK414" i="2"/>
  <c r="L414" i="2"/>
  <c r="AH427" i="2" s="1"/>
  <c r="K414" i="2"/>
  <c r="J414" i="2"/>
  <c r="AF427" i="2" s="1"/>
  <c r="I414" i="2"/>
  <c r="H414" i="2"/>
  <c r="AD427" i="2" s="1"/>
  <c r="G414" i="2"/>
  <c r="F414" i="2"/>
  <c r="AB427" i="2" s="1"/>
  <c r="E414" i="2"/>
  <c r="AM413" i="2"/>
  <c r="AK413" i="2"/>
  <c r="AG413" i="2"/>
  <c r="AF413" i="2"/>
  <c r="AD413" i="2"/>
  <c r="AC413" i="2"/>
  <c r="Z413" i="2"/>
  <c r="U413" i="2"/>
  <c r="AQ418" i="2" s="1"/>
  <c r="L413" i="2"/>
  <c r="AH418" i="2" s="1"/>
  <c r="K413" i="2"/>
  <c r="J413" i="2"/>
  <c r="H413" i="2"/>
  <c r="G413" i="2"/>
  <c r="F413" i="2"/>
  <c r="T413" i="2" s="1"/>
  <c r="AP418" i="2" s="1"/>
  <c r="E413" i="2"/>
  <c r="AA418" i="2" s="1"/>
  <c r="AM412" i="2"/>
  <c r="AK412" i="2"/>
  <c r="AJ412" i="2"/>
  <c r="AG412" i="2"/>
  <c r="AF412" i="2"/>
  <c r="AE412" i="2"/>
  <c r="AC412" i="2"/>
  <c r="AB412" i="2"/>
  <c r="AA412" i="2"/>
  <c r="Z412" i="2"/>
  <c r="K412" i="2"/>
  <c r="J412" i="2"/>
  <c r="H412" i="2"/>
  <c r="AD417" i="2" s="1"/>
  <c r="AD423" i="2" s="1"/>
  <c r="G412" i="2"/>
  <c r="F412" i="2"/>
  <c r="E412" i="2"/>
  <c r="AM411" i="2"/>
  <c r="AK411" i="2"/>
  <c r="AF411" i="2"/>
  <c r="AD411" i="2"/>
  <c r="AB411" i="2"/>
  <c r="AA411" i="2"/>
  <c r="Z411" i="2"/>
  <c r="T411" i="2"/>
  <c r="M411" i="2"/>
  <c r="K411" i="2"/>
  <c r="J411" i="2"/>
  <c r="L411" i="2" s="1"/>
  <c r="I411" i="2"/>
  <c r="AE426" i="2" s="1"/>
  <c r="H411" i="2"/>
  <c r="G411" i="2"/>
  <c r="F411" i="2"/>
  <c r="E411" i="2"/>
  <c r="AA426" i="2" s="1"/>
  <c r="AP410" i="2"/>
  <c r="AM410" i="2"/>
  <c r="AK410" i="2"/>
  <c r="AG410" i="2"/>
  <c r="AF410" i="2"/>
  <c r="AD410" i="2"/>
  <c r="AC410" i="2"/>
  <c r="AB410" i="2"/>
  <c r="AJ410" i="2" s="1"/>
  <c r="AA410" i="2"/>
  <c r="Z410" i="2"/>
  <c r="AM409" i="2"/>
  <c r="AG409" i="2"/>
  <c r="AD409" i="2"/>
  <c r="AA409" i="2"/>
  <c r="AA414" i="2" s="1"/>
  <c r="Z409" i="2"/>
  <c r="AM408" i="2"/>
  <c r="AK408" i="2"/>
  <c r="AG408" i="2"/>
  <c r="AD408" i="2"/>
  <c r="AD414" i="2" s="1"/>
  <c r="AA408" i="2"/>
  <c r="Z408" i="2"/>
  <c r="AM404" i="2"/>
  <c r="AK404" i="2"/>
  <c r="AB404" i="2"/>
  <c r="AJ404" i="2" s="1"/>
  <c r="Z404" i="2"/>
  <c r="AP403" i="2"/>
  <c r="AM403" i="2"/>
  <c r="AK403" i="2"/>
  <c r="Z403" i="2"/>
  <c r="AP402" i="2"/>
  <c r="AM402" i="2"/>
  <c r="AK402" i="2"/>
  <c r="AG402" i="2"/>
  <c r="AC402" i="2"/>
  <c r="Z402" i="2"/>
  <c r="O402" i="2"/>
  <c r="D402" i="2"/>
  <c r="AP401" i="2"/>
  <c r="AM401" i="2"/>
  <c r="AK401" i="2"/>
  <c r="AD401" i="2"/>
  <c r="Z401" i="2"/>
  <c r="T401" i="2"/>
  <c r="K401" i="2"/>
  <c r="J401" i="2"/>
  <c r="L401" i="2" s="1"/>
  <c r="AH386" i="2" s="1"/>
  <c r="I401" i="2"/>
  <c r="AE386" i="2" s="1"/>
  <c r="H401" i="2"/>
  <c r="G401" i="2"/>
  <c r="F401" i="2"/>
  <c r="N401" i="2" s="1"/>
  <c r="E401" i="2"/>
  <c r="AA386" i="2" s="1"/>
  <c r="AP400" i="2"/>
  <c r="AM400" i="2"/>
  <c r="AK400" i="2"/>
  <c r="AH400" i="2"/>
  <c r="AG400" i="2"/>
  <c r="AC400" i="2"/>
  <c r="Z400" i="2"/>
  <c r="L400" i="2"/>
  <c r="AH385" i="2" s="1"/>
  <c r="K400" i="2"/>
  <c r="J400" i="2"/>
  <c r="H400" i="2"/>
  <c r="AD385" i="2" s="1"/>
  <c r="G400" i="2"/>
  <c r="F400" i="2"/>
  <c r="T400" i="2" s="1"/>
  <c r="E400" i="2"/>
  <c r="AA385" i="2" s="1"/>
  <c r="AM399" i="2"/>
  <c r="AK399" i="2"/>
  <c r="AK405" i="2" s="1"/>
  <c r="AC399" i="2"/>
  <c r="AB399" i="2"/>
  <c r="Z399" i="2"/>
  <c r="U399" i="2"/>
  <c r="AQ395" i="2" s="1"/>
  <c r="T399" i="2"/>
  <c r="K399" i="2"/>
  <c r="J399" i="2"/>
  <c r="AF395" i="2" s="1"/>
  <c r="H399" i="2"/>
  <c r="AD395" i="2" s="1"/>
  <c r="G399" i="2"/>
  <c r="F399" i="2"/>
  <c r="N399" i="2" s="1"/>
  <c r="E399" i="2"/>
  <c r="U398" i="2"/>
  <c r="AQ394" i="2" s="1"/>
  <c r="T398" i="2"/>
  <c r="K398" i="2"/>
  <c r="J398" i="2"/>
  <c r="H398" i="2"/>
  <c r="AD394" i="2" s="1"/>
  <c r="G398" i="2"/>
  <c r="F398" i="2"/>
  <c r="N398" i="2" s="1"/>
  <c r="E398" i="2"/>
  <c r="AA394" i="2" s="1"/>
  <c r="U397" i="2"/>
  <c r="T397" i="2"/>
  <c r="K397" i="2"/>
  <c r="AG384" i="2" s="1"/>
  <c r="J397" i="2"/>
  <c r="L397" i="2" s="1"/>
  <c r="H397" i="2"/>
  <c r="AD384" i="2" s="1"/>
  <c r="G397" i="2"/>
  <c r="F397" i="2"/>
  <c r="N397" i="2" s="1"/>
  <c r="AJ384" i="2" s="1"/>
  <c r="E397" i="2"/>
  <c r="T396" i="2"/>
  <c r="K396" i="2"/>
  <c r="J396" i="2"/>
  <c r="I396" i="2"/>
  <c r="H396" i="2"/>
  <c r="G396" i="2"/>
  <c r="AC393" i="2" s="1"/>
  <c r="F396" i="2"/>
  <c r="E396" i="2"/>
  <c r="AA393" i="2" s="1"/>
  <c r="AP395" i="2"/>
  <c r="AM395" i="2"/>
  <c r="AK395" i="2"/>
  <c r="AG395" i="2"/>
  <c r="AB395" i="2"/>
  <c r="AJ395" i="2" s="1"/>
  <c r="AA395" i="2"/>
  <c r="Z395" i="2"/>
  <c r="L395" i="2"/>
  <c r="AH404" i="2" s="1"/>
  <c r="K395" i="2"/>
  <c r="AG404" i="2" s="1"/>
  <c r="J395" i="2"/>
  <c r="AF404" i="2" s="1"/>
  <c r="H395" i="2"/>
  <c r="G395" i="2"/>
  <c r="AC404" i="2" s="1"/>
  <c r="F395" i="2"/>
  <c r="T395" i="2" s="1"/>
  <c r="E395" i="2"/>
  <c r="AA404" i="2" s="1"/>
  <c r="AP394" i="2"/>
  <c r="AM394" i="2"/>
  <c r="AK394" i="2"/>
  <c r="AJ394" i="2"/>
  <c r="AG394" i="2"/>
  <c r="AF394" i="2"/>
  <c r="AB394" i="2"/>
  <c r="Z394" i="2"/>
  <c r="U394" i="2"/>
  <c r="AQ403" i="2" s="1"/>
  <c r="T394" i="2"/>
  <c r="K394" i="2"/>
  <c r="AG403" i="2" s="1"/>
  <c r="J394" i="2"/>
  <c r="AF403" i="2" s="1"/>
  <c r="H394" i="2"/>
  <c r="AD403" i="2" s="1"/>
  <c r="G394" i="2"/>
  <c r="F394" i="2"/>
  <c r="N394" i="2" s="1"/>
  <c r="E394" i="2"/>
  <c r="AA403" i="2" s="1"/>
  <c r="AM393" i="2"/>
  <c r="AG393" i="2"/>
  <c r="AE393" i="2"/>
  <c r="AD393" i="2"/>
  <c r="AB393" i="2"/>
  <c r="Z393" i="2"/>
  <c r="T393" i="2"/>
  <c r="K393" i="2"/>
  <c r="J393" i="2"/>
  <c r="I393" i="2"/>
  <c r="AE402" i="2" s="1"/>
  <c r="H393" i="2"/>
  <c r="AD402" i="2" s="1"/>
  <c r="G393" i="2"/>
  <c r="F393" i="2"/>
  <c r="AB402" i="2" s="1"/>
  <c r="E393" i="2"/>
  <c r="AA402" i="2" s="1"/>
  <c r="AM392" i="2"/>
  <c r="AK392" i="2"/>
  <c r="AD392" i="2"/>
  <c r="AD396" i="2" s="1"/>
  <c r="AC392" i="2"/>
  <c r="Z392" i="2"/>
  <c r="Z396" i="2" s="1"/>
  <c r="T392" i="2"/>
  <c r="U392" i="2" s="1"/>
  <c r="AQ401" i="2" s="1"/>
  <c r="L392" i="2"/>
  <c r="AH401" i="2" s="1"/>
  <c r="K392" i="2"/>
  <c r="AG401" i="2" s="1"/>
  <c r="J392" i="2"/>
  <c r="AF401" i="2" s="1"/>
  <c r="H392" i="2"/>
  <c r="I392" i="2" s="1"/>
  <c r="G392" i="2"/>
  <c r="AC401" i="2" s="1"/>
  <c r="F392" i="2"/>
  <c r="AB401" i="2" s="1"/>
  <c r="AJ401" i="2" s="1"/>
  <c r="E392" i="2"/>
  <c r="AA401" i="2" s="1"/>
  <c r="AM391" i="2"/>
  <c r="AK391" i="2"/>
  <c r="AF391" i="2"/>
  <c r="AC391" i="2"/>
  <c r="AB391" i="2"/>
  <c r="AJ391" i="2" s="1"/>
  <c r="Z391" i="2"/>
  <c r="U391" i="2"/>
  <c r="AQ383" i="2" s="1"/>
  <c r="T391" i="2"/>
  <c r="L391" i="2"/>
  <c r="AH383" i="2" s="1"/>
  <c r="K391" i="2"/>
  <c r="J391" i="2"/>
  <c r="H391" i="2"/>
  <c r="G391" i="2"/>
  <c r="I391" i="2" s="1"/>
  <c r="F391" i="2"/>
  <c r="N391" i="2" s="1"/>
  <c r="E391" i="2"/>
  <c r="AM390" i="2"/>
  <c r="AK390" i="2"/>
  <c r="AB390" i="2"/>
  <c r="AA390" i="2"/>
  <c r="Z390" i="2"/>
  <c r="T390" i="2"/>
  <c r="AP382" i="2" s="1"/>
  <c r="N390" i="2"/>
  <c r="K390" i="2"/>
  <c r="AG382" i="2" s="1"/>
  <c r="J390" i="2"/>
  <c r="H390" i="2"/>
  <c r="AD382" i="2" s="1"/>
  <c r="G390" i="2"/>
  <c r="F390" i="2"/>
  <c r="E390" i="2"/>
  <c r="N389" i="2"/>
  <c r="K389" i="2"/>
  <c r="AG381" i="2" s="1"/>
  <c r="J389" i="2"/>
  <c r="H389" i="2"/>
  <c r="G389" i="2"/>
  <c r="F389" i="2"/>
  <c r="E389" i="2"/>
  <c r="T388" i="2"/>
  <c r="U388" i="2" s="1"/>
  <c r="AQ392" i="2" s="1"/>
  <c r="N388" i="2"/>
  <c r="K388" i="2"/>
  <c r="AG392" i="2" s="1"/>
  <c r="J388" i="2"/>
  <c r="H388" i="2"/>
  <c r="G388" i="2"/>
  <c r="I388" i="2" s="1"/>
  <c r="F388" i="2"/>
  <c r="AB392" i="2" s="1"/>
  <c r="E388" i="2"/>
  <c r="AA392" i="2" s="1"/>
  <c r="AK387" i="2"/>
  <c r="T387" i="2"/>
  <c r="M387" i="2"/>
  <c r="L387" i="2"/>
  <c r="K387" i="2"/>
  <c r="J387" i="2"/>
  <c r="AF400" i="2" s="1"/>
  <c r="I387" i="2"/>
  <c r="AE400" i="2" s="1"/>
  <c r="H387" i="2"/>
  <c r="AD400" i="2" s="1"/>
  <c r="G387" i="2"/>
  <c r="F387" i="2"/>
  <c r="AB400" i="2" s="1"/>
  <c r="AJ400" i="2" s="1"/>
  <c r="E387" i="2"/>
  <c r="AA400" i="2" s="1"/>
  <c r="AM386" i="2"/>
  <c r="AK386" i="2"/>
  <c r="AG386" i="2"/>
  <c r="AF386" i="2"/>
  <c r="AD386" i="2"/>
  <c r="AC386" i="2"/>
  <c r="AB386" i="2"/>
  <c r="AJ386" i="2" s="1"/>
  <c r="Z386" i="2"/>
  <c r="U386" i="2"/>
  <c r="AQ391" i="2" s="1"/>
  <c r="T386" i="2"/>
  <c r="AP391" i="2" s="1"/>
  <c r="L386" i="2"/>
  <c r="AH391" i="2" s="1"/>
  <c r="K386" i="2"/>
  <c r="AG391" i="2" s="1"/>
  <c r="J386" i="2"/>
  <c r="H386" i="2"/>
  <c r="AD391" i="2" s="1"/>
  <c r="G386" i="2"/>
  <c r="I386" i="2" s="1"/>
  <c r="F386" i="2"/>
  <c r="N386" i="2" s="1"/>
  <c r="E386" i="2"/>
  <c r="AA391" i="2" s="1"/>
  <c r="AM385" i="2"/>
  <c r="AK385" i="2"/>
  <c r="AG385" i="2"/>
  <c r="AF385" i="2"/>
  <c r="AC385" i="2"/>
  <c r="AB385" i="2"/>
  <c r="AJ385" i="2" s="1"/>
  <c r="Z385" i="2"/>
  <c r="N385" i="2"/>
  <c r="K385" i="2"/>
  <c r="AG390" i="2" s="1"/>
  <c r="AG396" i="2" s="1"/>
  <c r="J385" i="2"/>
  <c r="AF390" i="2" s="1"/>
  <c r="H385" i="2"/>
  <c r="AD390" i="2" s="1"/>
  <c r="G385" i="2"/>
  <c r="F385" i="2"/>
  <c r="T385" i="2" s="1"/>
  <c r="AP390" i="2" s="1"/>
  <c r="E385" i="2"/>
  <c r="AQ384" i="2"/>
  <c r="AP384" i="2"/>
  <c r="AM384" i="2"/>
  <c r="AK384" i="2"/>
  <c r="AH384" i="2"/>
  <c r="AF384" i="2"/>
  <c r="AB384" i="2"/>
  <c r="AA384" i="2"/>
  <c r="Z384" i="2"/>
  <c r="K384" i="2"/>
  <c r="J384" i="2"/>
  <c r="I384" i="2"/>
  <c r="AE399" i="2" s="1"/>
  <c r="H384" i="2"/>
  <c r="G384" i="2"/>
  <c r="F384" i="2"/>
  <c r="E384" i="2"/>
  <c r="AA399" i="2" s="1"/>
  <c r="AP383" i="2"/>
  <c r="AM383" i="2"/>
  <c r="AK383" i="2"/>
  <c r="AG383" i="2"/>
  <c r="AF383" i="2"/>
  <c r="AD383" i="2"/>
  <c r="AC383" i="2"/>
  <c r="AB383" i="2"/>
  <c r="AJ383" i="2" s="1"/>
  <c r="AA383" i="2"/>
  <c r="Z383" i="2"/>
  <c r="AM382" i="2"/>
  <c r="AB382" i="2"/>
  <c r="AA382" i="2"/>
  <c r="AJ382" i="2" s="1"/>
  <c r="Z382" i="2"/>
  <c r="AM381" i="2"/>
  <c r="AK381" i="2"/>
  <c r="AD381" i="2"/>
  <c r="AA381" i="2"/>
  <c r="AA387" i="2" s="1"/>
  <c r="Z381" i="2"/>
  <c r="Z387" i="2" s="1"/>
  <c r="AM377" i="2"/>
  <c r="AK377" i="2"/>
  <c r="AI377" i="2"/>
  <c r="AF377" i="2"/>
  <c r="AB377" i="2"/>
  <c r="AJ377" i="2" s="1"/>
  <c r="Z377" i="2"/>
  <c r="AM376" i="2"/>
  <c r="AK376" i="2"/>
  <c r="AA376" i="2"/>
  <c r="Z376" i="2"/>
  <c r="AP375" i="2"/>
  <c r="AM375" i="2"/>
  <c r="AK375" i="2"/>
  <c r="AG375" i="2"/>
  <c r="AD375" i="2"/>
  <c r="AC375" i="2"/>
  <c r="Z375" i="2"/>
  <c r="O375" i="2"/>
  <c r="D375" i="2"/>
  <c r="AM374" i="2"/>
  <c r="AK374" i="2"/>
  <c r="AE374" i="2"/>
  <c r="Z374" i="2"/>
  <c r="T374" i="2"/>
  <c r="K374" i="2"/>
  <c r="J374" i="2"/>
  <c r="L374" i="2" s="1"/>
  <c r="AH359" i="2" s="1"/>
  <c r="I374" i="2"/>
  <c r="AE359" i="2" s="1"/>
  <c r="H374" i="2"/>
  <c r="G374" i="2"/>
  <c r="F374" i="2"/>
  <c r="N374" i="2" s="1"/>
  <c r="E374" i="2"/>
  <c r="AA359" i="2" s="1"/>
  <c r="AP373" i="2"/>
  <c r="AM373" i="2"/>
  <c r="AK373" i="2"/>
  <c r="AH373" i="2"/>
  <c r="AG373" i="2"/>
  <c r="AC373" i="2"/>
  <c r="Z373" i="2"/>
  <c r="M373" i="2"/>
  <c r="L373" i="2"/>
  <c r="AH358" i="2" s="1"/>
  <c r="K373" i="2"/>
  <c r="J373" i="2"/>
  <c r="I373" i="2"/>
  <c r="AE358" i="2" s="1"/>
  <c r="H373" i="2"/>
  <c r="AD358" i="2" s="1"/>
  <c r="G373" i="2"/>
  <c r="F373" i="2"/>
  <c r="E373" i="2"/>
  <c r="AA358" i="2" s="1"/>
  <c r="AM372" i="2"/>
  <c r="AK372" i="2"/>
  <c r="AK378" i="2" s="1"/>
  <c r="AG372" i="2"/>
  <c r="AG378" i="2" s="1"/>
  <c r="AC372" i="2"/>
  <c r="Z372" i="2"/>
  <c r="L372" i="2"/>
  <c r="AH368" i="2" s="1"/>
  <c r="K372" i="2"/>
  <c r="J372" i="2"/>
  <c r="H372" i="2"/>
  <c r="AD368" i="2" s="1"/>
  <c r="G372" i="2"/>
  <c r="F372" i="2"/>
  <c r="T372" i="2" s="1"/>
  <c r="AP368" i="2" s="1"/>
  <c r="E372" i="2"/>
  <c r="U371" i="2"/>
  <c r="AQ367" i="2" s="1"/>
  <c r="K371" i="2"/>
  <c r="L371" i="2" s="1"/>
  <c r="AH367" i="2" s="1"/>
  <c r="J371" i="2"/>
  <c r="H371" i="2"/>
  <c r="AD367" i="2" s="1"/>
  <c r="G371" i="2"/>
  <c r="F371" i="2"/>
  <c r="T371" i="2" s="1"/>
  <c r="AP367" i="2" s="1"/>
  <c r="E371" i="2"/>
  <c r="K370" i="2"/>
  <c r="J370" i="2"/>
  <c r="H370" i="2"/>
  <c r="AD357" i="2" s="1"/>
  <c r="G370" i="2"/>
  <c r="F370" i="2"/>
  <c r="T370" i="2" s="1"/>
  <c r="U370" i="2" s="1"/>
  <c r="AQ357" i="2" s="1"/>
  <c r="E370" i="2"/>
  <c r="AD369" i="2"/>
  <c r="K369" i="2"/>
  <c r="AG366" i="2" s="1"/>
  <c r="J369" i="2"/>
  <c r="I369" i="2"/>
  <c r="H369" i="2"/>
  <c r="G369" i="2"/>
  <c r="F369" i="2"/>
  <c r="E369" i="2"/>
  <c r="AA366" i="2" s="1"/>
  <c r="AM368" i="2"/>
  <c r="AK368" i="2"/>
  <c r="AG368" i="2"/>
  <c r="AF368" i="2"/>
  <c r="AA368" i="2"/>
  <c r="Z368" i="2"/>
  <c r="S368" i="2"/>
  <c r="R368" i="2" s="1"/>
  <c r="M368" i="2"/>
  <c r="P368" i="2" s="1"/>
  <c r="L368" i="2"/>
  <c r="AH377" i="2" s="1"/>
  <c r="K368" i="2"/>
  <c r="AG377" i="2" s="1"/>
  <c r="J368" i="2"/>
  <c r="I368" i="2"/>
  <c r="AE377" i="2" s="1"/>
  <c r="H368" i="2"/>
  <c r="AD377" i="2" s="1"/>
  <c r="G368" i="2"/>
  <c r="AC377" i="2" s="1"/>
  <c r="F368" i="2"/>
  <c r="N368" i="2" s="1"/>
  <c r="E368" i="2"/>
  <c r="AA377" i="2" s="1"/>
  <c r="AM367" i="2"/>
  <c r="AK367" i="2"/>
  <c r="AJ367" i="2"/>
  <c r="AG367" i="2"/>
  <c r="AF367" i="2"/>
  <c r="AB367" i="2"/>
  <c r="AA367" i="2"/>
  <c r="Z367" i="2"/>
  <c r="U367" i="2"/>
  <c r="AQ376" i="2" s="1"/>
  <c r="K367" i="2"/>
  <c r="AG376" i="2" s="1"/>
  <c r="J367" i="2"/>
  <c r="AF376" i="2" s="1"/>
  <c r="H367" i="2"/>
  <c r="AD376" i="2" s="1"/>
  <c r="G367" i="2"/>
  <c r="F367" i="2"/>
  <c r="T367" i="2" s="1"/>
  <c r="AP376" i="2" s="1"/>
  <c r="E367" i="2"/>
  <c r="AM366" i="2"/>
  <c r="AE366" i="2"/>
  <c r="AD366" i="2"/>
  <c r="AC366" i="2"/>
  <c r="Z366" i="2"/>
  <c r="T366" i="2"/>
  <c r="U366" i="2" s="1"/>
  <c r="AQ375" i="2" s="1"/>
  <c r="K366" i="2"/>
  <c r="J366" i="2"/>
  <c r="I366" i="2"/>
  <c r="AE375" i="2" s="1"/>
  <c r="H366" i="2"/>
  <c r="G366" i="2"/>
  <c r="F366" i="2"/>
  <c r="AB375" i="2" s="1"/>
  <c r="AJ375" i="2" s="1"/>
  <c r="E366" i="2"/>
  <c r="AA375" i="2" s="1"/>
  <c r="AM365" i="2"/>
  <c r="AK365" i="2"/>
  <c r="AD365" i="2"/>
  <c r="AC365" i="2"/>
  <c r="Z365" i="2"/>
  <c r="Z369" i="2" s="1"/>
  <c r="L365" i="2"/>
  <c r="AH374" i="2" s="1"/>
  <c r="K365" i="2"/>
  <c r="AG374" i="2" s="1"/>
  <c r="J365" i="2"/>
  <c r="AF374" i="2" s="1"/>
  <c r="I365" i="2"/>
  <c r="M365" i="2" s="1"/>
  <c r="H365" i="2"/>
  <c r="AD374" i="2" s="1"/>
  <c r="G365" i="2"/>
  <c r="AC374" i="2" s="1"/>
  <c r="F365" i="2"/>
  <c r="E365" i="2"/>
  <c r="AA374" i="2" s="1"/>
  <c r="AM364" i="2"/>
  <c r="AK364" i="2"/>
  <c r="AF364" i="2"/>
  <c r="AB364" i="2"/>
  <c r="Z364" i="2"/>
  <c r="L364" i="2"/>
  <c r="K364" i="2"/>
  <c r="J364" i="2"/>
  <c r="H364" i="2"/>
  <c r="AD356" i="2" s="1"/>
  <c r="G364" i="2"/>
  <c r="F364" i="2"/>
  <c r="T364" i="2" s="1"/>
  <c r="U364" i="2" s="1"/>
  <c r="AQ356" i="2" s="1"/>
  <c r="E364" i="2"/>
  <c r="AM363" i="2"/>
  <c r="AK363" i="2"/>
  <c r="AK369" i="2" s="1"/>
  <c r="AA363" i="2"/>
  <c r="Z363" i="2"/>
  <c r="K363" i="2"/>
  <c r="AG355" i="2" s="1"/>
  <c r="J363" i="2"/>
  <c r="H363" i="2"/>
  <c r="G363" i="2"/>
  <c r="F363" i="2"/>
  <c r="N363" i="2" s="1"/>
  <c r="E363" i="2"/>
  <c r="N362" i="2"/>
  <c r="K362" i="2"/>
  <c r="AG354" i="2" s="1"/>
  <c r="J362" i="2"/>
  <c r="H362" i="2"/>
  <c r="G362" i="2"/>
  <c r="F362" i="2"/>
  <c r="AB354" i="2" s="1"/>
  <c r="E362" i="2"/>
  <c r="T361" i="2"/>
  <c r="K361" i="2"/>
  <c r="AG365" i="2" s="1"/>
  <c r="J361" i="2"/>
  <c r="H361" i="2"/>
  <c r="G361" i="2"/>
  <c r="I361" i="2" s="1"/>
  <c r="F361" i="2"/>
  <c r="AB365" i="2" s="1"/>
  <c r="E361" i="2"/>
  <c r="AA365" i="2" s="1"/>
  <c r="AK360" i="2"/>
  <c r="T360" i="2"/>
  <c r="U360" i="2" s="1"/>
  <c r="AQ373" i="2" s="1"/>
  <c r="L360" i="2"/>
  <c r="K360" i="2"/>
  <c r="J360" i="2"/>
  <c r="AF373" i="2" s="1"/>
  <c r="H360" i="2"/>
  <c r="G360" i="2"/>
  <c r="F360" i="2"/>
  <c r="AB373" i="2" s="1"/>
  <c r="AJ373" i="2" s="1"/>
  <c r="E360" i="2"/>
  <c r="AA373" i="2" s="1"/>
  <c r="AM359" i="2"/>
  <c r="AK359" i="2"/>
  <c r="AJ359" i="2"/>
  <c r="AG359" i="2"/>
  <c r="AD359" i="2"/>
  <c r="AC359" i="2"/>
  <c r="AB359" i="2"/>
  <c r="Z359" i="2"/>
  <c r="U359" i="2"/>
  <c r="AQ364" i="2" s="1"/>
  <c r="K359" i="2"/>
  <c r="J359" i="2"/>
  <c r="H359" i="2"/>
  <c r="AD364" i="2" s="1"/>
  <c r="G359" i="2"/>
  <c r="F359" i="2"/>
  <c r="T359" i="2" s="1"/>
  <c r="AP364" i="2" s="1"/>
  <c r="E359" i="2"/>
  <c r="AA364" i="2" s="1"/>
  <c r="AJ364" i="2" s="1"/>
  <c r="AM358" i="2"/>
  <c r="AK358" i="2"/>
  <c r="AJ358" i="2"/>
  <c r="AI358" i="2"/>
  <c r="AG358" i="2"/>
  <c r="AF358" i="2"/>
  <c r="AC358" i="2"/>
  <c r="AB358" i="2"/>
  <c r="Z358" i="2"/>
  <c r="K358" i="2"/>
  <c r="AG363" i="2" s="1"/>
  <c r="J358" i="2"/>
  <c r="H358" i="2"/>
  <c r="AD363" i="2" s="1"/>
  <c r="G358" i="2"/>
  <c r="F358" i="2"/>
  <c r="AB363" i="2" s="1"/>
  <c r="E358" i="2"/>
  <c r="AP357" i="2"/>
  <c r="AM357" i="2"/>
  <c r="AK357" i="2"/>
  <c r="AF357" i="2"/>
  <c r="AB357" i="2"/>
  <c r="AA357" i="2"/>
  <c r="Z357" i="2"/>
  <c r="K357" i="2"/>
  <c r="J357" i="2"/>
  <c r="L357" i="2" s="1"/>
  <c r="I357" i="2"/>
  <c r="AE372" i="2" s="1"/>
  <c r="H357" i="2"/>
  <c r="G357" i="2"/>
  <c r="G375" i="2" s="1"/>
  <c r="F357" i="2"/>
  <c r="T357" i="2" s="1"/>
  <c r="E357" i="2"/>
  <c r="AA372" i="2" s="1"/>
  <c r="AM356" i="2"/>
  <c r="AK356" i="2"/>
  <c r="AH356" i="2"/>
  <c r="AG356" i="2"/>
  <c r="AF356" i="2"/>
  <c r="AB356" i="2"/>
  <c r="AJ356" i="2" s="1"/>
  <c r="AA356" i="2"/>
  <c r="Z356" i="2"/>
  <c r="AM355" i="2"/>
  <c r="AD355" i="2"/>
  <c r="AB355" i="2"/>
  <c r="AJ355" i="2" s="1"/>
  <c r="AA355" i="2"/>
  <c r="Z355" i="2"/>
  <c r="AM354" i="2"/>
  <c r="AK354" i="2"/>
  <c r="AD354" i="2"/>
  <c r="AD360" i="2" s="1"/>
  <c r="AA354" i="2"/>
  <c r="AA360" i="2" s="1"/>
  <c r="Z354" i="2"/>
  <c r="Z360" i="2" s="1"/>
  <c r="AM350" i="2"/>
  <c r="AK350" i="2"/>
  <c r="AF350" i="2"/>
  <c r="AB350" i="2"/>
  <c r="AA350" i="2"/>
  <c r="Z350" i="2"/>
  <c r="AM349" i="2"/>
  <c r="AK349" i="2"/>
  <c r="AA349" i="2"/>
  <c r="Z349" i="2"/>
  <c r="AM348" i="2"/>
  <c r="AK348" i="2"/>
  <c r="AG348" i="2"/>
  <c r="AD348" i="2"/>
  <c r="AC348" i="2"/>
  <c r="Z348" i="2"/>
  <c r="O348" i="2"/>
  <c r="D348" i="2"/>
  <c r="AM347" i="2"/>
  <c r="AK347" i="2"/>
  <c r="Z347" i="2"/>
  <c r="T347" i="2"/>
  <c r="M347" i="2"/>
  <c r="K347" i="2"/>
  <c r="J347" i="2"/>
  <c r="L347" i="2" s="1"/>
  <c r="AH332" i="2" s="1"/>
  <c r="I347" i="2"/>
  <c r="AE332" i="2" s="1"/>
  <c r="H347" i="2"/>
  <c r="G347" i="2"/>
  <c r="F347" i="2"/>
  <c r="E347" i="2"/>
  <c r="AA332" i="2" s="1"/>
  <c r="AM346" i="2"/>
  <c r="AK346" i="2"/>
  <c r="AK351" i="2" s="1"/>
  <c r="AG346" i="2"/>
  <c r="AD346" i="2"/>
  <c r="AC346" i="2"/>
  <c r="Z346" i="2"/>
  <c r="M346" i="2"/>
  <c r="P346" i="2" s="1"/>
  <c r="L346" i="2"/>
  <c r="AH331" i="2" s="1"/>
  <c r="K346" i="2"/>
  <c r="J346" i="2"/>
  <c r="I346" i="2"/>
  <c r="H346" i="2"/>
  <c r="AD331" i="2" s="1"/>
  <c r="G346" i="2"/>
  <c r="F346" i="2"/>
  <c r="T346" i="2" s="1"/>
  <c r="E346" i="2"/>
  <c r="AM345" i="2"/>
  <c r="AK345" i="2"/>
  <c r="AG345" i="2"/>
  <c r="AG351" i="2" s="1"/>
  <c r="AF345" i="2"/>
  <c r="AC345" i="2"/>
  <c r="AB345" i="2"/>
  <c r="Z345" i="2"/>
  <c r="L345" i="2"/>
  <c r="K345" i="2"/>
  <c r="J345" i="2"/>
  <c r="H345" i="2"/>
  <c r="G345" i="2"/>
  <c r="F345" i="2"/>
  <c r="N345" i="2" s="1"/>
  <c r="E345" i="2"/>
  <c r="L344" i="2"/>
  <c r="AH340" i="2" s="1"/>
  <c r="K344" i="2"/>
  <c r="AG340" i="2" s="1"/>
  <c r="J344" i="2"/>
  <c r="H344" i="2"/>
  <c r="AD340" i="2" s="1"/>
  <c r="G344" i="2"/>
  <c r="I344" i="2" s="1"/>
  <c r="F344" i="2"/>
  <c r="N344" i="2" s="1"/>
  <c r="E344" i="2"/>
  <c r="K343" i="2"/>
  <c r="J343" i="2"/>
  <c r="H343" i="2"/>
  <c r="G343" i="2"/>
  <c r="F343" i="2"/>
  <c r="N343" i="2" s="1"/>
  <c r="AJ330" i="2" s="1"/>
  <c r="E343" i="2"/>
  <c r="T342" i="2"/>
  <c r="K342" i="2"/>
  <c r="J342" i="2"/>
  <c r="I342" i="2"/>
  <c r="AE339" i="2" s="1"/>
  <c r="H342" i="2"/>
  <c r="G342" i="2"/>
  <c r="F342" i="2"/>
  <c r="AB339" i="2" s="1"/>
  <c r="E342" i="2"/>
  <c r="AM341" i="2"/>
  <c r="AK341" i="2"/>
  <c r="AH341" i="2"/>
  <c r="AG341" i="2"/>
  <c r="AF341" i="2"/>
  <c r="AD341" i="2"/>
  <c r="AC341" i="2"/>
  <c r="AB341" i="2"/>
  <c r="AJ341" i="2" s="1"/>
  <c r="AA341" i="2"/>
  <c r="Z341" i="2"/>
  <c r="L341" i="2"/>
  <c r="AH350" i="2" s="1"/>
  <c r="K341" i="2"/>
  <c r="AG350" i="2" s="1"/>
  <c r="J341" i="2"/>
  <c r="H341" i="2"/>
  <c r="G341" i="2"/>
  <c r="AC350" i="2" s="1"/>
  <c r="F341" i="2"/>
  <c r="T341" i="2" s="1"/>
  <c r="E341" i="2"/>
  <c r="AM340" i="2"/>
  <c r="AK340" i="2"/>
  <c r="AJ340" i="2"/>
  <c r="AF340" i="2"/>
  <c r="AB340" i="2"/>
  <c r="AA340" i="2"/>
  <c r="Z340" i="2"/>
  <c r="L340" i="2"/>
  <c r="AH349" i="2" s="1"/>
  <c r="K340" i="2"/>
  <c r="AG349" i="2" s="1"/>
  <c r="J340" i="2"/>
  <c r="AF349" i="2" s="1"/>
  <c r="H340" i="2"/>
  <c r="AD349" i="2" s="1"/>
  <c r="G340" i="2"/>
  <c r="F340" i="2"/>
  <c r="N340" i="2" s="1"/>
  <c r="E340" i="2"/>
  <c r="AM339" i="2"/>
  <c r="AG339" i="2"/>
  <c r="AD339" i="2"/>
  <c r="AC339" i="2"/>
  <c r="AA339" i="2"/>
  <c r="Z339" i="2"/>
  <c r="K339" i="2"/>
  <c r="J339" i="2"/>
  <c r="I339" i="2"/>
  <c r="AE348" i="2" s="1"/>
  <c r="H339" i="2"/>
  <c r="G339" i="2"/>
  <c r="F339" i="2"/>
  <c r="E339" i="2"/>
  <c r="AA348" i="2" s="1"/>
  <c r="AM338" i="2"/>
  <c r="AK338" i="2"/>
  <c r="AG338" i="2"/>
  <c r="AD338" i="2"/>
  <c r="Z338" i="2"/>
  <c r="Z342" i="2" s="1"/>
  <c r="L338" i="2"/>
  <c r="AH347" i="2" s="1"/>
  <c r="K338" i="2"/>
  <c r="AG347" i="2" s="1"/>
  <c r="J338" i="2"/>
  <c r="AF347" i="2" s="1"/>
  <c r="H338" i="2"/>
  <c r="AD347" i="2" s="1"/>
  <c r="G338" i="2"/>
  <c r="AC347" i="2" s="1"/>
  <c r="F338" i="2"/>
  <c r="AB347" i="2" s="1"/>
  <c r="E338" i="2"/>
  <c r="AA347" i="2" s="1"/>
  <c r="AM337" i="2"/>
  <c r="AK337" i="2"/>
  <c r="AF337" i="2"/>
  <c r="AC337" i="2"/>
  <c r="AB337" i="2"/>
  <c r="AJ337" i="2" s="1"/>
  <c r="Z337" i="2"/>
  <c r="K337" i="2"/>
  <c r="J337" i="2"/>
  <c r="H337" i="2"/>
  <c r="G337" i="2"/>
  <c r="F337" i="2"/>
  <c r="N337" i="2" s="1"/>
  <c r="E337" i="2"/>
  <c r="AM336" i="2"/>
  <c r="AK336" i="2"/>
  <c r="AJ336" i="2"/>
  <c r="AF336" i="2"/>
  <c r="AB336" i="2"/>
  <c r="AA336" i="2"/>
  <c r="AA342" i="2" s="1"/>
  <c r="Z336" i="2"/>
  <c r="T336" i="2"/>
  <c r="N336" i="2"/>
  <c r="K336" i="2"/>
  <c r="AG328" i="2" s="1"/>
  <c r="J336" i="2"/>
  <c r="L336" i="2" s="1"/>
  <c r="AH328" i="2" s="1"/>
  <c r="H336" i="2"/>
  <c r="G336" i="2"/>
  <c r="F336" i="2"/>
  <c r="E336" i="2"/>
  <c r="K335" i="2"/>
  <c r="AG327" i="2" s="1"/>
  <c r="J335" i="2"/>
  <c r="H335" i="2"/>
  <c r="G335" i="2"/>
  <c r="F335" i="2"/>
  <c r="F348" i="2" s="1"/>
  <c r="E335" i="2"/>
  <c r="T334" i="2"/>
  <c r="AP338" i="2" s="1"/>
  <c r="N334" i="2"/>
  <c r="K334" i="2"/>
  <c r="J334" i="2"/>
  <c r="H334" i="2"/>
  <c r="G334" i="2"/>
  <c r="I334" i="2" s="1"/>
  <c r="F334" i="2"/>
  <c r="AB338" i="2" s="1"/>
  <c r="E334" i="2"/>
  <c r="AA338" i="2" s="1"/>
  <c r="AK333" i="2"/>
  <c r="L333" i="2"/>
  <c r="AH346" i="2" s="1"/>
  <c r="K333" i="2"/>
  <c r="J333" i="2"/>
  <c r="AF346" i="2" s="1"/>
  <c r="I333" i="2"/>
  <c r="AE346" i="2" s="1"/>
  <c r="H333" i="2"/>
  <c r="G333" i="2"/>
  <c r="F333" i="2"/>
  <c r="T333" i="2" s="1"/>
  <c r="E333" i="2"/>
  <c r="AA346" i="2" s="1"/>
  <c r="AM332" i="2"/>
  <c r="AK332" i="2"/>
  <c r="AG332" i="2"/>
  <c r="AF332" i="2"/>
  <c r="AD332" i="2"/>
  <c r="AC332" i="2"/>
  <c r="AB332" i="2"/>
  <c r="AJ332" i="2" s="1"/>
  <c r="Z332" i="2"/>
  <c r="L332" i="2"/>
  <c r="AH337" i="2" s="1"/>
  <c r="K332" i="2"/>
  <c r="AG337" i="2" s="1"/>
  <c r="J332" i="2"/>
  <c r="H332" i="2"/>
  <c r="AD337" i="2" s="1"/>
  <c r="G332" i="2"/>
  <c r="F332" i="2"/>
  <c r="N332" i="2" s="1"/>
  <c r="E332" i="2"/>
  <c r="AA337" i="2" s="1"/>
  <c r="AM331" i="2"/>
  <c r="AK331" i="2"/>
  <c r="AG331" i="2"/>
  <c r="AF331" i="2"/>
  <c r="AE331" i="2"/>
  <c r="AC331" i="2"/>
  <c r="AB331" i="2"/>
  <c r="AA331" i="2"/>
  <c r="AJ331" i="2" s="1"/>
  <c r="Z331" i="2"/>
  <c r="T331" i="2"/>
  <c r="N331" i="2"/>
  <c r="K331" i="2"/>
  <c r="AG336" i="2" s="1"/>
  <c r="J331" i="2"/>
  <c r="L331" i="2" s="1"/>
  <c r="AH336" i="2" s="1"/>
  <c r="H331" i="2"/>
  <c r="AD336" i="2" s="1"/>
  <c r="G331" i="2"/>
  <c r="F331" i="2"/>
  <c r="E331" i="2"/>
  <c r="AM330" i="2"/>
  <c r="AK330" i="2"/>
  <c r="AF330" i="2"/>
  <c r="AD330" i="2"/>
  <c r="AB330" i="2"/>
  <c r="AA330" i="2"/>
  <c r="Z330" i="2"/>
  <c r="T330" i="2"/>
  <c r="M330" i="2"/>
  <c r="K330" i="2"/>
  <c r="J330" i="2"/>
  <c r="L330" i="2" s="1"/>
  <c r="I330" i="2"/>
  <c r="AE345" i="2" s="1"/>
  <c r="H330" i="2"/>
  <c r="H348" i="2" s="1"/>
  <c r="G330" i="2"/>
  <c r="F330" i="2"/>
  <c r="E330" i="2"/>
  <c r="AM329" i="2"/>
  <c r="AK329" i="2"/>
  <c r="AF329" i="2"/>
  <c r="AD329" i="2"/>
  <c r="AB329" i="2"/>
  <c r="AJ329" i="2" s="1"/>
  <c r="AA329" i="2"/>
  <c r="Z329" i="2"/>
  <c r="Z333" i="2" s="1"/>
  <c r="AM328" i="2"/>
  <c r="AF328" i="2"/>
  <c r="AD328" i="2"/>
  <c r="AB328" i="2"/>
  <c r="AA328" i="2"/>
  <c r="AJ328" i="2" s="1"/>
  <c r="Z328" i="2"/>
  <c r="AM327" i="2"/>
  <c r="AK327" i="2"/>
  <c r="AD327" i="2"/>
  <c r="AA327" i="2"/>
  <c r="Z327" i="2"/>
  <c r="AM323" i="2"/>
  <c r="AK323" i="2"/>
  <c r="AF323" i="2"/>
  <c r="AE323" i="2"/>
  <c r="AB323" i="2"/>
  <c r="Z323" i="2"/>
  <c r="AQ322" i="2"/>
  <c r="AP322" i="2"/>
  <c r="AM322" i="2"/>
  <c r="AK322" i="2"/>
  <c r="AD322" i="2"/>
  <c r="AA322" i="2"/>
  <c r="Z322" i="2"/>
  <c r="AM321" i="2"/>
  <c r="AK321" i="2"/>
  <c r="AG321" i="2"/>
  <c r="AD321" i="2"/>
  <c r="AC321" i="2"/>
  <c r="Z321" i="2"/>
  <c r="O321" i="2"/>
  <c r="F321" i="2"/>
  <c r="D321" i="2"/>
  <c r="AM320" i="2"/>
  <c r="AK320" i="2"/>
  <c r="AE320" i="2"/>
  <c r="AD320" i="2"/>
  <c r="AA320" i="2"/>
  <c r="Z320" i="2"/>
  <c r="N320" i="2"/>
  <c r="K320" i="2"/>
  <c r="J320" i="2"/>
  <c r="L320" i="2" s="1"/>
  <c r="AH305" i="2" s="1"/>
  <c r="I320" i="2"/>
  <c r="H320" i="2"/>
  <c r="G320" i="2"/>
  <c r="F320" i="2"/>
  <c r="E320" i="2"/>
  <c r="AA305" i="2" s="1"/>
  <c r="AP319" i="2"/>
  <c r="AM319" i="2"/>
  <c r="AK319" i="2"/>
  <c r="AG319" i="2"/>
  <c r="AC319" i="2"/>
  <c r="Z319" i="2"/>
  <c r="L319" i="2"/>
  <c r="AH304" i="2" s="1"/>
  <c r="K319" i="2"/>
  <c r="J319" i="2"/>
  <c r="H319" i="2"/>
  <c r="AD304" i="2" s="1"/>
  <c r="G319" i="2"/>
  <c r="F319" i="2"/>
  <c r="E319" i="2"/>
  <c r="AM318" i="2"/>
  <c r="AK318" i="2"/>
  <c r="AG318" i="2"/>
  <c r="AF318" i="2"/>
  <c r="AC318" i="2"/>
  <c r="AB318" i="2"/>
  <c r="Z318" i="2"/>
  <c r="K318" i="2"/>
  <c r="J318" i="2"/>
  <c r="H318" i="2"/>
  <c r="G318" i="2"/>
  <c r="F318" i="2"/>
  <c r="T318" i="2" s="1"/>
  <c r="E318" i="2"/>
  <c r="K317" i="2"/>
  <c r="L317" i="2" s="1"/>
  <c r="AH313" i="2" s="1"/>
  <c r="J317" i="2"/>
  <c r="H317" i="2"/>
  <c r="AD313" i="2" s="1"/>
  <c r="G317" i="2"/>
  <c r="F317" i="2"/>
  <c r="T317" i="2" s="1"/>
  <c r="AP313" i="2" s="1"/>
  <c r="E317" i="2"/>
  <c r="L316" i="2"/>
  <c r="AH303" i="2" s="1"/>
  <c r="K316" i="2"/>
  <c r="AG303" i="2" s="1"/>
  <c r="J316" i="2"/>
  <c r="H316" i="2"/>
  <c r="AD303" i="2" s="1"/>
  <c r="AD306" i="2" s="1"/>
  <c r="G316" i="2"/>
  <c r="F316" i="2"/>
  <c r="T316" i="2" s="1"/>
  <c r="U316" i="2" s="1"/>
  <c r="E316" i="2"/>
  <c r="AD315" i="2"/>
  <c r="K315" i="2"/>
  <c r="J315" i="2"/>
  <c r="I315" i="2"/>
  <c r="H315" i="2"/>
  <c r="G315" i="2"/>
  <c r="F315" i="2"/>
  <c r="AB312" i="2" s="1"/>
  <c r="E315" i="2"/>
  <c r="N315" i="2" s="1"/>
  <c r="AM314" i="2"/>
  <c r="AK314" i="2"/>
  <c r="AF314" i="2"/>
  <c r="AD314" i="2"/>
  <c r="AB314" i="2"/>
  <c r="AJ314" i="2" s="1"/>
  <c r="AA314" i="2"/>
  <c r="Z314" i="2"/>
  <c r="L314" i="2"/>
  <c r="AH323" i="2" s="1"/>
  <c r="K314" i="2"/>
  <c r="AG323" i="2" s="1"/>
  <c r="J314" i="2"/>
  <c r="I314" i="2"/>
  <c r="M314" i="2" s="1"/>
  <c r="H314" i="2"/>
  <c r="AD323" i="2" s="1"/>
  <c r="G314" i="2"/>
  <c r="AC323" i="2" s="1"/>
  <c r="F314" i="2"/>
  <c r="N314" i="2" s="1"/>
  <c r="E314" i="2"/>
  <c r="AA323" i="2" s="1"/>
  <c r="AJ323" i="2" s="1"/>
  <c r="AM313" i="2"/>
  <c r="AK313" i="2"/>
  <c r="AF313" i="2"/>
  <c r="AB313" i="2"/>
  <c r="AJ313" i="2" s="1"/>
  <c r="AA313" i="2"/>
  <c r="Z313" i="2"/>
  <c r="K313" i="2"/>
  <c r="J313" i="2"/>
  <c r="AF322" i="2" s="1"/>
  <c r="H313" i="2"/>
  <c r="G313" i="2"/>
  <c r="F313" i="2"/>
  <c r="T313" i="2" s="1"/>
  <c r="U313" i="2" s="1"/>
  <c r="E313" i="2"/>
  <c r="AM312" i="2"/>
  <c r="AG312" i="2"/>
  <c r="AE312" i="2"/>
  <c r="AD312" i="2"/>
  <c r="AC312" i="2"/>
  <c r="AA312" i="2"/>
  <c r="Z312" i="2"/>
  <c r="T312" i="2"/>
  <c r="K312" i="2"/>
  <c r="J312" i="2"/>
  <c r="I312" i="2"/>
  <c r="AE321" i="2" s="1"/>
  <c r="H312" i="2"/>
  <c r="G312" i="2"/>
  <c r="F312" i="2"/>
  <c r="AB321" i="2" s="1"/>
  <c r="E312" i="2"/>
  <c r="AA321" i="2" s="1"/>
  <c r="AM311" i="2"/>
  <c r="AK311" i="2"/>
  <c r="AD311" i="2"/>
  <c r="Z311" i="2"/>
  <c r="Z315" i="2" s="1"/>
  <c r="S311" i="2"/>
  <c r="R311" i="2" s="1"/>
  <c r="M311" i="2"/>
  <c r="L311" i="2"/>
  <c r="AH320" i="2" s="1"/>
  <c r="K311" i="2"/>
  <c r="AG320" i="2" s="1"/>
  <c r="J311" i="2"/>
  <c r="AF320" i="2" s="1"/>
  <c r="I311" i="2"/>
  <c r="H311" i="2"/>
  <c r="G311" i="2"/>
  <c r="AC320" i="2" s="1"/>
  <c r="F311" i="2"/>
  <c r="N311" i="2" s="1"/>
  <c r="E311" i="2"/>
  <c r="AM310" i="2"/>
  <c r="AK310" i="2"/>
  <c r="AG310" i="2"/>
  <c r="AF310" i="2"/>
  <c r="AB310" i="2"/>
  <c r="Z310" i="2"/>
  <c r="L310" i="2"/>
  <c r="K310" i="2"/>
  <c r="AG302" i="2" s="1"/>
  <c r="J310" i="2"/>
  <c r="H310" i="2"/>
  <c r="AD302" i="2" s="1"/>
  <c r="G310" i="2"/>
  <c r="F310" i="2"/>
  <c r="T310" i="2" s="1"/>
  <c r="U310" i="2" s="1"/>
  <c r="AQ302" i="2" s="1"/>
  <c r="E310" i="2"/>
  <c r="AM309" i="2"/>
  <c r="AK309" i="2"/>
  <c r="AK315" i="2" s="1"/>
  <c r="AF309" i="2"/>
  <c r="AB309" i="2"/>
  <c r="AA309" i="2"/>
  <c r="Z309" i="2"/>
  <c r="T309" i="2"/>
  <c r="AP301" i="2" s="1"/>
  <c r="N309" i="2"/>
  <c r="K309" i="2"/>
  <c r="AG301" i="2" s="1"/>
  <c r="J309" i="2"/>
  <c r="H309" i="2"/>
  <c r="G309" i="2"/>
  <c r="F309" i="2"/>
  <c r="AB301" i="2" s="1"/>
  <c r="E309" i="2"/>
  <c r="T308" i="2"/>
  <c r="N308" i="2"/>
  <c r="K308" i="2"/>
  <c r="AG300" i="2" s="1"/>
  <c r="J308" i="2"/>
  <c r="H308" i="2"/>
  <c r="G308" i="2"/>
  <c r="F308" i="2"/>
  <c r="AB300" i="2" s="1"/>
  <c r="E308" i="2"/>
  <c r="K307" i="2"/>
  <c r="AG311" i="2" s="1"/>
  <c r="J307" i="2"/>
  <c r="H307" i="2"/>
  <c r="G307" i="2"/>
  <c r="I307" i="2" s="1"/>
  <c r="F307" i="2"/>
  <c r="T307" i="2" s="1"/>
  <c r="E307" i="2"/>
  <c r="AA311" i="2" s="1"/>
  <c r="AG306" i="2"/>
  <c r="T306" i="2"/>
  <c r="L306" i="2"/>
  <c r="AH319" i="2" s="1"/>
  <c r="K306" i="2"/>
  <c r="J306" i="2"/>
  <c r="AF319" i="2" s="1"/>
  <c r="H306" i="2"/>
  <c r="G306" i="2"/>
  <c r="F306" i="2"/>
  <c r="AB319" i="2" s="1"/>
  <c r="E306" i="2"/>
  <c r="AA319" i="2" s="1"/>
  <c r="AM305" i="2"/>
  <c r="AK305" i="2"/>
  <c r="AG305" i="2"/>
  <c r="AF305" i="2"/>
  <c r="AD305" i="2"/>
  <c r="AC305" i="2"/>
  <c r="Z305" i="2"/>
  <c r="U305" i="2"/>
  <c r="AQ310" i="2" s="1"/>
  <c r="T305" i="2"/>
  <c r="AP310" i="2" s="1"/>
  <c r="L305" i="2"/>
  <c r="AH310" i="2" s="1"/>
  <c r="K305" i="2"/>
  <c r="J305" i="2"/>
  <c r="H305" i="2"/>
  <c r="AD310" i="2" s="1"/>
  <c r="G305" i="2"/>
  <c r="F305" i="2"/>
  <c r="N305" i="2" s="1"/>
  <c r="E305" i="2"/>
  <c r="AA310" i="2" s="1"/>
  <c r="AA315" i="2" s="1"/>
  <c r="AM304" i="2"/>
  <c r="AK304" i="2"/>
  <c r="AG304" i="2"/>
  <c r="AF304" i="2"/>
  <c r="AC304" i="2"/>
  <c r="AB304" i="2"/>
  <c r="AA304" i="2"/>
  <c r="AJ304" i="2" s="1"/>
  <c r="Z304" i="2"/>
  <c r="T304" i="2"/>
  <c r="N304" i="2"/>
  <c r="K304" i="2"/>
  <c r="AG309" i="2" s="1"/>
  <c r="J304" i="2"/>
  <c r="L304" i="2" s="1"/>
  <c r="AH309" i="2" s="1"/>
  <c r="H304" i="2"/>
  <c r="AD309" i="2" s="1"/>
  <c r="G304" i="2"/>
  <c r="F304" i="2"/>
  <c r="E304" i="2"/>
  <c r="AQ303" i="2"/>
  <c r="AP303" i="2"/>
  <c r="AM303" i="2"/>
  <c r="AK303" i="2"/>
  <c r="AF303" i="2"/>
  <c r="AB303" i="2"/>
  <c r="AA303" i="2"/>
  <c r="Z303" i="2"/>
  <c r="T303" i="2"/>
  <c r="M303" i="2"/>
  <c r="K303" i="2"/>
  <c r="K321" i="2" s="1"/>
  <c r="J303" i="2"/>
  <c r="L303" i="2" s="1"/>
  <c r="I303" i="2"/>
  <c r="AE318" i="2" s="1"/>
  <c r="H303" i="2"/>
  <c r="G303" i="2"/>
  <c r="F303" i="2"/>
  <c r="E303" i="2"/>
  <c r="AP302" i="2"/>
  <c r="AM302" i="2"/>
  <c r="AK302" i="2"/>
  <c r="AK306" i="2" s="1"/>
  <c r="AH302" i="2"/>
  <c r="AF302" i="2"/>
  <c r="AC302" i="2"/>
  <c r="AB302" i="2"/>
  <c r="AJ302" i="2" s="1"/>
  <c r="AA302" i="2"/>
  <c r="Z302" i="2"/>
  <c r="AM301" i="2"/>
  <c r="AD301" i="2"/>
  <c r="AA301" i="2"/>
  <c r="AJ301" i="2" s="1"/>
  <c r="Z301" i="2"/>
  <c r="AM300" i="2"/>
  <c r="AK300" i="2"/>
  <c r="AD300" i="2"/>
  <c r="AA300" i="2"/>
  <c r="Z300" i="2"/>
  <c r="Z306" i="2" s="1"/>
  <c r="AM296" i="2"/>
  <c r="AK296" i="2"/>
  <c r="AF296" i="2"/>
  <c r="AB296" i="2"/>
  <c r="AJ296" i="2" s="1"/>
  <c r="Z296" i="2"/>
  <c r="AM295" i="2"/>
  <c r="AK295" i="2"/>
  <c r="AD295" i="2"/>
  <c r="AA295" i="2"/>
  <c r="Z295" i="2"/>
  <c r="AM294" i="2"/>
  <c r="AK294" i="2"/>
  <c r="AG294" i="2"/>
  <c r="AD294" i="2"/>
  <c r="AC294" i="2"/>
  <c r="Z294" i="2"/>
  <c r="O294" i="2"/>
  <c r="D294" i="2"/>
  <c r="AM293" i="2"/>
  <c r="AK293" i="2"/>
  <c r="AD293" i="2"/>
  <c r="AC293" i="2"/>
  <c r="Z293" i="2"/>
  <c r="K293" i="2"/>
  <c r="J293" i="2"/>
  <c r="I293" i="2"/>
  <c r="AE278" i="2" s="1"/>
  <c r="H293" i="2"/>
  <c r="AD278" i="2" s="1"/>
  <c r="G293" i="2"/>
  <c r="F293" i="2"/>
  <c r="N293" i="2" s="1"/>
  <c r="E293" i="2"/>
  <c r="AA278" i="2" s="1"/>
  <c r="AP292" i="2"/>
  <c r="AM292" i="2"/>
  <c r="AK292" i="2"/>
  <c r="AH292" i="2"/>
  <c r="AG292" i="2"/>
  <c r="AF292" i="2"/>
  <c r="AD292" i="2"/>
  <c r="AC292" i="2"/>
  <c r="Z292" i="2"/>
  <c r="L292" i="2"/>
  <c r="AH277" i="2" s="1"/>
  <c r="K292" i="2"/>
  <c r="AG277" i="2" s="1"/>
  <c r="J292" i="2"/>
  <c r="I292" i="2"/>
  <c r="H292" i="2"/>
  <c r="AD277" i="2" s="1"/>
  <c r="G292" i="2"/>
  <c r="F292" i="2"/>
  <c r="T292" i="2" s="1"/>
  <c r="E292" i="2"/>
  <c r="AA277" i="2" s="1"/>
  <c r="AM291" i="2"/>
  <c r="AK291" i="2"/>
  <c r="AK297" i="2" s="1"/>
  <c r="AG291" i="2"/>
  <c r="AG297" i="2" s="1"/>
  <c r="AC291" i="2"/>
  <c r="Z291" i="2"/>
  <c r="Z297" i="2" s="1"/>
  <c r="L291" i="2"/>
  <c r="AH287" i="2" s="1"/>
  <c r="K291" i="2"/>
  <c r="J291" i="2"/>
  <c r="H291" i="2"/>
  <c r="G291" i="2"/>
  <c r="I291" i="2" s="1"/>
  <c r="F291" i="2"/>
  <c r="N291" i="2" s="1"/>
  <c r="E291" i="2"/>
  <c r="K290" i="2"/>
  <c r="L290" i="2" s="1"/>
  <c r="AH286" i="2" s="1"/>
  <c r="J290" i="2"/>
  <c r="H290" i="2"/>
  <c r="AD286" i="2" s="1"/>
  <c r="G290" i="2"/>
  <c r="I290" i="2" s="1"/>
  <c r="F290" i="2"/>
  <c r="N290" i="2" s="1"/>
  <c r="E290" i="2"/>
  <c r="K289" i="2"/>
  <c r="J289" i="2"/>
  <c r="H289" i="2"/>
  <c r="G289" i="2"/>
  <c r="F289" i="2"/>
  <c r="N289" i="2" s="1"/>
  <c r="AJ276" i="2" s="1"/>
  <c r="E289" i="2"/>
  <c r="K288" i="2"/>
  <c r="J288" i="2"/>
  <c r="I288" i="2"/>
  <c r="H288" i="2"/>
  <c r="G288" i="2"/>
  <c r="F288" i="2"/>
  <c r="E288" i="2"/>
  <c r="AM287" i="2"/>
  <c r="AK287" i="2"/>
  <c r="AG287" i="2"/>
  <c r="AF287" i="2"/>
  <c r="AD287" i="2"/>
  <c r="AA287" i="2"/>
  <c r="Z287" i="2"/>
  <c r="L287" i="2"/>
  <c r="AH296" i="2" s="1"/>
  <c r="K287" i="2"/>
  <c r="AG296" i="2" s="1"/>
  <c r="J287" i="2"/>
  <c r="H287" i="2"/>
  <c r="AD296" i="2" s="1"/>
  <c r="G287" i="2"/>
  <c r="AC296" i="2" s="1"/>
  <c r="F287" i="2"/>
  <c r="T287" i="2" s="1"/>
  <c r="E287" i="2"/>
  <c r="AA296" i="2" s="1"/>
  <c r="AM286" i="2"/>
  <c r="AK286" i="2"/>
  <c r="AG286" i="2"/>
  <c r="AF286" i="2"/>
  <c r="AC286" i="2"/>
  <c r="AB286" i="2"/>
  <c r="AJ286" i="2" s="1"/>
  <c r="AA286" i="2"/>
  <c r="Z286" i="2"/>
  <c r="K286" i="2"/>
  <c r="AG295" i="2" s="1"/>
  <c r="J286" i="2"/>
  <c r="AF295" i="2" s="1"/>
  <c r="H286" i="2"/>
  <c r="G286" i="2"/>
  <c r="F286" i="2"/>
  <c r="N286" i="2" s="1"/>
  <c r="E286" i="2"/>
  <c r="AM285" i="2"/>
  <c r="AG285" i="2"/>
  <c r="AE285" i="2"/>
  <c r="AD285" i="2"/>
  <c r="AC285" i="2"/>
  <c r="AA285" i="2"/>
  <c r="Z285" i="2"/>
  <c r="Z288" i="2" s="1"/>
  <c r="K285" i="2"/>
  <c r="J285" i="2"/>
  <c r="I285" i="2"/>
  <c r="AE294" i="2" s="1"/>
  <c r="H285" i="2"/>
  <c r="G285" i="2"/>
  <c r="F285" i="2"/>
  <c r="AB294" i="2" s="1"/>
  <c r="E285" i="2"/>
  <c r="AA294" i="2" s="1"/>
  <c r="AM284" i="2"/>
  <c r="AK284" i="2"/>
  <c r="AD284" i="2"/>
  <c r="AC284" i="2"/>
  <c r="Z284" i="2"/>
  <c r="V284" i="2"/>
  <c r="S284" i="2"/>
  <c r="R284" i="2" s="1"/>
  <c r="L284" i="2"/>
  <c r="AH293" i="2" s="1"/>
  <c r="K284" i="2"/>
  <c r="AG293" i="2" s="1"/>
  <c r="J284" i="2"/>
  <c r="AF293" i="2" s="1"/>
  <c r="H284" i="2"/>
  <c r="I284" i="2" s="1"/>
  <c r="M284" i="2" s="1"/>
  <c r="P284" i="2" s="1"/>
  <c r="G284" i="2"/>
  <c r="F284" i="2"/>
  <c r="AB293" i="2" s="1"/>
  <c r="E284" i="2"/>
  <c r="AA293" i="2" s="1"/>
  <c r="AM283" i="2"/>
  <c r="AK283" i="2"/>
  <c r="AK288" i="2" s="1"/>
  <c r="AJ283" i="2"/>
  <c r="AG283" i="2"/>
  <c r="AF283" i="2"/>
  <c r="AC283" i="2"/>
  <c r="AB283" i="2"/>
  <c r="AA283" i="2"/>
  <c r="Z283" i="2"/>
  <c r="K283" i="2"/>
  <c r="L283" i="2" s="1"/>
  <c r="J283" i="2"/>
  <c r="H283" i="2"/>
  <c r="G283" i="2"/>
  <c r="I283" i="2" s="1"/>
  <c r="F283" i="2"/>
  <c r="N283" i="2" s="1"/>
  <c r="E283" i="2"/>
  <c r="AM282" i="2"/>
  <c r="AK282" i="2"/>
  <c r="AF282" i="2"/>
  <c r="AD282" i="2"/>
  <c r="AB282" i="2"/>
  <c r="AA282" i="2"/>
  <c r="Z282" i="2"/>
  <c r="T282" i="2"/>
  <c r="AP274" i="2" s="1"/>
  <c r="K282" i="2"/>
  <c r="AG274" i="2" s="1"/>
  <c r="J282" i="2"/>
  <c r="H282" i="2"/>
  <c r="G282" i="2"/>
  <c r="F282" i="2"/>
  <c r="N282" i="2" s="1"/>
  <c r="E282" i="2"/>
  <c r="N281" i="2"/>
  <c r="K281" i="2"/>
  <c r="AG273" i="2" s="1"/>
  <c r="J281" i="2"/>
  <c r="H281" i="2"/>
  <c r="G281" i="2"/>
  <c r="F281" i="2"/>
  <c r="E281" i="2"/>
  <c r="T280" i="2"/>
  <c r="U280" i="2" s="1"/>
  <c r="AQ284" i="2" s="1"/>
  <c r="K280" i="2"/>
  <c r="AG284" i="2" s="1"/>
  <c r="J280" i="2"/>
  <c r="H280" i="2"/>
  <c r="G280" i="2"/>
  <c r="I280" i="2" s="1"/>
  <c r="F280" i="2"/>
  <c r="AB284" i="2" s="1"/>
  <c r="E280" i="2"/>
  <c r="AA284" i="2" s="1"/>
  <c r="Z279" i="2"/>
  <c r="T279" i="2"/>
  <c r="L279" i="2"/>
  <c r="K279" i="2"/>
  <c r="J279" i="2"/>
  <c r="H279" i="2"/>
  <c r="I279" i="2" s="1"/>
  <c r="G279" i="2"/>
  <c r="F279" i="2"/>
  <c r="AB292" i="2" s="1"/>
  <c r="E279" i="2"/>
  <c r="AM278" i="2"/>
  <c r="AK278" i="2"/>
  <c r="AK279" i="2" s="1"/>
  <c r="AJ278" i="2"/>
  <c r="AG278" i="2"/>
  <c r="AC278" i="2"/>
  <c r="AB278" i="2"/>
  <c r="Z278" i="2"/>
  <c r="K278" i="2"/>
  <c r="L278" i="2" s="1"/>
  <c r="AH283" i="2" s="1"/>
  <c r="J278" i="2"/>
  <c r="H278" i="2"/>
  <c r="AD283" i="2" s="1"/>
  <c r="G278" i="2"/>
  <c r="F278" i="2"/>
  <c r="N278" i="2" s="1"/>
  <c r="E278" i="2"/>
  <c r="AM277" i="2"/>
  <c r="AK277" i="2"/>
  <c r="AF277" i="2"/>
  <c r="AC277" i="2"/>
  <c r="AB277" i="2"/>
  <c r="Z277" i="2"/>
  <c r="T277" i="2"/>
  <c r="N277" i="2"/>
  <c r="K277" i="2"/>
  <c r="AG282" i="2" s="1"/>
  <c r="J277" i="2"/>
  <c r="L277" i="2" s="1"/>
  <c r="AH282" i="2" s="1"/>
  <c r="H277" i="2"/>
  <c r="G277" i="2"/>
  <c r="F277" i="2"/>
  <c r="E277" i="2"/>
  <c r="AM276" i="2"/>
  <c r="AK276" i="2"/>
  <c r="AF276" i="2"/>
  <c r="AD276" i="2"/>
  <c r="AA276" i="2"/>
  <c r="Z276" i="2"/>
  <c r="K276" i="2"/>
  <c r="J276" i="2"/>
  <c r="I276" i="2"/>
  <c r="AE291" i="2" s="1"/>
  <c r="H276" i="2"/>
  <c r="G276" i="2"/>
  <c r="F276" i="2"/>
  <c r="N276" i="2" s="1"/>
  <c r="E276" i="2"/>
  <c r="AA291" i="2" s="1"/>
  <c r="AM275" i="2"/>
  <c r="AK275" i="2"/>
  <c r="AH275" i="2"/>
  <c r="AF275" i="2"/>
  <c r="AD275" i="2"/>
  <c r="AC275" i="2"/>
  <c r="AB275" i="2"/>
  <c r="AJ275" i="2" s="1"/>
  <c r="AA275" i="2"/>
  <c r="Z275" i="2"/>
  <c r="AM274" i="2"/>
  <c r="AJ274" i="2"/>
  <c r="AD274" i="2"/>
  <c r="AB274" i="2"/>
  <c r="AA274" i="2"/>
  <c r="Z274" i="2"/>
  <c r="AM273" i="2"/>
  <c r="AK273" i="2"/>
  <c r="AD273" i="2"/>
  <c r="AA273" i="2"/>
  <c r="Z273" i="2"/>
  <c r="AQ269" i="2"/>
  <c r="AM269" i="2"/>
  <c r="AK269" i="2"/>
  <c r="AF269" i="2"/>
  <c r="AB269" i="2"/>
  <c r="AA269" i="2"/>
  <c r="AJ269" i="2" s="1"/>
  <c r="Z269" i="2"/>
  <c r="AQ268" i="2"/>
  <c r="AP268" i="2"/>
  <c r="AM268" i="2"/>
  <c r="AK268" i="2"/>
  <c r="AD268" i="2"/>
  <c r="AA268" i="2"/>
  <c r="Z268" i="2"/>
  <c r="AM267" i="2"/>
  <c r="AK267" i="2"/>
  <c r="AG267" i="2"/>
  <c r="AD267" i="2"/>
  <c r="AC267" i="2"/>
  <c r="Z267" i="2"/>
  <c r="O267" i="2"/>
  <c r="D267" i="2"/>
  <c r="AQ266" i="2"/>
  <c r="AP266" i="2"/>
  <c r="AM266" i="2"/>
  <c r="AK266" i="2"/>
  <c r="AH266" i="2"/>
  <c r="AD266" i="2"/>
  <c r="Z266" i="2"/>
  <c r="K266" i="2"/>
  <c r="J266" i="2"/>
  <c r="L266" i="2" s="1"/>
  <c r="AH251" i="2" s="1"/>
  <c r="I266" i="2"/>
  <c r="H266" i="2"/>
  <c r="G266" i="2"/>
  <c r="F266" i="2"/>
  <c r="T266" i="2" s="1"/>
  <c r="E266" i="2"/>
  <c r="AA251" i="2" s="1"/>
  <c r="AP265" i="2"/>
  <c r="AM265" i="2"/>
  <c r="AK265" i="2"/>
  <c r="AK270" i="2" s="1"/>
  <c r="AH265" i="2"/>
  <c r="AG265" i="2"/>
  <c r="AD265" i="2"/>
  <c r="AC265" i="2"/>
  <c r="AB265" i="2"/>
  <c r="Z265" i="2"/>
  <c r="T265" i="2"/>
  <c r="L265" i="2"/>
  <c r="K265" i="2"/>
  <c r="J265" i="2"/>
  <c r="I265" i="2"/>
  <c r="AE250" i="2" s="1"/>
  <c r="H265" i="2"/>
  <c r="AD250" i="2" s="1"/>
  <c r="G265" i="2"/>
  <c r="F265" i="2"/>
  <c r="E265" i="2"/>
  <c r="U265" i="2" s="1"/>
  <c r="AM264" i="2"/>
  <c r="AK264" i="2"/>
  <c r="AG264" i="2"/>
  <c r="AF264" i="2"/>
  <c r="AC264" i="2"/>
  <c r="Z264" i="2"/>
  <c r="U264" i="2"/>
  <c r="AQ260" i="2" s="1"/>
  <c r="T264" i="2"/>
  <c r="L264" i="2"/>
  <c r="AH260" i="2" s="1"/>
  <c r="K264" i="2"/>
  <c r="J264" i="2"/>
  <c r="AF260" i="2" s="1"/>
  <c r="H264" i="2"/>
  <c r="AD260" i="2" s="1"/>
  <c r="G264" i="2"/>
  <c r="F264" i="2"/>
  <c r="N264" i="2" s="1"/>
  <c r="E264" i="2"/>
  <c r="AA260" i="2" s="1"/>
  <c r="U263" i="2"/>
  <c r="AQ259" i="2" s="1"/>
  <c r="T263" i="2"/>
  <c r="AP259" i="2" s="1"/>
  <c r="L263" i="2"/>
  <c r="AH259" i="2" s="1"/>
  <c r="K263" i="2"/>
  <c r="J263" i="2"/>
  <c r="H263" i="2"/>
  <c r="AD259" i="2" s="1"/>
  <c r="G263" i="2"/>
  <c r="F263" i="2"/>
  <c r="N263" i="2" s="1"/>
  <c r="E263" i="2"/>
  <c r="U262" i="2"/>
  <c r="AQ249" i="2" s="1"/>
  <c r="T262" i="2"/>
  <c r="L262" i="2"/>
  <c r="K262" i="2"/>
  <c r="AG249" i="2" s="1"/>
  <c r="J262" i="2"/>
  <c r="AF249" i="2" s="1"/>
  <c r="H262" i="2"/>
  <c r="AD249" i="2" s="1"/>
  <c r="G262" i="2"/>
  <c r="F262" i="2"/>
  <c r="N262" i="2" s="1"/>
  <c r="AJ249" i="2" s="1"/>
  <c r="E262" i="2"/>
  <c r="K261" i="2"/>
  <c r="J261" i="2"/>
  <c r="I261" i="2"/>
  <c r="H261" i="2"/>
  <c r="G261" i="2"/>
  <c r="F261" i="2"/>
  <c r="E261" i="2"/>
  <c r="N261" i="2" s="1"/>
  <c r="AP260" i="2"/>
  <c r="AM260" i="2"/>
  <c r="AK260" i="2"/>
  <c r="AG260" i="2"/>
  <c r="AC260" i="2"/>
  <c r="AB260" i="2"/>
  <c r="Z260" i="2"/>
  <c r="T260" i="2"/>
  <c r="AP269" i="2" s="1"/>
  <c r="L260" i="2"/>
  <c r="AH269" i="2" s="1"/>
  <c r="K260" i="2"/>
  <c r="AG269" i="2" s="1"/>
  <c r="J260" i="2"/>
  <c r="I260" i="2"/>
  <c r="AE269" i="2" s="1"/>
  <c r="H260" i="2"/>
  <c r="AD269" i="2" s="1"/>
  <c r="G260" i="2"/>
  <c r="AC269" i="2" s="1"/>
  <c r="F260" i="2"/>
  <c r="N260" i="2" s="1"/>
  <c r="E260" i="2"/>
  <c r="U260" i="2" s="1"/>
  <c r="AM259" i="2"/>
  <c r="AK259" i="2"/>
  <c r="AG259" i="2"/>
  <c r="AF259" i="2"/>
  <c r="AC259" i="2"/>
  <c r="AB259" i="2"/>
  <c r="AJ259" i="2" s="1"/>
  <c r="AA259" i="2"/>
  <c r="Z259" i="2"/>
  <c r="U259" i="2"/>
  <c r="T259" i="2"/>
  <c r="K259" i="2"/>
  <c r="AG268" i="2" s="1"/>
  <c r="J259" i="2"/>
  <c r="AF268" i="2" s="1"/>
  <c r="H259" i="2"/>
  <c r="G259" i="2"/>
  <c r="F259" i="2"/>
  <c r="N259" i="2" s="1"/>
  <c r="E259" i="2"/>
  <c r="AM258" i="2"/>
  <c r="AG258" i="2"/>
  <c r="AD258" i="2"/>
  <c r="AC258" i="2"/>
  <c r="Z258" i="2"/>
  <c r="K258" i="2"/>
  <c r="J258" i="2"/>
  <c r="I258" i="2"/>
  <c r="AE267" i="2" s="1"/>
  <c r="H258" i="2"/>
  <c r="G258" i="2"/>
  <c r="F258" i="2"/>
  <c r="T258" i="2" s="1"/>
  <c r="E258" i="2"/>
  <c r="AA267" i="2" s="1"/>
  <c r="AM257" i="2"/>
  <c r="AK257" i="2"/>
  <c r="AD257" i="2"/>
  <c r="AC257" i="2"/>
  <c r="Z257" i="2"/>
  <c r="Z261" i="2" s="1"/>
  <c r="T257" i="2"/>
  <c r="L257" i="2"/>
  <c r="K257" i="2"/>
  <c r="AG266" i="2" s="1"/>
  <c r="AG270" i="2" s="1"/>
  <c r="J257" i="2"/>
  <c r="AF266" i="2" s="1"/>
  <c r="I257" i="2"/>
  <c r="AE266" i="2" s="1"/>
  <c r="H257" i="2"/>
  <c r="G257" i="2"/>
  <c r="AC266" i="2" s="1"/>
  <c r="F257" i="2"/>
  <c r="N257" i="2" s="1"/>
  <c r="E257" i="2"/>
  <c r="U257" i="2" s="1"/>
  <c r="AM256" i="2"/>
  <c r="AK256" i="2"/>
  <c r="AF256" i="2"/>
  <c r="AB256" i="2"/>
  <c r="AJ256" i="2" s="1"/>
  <c r="Z256" i="2"/>
  <c r="T256" i="2"/>
  <c r="K256" i="2"/>
  <c r="AG248" i="2" s="1"/>
  <c r="J256" i="2"/>
  <c r="AF248" i="2" s="1"/>
  <c r="H256" i="2"/>
  <c r="G256" i="2"/>
  <c r="I256" i="2" s="1"/>
  <c r="F256" i="2"/>
  <c r="N256" i="2" s="1"/>
  <c r="E256" i="2"/>
  <c r="AM255" i="2"/>
  <c r="AK255" i="2"/>
  <c r="AF255" i="2"/>
  <c r="Z255" i="2"/>
  <c r="K255" i="2"/>
  <c r="AG247" i="2" s="1"/>
  <c r="J255" i="2"/>
  <c r="H255" i="2"/>
  <c r="G255" i="2"/>
  <c r="F255" i="2"/>
  <c r="AB247" i="2" s="1"/>
  <c r="AJ247" i="2" s="1"/>
  <c r="E255" i="2"/>
  <c r="T254" i="2"/>
  <c r="U254" i="2" s="1"/>
  <c r="AQ246" i="2" s="1"/>
  <c r="K254" i="2"/>
  <c r="AG246" i="2" s="1"/>
  <c r="J254" i="2"/>
  <c r="H254" i="2"/>
  <c r="G254" i="2"/>
  <c r="I254" i="2" s="1"/>
  <c r="F254" i="2"/>
  <c r="E254" i="2"/>
  <c r="N253" i="2"/>
  <c r="K253" i="2"/>
  <c r="AG257" i="2" s="1"/>
  <c r="J253" i="2"/>
  <c r="H253" i="2"/>
  <c r="G253" i="2"/>
  <c r="I253" i="2" s="1"/>
  <c r="AE257" i="2" s="1"/>
  <c r="F253" i="2"/>
  <c r="AB257" i="2" s="1"/>
  <c r="AJ257" i="2" s="1"/>
  <c r="E253" i="2"/>
  <c r="AA257" i="2" s="1"/>
  <c r="T252" i="2"/>
  <c r="P252" i="2"/>
  <c r="M252" i="2"/>
  <c r="V252" i="2" s="1"/>
  <c r="L252" i="2"/>
  <c r="K252" i="2"/>
  <c r="J252" i="2"/>
  <c r="AF265" i="2" s="1"/>
  <c r="I252" i="2"/>
  <c r="AE265" i="2" s="1"/>
  <c r="H252" i="2"/>
  <c r="G252" i="2"/>
  <c r="F252" i="2"/>
  <c r="N252" i="2" s="1"/>
  <c r="E252" i="2"/>
  <c r="AM251" i="2"/>
  <c r="AK251" i="2"/>
  <c r="AG251" i="2"/>
  <c r="AF251" i="2"/>
  <c r="AD251" i="2"/>
  <c r="AC251" i="2"/>
  <c r="AB251" i="2"/>
  <c r="Z251" i="2"/>
  <c r="U251" i="2"/>
  <c r="AQ256" i="2" s="1"/>
  <c r="T251" i="2"/>
  <c r="AP256" i="2" s="1"/>
  <c r="K251" i="2"/>
  <c r="J251" i="2"/>
  <c r="H251" i="2"/>
  <c r="AD256" i="2" s="1"/>
  <c r="G251" i="2"/>
  <c r="I251" i="2" s="1"/>
  <c r="F251" i="2"/>
  <c r="N251" i="2" s="1"/>
  <c r="E251" i="2"/>
  <c r="AA256" i="2" s="1"/>
  <c r="AQ250" i="2"/>
  <c r="AP250" i="2"/>
  <c r="AM250" i="2"/>
  <c r="AK250" i="2"/>
  <c r="AH250" i="2"/>
  <c r="AG250" i="2"/>
  <c r="AF250" i="2"/>
  <c r="AC250" i="2"/>
  <c r="AB250" i="2"/>
  <c r="AJ250" i="2" s="1"/>
  <c r="AA250" i="2"/>
  <c r="Z250" i="2"/>
  <c r="T250" i="2"/>
  <c r="AP255" i="2" s="1"/>
  <c r="K250" i="2"/>
  <c r="AG255" i="2" s="1"/>
  <c r="J250" i="2"/>
  <c r="L250" i="2" s="1"/>
  <c r="AH255" i="2" s="1"/>
  <c r="H250" i="2"/>
  <c r="AD255" i="2" s="1"/>
  <c r="G250" i="2"/>
  <c r="F250" i="2"/>
  <c r="E250" i="2"/>
  <c r="AA255" i="2" s="1"/>
  <c r="AP249" i="2"/>
  <c r="AM249" i="2"/>
  <c r="AK249" i="2"/>
  <c r="AH249" i="2"/>
  <c r="AB249" i="2"/>
  <c r="AA249" i="2"/>
  <c r="Z249" i="2"/>
  <c r="K249" i="2"/>
  <c r="J249" i="2"/>
  <c r="H249" i="2"/>
  <c r="G249" i="2"/>
  <c r="G267" i="2" s="1"/>
  <c r="F249" i="2"/>
  <c r="T249" i="2" s="1"/>
  <c r="E249" i="2"/>
  <c r="AA264" i="2" s="1"/>
  <c r="AM248" i="2"/>
  <c r="AK248" i="2"/>
  <c r="AK252" i="2" s="1"/>
  <c r="AD248" i="2"/>
  <c r="AD252" i="2" s="1"/>
  <c r="AC248" i="2"/>
  <c r="AB248" i="2"/>
  <c r="AJ248" i="2" s="1"/>
  <c r="AA248" i="2"/>
  <c r="Z248" i="2"/>
  <c r="Z252" i="2" s="1"/>
  <c r="AM247" i="2"/>
  <c r="AF247" i="2"/>
  <c r="AD247" i="2"/>
  <c r="AA247" i="2"/>
  <c r="Z247" i="2"/>
  <c r="AP246" i="2"/>
  <c r="AM246" i="2"/>
  <c r="AK246" i="2"/>
  <c r="AD246" i="2"/>
  <c r="AA246" i="2"/>
  <c r="AA252" i="2" s="1"/>
  <c r="Z246" i="2"/>
  <c r="AM242" i="2"/>
  <c r="AK242" i="2"/>
  <c r="AF242" i="2"/>
  <c r="AE242" i="2"/>
  <c r="Z242" i="2"/>
  <c r="AM241" i="2"/>
  <c r="AK241" i="2"/>
  <c r="AH241" i="2"/>
  <c r="AC241" i="2"/>
  <c r="Z241" i="2"/>
  <c r="AM240" i="2"/>
  <c r="AK240" i="2"/>
  <c r="AD240" i="2"/>
  <c r="AC240" i="2"/>
  <c r="Z240" i="2"/>
  <c r="O240" i="2"/>
  <c r="D240" i="2"/>
  <c r="AM239" i="2"/>
  <c r="AK239" i="2"/>
  <c r="AD239" i="2"/>
  <c r="AC239" i="2"/>
  <c r="Z239" i="2"/>
  <c r="T239" i="2"/>
  <c r="K239" i="2"/>
  <c r="J239" i="2"/>
  <c r="L239" i="2" s="1"/>
  <c r="H239" i="2"/>
  <c r="I239" i="2" s="1"/>
  <c r="AE224" i="2" s="1"/>
  <c r="G239" i="2"/>
  <c r="F239" i="2"/>
  <c r="E239" i="2"/>
  <c r="N239" i="2" s="1"/>
  <c r="AM238" i="2"/>
  <c r="AK238" i="2"/>
  <c r="AD238" i="2"/>
  <c r="Z238" i="2"/>
  <c r="M238" i="2"/>
  <c r="V238" i="2" s="1"/>
  <c r="L238" i="2"/>
  <c r="AH223" i="2" s="1"/>
  <c r="K238" i="2"/>
  <c r="J238" i="2"/>
  <c r="I238" i="2"/>
  <c r="AE223" i="2" s="1"/>
  <c r="H238" i="2"/>
  <c r="G238" i="2"/>
  <c r="F238" i="2"/>
  <c r="T238" i="2" s="1"/>
  <c r="E238" i="2"/>
  <c r="AA223" i="2" s="1"/>
  <c r="AM237" i="2"/>
  <c r="AK237" i="2"/>
  <c r="AG237" i="2"/>
  <c r="AA237" i="2"/>
  <c r="Z237" i="2"/>
  <c r="K237" i="2"/>
  <c r="J237" i="2"/>
  <c r="H237" i="2"/>
  <c r="AD233" i="2" s="1"/>
  <c r="G237" i="2"/>
  <c r="F237" i="2"/>
  <c r="AB233" i="2" s="1"/>
  <c r="E237" i="2"/>
  <c r="N236" i="2"/>
  <c r="L236" i="2"/>
  <c r="K236" i="2"/>
  <c r="J236" i="2"/>
  <c r="H236" i="2"/>
  <c r="G236" i="2"/>
  <c r="I236" i="2" s="1"/>
  <c r="F236" i="2"/>
  <c r="E236" i="2"/>
  <c r="K235" i="2"/>
  <c r="L235" i="2" s="1"/>
  <c r="AH222" i="2" s="1"/>
  <c r="J235" i="2"/>
  <c r="H235" i="2"/>
  <c r="AD222" i="2" s="1"/>
  <c r="G235" i="2"/>
  <c r="F235" i="2"/>
  <c r="E235" i="2"/>
  <c r="AK234" i="2"/>
  <c r="T234" i="2"/>
  <c r="AP231" i="2" s="1"/>
  <c r="L234" i="2"/>
  <c r="AH231" i="2" s="1"/>
  <c r="K234" i="2"/>
  <c r="J234" i="2"/>
  <c r="I234" i="2"/>
  <c r="H234" i="2"/>
  <c r="AD231" i="2" s="1"/>
  <c r="G234" i="2"/>
  <c r="F234" i="2"/>
  <c r="E234" i="2"/>
  <c r="U234" i="2" s="1"/>
  <c r="AQ231" i="2" s="1"/>
  <c r="AM233" i="2"/>
  <c r="AK233" i="2"/>
  <c r="AF233" i="2"/>
  <c r="AA233" i="2"/>
  <c r="Z233" i="2"/>
  <c r="K233" i="2"/>
  <c r="J233" i="2"/>
  <c r="I233" i="2"/>
  <c r="H233" i="2"/>
  <c r="AD242" i="2" s="1"/>
  <c r="G233" i="2"/>
  <c r="AC242" i="2" s="1"/>
  <c r="F233" i="2"/>
  <c r="T233" i="2" s="1"/>
  <c r="U233" i="2" s="1"/>
  <c r="AQ242" i="2" s="1"/>
  <c r="E233" i="2"/>
  <c r="AA242" i="2" s="1"/>
  <c r="AM232" i="2"/>
  <c r="AK232" i="2"/>
  <c r="AH232" i="2"/>
  <c r="AG232" i="2"/>
  <c r="AF232" i="2"/>
  <c r="AD232" i="2"/>
  <c r="AC232" i="2"/>
  <c r="AA232" i="2"/>
  <c r="Z232" i="2"/>
  <c r="M232" i="2"/>
  <c r="L232" i="2"/>
  <c r="K232" i="2"/>
  <c r="AG241" i="2" s="1"/>
  <c r="J232" i="2"/>
  <c r="AF241" i="2" s="1"/>
  <c r="I232" i="2"/>
  <c r="AE241" i="2" s="1"/>
  <c r="H232" i="2"/>
  <c r="AD241" i="2" s="1"/>
  <c r="G232" i="2"/>
  <c r="F232" i="2"/>
  <c r="E232" i="2"/>
  <c r="AA241" i="2" s="1"/>
  <c r="AM231" i="2"/>
  <c r="AG231" i="2"/>
  <c r="AF231" i="2"/>
  <c r="AC231" i="2"/>
  <c r="AB231" i="2"/>
  <c r="Z231" i="2"/>
  <c r="K231" i="2"/>
  <c r="AG240" i="2" s="1"/>
  <c r="J231" i="2"/>
  <c r="AF240" i="2" s="1"/>
  <c r="H231" i="2"/>
  <c r="G231" i="2"/>
  <c r="I231" i="2" s="1"/>
  <c r="F231" i="2"/>
  <c r="T231" i="2" s="1"/>
  <c r="E231" i="2"/>
  <c r="AA240" i="2" s="1"/>
  <c r="AM230" i="2"/>
  <c r="AK230" i="2"/>
  <c r="AF230" i="2"/>
  <c r="AD230" i="2"/>
  <c r="AB230" i="2"/>
  <c r="AJ230" i="2" s="1"/>
  <c r="AA230" i="2"/>
  <c r="Z230" i="2"/>
  <c r="U230" i="2"/>
  <c r="AQ239" i="2" s="1"/>
  <c r="T230" i="2"/>
  <c r="AP239" i="2" s="1"/>
  <c r="K230" i="2"/>
  <c r="AG239" i="2" s="1"/>
  <c r="J230" i="2"/>
  <c r="I230" i="2"/>
  <c r="AE239" i="2" s="1"/>
  <c r="H230" i="2"/>
  <c r="G230" i="2"/>
  <c r="F230" i="2"/>
  <c r="AB239" i="2" s="1"/>
  <c r="E230" i="2"/>
  <c r="AA239" i="2" s="1"/>
  <c r="AM229" i="2"/>
  <c r="AK229" i="2"/>
  <c r="AH229" i="2"/>
  <c r="AG229" i="2"/>
  <c r="AD229" i="2"/>
  <c r="AC229" i="2"/>
  <c r="Z229" i="2"/>
  <c r="M229" i="2"/>
  <c r="P229" i="2" s="1"/>
  <c r="L229" i="2"/>
  <c r="K229" i="2"/>
  <c r="J229" i="2"/>
  <c r="I229" i="2"/>
  <c r="H229" i="2"/>
  <c r="G229" i="2"/>
  <c r="F229" i="2"/>
  <c r="T229" i="2" s="1"/>
  <c r="U229" i="2" s="1"/>
  <c r="AQ221" i="2" s="1"/>
  <c r="E229" i="2"/>
  <c r="AM228" i="2"/>
  <c r="AK228" i="2"/>
  <c r="AJ228" i="2"/>
  <c r="AF228" i="2"/>
  <c r="AC228" i="2"/>
  <c r="AB228" i="2"/>
  <c r="Z228" i="2"/>
  <c r="U228" i="2"/>
  <c r="AQ220" i="2" s="1"/>
  <c r="L228" i="2"/>
  <c r="AH220" i="2" s="1"/>
  <c r="K228" i="2"/>
  <c r="J228" i="2"/>
  <c r="H228" i="2"/>
  <c r="AD220" i="2" s="1"/>
  <c r="G228" i="2"/>
  <c r="I228" i="2" s="1"/>
  <c r="F228" i="2"/>
  <c r="T228" i="2" s="1"/>
  <c r="E228" i="2"/>
  <c r="AA220" i="2" s="1"/>
  <c r="V227" i="2"/>
  <c r="U227" i="2"/>
  <c r="L227" i="2"/>
  <c r="AH219" i="2" s="1"/>
  <c r="K227" i="2"/>
  <c r="J227" i="2"/>
  <c r="I227" i="2"/>
  <c r="M227" i="2" s="1"/>
  <c r="H227" i="2"/>
  <c r="AD219" i="2" s="1"/>
  <c r="G227" i="2"/>
  <c r="AC219" i="2" s="1"/>
  <c r="F227" i="2"/>
  <c r="T227" i="2" s="1"/>
  <c r="AP219" i="2" s="1"/>
  <c r="E227" i="2"/>
  <c r="K226" i="2"/>
  <c r="AG230" i="2" s="1"/>
  <c r="J226" i="2"/>
  <c r="I226" i="2"/>
  <c r="H226" i="2"/>
  <c r="G226" i="2"/>
  <c r="AC230" i="2" s="1"/>
  <c r="F226" i="2"/>
  <c r="T226" i="2" s="1"/>
  <c r="E226" i="2"/>
  <c r="AH225" i="2"/>
  <c r="K225" i="2"/>
  <c r="AG238" i="2" s="1"/>
  <c r="J225" i="2"/>
  <c r="L225" i="2" s="1"/>
  <c r="AH238" i="2" s="1"/>
  <c r="I225" i="2"/>
  <c r="AE238" i="2" s="1"/>
  <c r="H225" i="2"/>
  <c r="G225" i="2"/>
  <c r="AC238" i="2" s="1"/>
  <c r="F225" i="2"/>
  <c r="E225" i="2"/>
  <c r="AA238" i="2" s="1"/>
  <c r="AP224" i="2"/>
  <c r="AM224" i="2"/>
  <c r="AK224" i="2"/>
  <c r="AH224" i="2"/>
  <c r="AG224" i="2"/>
  <c r="AF224" i="2"/>
  <c r="AD224" i="2"/>
  <c r="AC224" i="2"/>
  <c r="AB224" i="2"/>
  <c r="AA224" i="2"/>
  <c r="Z224" i="2"/>
  <c r="Z225" i="2" s="1"/>
  <c r="M224" i="2"/>
  <c r="P224" i="2" s="1"/>
  <c r="L224" i="2"/>
  <c r="K224" i="2"/>
  <c r="J224" i="2"/>
  <c r="AF229" i="2" s="1"/>
  <c r="I224" i="2"/>
  <c r="AE229" i="2" s="1"/>
  <c r="H224" i="2"/>
  <c r="G224" i="2"/>
  <c r="F224" i="2"/>
  <c r="E224" i="2"/>
  <c r="AA229" i="2" s="1"/>
  <c r="AM223" i="2"/>
  <c r="AK223" i="2"/>
  <c r="AJ223" i="2"/>
  <c r="AG223" i="2"/>
  <c r="AF223" i="2"/>
  <c r="AD223" i="2"/>
  <c r="AC223" i="2"/>
  <c r="AB223" i="2"/>
  <c r="Z223" i="2"/>
  <c r="U223" i="2"/>
  <c r="AQ228" i="2" s="1"/>
  <c r="L223" i="2"/>
  <c r="AH228" i="2" s="1"/>
  <c r="K223" i="2"/>
  <c r="AG228" i="2" s="1"/>
  <c r="J223" i="2"/>
  <c r="H223" i="2"/>
  <c r="AD228" i="2" s="1"/>
  <c r="AD234" i="2" s="1"/>
  <c r="G223" i="2"/>
  <c r="I223" i="2" s="1"/>
  <c r="F223" i="2"/>
  <c r="T223" i="2" s="1"/>
  <c r="AP228" i="2" s="1"/>
  <c r="E223" i="2"/>
  <c r="AA228" i="2" s="1"/>
  <c r="AM222" i="2"/>
  <c r="AK222" i="2"/>
  <c r="AG222" i="2"/>
  <c r="AF222" i="2"/>
  <c r="AA222" i="2"/>
  <c r="AA225" i="2" s="1"/>
  <c r="Z222" i="2"/>
  <c r="K222" i="2"/>
  <c r="J222" i="2"/>
  <c r="H222" i="2"/>
  <c r="G222" i="2"/>
  <c r="F222" i="2"/>
  <c r="F240" i="2" s="1"/>
  <c r="E222" i="2"/>
  <c r="AP221" i="2"/>
  <c r="AM221" i="2"/>
  <c r="AK221" i="2"/>
  <c r="AI221" i="2"/>
  <c r="AR221" i="2" s="1"/>
  <c r="AH221" i="2"/>
  <c r="AG221" i="2"/>
  <c r="AF221" i="2"/>
  <c r="AE221" i="2"/>
  <c r="AD221" i="2"/>
  <c r="AC221" i="2"/>
  <c r="AB221" i="2"/>
  <c r="AJ221" i="2" s="1"/>
  <c r="AA221" i="2"/>
  <c r="Z221" i="2"/>
  <c r="AP220" i="2"/>
  <c r="AM220" i="2"/>
  <c r="AG220" i="2"/>
  <c r="AF220" i="2"/>
  <c r="AC220" i="2"/>
  <c r="AB220" i="2"/>
  <c r="AJ220" i="2" s="1"/>
  <c r="Z220" i="2"/>
  <c r="AQ219" i="2"/>
  <c r="AM219" i="2"/>
  <c r="AK219" i="2"/>
  <c r="AK225" i="2" s="1"/>
  <c r="AJ219" i="2"/>
  <c r="AG219" i="2"/>
  <c r="AF219" i="2"/>
  <c r="AF225" i="2" s="1"/>
  <c r="AE219" i="2"/>
  <c r="AB219" i="2"/>
  <c r="AA219" i="2"/>
  <c r="Z219" i="2"/>
  <c r="AK216" i="2"/>
  <c r="AM215" i="2"/>
  <c r="AK215" i="2"/>
  <c r="AG215" i="2"/>
  <c r="AF215" i="2"/>
  <c r="AD215" i="2"/>
  <c r="Z215" i="2"/>
  <c r="AM214" i="2"/>
  <c r="AK214" i="2"/>
  <c r="AG214" i="2"/>
  <c r="AC214" i="2"/>
  <c r="AB214" i="2"/>
  <c r="Z214" i="2"/>
  <c r="AM213" i="2"/>
  <c r="AK213" i="2"/>
  <c r="AD213" i="2"/>
  <c r="AA213" i="2"/>
  <c r="Z213" i="2"/>
  <c r="O213" i="2"/>
  <c r="D213" i="2"/>
  <c r="AM212" i="2"/>
  <c r="AK212" i="2"/>
  <c r="AG212" i="2"/>
  <c r="AB212" i="2"/>
  <c r="Z212" i="2"/>
  <c r="L212" i="2"/>
  <c r="AH197" i="2" s="1"/>
  <c r="K212" i="2"/>
  <c r="J212" i="2"/>
  <c r="AF197" i="2" s="1"/>
  <c r="H212" i="2"/>
  <c r="G212" i="2"/>
  <c r="I212" i="2" s="1"/>
  <c r="F212" i="2"/>
  <c r="AB197" i="2" s="1"/>
  <c r="AJ197" i="2" s="1"/>
  <c r="E212" i="2"/>
  <c r="AM211" i="2"/>
  <c r="AK211" i="2"/>
  <c r="AD211" i="2"/>
  <c r="Z211" i="2"/>
  <c r="T211" i="2"/>
  <c r="N211" i="2"/>
  <c r="K211" i="2"/>
  <c r="J211" i="2"/>
  <c r="L211" i="2" s="1"/>
  <c r="I211" i="2"/>
  <c r="AE196" i="2" s="1"/>
  <c r="H211" i="2"/>
  <c r="G211" i="2"/>
  <c r="F211" i="2"/>
  <c r="AB196" i="2" s="1"/>
  <c r="AJ196" i="2" s="1"/>
  <c r="E211" i="2"/>
  <c r="AA196" i="2" s="1"/>
  <c r="AM210" i="2"/>
  <c r="AK210" i="2"/>
  <c r="AE210" i="2"/>
  <c r="AD210" i="2"/>
  <c r="Z210" i="2"/>
  <c r="Z216" i="2" s="1"/>
  <c r="T210" i="2"/>
  <c r="M210" i="2"/>
  <c r="L210" i="2"/>
  <c r="AH206" i="2" s="1"/>
  <c r="K210" i="2"/>
  <c r="J210" i="2"/>
  <c r="AF206" i="2" s="1"/>
  <c r="I210" i="2"/>
  <c r="H210" i="2"/>
  <c r="G210" i="2"/>
  <c r="AC206" i="2" s="1"/>
  <c r="F210" i="2"/>
  <c r="E210" i="2"/>
  <c r="AA206" i="2" s="1"/>
  <c r="AJ206" i="2" s="1"/>
  <c r="T209" i="2"/>
  <c r="K209" i="2"/>
  <c r="J209" i="2"/>
  <c r="I209" i="2"/>
  <c r="H209" i="2"/>
  <c r="G209" i="2"/>
  <c r="F209" i="2"/>
  <c r="AB205" i="2" s="1"/>
  <c r="AJ205" i="2" s="1"/>
  <c r="E209" i="2"/>
  <c r="AA205" i="2" s="1"/>
  <c r="T208" i="2"/>
  <c r="K208" i="2"/>
  <c r="J208" i="2"/>
  <c r="L208" i="2" s="1"/>
  <c r="AH195" i="2" s="1"/>
  <c r="H208" i="2"/>
  <c r="AD195" i="2" s="1"/>
  <c r="G208" i="2"/>
  <c r="F208" i="2"/>
  <c r="N208" i="2" s="1"/>
  <c r="AJ195" i="2" s="1"/>
  <c r="E208" i="2"/>
  <c r="T207" i="2"/>
  <c r="K207" i="2"/>
  <c r="J207" i="2"/>
  <c r="L207" i="2" s="1"/>
  <c r="AH204" i="2" s="1"/>
  <c r="H207" i="2"/>
  <c r="AD204" i="2" s="1"/>
  <c r="G207" i="2"/>
  <c r="F207" i="2"/>
  <c r="E207" i="2"/>
  <c r="AP206" i="2"/>
  <c r="AM206" i="2"/>
  <c r="AK206" i="2"/>
  <c r="AG206" i="2"/>
  <c r="AE206" i="2"/>
  <c r="AD206" i="2"/>
  <c r="AB206" i="2"/>
  <c r="Z206" i="2"/>
  <c r="T206" i="2"/>
  <c r="K206" i="2"/>
  <c r="J206" i="2"/>
  <c r="L206" i="2" s="1"/>
  <c r="AH215" i="2" s="1"/>
  <c r="I206" i="2"/>
  <c r="H206" i="2"/>
  <c r="G206" i="2"/>
  <c r="AC215" i="2" s="1"/>
  <c r="F206" i="2"/>
  <c r="AB215" i="2" s="1"/>
  <c r="AJ215" i="2" s="1"/>
  <c r="E206" i="2"/>
  <c r="AA215" i="2" s="1"/>
  <c r="AP205" i="2"/>
  <c r="AM205" i="2"/>
  <c r="AK205" i="2"/>
  <c r="AG205" i="2"/>
  <c r="AE205" i="2"/>
  <c r="AD205" i="2"/>
  <c r="AC205" i="2"/>
  <c r="Z205" i="2"/>
  <c r="T205" i="2"/>
  <c r="L205" i="2"/>
  <c r="AH214" i="2" s="1"/>
  <c r="K205" i="2"/>
  <c r="J205" i="2"/>
  <c r="AF214" i="2" s="1"/>
  <c r="I205" i="2"/>
  <c r="H205" i="2"/>
  <c r="AD214" i="2" s="1"/>
  <c r="G205" i="2"/>
  <c r="F205" i="2"/>
  <c r="E205" i="2"/>
  <c r="AA214" i="2" s="1"/>
  <c r="AM204" i="2"/>
  <c r="AG204" i="2"/>
  <c r="AF204" i="2"/>
  <c r="AA204" i="2"/>
  <c r="Z204" i="2"/>
  <c r="K204" i="2"/>
  <c r="AG213" i="2" s="1"/>
  <c r="J204" i="2"/>
  <c r="AF213" i="2" s="1"/>
  <c r="H204" i="2"/>
  <c r="G204" i="2"/>
  <c r="F204" i="2"/>
  <c r="T204" i="2" s="1"/>
  <c r="E204" i="2"/>
  <c r="AP203" i="2"/>
  <c r="AM203" i="2"/>
  <c r="AK203" i="2"/>
  <c r="AF203" i="2"/>
  <c r="AB203" i="2"/>
  <c r="Z203" i="2"/>
  <c r="T203" i="2"/>
  <c r="K203" i="2"/>
  <c r="J203" i="2"/>
  <c r="L203" i="2" s="1"/>
  <c r="AH212" i="2" s="1"/>
  <c r="I203" i="2"/>
  <c r="M203" i="2" s="1"/>
  <c r="H203" i="2"/>
  <c r="AD212" i="2" s="1"/>
  <c r="AD216" i="2" s="1"/>
  <c r="G203" i="2"/>
  <c r="AC212" i="2" s="1"/>
  <c r="F203" i="2"/>
  <c r="E203" i="2"/>
  <c r="AP202" i="2"/>
  <c r="AM202" i="2"/>
  <c r="AK202" i="2"/>
  <c r="AG202" i="2"/>
  <c r="AE202" i="2"/>
  <c r="AD202" i="2"/>
  <c r="AC202" i="2"/>
  <c r="Z202" i="2"/>
  <c r="T202" i="2"/>
  <c r="M202" i="2"/>
  <c r="L202" i="2"/>
  <c r="K202" i="2"/>
  <c r="J202" i="2"/>
  <c r="I202" i="2"/>
  <c r="H202" i="2"/>
  <c r="G202" i="2"/>
  <c r="F202" i="2"/>
  <c r="E202" i="2"/>
  <c r="AP201" i="2"/>
  <c r="AM201" i="2"/>
  <c r="AK201" i="2"/>
  <c r="AF201" i="2"/>
  <c r="AC201" i="2"/>
  <c r="AB201" i="2"/>
  <c r="Z201" i="2"/>
  <c r="U201" i="2"/>
  <c r="AQ193" i="2" s="1"/>
  <c r="T201" i="2"/>
  <c r="L201" i="2"/>
  <c r="K201" i="2"/>
  <c r="J201" i="2"/>
  <c r="H201" i="2"/>
  <c r="AD193" i="2" s="1"/>
  <c r="G201" i="2"/>
  <c r="F201" i="2"/>
  <c r="N201" i="2" s="1"/>
  <c r="E201" i="2"/>
  <c r="AA193" i="2" s="1"/>
  <c r="U200" i="2"/>
  <c r="AQ192" i="2" s="1"/>
  <c r="T200" i="2"/>
  <c r="L200" i="2"/>
  <c r="AH192" i="2" s="1"/>
  <c r="K200" i="2"/>
  <c r="AG192" i="2" s="1"/>
  <c r="J200" i="2"/>
  <c r="H200" i="2"/>
  <c r="AD192" i="2" s="1"/>
  <c r="AD198" i="2" s="1"/>
  <c r="G200" i="2"/>
  <c r="F200" i="2"/>
  <c r="E200" i="2"/>
  <c r="AA192" i="2" s="1"/>
  <c r="T199" i="2"/>
  <c r="K199" i="2"/>
  <c r="AG203" i="2" s="1"/>
  <c r="J199" i="2"/>
  <c r="H199" i="2"/>
  <c r="AD203" i="2" s="1"/>
  <c r="G199" i="2"/>
  <c r="F199" i="2"/>
  <c r="E199" i="2"/>
  <c r="U199" i="2" s="1"/>
  <c r="AQ203" i="2" s="1"/>
  <c r="T198" i="2"/>
  <c r="K198" i="2"/>
  <c r="AG211" i="2" s="1"/>
  <c r="J198" i="2"/>
  <c r="I198" i="2"/>
  <c r="AE211" i="2" s="1"/>
  <c r="H198" i="2"/>
  <c r="G198" i="2"/>
  <c r="AC211" i="2" s="1"/>
  <c r="F198" i="2"/>
  <c r="AB211" i="2" s="1"/>
  <c r="E198" i="2"/>
  <c r="AA211" i="2" s="1"/>
  <c r="AM197" i="2"/>
  <c r="AK197" i="2"/>
  <c r="AG197" i="2"/>
  <c r="AE197" i="2"/>
  <c r="AD197" i="2"/>
  <c r="AA197" i="2"/>
  <c r="Z197" i="2"/>
  <c r="Z198" i="2" s="1"/>
  <c r="T197" i="2"/>
  <c r="K197" i="2"/>
  <c r="J197" i="2"/>
  <c r="J213" i="2" s="1"/>
  <c r="I197" i="2"/>
  <c r="H197" i="2"/>
  <c r="G197" i="2"/>
  <c r="F197" i="2"/>
  <c r="AB202" i="2" s="1"/>
  <c r="AJ202" i="2" s="1"/>
  <c r="E197" i="2"/>
  <c r="AA202" i="2" s="1"/>
  <c r="AP196" i="2"/>
  <c r="AM196" i="2"/>
  <c r="AK196" i="2"/>
  <c r="AH196" i="2"/>
  <c r="AG196" i="2"/>
  <c r="AF196" i="2"/>
  <c r="AD196" i="2"/>
  <c r="AC196" i="2"/>
  <c r="Z196" i="2"/>
  <c r="T196" i="2"/>
  <c r="K196" i="2"/>
  <c r="AG201" i="2" s="1"/>
  <c r="AG207" i="2" s="1"/>
  <c r="J196" i="2"/>
  <c r="H196" i="2"/>
  <c r="AD201" i="2" s="1"/>
  <c r="G196" i="2"/>
  <c r="F196" i="2"/>
  <c r="E196" i="2"/>
  <c r="AM195" i="2"/>
  <c r="AK195" i="2"/>
  <c r="AG195" i="2"/>
  <c r="AF195" i="2"/>
  <c r="AC195" i="2"/>
  <c r="AB195" i="2"/>
  <c r="AA195" i="2"/>
  <c r="Z195" i="2"/>
  <c r="K195" i="2"/>
  <c r="K213" i="2" s="1"/>
  <c r="J195" i="2"/>
  <c r="H195" i="2"/>
  <c r="G195" i="2"/>
  <c r="I195" i="2" s="1"/>
  <c r="F195" i="2"/>
  <c r="E195" i="2"/>
  <c r="AP194" i="2"/>
  <c r="AM194" i="2"/>
  <c r="AK194" i="2"/>
  <c r="AI194" i="2"/>
  <c r="AH194" i="2"/>
  <c r="AG194" i="2"/>
  <c r="AF194" i="2"/>
  <c r="AE194" i="2"/>
  <c r="AD194" i="2"/>
  <c r="AC194" i="2"/>
  <c r="AB194" i="2"/>
  <c r="AA194" i="2"/>
  <c r="Z194" i="2"/>
  <c r="AP193" i="2"/>
  <c r="AM193" i="2"/>
  <c r="AH193" i="2"/>
  <c r="AG193" i="2"/>
  <c r="AF193" i="2"/>
  <c r="AB193" i="2"/>
  <c r="AJ193" i="2" s="1"/>
  <c r="Z193" i="2"/>
  <c r="AP192" i="2"/>
  <c r="AM192" i="2"/>
  <c r="AK192" i="2"/>
  <c r="AF192" i="2"/>
  <c r="AC192" i="2"/>
  <c r="AB192" i="2"/>
  <c r="Z192" i="2"/>
  <c r="AK189" i="2"/>
  <c r="AP188" i="2"/>
  <c r="AM188" i="2"/>
  <c r="AK188" i="2"/>
  <c r="AG188" i="2"/>
  <c r="AF188" i="2"/>
  <c r="AC188" i="2"/>
  <c r="Z188" i="2"/>
  <c r="AM187" i="2"/>
  <c r="AK187" i="2"/>
  <c r="AC187" i="2"/>
  <c r="Z187" i="2"/>
  <c r="AM186" i="2"/>
  <c r="AK186" i="2"/>
  <c r="AA186" i="2"/>
  <c r="Z186" i="2"/>
  <c r="O186" i="2"/>
  <c r="D186" i="2"/>
  <c r="AM185" i="2"/>
  <c r="AK185" i="2"/>
  <c r="AF185" i="2"/>
  <c r="Z185" i="2"/>
  <c r="K185" i="2"/>
  <c r="J185" i="2"/>
  <c r="L185" i="2" s="1"/>
  <c r="AH170" i="2" s="1"/>
  <c r="H185" i="2"/>
  <c r="G185" i="2"/>
  <c r="F185" i="2"/>
  <c r="N185" i="2" s="1"/>
  <c r="E185" i="2"/>
  <c r="AM184" i="2"/>
  <c r="AK184" i="2"/>
  <c r="AH184" i="2"/>
  <c r="Z184" i="2"/>
  <c r="S184" i="2"/>
  <c r="R184" i="2" s="1"/>
  <c r="K184" i="2"/>
  <c r="J184" i="2"/>
  <c r="L184" i="2" s="1"/>
  <c r="AH169" i="2" s="1"/>
  <c r="I184" i="2"/>
  <c r="M184" i="2" s="1"/>
  <c r="H184" i="2"/>
  <c r="G184" i="2"/>
  <c r="F184" i="2"/>
  <c r="E184" i="2"/>
  <c r="AM183" i="2"/>
  <c r="AK183" i="2"/>
  <c r="Z183" i="2"/>
  <c r="Z189" i="2" s="1"/>
  <c r="L183" i="2"/>
  <c r="AH179" i="2" s="1"/>
  <c r="K183" i="2"/>
  <c r="J183" i="2"/>
  <c r="H183" i="2"/>
  <c r="G183" i="2"/>
  <c r="F183" i="2"/>
  <c r="T183" i="2" s="1"/>
  <c r="E183" i="2"/>
  <c r="AA179" i="2" s="1"/>
  <c r="K182" i="2"/>
  <c r="J182" i="2"/>
  <c r="AF178" i="2" s="1"/>
  <c r="I182" i="2"/>
  <c r="H182" i="2"/>
  <c r="G182" i="2"/>
  <c r="F182" i="2"/>
  <c r="N182" i="2" s="1"/>
  <c r="E182" i="2"/>
  <c r="T181" i="2"/>
  <c r="L181" i="2"/>
  <c r="AH168" i="2" s="1"/>
  <c r="K181" i="2"/>
  <c r="J181" i="2"/>
  <c r="H181" i="2"/>
  <c r="I181" i="2" s="1"/>
  <c r="G181" i="2"/>
  <c r="F181" i="2"/>
  <c r="N181" i="2" s="1"/>
  <c r="AJ168" i="2" s="1"/>
  <c r="E181" i="2"/>
  <c r="K180" i="2"/>
  <c r="AG177" i="2" s="1"/>
  <c r="J180" i="2"/>
  <c r="L180" i="2" s="1"/>
  <c r="AH177" i="2" s="1"/>
  <c r="H180" i="2"/>
  <c r="AD177" i="2" s="1"/>
  <c r="G180" i="2"/>
  <c r="I180" i="2" s="1"/>
  <c r="F180" i="2"/>
  <c r="E180" i="2"/>
  <c r="AP179" i="2"/>
  <c r="AM179" i="2"/>
  <c r="AK179" i="2"/>
  <c r="AG179" i="2"/>
  <c r="AF179" i="2"/>
  <c r="AC179" i="2"/>
  <c r="AB179" i="2"/>
  <c r="AJ179" i="2" s="1"/>
  <c r="Z179" i="2"/>
  <c r="T179" i="2"/>
  <c r="K179" i="2"/>
  <c r="J179" i="2"/>
  <c r="L179" i="2" s="1"/>
  <c r="AH188" i="2" s="1"/>
  <c r="I179" i="2"/>
  <c r="AE188" i="2" s="1"/>
  <c r="H179" i="2"/>
  <c r="AD188" i="2" s="1"/>
  <c r="G179" i="2"/>
  <c r="F179" i="2"/>
  <c r="AB188" i="2" s="1"/>
  <c r="E179" i="2"/>
  <c r="N179" i="2" s="1"/>
  <c r="AM178" i="2"/>
  <c r="AK178" i="2"/>
  <c r="AG178" i="2"/>
  <c r="AD178" i="2"/>
  <c r="AC178" i="2"/>
  <c r="AA178" i="2"/>
  <c r="Z178" i="2"/>
  <c r="T178" i="2"/>
  <c r="L178" i="2"/>
  <c r="AH187" i="2" s="1"/>
  <c r="K178" i="2"/>
  <c r="AG187" i="2" s="1"/>
  <c r="J178" i="2"/>
  <c r="AF187" i="2" s="1"/>
  <c r="I178" i="2"/>
  <c r="H178" i="2"/>
  <c r="AD187" i="2" s="1"/>
  <c r="G178" i="2"/>
  <c r="F178" i="2"/>
  <c r="N178" i="2" s="1"/>
  <c r="E178" i="2"/>
  <c r="AA187" i="2" s="1"/>
  <c r="AM177" i="2"/>
  <c r="AE177" i="2"/>
  <c r="AC177" i="2"/>
  <c r="AA177" i="2"/>
  <c r="Z177" i="2"/>
  <c r="N177" i="2"/>
  <c r="K177" i="2"/>
  <c r="AG186" i="2" s="1"/>
  <c r="J177" i="2"/>
  <c r="AF186" i="2" s="1"/>
  <c r="H177" i="2"/>
  <c r="AD186" i="2" s="1"/>
  <c r="G177" i="2"/>
  <c r="F177" i="2"/>
  <c r="AB186" i="2" s="1"/>
  <c r="E177" i="2"/>
  <c r="AM176" i="2"/>
  <c r="AK176" i="2"/>
  <c r="AA176" i="2"/>
  <c r="Z176" i="2"/>
  <c r="M176" i="2"/>
  <c r="L176" i="2"/>
  <c r="AH185" i="2" s="1"/>
  <c r="K176" i="2"/>
  <c r="AG185" i="2" s="1"/>
  <c r="J176" i="2"/>
  <c r="I176" i="2"/>
  <c r="AE185" i="2" s="1"/>
  <c r="H176" i="2"/>
  <c r="AD185" i="2" s="1"/>
  <c r="G176" i="2"/>
  <c r="AC185" i="2" s="1"/>
  <c r="F176" i="2"/>
  <c r="AB185" i="2" s="1"/>
  <c r="AJ185" i="2" s="1"/>
  <c r="E176" i="2"/>
  <c r="AA185" i="2" s="1"/>
  <c r="AM175" i="2"/>
  <c r="AK175" i="2"/>
  <c r="AK180" i="2" s="1"/>
  <c r="AG175" i="2"/>
  <c r="AF175" i="2"/>
  <c r="AC175" i="2"/>
  <c r="AB175" i="2"/>
  <c r="Z175" i="2"/>
  <c r="L175" i="2"/>
  <c r="K175" i="2"/>
  <c r="J175" i="2"/>
  <c r="H175" i="2"/>
  <c r="G175" i="2"/>
  <c r="F175" i="2"/>
  <c r="N175" i="2" s="1"/>
  <c r="E175" i="2"/>
  <c r="AM174" i="2"/>
  <c r="AK174" i="2"/>
  <c r="AF174" i="2"/>
  <c r="AB174" i="2"/>
  <c r="AA174" i="2"/>
  <c r="Z174" i="2"/>
  <c r="U174" i="2"/>
  <c r="AQ166" i="2" s="1"/>
  <c r="K174" i="2"/>
  <c r="AG166" i="2" s="1"/>
  <c r="J174" i="2"/>
  <c r="H174" i="2"/>
  <c r="AD166" i="2" s="1"/>
  <c r="G174" i="2"/>
  <c r="I174" i="2" s="1"/>
  <c r="F174" i="2"/>
  <c r="T174" i="2" s="1"/>
  <c r="AP166" i="2" s="1"/>
  <c r="E174" i="2"/>
  <c r="U173" i="2"/>
  <c r="K173" i="2"/>
  <c r="AG165" i="2" s="1"/>
  <c r="AG171" i="2" s="1"/>
  <c r="J173" i="2"/>
  <c r="H173" i="2"/>
  <c r="G173" i="2"/>
  <c r="I173" i="2" s="1"/>
  <c r="F173" i="2"/>
  <c r="T173" i="2" s="1"/>
  <c r="AP165" i="2" s="1"/>
  <c r="E173" i="2"/>
  <c r="K172" i="2"/>
  <c r="AG176" i="2" s="1"/>
  <c r="J172" i="2"/>
  <c r="AF176" i="2" s="1"/>
  <c r="H172" i="2"/>
  <c r="AD176" i="2" s="1"/>
  <c r="G172" i="2"/>
  <c r="AC176" i="2" s="1"/>
  <c r="F172" i="2"/>
  <c r="T172" i="2" s="1"/>
  <c r="AP176" i="2" s="1"/>
  <c r="E172" i="2"/>
  <c r="Z171" i="2"/>
  <c r="M171" i="2"/>
  <c r="L171" i="2"/>
  <c r="K171" i="2"/>
  <c r="AG184" i="2" s="1"/>
  <c r="J171" i="2"/>
  <c r="AF184" i="2" s="1"/>
  <c r="I171" i="2"/>
  <c r="AE184" i="2" s="1"/>
  <c r="H171" i="2"/>
  <c r="AD184" i="2" s="1"/>
  <c r="G171" i="2"/>
  <c r="AC184" i="2" s="1"/>
  <c r="F171" i="2"/>
  <c r="AB184" i="2" s="1"/>
  <c r="E171" i="2"/>
  <c r="AA184" i="2" s="1"/>
  <c r="AM170" i="2"/>
  <c r="AK170" i="2"/>
  <c r="AG170" i="2"/>
  <c r="AF170" i="2"/>
  <c r="AD170" i="2"/>
  <c r="AC170" i="2"/>
  <c r="AB170" i="2"/>
  <c r="AJ170" i="2" s="1"/>
  <c r="AA170" i="2"/>
  <c r="Z170" i="2"/>
  <c r="L170" i="2"/>
  <c r="AH175" i="2" s="1"/>
  <c r="K170" i="2"/>
  <c r="J170" i="2"/>
  <c r="H170" i="2"/>
  <c r="AD175" i="2" s="1"/>
  <c r="G170" i="2"/>
  <c r="I170" i="2" s="1"/>
  <c r="F170" i="2"/>
  <c r="N170" i="2" s="1"/>
  <c r="E170" i="2"/>
  <c r="AA175" i="2" s="1"/>
  <c r="AA180" i="2" s="1"/>
  <c r="AM169" i="2"/>
  <c r="AK169" i="2"/>
  <c r="AG169" i="2"/>
  <c r="AF169" i="2"/>
  <c r="AE169" i="2"/>
  <c r="AD169" i="2"/>
  <c r="AC169" i="2"/>
  <c r="AA169" i="2"/>
  <c r="Z169" i="2"/>
  <c r="K169" i="2"/>
  <c r="AG174" i="2" s="1"/>
  <c r="J169" i="2"/>
  <c r="H169" i="2"/>
  <c r="AD174" i="2" s="1"/>
  <c r="G169" i="2"/>
  <c r="I169" i="2" s="1"/>
  <c r="F169" i="2"/>
  <c r="T169" i="2" s="1"/>
  <c r="AP174" i="2" s="1"/>
  <c r="E169" i="2"/>
  <c r="AP168" i="2"/>
  <c r="AM168" i="2"/>
  <c r="AK168" i="2"/>
  <c r="AG168" i="2"/>
  <c r="AF168" i="2"/>
  <c r="AD168" i="2"/>
  <c r="AC168" i="2"/>
  <c r="AB168" i="2"/>
  <c r="AA168" i="2"/>
  <c r="Z168" i="2"/>
  <c r="N168" i="2"/>
  <c r="K168" i="2"/>
  <c r="AG183" i="2" s="1"/>
  <c r="AG189" i="2" s="1"/>
  <c r="J168" i="2"/>
  <c r="AF183" i="2" s="1"/>
  <c r="I168" i="2"/>
  <c r="H168" i="2"/>
  <c r="G168" i="2"/>
  <c r="AC183" i="2" s="1"/>
  <c r="F168" i="2"/>
  <c r="E168" i="2"/>
  <c r="AA183" i="2" s="1"/>
  <c r="AM167" i="2"/>
  <c r="AK167" i="2"/>
  <c r="AK171" i="2" s="1"/>
  <c r="AH167" i="2"/>
  <c r="AG167" i="2"/>
  <c r="AF167" i="2"/>
  <c r="AD167" i="2"/>
  <c r="AC167" i="2"/>
  <c r="AB167" i="2"/>
  <c r="AJ167" i="2" s="1"/>
  <c r="AA167" i="2"/>
  <c r="Z167" i="2"/>
  <c r="AM166" i="2"/>
  <c r="AF166" i="2"/>
  <c r="AB166" i="2"/>
  <c r="AJ166" i="2" s="1"/>
  <c r="AA166" i="2"/>
  <c r="Z166" i="2"/>
  <c r="AQ165" i="2"/>
  <c r="AM165" i="2"/>
  <c r="AK165" i="2"/>
  <c r="AF165" i="2"/>
  <c r="AF171" i="2" s="1"/>
  <c r="AD165" i="2"/>
  <c r="AB165" i="2"/>
  <c r="AA165" i="2"/>
  <c r="AA171" i="2" s="1"/>
  <c r="Z165" i="2"/>
  <c r="AK162" i="2"/>
  <c r="AM161" i="2"/>
  <c r="AK161" i="2"/>
  <c r="AG161" i="2"/>
  <c r="AF161" i="2"/>
  <c r="AC161" i="2"/>
  <c r="AB161" i="2"/>
  <c r="Z161" i="2"/>
  <c r="AM160" i="2"/>
  <c r="AK160" i="2"/>
  <c r="AF160" i="2"/>
  <c r="AA160" i="2"/>
  <c r="Z160" i="2"/>
  <c r="AM159" i="2"/>
  <c r="AK159" i="2"/>
  <c r="AD159" i="2"/>
  <c r="Z159" i="2"/>
  <c r="O159" i="2"/>
  <c r="D159" i="2"/>
  <c r="AM158" i="2"/>
  <c r="AK158" i="2"/>
  <c r="AA158" i="2"/>
  <c r="Z158" i="2"/>
  <c r="K158" i="2"/>
  <c r="J158" i="2"/>
  <c r="L158" i="2" s="1"/>
  <c r="AH143" i="2" s="1"/>
  <c r="I158" i="2"/>
  <c r="M158" i="2" s="1"/>
  <c r="H158" i="2"/>
  <c r="G158" i="2"/>
  <c r="F158" i="2"/>
  <c r="E158" i="2"/>
  <c r="AM157" i="2"/>
  <c r="AK157" i="2"/>
  <c r="AD157" i="2"/>
  <c r="Z157" i="2"/>
  <c r="L157" i="2"/>
  <c r="K157" i="2"/>
  <c r="J157" i="2"/>
  <c r="I157" i="2"/>
  <c r="H157" i="2"/>
  <c r="G157" i="2"/>
  <c r="F157" i="2"/>
  <c r="N157" i="2" s="1"/>
  <c r="E157" i="2"/>
  <c r="AM156" i="2"/>
  <c r="AK156" i="2"/>
  <c r="AG156" i="2"/>
  <c r="Z156" i="2"/>
  <c r="Z162" i="2" s="1"/>
  <c r="L156" i="2"/>
  <c r="AH152" i="2" s="1"/>
  <c r="K156" i="2"/>
  <c r="J156" i="2"/>
  <c r="H156" i="2"/>
  <c r="G156" i="2"/>
  <c r="I156" i="2" s="1"/>
  <c r="F156" i="2"/>
  <c r="T156" i="2" s="1"/>
  <c r="E156" i="2"/>
  <c r="L155" i="2"/>
  <c r="AH151" i="2" s="1"/>
  <c r="K155" i="2"/>
  <c r="J155" i="2"/>
  <c r="H155" i="2"/>
  <c r="AD151" i="2" s="1"/>
  <c r="G155" i="2"/>
  <c r="I155" i="2" s="1"/>
  <c r="F155" i="2"/>
  <c r="T155" i="2" s="1"/>
  <c r="E155" i="2"/>
  <c r="AA151" i="2" s="1"/>
  <c r="L154" i="2"/>
  <c r="AH141" i="2" s="1"/>
  <c r="K154" i="2"/>
  <c r="J154" i="2"/>
  <c r="H154" i="2"/>
  <c r="G154" i="2"/>
  <c r="I154" i="2" s="1"/>
  <c r="M154" i="2" s="1"/>
  <c r="V154" i="2" s="1"/>
  <c r="F154" i="2"/>
  <c r="T154" i="2" s="1"/>
  <c r="E154" i="2"/>
  <c r="N153" i="2"/>
  <c r="K153" i="2"/>
  <c r="AG150" i="2" s="1"/>
  <c r="J153" i="2"/>
  <c r="L153" i="2" s="1"/>
  <c r="AH150" i="2" s="1"/>
  <c r="I153" i="2"/>
  <c r="H153" i="2"/>
  <c r="G153" i="2"/>
  <c r="AC150" i="2" s="1"/>
  <c r="F153" i="2"/>
  <c r="E153" i="2"/>
  <c r="AM152" i="2"/>
  <c r="AK152" i="2"/>
  <c r="AG152" i="2"/>
  <c r="AF152" i="2"/>
  <c r="AD152" i="2"/>
  <c r="AC152" i="2"/>
  <c r="AB152" i="2"/>
  <c r="AJ152" i="2" s="1"/>
  <c r="AA152" i="2"/>
  <c r="Z152" i="2"/>
  <c r="L152" i="2"/>
  <c r="AH161" i="2" s="1"/>
  <c r="K152" i="2"/>
  <c r="J152" i="2"/>
  <c r="I152" i="2"/>
  <c r="H152" i="2"/>
  <c r="AD161" i="2" s="1"/>
  <c r="G152" i="2"/>
  <c r="F152" i="2"/>
  <c r="N152" i="2" s="1"/>
  <c r="E152" i="2"/>
  <c r="AA161" i="2" s="1"/>
  <c r="AM151" i="2"/>
  <c r="AK151" i="2"/>
  <c r="AG151" i="2"/>
  <c r="AF151" i="2"/>
  <c r="AC151" i="2"/>
  <c r="AB151" i="2"/>
  <c r="AJ151" i="2" s="1"/>
  <c r="Z151" i="2"/>
  <c r="L151" i="2"/>
  <c r="AH160" i="2" s="1"/>
  <c r="K151" i="2"/>
  <c r="AG160" i="2" s="1"/>
  <c r="J151" i="2"/>
  <c r="H151" i="2"/>
  <c r="AD160" i="2" s="1"/>
  <c r="G151" i="2"/>
  <c r="I151" i="2" s="1"/>
  <c r="F151" i="2"/>
  <c r="T151" i="2" s="1"/>
  <c r="E151" i="2"/>
  <c r="AM150" i="2"/>
  <c r="AE150" i="2"/>
  <c r="AD150" i="2"/>
  <c r="AA150" i="2"/>
  <c r="Z150" i="2"/>
  <c r="K150" i="2"/>
  <c r="AG159" i="2" s="1"/>
  <c r="J150" i="2"/>
  <c r="L150" i="2" s="1"/>
  <c r="AH159" i="2" s="1"/>
  <c r="I150" i="2"/>
  <c r="M150" i="2" s="1"/>
  <c r="H150" i="2"/>
  <c r="G150" i="2"/>
  <c r="AC159" i="2" s="1"/>
  <c r="F150" i="2"/>
  <c r="E150" i="2"/>
  <c r="AA159" i="2" s="1"/>
  <c r="AM149" i="2"/>
  <c r="AK149" i="2"/>
  <c r="AD149" i="2"/>
  <c r="AA149" i="2"/>
  <c r="Z149" i="2"/>
  <c r="L149" i="2"/>
  <c r="AH158" i="2" s="1"/>
  <c r="K149" i="2"/>
  <c r="AG158" i="2" s="1"/>
  <c r="J149" i="2"/>
  <c r="AF158" i="2" s="1"/>
  <c r="I149" i="2"/>
  <c r="H149" i="2"/>
  <c r="AD158" i="2" s="1"/>
  <c r="G149" i="2"/>
  <c r="AC158" i="2" s="1"/>
  <c r="F149" i="2"/>
  <c r="N149" i="2" s="1"/>
  <c r="E149" i="2"/>
  <c r="AM148" i="2"/>
  <c r="AK148" i="2"/>
  <c r="AG148" i="2"/>
  <c r="AF148" i="2"/>
  <c r="AC148" i="2"/>
  <c r="AB148" i="2"/>
  <c r="Z148" i="2"/>
  <c r="Z153" i="2" s="1"/>
  <c r="L148" i="2"/>
  <c r="K148" i="2"/>
  <c r="J148" i="2"/>
  <c r="H148" i="2"/>
  <c r="G148" i="2"/>
  <c r="I148" i="2" s="1"/>
  <c r="F148" i="2"/>
  <c r="T148" i="2" s="1"/>
  <c r="U148" i="2" s="1"/>
  <c r="AQ140" i="2" s="1"/>
  <c r="E148" i="2"/>
  <c r="AM147" i="2"/>
  <c r="AK147" i="2"/>
  <c r="AK153" i="2" s="1"/>
  <c r="AF147" i="2"/>
  <c r="AB147" i="2"/>
  <c r="AA147" i="2"/>
  <c r="Z147" i="2"/>
  <c r="K147" i="2"/>
  <c r="AG139" i="2" s="1"/>
  <c r="J147" i="2"/>
  <c r="L147" i="2" s="1"/>
  <c r="AH139" i="2" s="1"/>
  <c r="H147" i="2"/>
  <c r="AD139" i="2" s="1"/>
  <c r="G147" i="2"/>
  <c r="F147" i="2"/>
  <c r="N147" i="2" s="1"/>
  <c r="E147" i="2"/>
  <c r="K146" i="2"/>
  <c r="AG138" i="2" s="1"/>
  <c r="AG144" i="2" s="1"/>
  <c r="J146" i="2"/>
  <c r="L146" i="2" s="1"/>
  <c r="AH138" i="2" s="1"/>
  <c r="H146" i="2"/>
  <c r="G146" i="2"/>
  <c r="F146" i="2"/>
  <c r="N146" i="2" s="1"/>
  <c r="E146" i="2"/>
  <c r="K145" i="2"/>
  <c r="AG149" i="2" s="1"/>
  <c r="J145" i="2"/>
  <c r="L145" i="2" s="1"/>
  <c r="AH149" i="2" s="1"/>
  <c r="H145" i="2"/>
  <c r="G145" i="2"/>
  <c r="F145" i="2"/>
  <c r="N145" i="2" s="1"/>
  <c r="E145" i="2"/>
  <c r="AD144" i="2"/>
  <c r="L144" i="2"/>
  <c r="AH157" i="2" s="1"/>
  <c r="K144" i="2"/>
  <c r="AG157" i="2" s="1"/>
  <c r="J144" i="2"/>
  <c r="AF157" i="2" s="1"/>
  <c r="I144" i="2"/>
  <c r="H144" i="2"/>
  <c r="G144" i="2"/>
  <c r="AC157" i="2" s="1"/>
  <c r="F144" i="2"/>
  <c r="AB157" i="2" s="1"/>
  <c r="E144" i="2"/>
  <c r="AA157" i="2" s="1"/>
  <c r="AM143" i="2"/>
  <c r="AK143" i="2"/>
  <c r="AG143" i="2"/>
  <c r="AF143" i="2"/>
  <c r="AE143" i="2"/>
  <c r="AD143" i="2"/>
  <c r="AC143" i="2"/>
  <c r="AA143" i="2"/>
  <c r="Z143" i="2"/>
  <c r="L143" i="2"/>
  <c r="AH148" i="2" s="1"/>
  <c r="K143" i="2"/>
  <c r="J143" i="2"/>
  <c r="H143" i="2"/>
  <c r="AD148" i="2" s="1"/>
  <c r="G143" i="2"/>
  <c r="I143" i="2" s="1"/>
  <c r="F143" i="2"/>
  <c r="T143" i="2" s="1"/>
  <c r="E143" i="2"/>
  <c r="AA148" i="2" s="1"/>
  <c r="AA153" i="2" s="1"/>
  <c r="AM142" i="2"/>
  <c r="AK142" i="2"/>
  <c r="AJ142" i="2"/>
  <c r="AH142" i="2"/>
  <c r="AG142" i="2"/>
  <c r="AF142" i="2"/>
  <c r="AD142" i="2"/>
  <c r="AC142" i="2"/>
  <c r="AB142" i="2"/>
  <c r="AA142" i="2"/>
  <c r="Z142" i="2"/>
  <c r="K142" i="2"/>
  <c r="AG147" i="2" s="1"/>
  <c r="J142" i="2"/>
  <c r="L142" i="2" s="1"/>
  <c r="AH147" i="2" s="1"/>
  <c r="AH153" i="2" s="1"/>
  <c r="H142" i="2"/>
  <c r="AD147" i="2" s="1"/>
  <c r="G142" i="2"/>
  <c r="F142" i="2"/>
  <c r="N142" i="2" s="1"/>
  <c r="E142" i="2"/>
  <c r="AM141" i="2"/>
  <c r="AK141" i="2"/>
  <c r="AG141" i="2"/>
  <c r="AF141" i="2"/>
  <c r="AE141" i="2"/>
  <c r="AD141" i="2"/>
  <c r="AC141" i="2"/>
  <c r="AB141" i="2"/>
  <c r="AA141" i="2"/>
  <c r="Z141" i="2"/>
  <c r="T141" i="2"/>
  <c r="K141" i="2"/>
  <c r="K159" i="2" s="1"/>
  <c r="J141" i="2"/>
  <c r="I141" i="2"/>
  <c r="H141" i="2"/>
  <c r="H159" i="2" s="1"/>
  <c r="G141" i="2"/>
  <c r="F141" i="2"/>
  <c r="F159" i="2" s="1"/>
  <c r="N159" i="2" s="1"/>
  <c r="E141" i="2"/>
  <c r="E159" i="2" s="1"/>
  <c r="AP140" i="2"/>
  <c r="AM140" i="2"/>
  <c r="AK140" i="2"/>
  <c r="AK144" i="2" s="1"/>
  <c r="AH140" i="2"/>
  <c r="AG140" i="2"/>
  <c r="AF140" i="2"/>
  <c r="AD140" i="2"/>
  <c r="AC140" i="2"/>
  <c r="AB140" i="2"/>
  <c r="AJ140" i="2" s="1"/>
  <c r="AA140" i="2"/>
  <c r="Z140" i="2"/>
  <c r="Z144" i="2" s="1"/>
  <c r="AM139" i="2"/>
  <c r="AF139" i="2"/>
  <c r="AB139" i="2"/>
  <c r="AJ139" i="2" s="1"/>
  <c r="AA139" i="2"/>
  <c r="Z139" i="2"/>
  <c r="AM138" i="2"/>
  <c r="AK138" i="2"/>
  <c r="AF138" i="2"/>
  <c r="AF144" i="2" s="1"/>
  <c r="AD138" i="2"/>
  <c r="AB138" i="2"/>
  <c r="AA138" i="2"/>
  <c r="AA144" i="2" s="1"/>
  <c r="Z138" i="2"/>
  <c r="AM134" i="2"/>
  <c r="AK134" i="2"/>
  <c r="AF134" i="2"/>
  <c r="AB134" i="2"/>
  <c r="AJ134" i="2" s="1"/>
  <c r="Z134" i="2"/>
  <c r="AM133" i="2"/>
  <c r="AK133" i="2"/>
  <c r="AA133" i="2"/>
  <c r="Z133" i="2"/>
  <c r="AM132" i="2"/>
  <c r="AK132" i="2"/>
  <c r="AD132" i="2"/>
  <c r="Z132" i="2"/>
  <c r="O132" i="2"/>
  <c r="D132" i="2"/>
  <c r="AM131" i="2"/>
  <c r="AK131" i="2"/>
  <c r="AE131" i="2"/>
  <c r="Z131" i="2"/>
  <c r="T131" i="2"/>
  <c r="K131" i="2"/>
  <c r="J131" i="2"/>
  <c r="I131" i="2"/>
  <c r="H131" i="2"/>
  <c r="G131" i="2"/>
  <c r="F131" i="2"/>
  <c r="N131" i="2" s="1"/>
  <c r="E131" i="2"/>
  <c r="AM130" i="2"/>
  <c r="AK130" i="2"/>
  <c r="AH130" i="2"/>
  <c r="Z130" i="2"/>
  <c r="M130" i="2"/>
  <c r="L130" i="2"/>
  <c r="K130" i="2"/>
  <c r="J130" i="2"/>
  <c r="I130" i="2"/>
  <c r="H130" i="2"/>
  <c r="G130" i="2"/>
  <c r="F130" i="2"/>
  <c r="T130" i="2" s="1"/>
  <c r="E130" i="2"/>
  <c r="AA115" i="2" s="1"/>
  <c r="AM129" i="2"/>
  <c r="AK129" i="2"/>
  <c r="AK135" i="2" s="1"/>
  <c r="AC129" i="2"/>
  <c r="Z129" i="2"/>
  <c r="L129" i="2"/>
  <c r="K129" i="2"/>
  <c r="J129" i="2"/>
  <c r="H129" i="2"/>
  <c r="AD125" i="2" s="1"/>
  <c r="G129" i="2"/>
  <c r="F129" i="2"/>
  <c r="N129" i="2" s="1"/>
  <c r="E129" i="2"/>
  <c r="L128" i="2"/>
  <c r="AH124" i="2" s="1"/>
  <c r="K128" i="2"/>
  <c r="J128" i="2"/>
  <c r="H128" i="2"/>
  <c r="AD124" i="2" s="1"/>
  <c r="G128" i="2"/>
  <c r="F128" i="2"/>
  <c r="N128" i="2" s="1"/>
  <c r="E128" i="2"/>
  <c r="AA124" i="2" s="1"/>
  <c r="L127" i="2"/>
  <c r="K127" i="2"/>
  <c r="J127" i="2"/>
  <c r="H127" i="2"/>
  <c r="AD114" i="2" s="1"/>
  <c r="G127" i="2"/>
  <c r="F127" i="2"/>
  <c r="N127" i="2" s="1"/>
  <c r="AJ114" i="2" s="1"/>
  <c r="E127" i="2"/>
  <c r="T126" i="2"/>
  <c r="K126" i="2"/>
  <c r="AG123" i="2" s="1"/>
  <c r="J126" i="2"/>
  <c r="I126" i="2"/>
  <c r="H126" i="2"/>
  <c r="G126" i="2"/>
  <c r="AC123" i="2" s="1"/>
  <c r="F126" i="2"/>
  <c r="AB123" i="2" s="1"/>
  <c r="AJ123" i="2" s="1"/>
  <c r="E126" i="2"/>
  <c r="AM125" i="2"/>
  <c r="AK125" i="2"/>
  <c r="AH125" i="2"/>
  <c r="AG125" i="2"/>
  <c r="AF125" i="2"/>
  <c r="AC125" i="2"/>
  <c r="AB125" i="2"/>
  <c r="AJ125" i="2" s="1"/>
  <c r="AA125" i="2"/>
  <c r="Z125" i="2"/>
  <c r="M125" i="2"/>
  <c r="L125" i="2"/>
  <c r="AH134" i="2" s="1"/>
  <c r="K125" i="2"/>
  <c r="AG134" i="2" s="1"/>
  <c r="J125" i="2"/>
  <c r="I125" i="2"/>
  <c r="AE134" i="2" s="1"/>
  <c r="H125" i="2"/>
  <c r="AD134" i="2" s="1"/>
  <c r="G125" i="2"/>
  <c r="AC134" i="2" s="1"/>
  <c r="F125" i="2"/>
  <c r="T125" i="2" s="1"/>
  <c r="E125" i="2"/>
  <c r="AA134" i="2" s="1"/>
  <c r="AM124" i="2"/>
  <c r="AK124" i="2"/>
  <c r="AG124" i="2"/>
  <c r="AF124" i="2"/>
  <c r="AC124" i="2"/>
  <c r="AB124" i="2"/>
  <c r="AJ124" i="2" s="1"/>
  <c r="Z124" i="2"/>
  <c r="L124" i="2"/>
  <c r="AH133" i="2" s="1"/>
  <c r="K124" i="2"/>
  <c r="AG133" i="2" s="1"/>
  <c r="J124" i="2"/>
  <c r="AF133" i="2" s="1"/>
  <c r="H124" i="2"/>
  <c r="AD133" i="2" s="1"/>
  <c r="G124" i="2"/>
  <c r="AC133" i="2" s="1"/>
  <c r="F124" i="2"/>
  <c r="N124" i="2" s="1"/>
  <c r="E124" i="2"/>
  <c r="AM123" i="2"/>
  <c r="AE123" i="2"/>
  <c r="AD123" i="2"/>
  <c r="AA123" i="2"/>
  <c r="Z123" i="2"/>
  <c r="T123" i="2"/>
  <c r="K123" i="2"/>
  <c r="AG132" i="2" s="1"/>
  <c r="J123" i="2"/>
  <c r="I123" i="2"/>
  <c r="AE132" i="2" s="1"/>
  <c r="H123" i="2"/>
  <c r="G123" i="2"/>
  <c r="AC132" i="2" s="1"/>
  <c r="F123" i="2"/>
  <c r="N123" i="2" s="1"/>
  <c r="E123" i="2"/>
  <c r="AA132" i="2" s="1"/>
  <c r="AP122" i="2"/>
  <c r="AM122" i="2"/>
  <c r="AK122" i="2"/>
  <c r="AD122" i="2"/>
  <c r="AA122" i="2"/>
  <c r="Z122" i="2"/>
  <c r="M122" i="2"/>
  <c r="L122" i="2"/>
  <c r="AH131" i="2" s="1"/>
  <c r="K122" i="2"/>
  <c r="AG131" i="2" s="1"/>
  <c r="J122" i="2"/>
  <c r="AF131" i="2" s="1"/>
  <c r="I122" i="2"/>
  <c r="H122" i="2"/>
  <c r="AD131" i="2" s="1"/>
  <c r="G122" i="2"/>
  <c r="AC131" i="2" s="1"/>
  <c r="F122" i="2"/>
  <c r="AB131" i="2" s="1"/>
  <c r="E122" i="2"/>
  <c r="AA131" i="2" s="1"/>
  <c r="AM121" i="2"/>
  <c r="AK121" i="2"/>
  <c r="AG121" i="2"/>
  <c r="AF121" i="2"/>
  <c r="AC121" i="2"/>
  <c r="AB121" i="2"/>
  <c r="Z121" i="2"/>
  <c r="L121" i="2"/>
  <c r="K121" i="2"/>
  <c r="J121" i="2"/>
  <c r="H121" i="2"/>
  <c r="G121" i="2"/>
  <c r="I121" i="2" s="1"/>
  <c r="F121" i="2"/>
  <c r="N121" i="2" s="1"/>
  <c r="E121" i="2"/>
  <c r="AM120" i="2"/>
  <c r="AK120" i="2"/>
  <c r="AK126" i="2" s="1"/>
  <c r="AF120" i="2"/>
  <c r="AB120" i="2"/>
  <c r="AA120" i="2"/>
  <c r="Z120" i="2"/>
  <c r="K120" i="2"/>
  <c r="AG112" i="2" s="1"/>
  <c r="J120" i="2"/>
  <c r="L120" i="2" s="1"/>
  <c r="AH112" i="2" s="1"/>
  <c r="H120" i="2"/>
  <c r="AD112" i="2" s="1"/>
  <c r="G120" i="2"/>
  <c r="I120" i="2" s="1"/>
  <c r="F120" i="2"/>
  <c r="T120" i="2" s="1"/>
  <c r="AP112" i="2" s="1"/>
  <c r="E120" i="2"/>
  <c r="K119" i="2"/>
  <c r="AG111" i="2" s="1"/>
  <c r="J119" i="2"/>
  <c r="L119" i="2" s="1"/>
  <c r="AH111" i="2" s="1"/>
  <c r="H119" i="2"/>
  <c r="G119" i="2"/>
  <c r="I119" i="2" s="1"/>
  <c r="F119" i="2"/>
  <c r="T119" i="2" s="1"/>
  <c r="AP111" i="2" s="1"/>
  <c r="E119" i="2"/>
  <c r="K118" i="2"/>
  <c r="AG122" i="2" s="1"/>
  <c r="J118" i="2"/>
  <c r="AF122" i="2" s="1"/>
  <c r="H118" i="2"/>
  <c r="G118" i="2"/>
  <c r="I118" i="2" s="1"/>
  <c r="F118" i="2"/>
  <c r="T118" i="2" s="1"/>
  <c r="U118" i="2" s="1"/>
  <c r="AQ122" i="2" s="1"/>
  <c r="E118" i="2"/>
  <c r="Z117" i="2"/>
  <c r="M117" i="2"/>
  <c r="L117" i="2"/>
  <c r="K117" i="2"/>
  <c r="AG130" i="2" s="1"/>
  <c r="J117" i="2"/>
  <c r="AF130" i="2" s="1"/>
  <c r="I117" i="2"/>
  <c r="AE130" i="2" s="1"/>
  <c r="H117" i="2"/>
  <c r="AD130" i="2" s="1"/>
  <c r="G117" i="2"/>
  <c r="AC130" i="2" s="1"/>
  <c r="F117" i="2"/>
  <c r="T117" i="2" s="1"/>
  <c r="U117" i="2" s="1"/>
  <c r="AQ130" i="2" s="1"/>
  <c r="E117" i="2"/>
  <c r="AA130" i="2" s="1"/>
  <c r="AM116" i="2"/>
  <c r="AK116" i="2"/>
  <c r="AG116" i="2"/>
  <c r="AE116" i="2"/>
  <c r="AD116" i="2"/>
  <c r="AC116" i="2"/>
  <c r="AB116" i="2"/>
  <c r="AJ116" i="2" s="1"/>
  <c r="AA116" i="2"/>
  <c r="Z116" i="2"/>
  <c r="L116" i="2"/>
  <c r="AH121" i="2" s="1"/>
  <c r="K116" i="2"/>
  <c r="J116" i="2"/>
  <c r="H116" i="2"/>
  <c r="AD121" i="2" s="1"/>
  <c r="G116" i="2"/>
  <c r="I116" i="2" s="1"/>
  <c r="F116" i="2"/>
  <c r="N116" i="2" s="1"/>
  <c r="E116" i="2"/>
  <c r="AA121" i="2" s="1"/>
  <c r="AA126" i="2" s="1"/>
  <c r="AM115" i="2"/>
  <c r="AK115" i="2"/>
  <c r="AH115" i="2"/>
  <c r="AG115" i="2"/>
  <c r="AF115" i="2"/>
  <c r="AE115" i="2"/>
  <c r="AD115" i="2"/>
  <c r="AC115" i="2"/>
  <c r="AB115" i="2"/>
  <c r="AJ115" i="2" s="1"/>
  <c r="Z115" i="2"/>
  <c r="K115" i="2"/>
  <c r="AG120" i="2" s="1"/>
  <c r="AG126" i="2" s="1"/>
  <c r="J115" i="2"/>
  <c r="L115" i="2" s="1"/>
  <c r="AH120" i="2" s="1"/>
  <c r="H115" i="2"/>
  <c r="AD120" i="2" s="1"/>
  <c r="G115" i="2"/>
  <c r="I115" i="2" s="1"/>
  <c r="F115" i="2"/>
  <c r="T115" i="2" s="1"/>
  <c r="E115" i="2"/>
  <c r="AM114" i="2"/>
  <c r="AK114" i="2"/>
  <c r="AH114" i="2"/>
  <c r="AG114" i="2"/>
  <c r="AF114" i="2"/>
  <c r="AC114" i="2"/>
  <c r="AB114" i="2"/>
  <c r="AA114" i="2"/>
  <c r="Z114" i="2"/>
  <c r="N114" i="2"/>
  <c r="K114" i="2"/>
  <c r="J114" i="2"/>
  <c r="L114" i="2" s="1"/>
  <c r="I114" i="2"/>
  <c r="M114" i="2" s="1"/>
  <c r="H114" i="2"/>
  <c r="H132" i="2" s="1"/>
  <c r="G114" i="2"/>
  <c r="G132" i="2" s="1"/>
  <c r="F114" i="2"/>
  <c r="F132" i="2" s="1"/>
  <c r="N132" i="2" s="1"/>
  <c r="E114" i="2"/>
  <c r="E132" i="2" s="1"/>
  <c r="AM113" i="2"/>
  <c r="AK113" i="2"/>
  <c r="AH113" i="2"/>
  <c r="AG113" i="2"/>
  <c r="AF113" i="2"/>
  <c r="AD113" i="2"/>
  <c r="AC113" i="2"/>
  <c r="AB113" i="2"/>
  <c r="AJ113" i="2" s="1"/>
  <c r="AA113" i="2"/>
  <c r="Z113" i="2"/>
  <c r="AM112" i="2"/>
  <c r="AF112" i="2"/>
  <c r="AB112" i="2"/>
  <c r="AJ112" i="2" s="1"/>
  <c r="AA112" i="2"/>
  <c r="Z112" i="2"/>
  <c r="AM111" i="2"/>
  <c r="AK111" i="2"/>
  <c r="AF111" i="2"/>
  <c r="AD111" i="2"/>
  <c r="AB111" i="2"/>
  <c r="AB117" i="2" s="1"/>
  <c r="AA111" i="2"/>
  <c r="AA117" i="2" s="1"/>
  <c r="Z111" i="2"/>
  <c r="AK108" i="2"/>
  <c r="AM107" i="2"/>
  <c r="AK107" i="2"/>
  <c r="AF107" i="2"/>
  <c r="Z107" i="2"/>
  <c r="AM106" i="2"/>
  <c r="AK106" i="2"/>
  <c r="AA106" i="2"/>
  <c r="Z106" i="2"/>
  <c r="AM105" i="2"/>
  <c r="AK105" i="2"/>
  <c r="AD105" i="2"/>
  <c r="Z105" i="2"/>
  <c r="O105" i="2"/>
  <c r="D105" i="2"/>
  <c r="AM104" i="2"/>
  <c r="AK104" i="2"/>
  <c r="AA104" i="2"/>
  <c r="Z104" i="2"/>
  <c r="K104" i="2"/>
  <c r="J104" i="2"/>
  <c r="L104" i="2" s="1"/>
  <c r="AH89" i="2" s="1"/>
  <c r="I104" i="2"/>
  <c r="H104" i="2"/>
  <c r="G104" i="2"/>
  <c r="F104" i="2"/>
  <c r="N104" i="2" s="1"/>
  <c r="E104" i="2"/>
  <c r="AM103" i="2"/>
  <c r="AK103" i="2"/>
  <c r="AD103" i="2"/>
  <c r="Z103" i="2"/>
  <c r="L103" i="2"/>
  <c r="K103" i="2"/>
  <c r="J103" i="2"/>
  <c r="I103" i="2"/>
  <c r="H103" i="2"/>
  <c r="G103" i="2"/>
  <c r="F103" i="2"/>
  <c r="N103" i="2" s="1"/>
  <c r="E103" i="2"/>
  <c r="AM102" i="2"/>
  <c r="AK102" i="2"/>
  <c r="AG102" i="2"/>
  <c r="Z102" i="2"/>
  <c r="Z108" i="2" s="1"/>
  <c r="L102" i="2"/>
  <c r="AH98" i="2" s="1"/>
  <c r="K102" i="2"/>
  <c r="J102" i="2"/>
  <c r="H102" i="2"/>
  <c r="G102" i="2"/>
  <c r="I102" i="2" s="1"/>
  <c r="F102" i="2"/>
  <c r="T102" i="2" s="1"/>
  <c r="E102" i="2"/>
  <c r="L101" i="2"/>
  <c r="AH97" i="2" s="1"/>
  <c r="K101" i="2"/>
  <c r="J101" i="2"/>
  <c r="H101" i="2"/>
  <c r="AD97" i="2" s="1"/>
  <c r="G101" i="2"/>
  <c r="I101" i="2" s="1"/>
  <c r="F101" i="2"/>
  <c r="T101" i="2" s="1"/>
  <c r="E101" i="2"/>
  <c r="AA97" i="2" s="1"/>
  <c r="L100" i="2"/>
  <c r="AH87" i="2" s="1"/>
  <c r="K100" i="2"/>
  <c r="J100" i="2"/>
  <c r="H100" i="2"/>
  <c r="G100" i="2"/>
  <c r="I100" i="2" s="1"/>
  <c r="F100" i="2"/>
  <c r="T100" i="2" s="1"/>
  <c r="E100" i="2"/>
  <c r="AA99" i="2"/>
  <c r="K99" i="2"/>
  <c r="AG96" i="2" s="1"/>
  <c r="J99" i="2"/>
  <c r="L99" i="2" s="1"/>
  <c r="AH96" i="2" s="1"/>
  <c r="I99" i="2"/>
  <c r="M99" i="2" s="1"/>
  <c r="AI96" i="2" s="1"/>
  <c r="H99" i="2"/>
  <c r="G99" i="2"/>
  <c r="AC96" i="2" s="1"/>
  <c r="F99" i="2"/>
  <c r="E99" i="2"/>
  <c r="AM98" i="2"/>
  <c r="AK98" i="2"/>
  <c r="AG98" i="2"/>
  <c r="AF98" i="2"/>
  <c r="AD98" i="2"/>
  <c r="AC98" i="2"/>
  <c r="AB98" i="2"/>
  <c r="AJ98" i="2" s="1"/>
  <c r="AA98" i="2"/>
  <c r="Z98" i="2"/>
  <c r="L98" i="2"/>
  <c r="AH107" i="2" s="1"/>
  <c r="K98" i="2"/>
  <c r="AG107" i="2" s="1"/>
  <c r="J98" i="2"/>
  <c r="I98" i="2"/>
  <c r="H98" i="2"/>
  <c r="AD107" i="2" s="1"/>
  <c r="G98" i="2"/>
  <c r="AC107" i="2" s="1"/>
  <c r="F98" i="2"/>
  <c r="N98" i="2" s="1"/>
  <c r="E98" i="2"/>
  <c r="AA107" i="2" s="1"/>
  <c r="AM97" i="2"/>
  <c r="AK97" i="2"/>
  <c r="AG97" i="2"/>
  <c r="AF97" i="2"/>
  <c r="AC97" i="2"/>
  <c r="AB97" i="2"/>
  <c r="AJ97" i="2" s="1"/>
  <c r="Z97" i="2"/>
  <c r="L97" i="2"/>
  <c r="AH106" i="2" s="1"/>
  <c r="K97" i="2"/>
  <c r="AG106" i="2" s="1"/>
  <c r="J97" i="2"/>
  <c r="AF106" i="2" s="1"/>
  <c r="H97" i="2"/>
  <c r="AD106" i="2" s="1"/>
  <c r="G97" i="2"/>
  <c r="I97" i="2" s="1"/>
  <c r="F97" i="2"/>
  <c r="T97" i="2" s="1"/>
  <c r="E97" i="2"/>
  <c r="AM96" i="2"/>
  <c r="AE96" i="2"/>
  <c r="AD96" i="2"/>
  <c r="AA96" i="2"/>
  <c r="Z96" i="2"/>
  <c r="K96" i="2"/>
  <c r="AG105" i="2" s="1"/>
  <c r="J96" i="2"/>
  <c r="L96" i="2" s="1"/>
  <c r="AH105" i="2" s="1"/>
  <c r="I96" i="2"/>
  <c r="H96" i="2"/>
  <c r="G96" i="2"/>
  <c r="AC105" i="2" s="1"/>
  <c r="F96" i="2"/>
  <c r="N96" i="2" s="1"/>
  <c r="E96" i="2"/>
  <c r="AA105" i="2" s="1"/>
  <c r="AM95" i="2"/>
  <c r="AK95" i="2"/>
  <c r="AD95" i="2"/>
  <c r="AA95" i="2"/>
  <c r="Z95" i="2"/>
  <c r="K95" i="2"/>
  <c r="AG104" i="2" s="1"/>
  <c r="J95" i="2"/>
  <c r="AF104" i="2" s="1"/>
  <c r="I95" i="2"/>
  <c r="H95" i="2"/>
  <c r="AD104" i="2" s="1"/>
  <c r="G95" i="2"/>
  <c r="AC104" i="2" s="1"/>
  <c r="F95" i="2"/>
  <c r="N95" i="2" s="1"/>
  <c r="E95" i="2"/>
  <c r="AM94" i="2"/>
  <c r="AK94" i="2"/>
  <c r="AG94" i="2"/>
  <c r="AF94" i="2"/>
  <c r="AB94" i="2"/>
  <c r="Z94" i="2"/>
  <c r="L94" i="2"/>
  <c r="K94" i="2"/>
  <c r="J94" i="2"/>
  <c r="H94" i="2"/>
  <c r="G94" i="2"/>
  <c r="I94" i="2" s="1"/>
  <c r="F94" i="2"/>
  <c r="T94" i="2" s="1"/>
  <c r="U94" i="2" s="1"/>
  <c r="AQ86" i="2" s="1"/>
  <c r="E94" i="2"/>
  <c r="AM93" i="2"/>
  <c r="AK93" i="2"/>
  <c r="AK99" i="2" s="1"/>
  <c r="AB93" i="2"/>
  <c r="Z93" i="2"/>
  <c r="Z99" i="2" s="1"/>
  <c r="K93" i="2"/>
  <c r="J93" i="2"/>
  <c r="L93" i="2" s="1"/>
  <c r="AH85" i="2" s="1"/>
  <c r="H93" i="2"/>
  <c r="G93" i="2"/>
  <c r="F93" i="2"/>
  <c r="N93" i="2" s="1"/>
  <c r="E93" i="2"/>
  <c r="K92" i="2"/>
  <c r="AG84" i="2" s="1"/>
  <c r="J92" i="2"/>
  <c r="L92" i="2" s="1"/>
  <c r="AH84" i="2" s="1"/>
  <c r="H92" i="2"/>
  <c r="G92" i="2"/>
  <c r="F92" i="2"/>
  <c r="N92" i="2" s="1"/>
  <c r="E92" i="2"/>
  <c r="K91" i="2"/>
  <c r="AG95" i="2" s="1"/>
  <c r="J91" i="2"/>
  <c r="L91" i="2" s="1"/>
  <c r="AH95" i="2" s="1"/>
  <c r="H91" i="2"/>
  <c r="G91" i="2"/>
  <c r="F91" i="2"/>
  <c r="N91" i="2" s="1"/>
  <c r="E91" i="2"/>
  <c r="AD90" i="2"/>
  <c r="T90" i="2"/>
  <c r="AP103" i="2" s="1"/>
  <c r="K90" i="2"/>
  <c r="AG103" i="2" s="1"/>
  <c r="J90" i="2"/>
  <c r="L90" i="2" s="1"/>
  <c r="AH103" i="2" s="1"/>
  <c r="I90" i="2"/>
  <c r="H90" i="2"/>
  <c r="G90" i="2"/>
  <c r="AC103" i="2" s="1"/>
  <c r="F90" i="2"/>
  <c r="AB103" i="2" s="1"/>
  <c r="AJ103" i="2" s="1"/>
  <c r="E90" i="2"/>
  <c r="AA103" i="2" s="1"/>
  <c r="AM89" i="2"/>
  <c r="AK89" i="2"/>
  <c r="AG89" i="2"/>
  <c r="AF89" i="2"/>
  <c r="AE89" i="2"/>
  <c r="AD89" i="2"/>
  <c r="AC89" i="2"/>
  <c r="AA89" i="2"/>
  <c r="Z89" i="2"/>
  <c r="L89" i="2"/>
  <c r="AH94" i="2" s="1"/>
  <c r="K89" i="2"/>
  <c r="J89" i="2"/>
  <c r="H89" i="2"/>
  <c r="AD94" i="2" s="1"/>
  <c r="G89" i="2"/>
  <c r="I89" i="2" s="1"/>
  <c r="F89" i="2"/>
  <c r="T89" i="2" s="1"/>
  <c r="E89" i="2"/>
  <c r="AA94" i="2" s="1"/>
  <c r="AM88" i="2"/>
  <c r="AK88" i="2"/>
  <c r="AH88" i="2"/>
  <c r="AG88" i="2"/>
  <c r="AF88" i="2"/>
  <c r="AD88" i="2"/>
  <c r="AC88" i="2"/>
  <c r="AB88" i="2"/>
  <c r="AJ88" i="2" s="1"/>
  <c r="AA88" i="2"/>
  <c r="Z88" i="2"/>
  <c r="K88" i="2"/>
  <c r="AG93" i="2" s="1"/>
  <c r="AG99" i="2" s="1"/>
  <c r="J88" i="2"/>
  <c r="L88" i="2" s="1"/>
  <c r="AH93" i="2" s="1"/>
  <c r="H88" i="2"/>
  <c r="AD93" i="2" s="1"/>
  <c r="AD99" i="2" s="1"/>
  <c r="G88" i="2"/>
  <c r="F88" i="2"/>
  <c r="N88" i="2" s="1"/>
  <c r="E88" i="2"/>
  <c r="AA93" i="2" s="1"/>
  <c r="AM87" i="2"/>
  <c r="AK87" i="2"/>
  <c r="AG87" i="2"/>
  <c r="AF87" i="2"/>
  <c r="AE87" i="2"/>
  <c r="AD87" i="2"/>
  <c r="AC87" i="2"/>
  <c r="AB87" i="2"/>
  <c r="AA87" i="2"/>
  <c r="Z87" i="2"/>
  <c r="T87" i="2"/>
  <c r="K87" i="2"/>
  <c r="K105" i="2" s="1"/>
  <c r="J87" i="2"/>
  <c r="I87" i="2"/>
  <c r="H87" i="2"/>
  <c r="H105" i="2" s="1"/>
  <c r="G87" i="2"/>
  <c r="F87" i="2"/>
  <c r="E87" i="2"/>
  <c r="E105" i="2" s="1"/>
  <c r="AP86" i="2"/>
  <c r="AM86" i="2"/>
  <c r="AK86" i="2"/>
  <c r="AH86" i="2"/>
  <c r="AG86" i="2"/>
  <c r="AF86" i="2"/>
  <c r="AD86" i="2"/>
  <c r="AC86" i="2"/>
  <c r="AB86" i="2"/>
  <c r="AJ86" i="2" s="1"/>
  <c r="AA86" i="2"/>
  <c r="Z86" i="2"/>
  <c r="AM85" i="2"/>
  <c r="AJ85" i="2"/>
  <c r="AG85" i="2"/>
  <c r="AF85" i="2"/>
  <c r="AD85" i="2"/>
  <c r="AB85" i="2"/>
  <c r="AA85" i="2"/>
  <c r="Z85" i="2"/>
  <c r="AM84" i="2"/>
  <c r="AK84" i="2"/>
  <c r="AK90" i="2" s="1"/>
  <c r="AF84" i="2"/>
  <c r="AF90" i="2" s="1"/>
  <c r="AD84" i="2"/>
  <c r="AB84" i="2"/>
  <c r="AA84" i="2"/>
  <c r="AA90" i="2" s="1"/>
  <c r="Z84" i="2"/>
  <c r="Z90" i="2" s="1"/>
  <c r="AM80" i="2"/>
  <c r="AK80" i="2"/>
  <c r="AE80" i="2"/>
  <c r="Z80" i="2"/>
  <c r="AM79" i="2"/>
  <c r="AK79" i="2"/>
  <c r="Z79" i="2"/>
  <c r="AM78" i="2"/>
  <c r="AK78" i="2"/>
  <c r="Z78" i="2"/>
  <c r="O78" i="2"/>
  <c r="D78" i="2"/>
  <c r="AM77" i="2"/>
  <c r="AK77" i="2"/>
  <c r="Z77" i="2"/>
  <c r="T77" i="2"/>
  <c r="K77" i="2"/>
  <c r="J77" i="2"/>
  <c r="L77" i="2" s="1"/>
  <c r="H77" i="2"/>
  <c r="G77" i="2"/>
  <c r="I77" i="2" s="1"/>
  <c r="M77" i="2" s="1"/>
  <c r="F77" i="2"/>
  <c r="N77" i="2" s="1"/>
  <c r="E77" i="2"/>
  <c r="AM76" i="2"/>
  <c r="AK76" i="2"/>
  <c r="Z76" i="2"/>
  <c r="K76" i="2"/>
  <c r="J76" i="2"/>
  <c r="L76" i="2" s="1"/>
  <c r="I76" i="2"/>
  <c r="M76" i="2" s="1"/>
  <c r="H76" i="2"/>
  <c r="G76" i="2"/>
  <c r="F76" i="2"/>
  <c r="T76" i="2" s="1"/>
  <c r="U76" i="2" s="1"/>
  <c r="AQ61" i="2" s="1"/>
  <c r="E76" i="2"/>
  <c r="AM75" i="2"/>
  <c r="AK75" i="2"/>
  <c r="AK81" i="2" s="1"/>
  <c r="AC75" i="2"/>
  <c r="Z75" i="2"/>
  <c r="L75" i="2"/>
  <c r="AH71" i="2" s="1"/>
  <c r="K75" i="2"/>
  <c r="AG71" i="2" s="1"/>
  <c r="J75" i="2"/>
  <c r="H75" i="2"/>
  <c r="I75" i="2" s="1"/>
  <c r="G75" i="2"/>
  <c r="F75" i="2"/>
  <c r="N75" i="2" s="1"/>
  <c r="E75" i="2"/>
  <c r="K74" i="2"/>
  <c r="L74" i="2" s="1"/>
  <c r="AH70" i="2" s="1"/>
  <c r="J74" i="2"/>
  <c r="H74" i="2"/>
  <c r="I74" i="2" s="1"/>
  <c r="G74" i="2"/>
  <c r="F74" i="2"/>
  <c r="N74" i="2" s="1"/>
  <c r="E74" i="2"/>
  <c r="AA70" i="2" s="1"/>
  <c r="L73" i="2"/>
  <c r="K73" i="2"/>
  <c r="J73" i="2"/>
  <c r="H73" i="2"/>
  <c r="I73" i="2" s="1"/>
  <c r="G73" i="2"/>
  <c r="F73" i="2"/>
  <c r="N73" i="2" s="1"/>
  <c r="E73" i="2"/>
  <c r="T72" i="2"/>
  <c r="K72" i="2"/>
  <c r="AG69" i="2" s="1"/>
  <c r="J72" i="2"/>
  <c r="L72" i="2" s="1"/>
  <c r="M72" i="2" s="1"/>
  <c r="H72" i="2"/>
  <c r="G72" i="2"/>
  <c r="I72" i="2" s="1"/>
  <c r="F72" i="2"/>
  <c r="N72" i="2" s="1"/>
  <c r="E72" i="2"/>
  <c r="AM71" i="2"/>
  <c r="AK71" i="2"/>
  <c r="AF71" i="2"/>
  <c r="AD71" i="2"/>
  <c r="AC71" i="2"/>
  <c r="AB71" i="2"/>
  <c r="AJ71" i="2" s="1"/>
  <c r="AA71" i="2"/>
  <c r="Z71" i="2"/>
  <c r="K71" i="2"/>
  <c r="AG80" i="2" s="1"/>
  <c r="J71" i="2"/>
  <c r="I71" i="2"/>
  <c r="H71" i="2"/>
  <c r="AD80" i="2" s="1"/>
  <c r="G71" i="2"/>
  <c r="AC80" i="2" s="1"/>
  <c r="F71" i="2"/>
  <c r="AB80" i="2" s="1"/>
  <c r="AJ80" i="2" s="1"/>
  <c r="E71" i="2"/>
  <c r="AA80" i="2" s="1"/>
  <c r="AM70" i="2"/>
  <c r="AK70" i="2"/>
  <c r="AG70" i="2"/>
  <c r="AF70" i="2"/>
  <c r="AD70" i="2"/>
  <c r="AC70" i="2"/>
  <c r="AB70" i="2"/>
  <c r="AJ70" i="2" s="1"/>
  <c r="Z70" i="2"/>
  <c r="L70" i="2"/>
  <c r="AH79" i="2" s="1"/>
  <c r="K70" i="2"/>
  <c r="AG79" i="2" s="1"/>
  <c r="J70" i="2"/>
  <c r="AF79" i="2" s="1"/>
  <c r="H70" i="2"/>
  <c r="G70" i="2"/>
  <c r="AC79" i="2" s="1"/>
  <c r="F70" i="2"/>
  <c r="N70" i="2" s="1"/>
  <c r="E70" i="2"/>
  <c r="AA79" i="2" s="1"/>
  <c r="AM69" i="2"/>
  <c r="AF69" i="2"/>
  <c r="AE69" i="2"/>
  <c r="AD69" i="2"/>
  <c r="AB69" i="2"/>
  <c r="AJ69" i="2" s="1"/>
  <c r="AA69" i="2"/>
  <c r="Z69" i="2"/>
  <c r="K69" i="2"/>
  <c r="AG78" i="2" s="1"/>
  <c r="J69" i="2"/>
  <c r="H69" i="2"/>
  <c r="AD78" i="2" s="1"/>
  <c r="G69" i="2"/>
  <c r="I69" i="2" s="1"/>
  <c r="F69" i="2"/>
  <c r="AB78" i="2" s="1"/>
  <c r="AJ78" i="2" s="1"/>
  <c r="E69" i="2"/>
  <c r="AA78" i="2" s="1"/>
  <c r="AM68" i="2"/>
  <c r="AK68" i="2"/>
  <c r="Z68" i="2"/>
  <c r="K68" i="2"/>
  <c r="AG77" i="2" s="1"/>
  <c r="J68" i="2"/>
  <c r="AF77" i="2" s="1"/>
  <c r="H68" i="2"/>
  <c r="AD77" i="2" s="1"/>
  <c r="G68" i="2"/>
  <c r="AC77" i="2" s="1"/>
  <c r="F68" i="2"/>
  <c r="AB77" i="2" s="1"/>
  <c r="AJ77" i="2" s="1"/>
  <c r="E68" i="2"/>
  <c r="AA77" i="2" s="1"/>
  <c r="AM67" i="2"/>
  <c r="AK67" i="2"/>
  <c r="Z67" i="2"/>
  <c r="T67" i="2"/>
  <c r="K67" i="2"/>
  <c r="J67" i="2"/>
  <c r="L67" i="2" s="1"/>
  <c r="AH59" i="2" s="1"/>
  <c r="H67" i="2"/>
  <c r="I67" i="2" s="1"/>
  <c r="G67" i="2"/>
  <c r="F67" i="2"/>
  <c r="N67" i="2" s="1"/>
  <c r="E67" i="2"/>
  <c r="AM66" i="2"/>
  <c r="AK66" i="2"/>
  <c r="AK72" i="2" s="1"/>
  <c r="Z66" i="2"/>
  <c r="Z72" i="2" s="1"/>
  <c r="M66" i="2"/>
  <c r="K66" i="2"/>
  <c r="L66" i="2" s="1"/>
  <c r="J66" i="2"/>
  <c r="H66" i="2"/>
  <c r="I66" i="2" s="1"/>
  <c r="AE58" i="2" s="1"/>
  <c r="G66" i="2"/>
  <c r="F66" i="2"/>
  <c r="T66" i="2" s="1"/>
  <c r="E66" i="2"/>
  <c r="AA58" i="2" s="1"/>
  <c r="K65" i="2"/>
  <c r="L65" i="2" s="1"/>
  <c r="AH57" i="2" s="1"/>
  <c r="AH63" i="2" s="1"/>
  <c r="J65" i="2"/>
  <c r="H65" i="2"/>
  <c r="I65" i="2" s="1"/>
  <c r="AE57" i="2" s="1"/>
  <c r="G65" i="2"/>
  <c r="F65" i="2"/>
  <c r="T65" i="2" s="1"/>
  <c r="E65" i="2"/>
  <c r="AA57" i="2" s="1"/>
  <c r="K64" i="2"/>
  <c r="L64" i="2" s="1"/>
  <c r="AH68" i="2" s="1"/>
  <c r="J64" i="2"/>
  <c r="AF68" i="2" s="1"/>
  <c r="H64" i="2"/>
  <c r="AD68" i="2" s="1"/>
  <c r="G64" i="2"/>
  <c r="AC68" i="2" s="1"/>
  <c r="F64" i="2"/>
  <c r="AB68" i="2" s="1"/>
  <c r="E64" i="2"/>
  <c r="AA68" i="2" s="1"/>
  <c r="AB63" i="2"/>
  <c r="K63" i="2"/>
  <c r="AG76" i="2" s="1"/>
  <c r="J63" i="2"/>
  <c r="AF76" i="2" s="1"/>
  <c r="H63" i="2"/>
  <c r="AD76" i="2" s="1"/>
  <c r="G63" i="2"/>
  <c r="F63" i="2"/>
  <c r="AB76" i="2" s="1"/>
  <c r="E63" i="2"/>
  <c r="AA76" i="2" s="1"/>
  <c r="AP62" i="2"/>
  <c r="AM62" i="2"/>
  <c r="AK62" i="2"/>
  <c r="AH62" i="2"/>
  <c r="AG62" i="2"/>
  <c r="AF62" i="2"/>
  <c r="AE62" i="2"/>
  <c r="AD62" i="2"/>
  <c r="AC62" i="2"/>
  <c r="AB62" i="2"/>
  <c r="AJ62" i="2" s="1"/>
  <c r="AA62" i="2"/>
  <c r="Z62" i="2"/>
  <c r="T62" i="2"/>
  <c r="K62" i="2"/>
  <c r="AG67" i="2" s="1"/>
  <c r="J62" i="2"/>
  <c r="H62" i="2"/>
  <c r="AD67" i="2" s="1"/>
  <c r="G62" i="2"/>
  <c r="AC67" i="2" s="1"/>
  <c r="F62" i="2"/>
  <c r="AB67" i="2" s="1"/>
  <c r="E62" i="2"/>
  <c r="AA67" i="2" s="1"/>
  <c r="AP61" i="2"/>
  <c r="AM61" i="2"/>
  <c r="AK61" i="2"/>
  <c r="AH61" i="2"/>
  <c r="AG61" i="2"/>
  <c r="AF61" i="2"/>
  <c r="AE61" i="2"/>
  <c r="AD61" i="2"/>
  <c r="AC61" i="2"/>
  <c r="AB61" i="2"/>
  <c r="AJ61" i="2" s="1"/>
  <c r="AA61" i="2"/>
  <c r="Z61" i="2"/>
  <c r="K61" i="2"/>
  <c r="AG66" i="2" s="1"/>
  <c r="J61" i="2"/>
  <c r="AF66" i="2" s="1"/>
  <c r="H61" i="2"/>
  <c r="AD66" i="2" s="1"/>
  <c r="AD72" i="2" s="1"/>
  <c r="G61" i="2"/>
  <c r="AC66" i="2" s="1"/>
  <c r="F61" i="2"/>
  <c r="T61" i="2" s="1"/>
  <c r="U61" i="2" s="1"/>
  <c r="AQ66" i="2" s="1"/>
  <c r="E61" i="2"/>
  <c r="AA66" i="2" s="1"/>
  <c r="AM60" i="2"/>
  <c r="AK60" i="2"/>
  <c r="AJ60" i="2"/>
  <c r="AH60" i="2"/>
  <c r="AG60" i="2"/>
  <c r="AF60" i="2"/>
  <c r="AE60" i="2"/>
  <c r="AD60" i="2"/>
  <c r="AC60" i="2"/>
  <c r="AB60" i="2"/>
  <c r="AA60" i="2"/>
  <c r="Z60" i="2"/>
  <c r="K60" i="2"/>
  <c r="AG75" i="2" s="1"/>
  <c r="AG81" i="2" s="1"/>
  <c r="J60" i="2"/>
  <c r="AF75" i="2" s="1"/>
  <c r="H60" i="2"/>
  <c r="G60" i="2"/>
  <c r="F60" i="2"/>
  <c r="AB75" i="2" s="1"/>
  <c r="E60" i="2"/>
  <c r="AM59" i="2"/>
  <c r="AK59" i="2"/>
  <c r="AG59" i="2"/>
  <c r="AF59" i="2"/>
  <c r="AD59" i="2"/>
  <c r="AC59" i="2"/>
  <c r="AB59" i="2"/>
  <c r="AJ59" i="2" s="1"/>
  <c r="AA59" i="2"/>
  <c r="Z59" i="2"/>
  <c r="AM58" i="2"/>
  <c r="AH58" i="2"/>
  <c r="AG58" i="2"/>
  <c r="AF58" i="2"/>
  <c r="AD58" i="2"/>
  <c r="AC58" i="2"/>
  <c r="AB58" i="2"/>
  <c r="AJ58" i="2" s="1"/>
  <c r="Z58" i="2"/>
  <c r="AM57" i="2"/>
  <c r="AK57" i="2"/>
  <c r="AK63" i="2" s="1"/>
  <c r="AG57" i="2"/>
  <c r="AG63" i="2" s="1"/>
  <c r="AF57" i="2"/>
  <c r="AD57" i="2"/>
  <c r="AD63" i="2" s="1"/>
  <c r="AC57" i="2"/>
  <c r="AC63" i="2" s="1"/>
  <c r="AB57" i="2"/>
  <c r="AJ57" i="2" s="1"/>
  <c r="Z57" i="2"/>
  <c r="Z63" i="2" s="1"/>
  <c r="AM53" i="2"/>
  <c r="AK53" i="2"/>
  <c r="Z53" i="2"/>
  <c r="AM52" i="2"/>
  <c r="AK52" i="2"/>
  <c r="AC52" i="2"/>
  <c r="Z52" i="2"/>
  <c r="AM51" i="2"/>
  <c r="AK51" i="2"/>
  <c r="AF51" i="2"/>
  <c r="Z51" i="2"/>
  <c r="O51" i="2"/>
  <c r="D51" i="2"/>
  <c r="AM50" i="2"/>
  <c r="AK50" i="2"/>
  <c r="AC50" i="2"/>
  <c r="Z50" i="2"/>
  <c r="K50" i="2"/>
  <c r="L50" i="2" s="1"/>
  <c r="AH35" i="2" s="1"/>
  <c r="J50" i="2"/>
  <c r="H50" i="2"/>
  <c r="G50" i="2"/>
  <c r="F50" i="2"/>
  <c r="N50" i="2" s="1"/>
  <c r="E50" i="2"/>
  <c r="AM49" i="2"/>
  <c r="AK49" i="2"/>
  <c r="AF49" i="2"/>
  <c r="Z49" i="2"/>
  <c r="U49" i="2"/>
  <c r="AQ34" i="2" s="1"/>
  <c r="K49" i="2"/>
  <c r="J49" i="2"/>
  <c r="I49" i="2"/>
  <c r="H49" i="2"/>
  <c r="G49" i="2"/>
  <c r="F49" i="2"/>
  <c r="T49" i="2" s="1"/>
  <c r="AP34" i="2" s="1"/>
  <c r="E49" i="2"/>
  <c r="AM48" i="2"/>
  <c r="AK48" i="2"/>
  <c r="AK54" i="2" s="1"/>
  <c r="AA48" i="2"/>
  <c r="Z48" i="2"/>
  <c r="L48" i="2"/>
  <c r="K48" i="2"/>
  <c r="J48" i="2"/>
  <c r="H48" i="2"/>
  <c r="G48" i="2"/>
  <c r="AC44" i="2" s="1"/>
  <c r="F48" i="2"/>
  <c r="N48" i="2" s="1"/>
  <c r="E48" i="2"/>
  <c r="K47" i="2"/>
  <c r="J47" i="2"/>
  <c r="L47" i="2" s="1"/>
  <c r="AH43" i="2" s="1"/>
  <c r="H47" i="2"/>
  <c r="G47" i="2"/>
  <c r="I47" i="2" s="1"/>
  <c r="F47" i="2"/>
  <c r="N47" i="2" s="1"/>
  <c r="E47" i="2"/>
  <c r="K46" i="2"/>
  <c r="J46" i="2"/>
  <c r="L46" i="2" s="1"/>
  <c r="AH33" i="2" s="1"/>
  <c r="H46" i="2"/>
  <c r="G46" i="2"/>
  <c r="I46" i="2" s="1"/>
  <c r="F46" i="2"/>
  <c r="E46" i="2"/>
  <c r="AK45" i="2"/>
  <c r="K45" i="2"/>
  <c r="L45" i="2" s="1"/>
  <c r="AH42" i="2" s="1"/>
  <c r="J45" i="2"/>
  <c r="H45" i="2"/>
  <c r="G45" i="2"/>
  <c r="F45" i="2"/>
  <c r="N45" i="2" s="1"/>
  <c r="E45" i="2"/>
  <c r="AM44" i="2"/>
  <c r="AK44" i="2"/>
  <c r="AH44" i="2"/>
  <c r="AG44" i="2"/>
  <c r="AF44" i="2"/>
  <c r="AD44" i="2"/>
  <c r="AA44" i="2"/>
  <c r="Z44" i="2"/>
  <c r="K44" i="2"/>
  <c r="J44" i="2"/>
  <c r="AF53" i="2" s="1"/>
  <c r="H44" i="2"/>
  <c r="AD53" i="2" s="1"/>
  <c r="G44" i="2"/>
  <c r="I44" i="2" s="1"/>
  <c r="F44" i="2"/>
  <c r="T44" i="2" s="1"/>
  <c r="AP53" i="2" s="1"/>
  <c r="E44" i="2"/>
  <c r="AA53" i="2" s="1"/>
  <c r="AM43" i="2"/>
  <c r="AK43" i="2"/>
  <c r="AG43" i="2"/>
  <c r="AF43" i="2"/>
  <c r="AD43" i="2"/>
  <c r="AA43" i="2"/>
  <c r="Z43" i="2"/>
  <c r="K43" i="2"/>
  <c r="AG52" i="2" s="1"/>
  <c r="J43" i="2"/>
  <c r="L43" i="2" s="1"/>
  <c r="AH52" i="2" s="1"/>
  <c r="H43" i="2"/>
  <c r="AD52" i="2" s="1"/>
  <c r="G43" i="2"/>
  <c r="I43" i="2" s="1"/>
  <c r="F43" i="2"/>
  <c r="N43" i="2" s="1"/>
  <c r="E43" i="2"/>
  <c r="AA52" i="2" s="1"/>
  <c r="AM42" i="2"/>
  <c r="AG42" i="2"/>
  <c r="AF42" i="2"/>
  <c r="AC42" i="2"/>
  <c r="AB42" i="2"/>
  <c r="AJ42" i="2" s="1"/>
  <c r="AA42" i="2"/>
  <c r="Z42" i="2"/>
  <c r="T42" i="2"/>
  <c r="U42" i="2" s="1"/>
  <c r="AQ51" i="2" s="1"/>
  <c r="K42" i="2"/>
  <c r="AG51" i="2" s="1"/>
  <c r="J42" i="2"/>
  <c r="L42" i="2" s="1"/>
  <c r="AH51" i="2" s="1"/>
  <c r="H42" i="2"/>
  <c r="G42" i="2"/>
  <c r="AC51" i="2" s="1"/>
  <c r="F42" i="2"/>
  <c r="N42" i="2" s="1"/>
  <c r="E42" i="2"/>
  <c r="AA51" i="2" s="1"/>
  <c r="AP41" i="2"/>
  <c r="AM41" i="2"/>
  <c r="AK41" i="2"/>
  <c r="AF41" i="2"/>
  <c r="Z41" i="2"/>
  <c r="K41" i="2"/>
  <c r="J41" i="2"/>
  <c r="AF50" i="2" s="1"/>
  <c r="H41" i="2"/>
  <c r="AD50" i="2" s="1"/>
  <c r="G41" i="2"/>
  <c r="I41" i="2" s="1"/>
  <c r="F41" i="2"/>
  <c r="AB50" i="2" s="1"/>
  <c r="AJ50" i="2" s="1"/>
  <c r="E41" i="2"/>
  <c r="AA50" i="2" s="1"/>
  <c r="AM40" i="2"/>
  <c r="AK40" i="2"/>
  <c r="AC40" i="2"/>
  <c r="AA40" i="2"/>
  <c r="Z40" i="2"/>
  <c r="N40" i="2"/>
  <c r="K40" i="2"/>
  <c r="J40" i="2"/>
  <c r="L40" i="2" s="1"/>
  <c r="AH32" i="2" s="1"/>
  <c r="H40" i="2"/>
  <c r="G40" i="2"/>
  <c r="I40" i="2" s="1"/>
  <c r="F40" i="2"/>
  <c r="T40" i="2" s="1"/>
  <c r="E40" i="2"/>
  <c r="AM39" i="2"/>
  <c r="AK39" i="2"/>
  <c r="AF39" i="2"/>
  <c r="AD39" i="2"/>
  <c r="Z39" i="2"/>
  <c r="Z45" i="2" s="1"/>
  <c r="U39" i="2"/>
  <c r="AQ31" i="2" s="1"/>
  <c r="T39" i="2"/>
  <c r="K39" i="2"/>
  <c r="AG31" i="2" s="1"/>
  <c r="J39" i="2"/>
  <c r="L39" i="2" s="1"/>
  <c r="AH31" i="2" s="1"/>
  <c r="I39" i="2"/>
  <c r="H39" i="2"/>
  <c r="G39" i="2"/>
  <c r="F39" i="2"/>
  <c r="N39" i="2" s="1"/>
  <c r="E39" i="2"/>
  <c r="U38" i="2"/>
  <c r="T38" i="2"/>
  <c r="K38" i="2"/>
  <c r="J38" i="2"/>
  <c r="L38" i="2" s="1"/>
  <c r="AH30" i="2" s="1"/>
  <c r="I38" i="2"/>
  <c r="H38" i="2"/>
  <c r="G38" i="2"/>
  <c r="F38" i="2"/>
  <c r="N38" i="2" s="1"/>
  <c r="E38" i="2"/>
  <c r="U37" i="2"/>
  <c r="AQ41" i="2" s="1"/>
  <c r="T37" i="2"/>
  <c r="K37" i="2"/>
  <c r="AG41" i="2" s="1"/>
  <c r="J37" i="2"/>
  <c r="L37" i="2" s="1"/>
  <c r="AH41" i="2" s="1"/>
  <c r="I37" i="2"/>
  <c r="H37" i="2"/>
  <c r="AD41" i="2" s="1"/>
  <c r="G37" i="2"/>
  <c r="AC41" i="2" s="1"/>
  <c r="F37" i="2"/>
  <c r="N37" i="2" s="1"/>
  <c r="E37" i="2"/>
  <c r="AA41" i="2" s="1"/>
  <c r="AF36" i="2"/>
  <c r="K36" i="2"/>
  <c r="J36" i="2"/>
  <c r="H36" i="2"/>
  <c r="AD49" i="2" s="1"/>
  <c r="G36" i="2"/>
  <c r="I36" i="2" s="1"/>
  <c r="F36" i="2"/>
  <c r="T36" i="2" s="1"/>
  <c r="AP49" i="2" s="1"/>
  <c r="E36" i="2"/>
  <c r="AA49" i="2" s="1"/>
  <c r="AM35" i="2"/>
  <c r="AK35" i="2"/>
  <c r="AG35" i="2"/>
  <c r="AF35" i="2"/>
  <c r="AC35" i="2"/>
  <c r="AB35" i="2"/>
  <c r="AA35" i="2"/>
  <c r="Z35" i="2"/>
  <c r="K35" i="2"/>
  <c r="AG40" i="2" s="1"/>
  <c r="J35" i="2"/>
  <c r="L35" i="2" s="1"/>
  <c r="AH40" i="2" s="1"/>
  <c r="H35" i="2"/>
  <c r="AD40" i="2" s="1"/>
  <c r="G35" i="2"/>
  <c r="I35" i="2" s="1"/>
  <c r="F35" i="2"/>
  <c r="N35" i="2" s="1"/>
  <c r="E35" i="2"/>
  <c r="AM34" i="2"/>
  <c r="AK34" i="2"/>
  <c r="AF34" i="2"/>
  <c r="AE34" i="2"/>
  <c r="AD34" i="2"/>
  <c r="AC34" i="2"/>
  <c r="AB34" i="2"/>
  <c r="AJ34" i="2" s="1"/>
  <c r="AA34" i="2"/>
  <c r="Z34" i="2"/>
  <c r="U34" i="2"/>
  <c r="AQ39" i="2" s="1"/>
  <c r="T34" i="2"/>
  <c r="AP39" i="2" s="1"/>
  <c r="K34" i="2"/>
  <c r="AG39" i="2" s="1"/>
  <c r="AG45" i="2" s="1"/>
  <c r="J34" i="2"/>
  <c r="L34" i="2" s="1"/>
  <c r="AH39" i="2" s="1"/>
  <c r="AH45" i="2" s="1"/>
  <c r="I34" i="2"/>
  <c r="H34" i="2"/>
  <c r="G34" i="2"/>
  <c r="AC39" i="2" s="1"/>
  <c r="F34" i="2"/>
  <c r="AB39" i="2" s="1"/>
  <c r="E34" i="2"/>
  <c r="AA39" i="2" s="1"/>
  <c r="AA45" i="2" s="1"/>
  <c r="AM33" i="2"/>
  <c r="AK33" i="2"/>
  <c r="AG33" i="2"/>
  <c r="AF33" i="2"/>
  <c r="AD33" i="2"/>
  <c r="AC33" i="2"/>
  <c r="AA33" i="2"/>
  <c r="Z33" i="2"/>
  <c r="L33" i="2"/>
  <c r="AH48" i="2" s="1"/>
  <c r="K33" i="2"/>
  <c r="K51" i="2" s="1"/>
  <c r="J33" i="2"/>
  <c r="J51" i="2" s="1"/>
  <c r="H33" i="2"/>
  <c r="H51" i="2" s="1"/>
  <c r="G33" i="2"/>
  <c r="I33" i="2" s="1"/>
  <c r="F33" i="2"/>
  <c r="T33" i="2" s="1"/>
  <c r="E33" i="2"/>
  <c r="E51" i="2" s="1"/>
  <c r="AM32" i="2"/>
  <c r="AK32" i="2"/>
  <c r="AG32" i="2"/>
  <c r="AF32" i="2"/>
  <c r="AD32" i="2"/>
  <c r="AC32" i="2"/>
  <c r="AB32" i="2"/>
  <c r="AJ32" i="2" s="1"/>
  <c r="AA32" i="2"/>
  <c r="Z32" i="2"/>
  <c r="AP31" i="2"/>
  <c r="AM31" i="2"/>
  <c r="AF31" i="2"/>
  <c r="AD31" i="2"/>
  <c r="AC31" i="2"/>
  <c r="AB31" i="2"/>
  <c r="AJ31" i="2" s="1"/>
  <c r="AA31" i="2"/>
  <c r="Z31" i="2"/>
  <c r="AQ30" i="2"/>
  <c r="AP30" i="2"/>
  <c r="AM30" i="2"/>
  <c r="AK30" i="2"/>
  <c r="AK36" i="2" s="1"/>
  <c r="AG30" i="2"/>
  <c r="AF30" i="2"/>
  <c r="AD30" i="2"/>
  <c r="AC30" i="2"/>
  <c r="AC36" i="2" s="1"/>
  <c r="AB30" i="2"/>
  <c r="AA30" i="2"/>
  <c r="AA36" i="2" s="1"/>
  <c r="Z30" i="2"/>
  <c r="Z36" i="2" s="1"/>
  <c r="AM26" i="2"/>
  <c r="AK26" i="2"/>
  <c r="AD26" i="2"/>
  <c r="Z26" i="2"/>
  <c r="AM25" i="2"/>
  <c r="AK25" i="2"/>
  <c r="AG25" i="2"/>
  <c r="Z25" i="2"/>
  <c r="AM24" i="2"/>
  <c r="AK24" i="2"/>
  <c r="AB24" i="2"/>
  <c r="Z24" i="2"/>
  <c r="O24" i="2"/>
  <c r="D24" i="2"/>
  <c r="AM23" i="2"/>
  <c r="AK23" i="2"/>
  <c r="AG23" i="2"/>
  <c r="Z23" i="2"/>
  <c r="L23" i="2"/>
  <c r="AH8" i="2" s="1"/>
  <c r="K23" i="2"/>
  <c r="K860" i="2" s="1"/>
  <c r="AG845" i="2" s="1"/>
  <c r="J23" i="2"/>
  <c r="J860" i="2" s="1"/>
  <c r="H23" i="2"/>
  <c r="G23" i="2"/>
  <c r="G860" i="2" s="1"/>
  <c r="F23" i="2"/>
  <c r="F860" i="2" s="1"/>
  <c r="E23" i="2"/>
  <c r="E860" i="2" s="1"/>
  <c r="AA845" i="2" s="1"/>
  <c r="AM22" i="2"/>
  <c r="AK22" i="2"/>
  <c r="AB22" i="2"/>
  <c r="Z22" i="2"/>
  <c r="K22" i="2"/>
  <c r="J22" i="2"/>
  <c r="J859" i="2" s="1"/>
  <c r="H22" i="2"/>
  <c r="H859" i="2" s="1"/>
  <c r="AD844" i="2" s="1"/>
  <c r="G22" i="2"/>
  <c r="F22" i="2"/>
  <c r="F859" i="2" s="1"/>
  <c r="E22" i="2"/>
  <c r="E859" i="2" s="1"/>
  <c r="AA844" i="2" s="1"/>
  <c r="AM21" i="2"/>
  <c r="AK21" i="2"/>
  <c r="AK27" i="2" s="1"/>
  <c r="Z21" i="2"/>
  <c r="Z27" i="2" s="1"/>
  <c r="T21" i="2"/>
  <c r="K21" i="2"/>
  <c r="K858" i="2" s="1"/>
  <c r="AG854" i="2" s="1"/>
  <c r="J21" i="2"/>
  <c r="H21" i="2"/>
  <c r="G21" i="2"/>
  <c r="G858" i="2" s="1"/>
  <c r="F21" i="2"/>
  <c r="E21" i="2"/>
  <c r="T20" i="2"/>
  <c r="K20" i="2"/>
  <c r="J20" i="2"/>
  <c r="H20" i="2"/>
  <c r="H857" i="2" s="1"/>
  <c r="AD853" i="2" s="1"/>
  <c r="G20" i="2"/>
  <c r="G857" i="2" s="1"/>
  <c r="F20" i="2"/>
  <c r="E20" i="2"/>
  <c r="E857" i="2" s="1"/>
  <c r="AA853" i="2" s="1"/>
  <c r="T19" i="2"/>
  <c r="K19" i="2"/>
  <c r="J19" i="2"/>
  <c r="H19" i="2"/>
  <c r="G19" i="2"/>
  <c r="G856" i="2" s="1"/>
  <c r="F19" i="2"/>
  <c r="E19" i="2"/>
  <c r="E856" i="2" s="1"/>
  <c r="AA843" i="2" s="1"/>
  <c r="T18" i="2"/>
  <c r="U18" i="2" s="1"/>
  <c r="AQ15" i="2" s="1"/>
  <c r="L18" i="2"/>
  <c r="AH15" i="2" s="1"/>
  <c r="K18" i="2"/>
  <c r="K855" i="2" s="1"/>
  <c r="AG852" i="2" s="1"/>
  <c r="J18" i="2"/>
  <c r="J855" i="2" s="1"/>
  <c r="H18" i="2"/>
  <c r="G18" i="2"/>
  <c r="G855" i="2" s="1"/>
  <c r="F18" i="2"/>
  <c r="F855" i="2" s="1"/>
  <c r="E18" i="2"/>
  <c r="AM17" i="2"/>
  <c r="AK17" i="2"/>
  <c r="AJ17" i="2"/>
  <c r="AG17" i="2"/>
  <c r="AD17" i="2"/>
  <c r="AC17" i="2"/>
  <c r="AB17" i="2"/>
  <c r="AA17" i="2"/>
  <c r="Z17" i="2"/>
  <c r="T17" i="2"/>
  <c r="AP26" i="2" s="1"/>
  <c r="K17" i="2"/>
  <c r="AG26" i="2" s="1"/>
  <c r="J17" i="2"/>
  <c r="J854" i="2" s="1"/>
  <c r="H17" i="2"/>
  <c r="H854" i="2" s="1"/>
  <c r="AD863" i="2" s="1"/>
  <c r="G17" i="2"/>
  <c r="F17" i="2"/>
  <c r="F854" i="2" s="1"/>
  <c r="E17" i="2"/>
  <c r="AA26" i="2" s="1"/>
  <c r="AM16" i="2"/>
  <c r="AK16" i="2"/>
  <c r="AG16" i="2"/>
  <c r="AD16" i="2"/>
  <c r="AC16" i="2"/>
  <c r="AB16" i="2"/>
  <c r="AJ16" i="2" s="1"/>
  <c r="AA16" i="2"/>
  <c r="Z16" i="2"/>
  <c r="T16" i="2"/>
  <c r="K16" i="2"/>
  <c r="K853" i="2" s="1"/>
  <c r="AG862" i="2" s="1"/>
  <c r="J16" i="2"/>
  <c r="H16" i="2"/>
  <c r="AD25" i="2" s="1"/>
  <c r="G16" i="2"/>
  <c r="G853" i="2" s="1"/>
  <c r="F16" i="2"/>
  <c r="AB25" i="2" s="1"/>
  <c r="E16" i="2"/>
  <c r="E853" i="2" s="1"/>
  <c r="AA862" i="2" s="1"/>
  <c r="AP15" i="2"/>
  <c r="AM15" i="2"/>
  <c r="AG15" i="2"/>
  <c r="AF15" i="2"/>
  <c r="AD15" i="2"/>
  <c r="AB15" i="2"/>
  <c r="AJ15" i="2" s="1"/>
  <c r="AA15" i="2"/>
  <c r="Z15" i="2"/>
  <c r="T15" i="2"/>
  <c r="U15" i="2" s="1"/>
  <c r="AQ24" i="2" s="1"/>
  <c r="L15" i="2"/>
  <c r="AH24" i="2" s="1"/>
  <c r="K15" i="2"/>
  <c r="AG24" i="2" s="1"/>
  <c r="J15" i="2"/>
  <c r="J852" i="2" s="1"/>
  <c r="H15" i="2"/>
  <c r="AD24" i="2" s="1"/>
  <c r="G15" i="2"/>
  <c r="G852" i="2" s="1"/>
  <c r="F15" i="2"/>
  <c r="F852" i="2" s="1"/>
  <c r="E15" i="2"/>
  <c r="E852" i="2" s="1"/>
  <c r="AA861" i="2" s="1"/>
  <c r="AM14" i="2"/>
  <c r="AK14" i="2"/>
  <c r="AB14" i="2"/>
  <c r="Z14" i="2"/>
  <c r="T14" i="2"/>
  <c r="U14" i="2" s="1"/>
  <c r="AQ23" i="2" s="1"/>
  <c r="K14" i="2"/>
  <c r="J14" i="2"/>
  <c r="J851" i="2" s="1"/>
  <c r="H14" i="2"/>
  <c r="H851" i="2" s="1"/>
  <c r="AD860" i="2" s="1"/>
  <c r="G14" i="2"/>
  <c r="F14" i="2"/>
  <c r="F851" i="2" s="1"/>
  <c r="E14" i="2"/>
  <c r="AA23" i="2" s="1"/>
  <c r="AM13" i="2"/>
  <c r="AK13" i="2"/>
  <c r="Z13" i="2"/>
  <c r="T13" i="2"/>
  <c r="K13" i="2"/>
  <c r="K850" i="2" s="1"/>
  <c r="AG842" i="2" s="1"/>
  <c r="J13" i="2"/>
  <c r="H13" i="2"/>
  <c r="H850" i="2" s="1"/>
  <c r="AD842" i="2" s="1"/>
  <c r="G13" i="2"/>
  <c r="G850" i="2" s="1"/>
  <c r="F13" i="2"/>
  <c r="E13" i="2"/>
  <c r="E850" i="2" s="1"/>
  <c r="AA842" i="2" s="1"/>
  <c r="AM12" i="2"/>
  <c r="AK12" i="2"/>
  <c r="AK18" i="2" s="1"/>
  <c r="AC12" i="2"/>
  <c r="Z12" i="2"/>
  <c r="Z18" i="2" s="1"/>
  <c r="K12" i="2"/>
  <c r="K849" i="2" s="1"/>
  <c r="AG841" i="2" s="1"/>
  <c r="J12" i="2"/>
  <c r="J849" i="2" s="1"/>
  <c r="H12" i="2"/>
  <c r="H849" i="2" s="1"/>
  <c r="AD841" i="2" s="1"/>
  <c r="G12" i="2"/>
  <c r="G849" i="2" s="1"/>
  <c r="F12" i="2"/>
  <c r="F849" i="2" s="1"/>
  <c r="E12" i="2"/>
  <c r="K11" i="2"/>
  <c r="AG3" i="2" s="1"/>
  <c r="AG9" i="2" s="1"/>
  <c r="J11" i="2"/>
  <c r="J848" i="2" s="1"/>
  <c r="H11" i="2"/>
  <c r="H848" i="2" s="1"/>
  <c r="AD840" i="2" s="1"/>
  <c r="G11" i="2"/>
  <c r="F11" i="2"/>
  <c r="F848" i="2" s="1"/>
  <c r="E11" i="2"/>
  <c r="K10" i="2"/>
  <c r="K847" i="2" s="1"/>
  <c r="AG851" i="2" s="1"/>
  <c r="J10" i="2"/>
  <c r="J847" i="2" s="1"/>
  <c r="H10" i="2"/>
  <c r="H847" i="2" s="1"/>
  <c r="AD851" i="2" s="1"/>
  <c r="G10" i="2"/>
  <c r="AC14" i="2" s="1"/>
  <c r="F10" i="2"/>
  <c r="F847" i="2" s="1"/>
  <c r="E10" i="2"/>
  <c r="T9" i="2"/>
  <c r="AP22" i="2" s="1"/>
  <c r="K9" i="2"/>
  <c r="J9" i="2"/>
  <c r="J846" i="2" s="1"/>
  <c r="H9" i="2"/>
  <c r="G9" i="2"/>
  <c r="F9" i="2"/>
  <c r="F846" i="2" s="1"/>
  <c r="E9" i="2"/>
  <c r="AM8" i="2"/>
  <c r="AK8" i="2"/>
  <c r="AG8" i="2"/>
  <c r="AF8" i="2"/>
  <c r="AD8" i="2"/>
  <c r="AC8" i="2"/>
  <c r="AB8" i="2"/>
  <c r="AJ8" i="2" s="1"/>
  <c r="AA8" i="2"/>
  <c r="Z8" i="2"/>
  <c r="T8" i="2"/>
  <c r="K8" i="2"/>
  <c r="K845" i="2" s="1"/>
  <c r="AG850" i="2" s="1"/>
  <c r="J8" i="2"/>
  <c r="H8" i="2"/>
  <c r="H845" i="2" s="1"/>
  <c r="AD850" i="2" s="1"/>
  <c r="G8" i="2"/>
  <c r="G845" i="2" s="1"/>
  <c r="F8" i="2"/>
  <c r="E8" i="2"/>
  <c r="E845" i="2" s="1"/>
  <c r="AA850" i="2" s="1"/>
  <c r="AM7" i="2"/>
  <c r="AK7" i="2"/>
  <c r="AG7" i="2"/>
  <c r="AF7" i="2"/>
  <c r="AD7" i="2"/>
  <c r="AB7" i="2"/>
  <c r="AJ7" i="2" s="1"/>
  <c r="AA7" i="2"/>
  <c r="Z7" i="2"/>
  <c r="K7" i="2"/>
  <c r="K844" i="2" s="1"/>
  <c r="AG849" i="2" s="1"/>
  <c r="J7" i="2"/>
  <c r="J844" i="2" s="1"/>
  <c r="H7" i="2"/>
  <c r="H844" i="2" s="1"/>
  <c r="AD849" i="2" s="1"/>
  <c r="G7" i="2"/>
  <c r="F7" i="2"/>
  <c r="F844" i="2" s="1"/>
  <c r="E7" i="2"/>
  <c r="AM6" i="2"/>
  <c r="AK6" i="2"/>
  <c r="AG6" i="2"/>
  <c r="AD6" i="2"/>
  <c r="AC6" i="2"/>
  <c r="AB6" i="2"/>
  <c r="AA6" i="2"/>
  <c r="Z6" i="2"/>
  <c r="K6" i="2"/>
  <c r="K843" i="2" s="1"/>
  <c r="J6" i="2"/>
  <c r="J843" i="2" s="1"/>
  <c r="H6" i="2"/>
  <c r="H24" i="2" s="1"/>
  <c r="G6" i="2"/>
  <c r="G843" i="2" s="1"/>
  <c r="F6" i="2"/>
  <c r="F843" i="2" s="1"/>
  <c r="E6" i="2"/>
  <c r="E843" i="2" s="1"/>
  <c r="AM5" i="2"/>
  <c r="AK5" i="2"/>
  <c r="AG5" i="2"/>
  <c r="AF5" i="2"/>
  <c r="AD5" i="2"/>
  <c r="AC5" i="2"/>
  <c r="AB5" i="2"/>
  <c r="AJ5" i="2" s="1"/>
  <c r="AA5" i="2"/>
  <c r="Z5" i="2"/>
  <c r="AM4" i="2"/>
  <c r="AG4" i="2"/>
  <c r="AF4" i="2"/>
  <c r="AC4" i="2"/>
  <c r="AB4" i="2"/>
  <c r="Z4" i="2"/>
  <c r="AM3" i="2"/>
  <c r="AK3" i="2"/>
  <c r="AK9" i="2" s="1"/>
  <c r="AF3" i="2"/>
  <c r="AD3" i="2"/>
  <c r="AC3" i="2"/>
  <c r="Z3" i="2"/>
  <c r="AM863" i="1"/>
  <c r="AM862" i="1"/>
  <c r="AM861" i="1"/>
  <c r="AM860" i="1"/>
  <c r="AK860" i="1"/>
  <c r="Z860" i="1"/>
  <c r="O860" i="1"/>
  <c r="D860" i="1"/>
  <c r="AM859" i="1"/>
  <c r="O859" i="1"/>
  <c r="D859" i="1"/>
  <c r="Z844" i="1" s="1"/>
  <c r="AM858" i="1"/>
  <c r="O858" i="1"/>
  <c r="D858" i="1"/>
  <c r="O857" i="1"/>
  <c r="AK853" i="1" s="1"/>
  <c r="D857" i="1"/>
  <c r="Z853" i="1" s="1"/>
  <c r="O856" i="1"/>
  <c r="D856" i="1"/>
  <c r="O855" i="1"/>
  <c r="D855" i="1"/>
  <c r="AM854" i="1"/>
  <c r="AK854" i="1"/>
  <c r="Z854" i="1"/>
  <c r="O854" i="1"/>
  <c r="AK863" i="1" s="1"/>
  <c r="D854" i="1"/>
  <c r="Z863" i="1" s="1"/>
  <c r="AM853" i="1"/>
  <c r="O853" i="1"/>
  <c r="AK862" i="1" s="1"/>
  <c r="D853" i="1"/>
  <c r="Z862" i="1" s="1"/>
  <c r="AM852" i="1"/>
  <c r="AK852" i="1"/>
  <c r="Z852" i="1"/>
  <c r="O852" i="1"/>
  <c r="AK861" i="1" s="1"/>
  <c r="D852" i="1"/>
  <c r="Z861" i="1" s="1"/>
  <c r="AM851" i="1"/>
  <c r="AK851" i="1"/>
  <c r="O851" i="1"/>
  <c r="D851" i="1"/>
  <c r="AM850" i="1"/>
  <c r="AK850" i="1"/>
  <c r="O850" i="1"/>
  <c r="D850" i="1"/>
  <c r="AM849" i="1"/>
  <c r="O849" i="1"/>
  <c r="AK841" i="1" s="1"/>
  <c r="D849" i="1"/>
  <c r="O848" i="1"/>
  <c r="D848" i="1"/>
  <c r="O847" i="1"/>
  <c r="D847" i="1"/>
  <c r="Z851" i="1" s="1"/>
  <c r="O846" i="1"/>
  <c r="AK859" i="1" s="1"/>
  <c r="D846" i="1"/>
  <c r="Z859" i="1" s="1"/>
  <c r="AM845" i="1"/>
  <c r="AK845" i="1"/>
  <c r="Z845" i="1"/>
  <c r="O845" i="1"/>
  <c r="D845" i="1"/>
  <c r="Z850" i="1" s="1"/>
  <c r="AM844" i="1"/>
  <c r="AK844" i="1"/>
  <c r="O844" i="1"/>
  <c r="AK849" i="1" s="1"/>
  <c r="AK855" i="1" s="1"/>
  <c r="D844" i="1"/>
  <c r="Z849" i="1" s="1"/>
  <c r="AM843" i="1"/>
  <c r="AK843" i="1"/>
  <c r="Z843" i="1"/>
  <c r="O843" i="1"/>
  <c r="D843" i="1"/>
  <c r="AM842" i="1"/>
  <c r="AK842" i="1"/>
  <c r="Z842" i="1"/>
  <c r="AM841" i="1"/>
  <c r="Z841" i="1"/>
  <c r="AM840" i="1"/>
  <c r="AK840" i="1"/>
  <c r="AK846" i="1" s="1"/>
  <c r="Z840" i="1"/>
  <c r="Z846" i="1" s="1"/>
  <c r="AM836" i="1"/>
  <c r="AK836" i="1"/>
  <c r="AG836" i="1"/>
  <c r="AB836" i="1"/>
  <c r="AJ836" i="1" s="1"/>
  <c r="Z836" i="1"/>
  <c r="AM835" i="1"/>
  <c r="AK835" i="1"/>
  <c r="AC835" i="1"/>
  <c r="AB835" i="1"/>
  <c r="AJ835" i="1" s="1"/>
  <c r="Z835" i="1"/>
  <c r="AM834" i="1"/>
  <c r="AK834" i="1"/>
  <c r="Z834" i="1"/>
  <c r="O834" i="1"/>
  <c r="D834" i="1"/>
  <c r="AM833" i="1"/>
  <c r="AK833" i="1"/>
  <c r="AC833" i="1"/>
  <c r="AB833" i="1"/>
  <c r="AJ833" i="1" s="1"/>
  <c r="Z833" i="1"/>
  <c r="T833" i="1"/>
  <c r="U833" i="1" s="1"/>
  <c r="AQ818" i="1" s="1"/>
  <c r="K833" i="1"/>
  <c r="J833" i="1"/>
  <c r="L833" i="1" s="1"/>
  <c r="H833" i="1"/>
  <c r="AD818" i="1" s="1"/>
  <c r="G833" i="1"/>
  <c r="F833" i="1"/>
  <c r="N833" i="1" s="1"/>
  <c r="E833" i="1"/>
  <c r="AM832" i="1"/>
  <c r="AK832" i="1"/>
  <c r="Z832" i="1"/>
  <c r="T832" i="1"/>
  <c r="K832" i="1"/>
  <c r="AG817" i="1" s="1"/>
  <c r="J832" i="1"/>
  <c r="H832" i="1"/>
  <c r="G832" i="1"/>
  <c r="I832" i="1" s="1"/>
  <c r="F832" i="1"/>
  <c r="N832" i="1" s="1"/>
  <c r="E832" i="1"/>
  <c r="AM831" i="1"/>
  <c r="AK831" i="1"/>
  <c r="AK837" i="1" s="1"/>
  <c r="AC831" i="1"/>
  <c r="AA831" i="1"/>
  <c r="Z831" i="1"/>
  <c r="Z837" i="1" s="1"/>
  <c r="K831" i="1"/>
  <c r="AG827" i="1" s="1"/>
  <c r="J831" i="1"/>
  <c r="L831" i="1" s="1"/>
  <c r="AH827" i="1" s="1"/>
  <c r="H831" i="1"/>
  <c r="AD827" i="1" s="1"/>
  <c r="G831" i="1"/>
  <c r="I831" i="1" s="1"/>
  <c r="F831" i="1"/>
  <c r="T831" i="1" s="1"/>
  <c r="E831" i="1"/>
  <c r="AA827" i="1" s="1"/>
  <c r="M830" i="1"/>
  <c r="K830" i="1"/>
  <c r="AG826" i="1" s="1"/>
  <c r="J830" i="1"/>
  <c r="L830" i="1" s="1"/>
  <c r="H830" i="1"/>
  <c r="AD826" i="1" s="1"/>
  <c r="G830" i="1"/>
  <c r="I830" i="1" s="1"/>
  <c r="AE826" i="1" s="1"/>
  <c r="F830" i="1"/>
  <c r="T830" i="1" s="1"/>
  <c r="U830" i="1" s="1"/>
  <c r="AQ826" i="1" s="1"/>
  <c r="E830" i="1"/>
  <c r="AA826" i="1" s="1"/>
  <c r="M829" i="1"/>
  <c r="K829" i="1"/>
  <c r="J829" i="1"/>
  <c r="L829" i="1" s="1"/>
  <c r="AH816" i="1" s="1"/>
  <c r="H829" i="1"/>
  <c r="G829" i="1"/>
  <c r="I829" i="1" s="1"/>
  <c r="AE816" i="1" s="1"/>
  <c r="F829" i="1"/>
  <c r="T829" i="1" s="1"/>
  <c r="E829" i="1"/>
  <c r="AA816" i="1" s="1"/>
  <c r="T828" i="1"/>
  <c r="AP825" i="1" s="1"/>
  <c r="K828" i="1"/>
  <c r="J828" i="1"/>
  <c r="L828" i="1" s="1"/>
  <c r="AH825" i="1" s="1"/>
  <c r="H828" i="1"/>
  <c r="AD825" i="1" s="1"/>
  <c r="G828" i="1"/>
  <c r="F828" i="1"/>
  <c r="N828" i="1" s="1"/>
  <c r="E828" i="1"/>
  <c r="AA825" i="1" s="1"/>
  <c r="AM827" i="1"/>
  <c r="AK827" i="1"/>
  <c r="AF827" i="1"/>
  <c r="AC827" i="1"/>
  <c r="Z827" i="1"/>
  <c r="T827" i="1"/>
  <c r="K827" i="1"/>
  <c r="J827" i="1"/>
  <c r="H827" i="1"/>
  <c r="AD836" i="1" s="1"/>
  <c r="G827" i="1"/>
  <c r="I827" i="1" s="1"/>
  <c r="F827" i="1"/>
  <c r="N827" i="1" s="1"/>
  <c r="E827" i="1"/>
  <c r="AA836" i="1" s="1"/>
  <c r="AM826" i="1"/>
  <c r="AK826" i="1"/>
  <c r="AH826" i="1"/>
  <c r="AF826" i="1"/>
  <c r="AC826" i="1"/>
  <c r="Z826" i="1"/>
  <c r="K826" i="1"/>
  <c r="AG835" i="1" s="1"/>
  <c r="J826" i="1"/>
  <c r="L826" i="1" s="1"/>
  <c r="AH835" i="1" s="1"/>
  <c r="H826" i="1"/>
  <c r="AD835" i="1" s="1"/>
  <c r="G826" i="1"/>
  <c r="I826" i="1" s="1"/>
  <c r="AE835" i="1" s="1"/>
  <c r="F826" i="1"/>
  <c r="T826" i="1" s="1"/>
  <c r="E826" i="1"/>
  <c r="AA835" i="1" s="1"/>
  <c r="AM825" i="1"/>
  <c r="AG825" i="1"/>
  <c r="AB825" i="1"/>
  <c r="AJ825" i="1" s="1"/>
  <c r="Z825" i="1"/>
  <c r="T825" i="1"/>
  <c r="U825" i="1" s="1"/>
  <c r="AQ834" i="1" s="1"/>
  <c r="K825" i="1"/>
  <c r="AG834" i="1" s="1"/>
  <c r="J825" i="1"/>
  <c r="L825" i="1" s="1"/>
  <c r="AH834" i="1" s="1"/>
  <c r="H825" i="1"/>
  <c r="AD834" i="1" s="1"/>
  <c r="G825" i="1"/>
  <c r="F825" i="1"/>
  <c r="N825" i="1" s="1"/>
  <c r="E825" i="1"/>
  <c r="AA834" i="1" s="1"/>
  <c r="AM824" i="1"/>
  <c r="AK824" i="1"/>
  <c r="AF824" i="1"/>
  <c r="AC824" i="1"/>
  <c r="Z824" i="1"/>
  <c r="T824" i="1"/>
  <c r="K824" i="1"/>
  <c r="AG833" i="1" s="1"/>
  <c r="J824" i="1"/>
  <c r="H824" i="1"/>
  <c r="AD833" i="1" s="1"/>
  <c r="G824" i="1"/>
  <c r="I824" i="1" s="1"/>
  <c r="F824" i="1"/>
  <c r="N824" i="1" s="1"/>
  <c r="E824" i="1"/>
  <c r="AA833" i="1" s="1"/>
  <c r="AP823" i="1"/>
  <c r="AM823" i="1"/>
  <c r="AK823" i="1"/>
  <c r="AF823" i="1"/>
  <c r="AC823" i="1"/>
  <c r="Z823" i="1"/>
  <c r="K823" i="1"/>
  <c r="J823" i="1"/>
  <c r="L823" i="1" s="1"/>
  <c r="AH815" i="1" s="1"/>
  <c r="H823" i="1"/>
  <c r="G823" i="1"/>
  <c r="I823" i="1" s="1"/>
  <c r="AE815" i="1" s="1"/>
  <c r="F823" i="1"/>
  <c r="T823" i="1" s="1"/>
  <c r="E823" i="1"/>
  <c r="AM822" i="1"/>
  <c r="AK822" i="1"/>
  <c r="AK828" i="1" s="1"/>
  <c r="AF822" i="1"/>
  <c r="AC822" i="1"/>
  <c r="AA822" i="1"/>
  <c r="Z822" i="1"/>
  <c r="Z828" i="1" s="1"/>
  <c r="K822" i="1"/>
  <c r="AG814" i="1" s="1"/>
  <c r="J822" i="1"/>
  <c r="L822" i="1" s="1"/>
  <c r="AH814" i="1" s="1"/>
  <c r="H822" i="1"/>
  <c r="G822" i="1"/>
  <c r="F822" i="1"/>
  <c r="AB814" i="1" s="1"/>
  <c r="AJ814" i="1" s="1"/>
  <c r="E822" i="1"/>
  <c r="K821" i="1"/>
  <c r="J821" i="1"/>
  <c r="L821" i="1" s="1"/>
  <c r="AH813" i="1" s="1"/>
  <c r="H821" i="1"/>
  <c r="G821" i="1"/>
  <c r="F821" i="1"/>
  <c r="N821" i="1" s="1"/>
  <c r="E821" i="1"/>
  <c r="K820" i="1"/>
  <c r="AG824" i="1" s="1"/>
  <c r="J820" i="1"/>
  <c r="L820" i="1" s="1"/>
  <c r="AH824" i="1" s="1"/>
  <c r="H820" i="1"/>
  <c r="G820" i="1"/>
  <c r="F820" i="1"/>
  <c r="N820" i="1" s="1"/>
  <c r="E820" i="1"/>
  <c r="AA824" i="1" s="1"/>
  <c r="T819" i="1"/>
  <c r="K819" i="1"/>
  <c r="AG832" i="1" s="1"/>
  <c r="J819" i="1"/>
  <c r="H819" i="1"/>
  <c r="AD832" i="1" s="1"/>
  <c r="G819" i="1"/>
  <c r="I819" i="1" s="1"/>
  <c r="F819" i="1"/>
  <c r="AB832" i="1" s="1"/>
  <c r="AJ832" i="1" s="1"/>
  <c r="E819" i="1"/>
  <c r="AA832" i="1" s="1"/>
  <c r="AP818" i="1"/>
  <c r="AM818" i="1"/>
  <c r="AK818" i="1"/>
  <c r="AH818" i="1"/>
  <c r="AG818" i="1"/>
  <c r="AF818" i="1"/>
  <c r="AB818" i="1"/>
  <c r="AJ818" i="1" s="1"/>
  <c r="AA818" i="1"/>
  <c r="Z818" i="1"/>
  <c r="Z819" i="1" s="1"/>
  <c r="M818" i="1"/>
  <c r="K818" i="1"/>
  <c r="AG823" i="1" s="1"/>
  <c r="J818" i="1"/>
  <c r="L818" i="1" s="1"/>
  <c r="AH823" i="1" s="1"/>
  <c r="H818" i="1"/>
  <c r="AD823" i="1" s="1"/>
  <c r="G818" i="1"/>
  <c r="I818" i="1" s="1"/>
  <c r="AE823" i="1" s="1"/>
  <c r="F818" i="1"/>
  <c r="T818" i="1" s="1"/>
  <c r="U818" i="1" s="1"/>
  <c r="AQ823" i="1" s="1"/>
  <c r="E818" i="1"/>
  <c r="AA823" i="1" s="1"/>
  <c r="AM817" i="1"/>
  <c r="AK817" i="1"/>
  <c r="AK819" i="1" s="1"/>
  <c r="AD817" i="1"/>
  <c r="AC817" i="1"/>
  <c r="AB817" i="1"/>
  <c r="AJ817" i="1" s="1"/>
  <c r="AA817" i="1"/>
  <c r="Z817" i="1"/>
  <c r="K817" i="1"/>
  <c r="AG822" i="1" s="1"/>
  <c r="AG828" i="1" s="1"/>
  <c r="J817" i="1"/>
  <c r="L817" i="1" s="1"/>
  <c r="AH822" i="1" s="1"/>
  <c r="H817" i="1"/>
  <c r="G817" i="1"/>
  <c r="F817" i="1"/>
  <c r="AB822" i="1" s="1"/>
  <c r="AJ822" i="1" s="1"/>
  <c r="E817" i="1"/>
  <c r="AM816" i="1"/>
  <c r="AK816" i="1"/>
  <c r="AG816" i="1"/>
  <c r="AF816" i="1"/>
  <c r="AD816" i="1"/>
  <c r="AC816" i="1"/>
  <c r="Z816" i="1"/>
  <c r="U816" i="1"/>
  <c r="AQ831" i="1" s="1"/>
  <c r="K816" i="1"/>
  <c r="J816" i="1"/>
  <c r="I816" i="1"/>
  <c r="H816" i="1"/>
  <c r="G816" i="1"/>
  <c r="F816" i="1"/>
  <c r="T816" i="1" s="1"/>
  <c r="AP831" i="1" s="1"/>
  <c r="E816" i="1"/>
  <c r="AM815" i="1"/>
  <c r="AK815" i="1"/>
  <c r="AG815" i="1"/>
  <c r="AF815" i="1"/>
  <c r="AD815" i="1"/>
  <c r="AC815" i="1"/>
  <c r="AB815" i="1"/>
  <c r="AJ815" i="1" s="1"/>
  <c r="AA815" i="1"/>
  <c r="Z815" i="1"/>
  <c r="AM814" i="1"/>
  <c r="AF814" i="1"/>
  <c r="AC814" i="1"/>
  <c r="AA814" i="1"/>
  <c r="Z814" i="1"/>
  <c r="AM813" i="1"/>
  <c r="AK813" i="1"/>
  <c r="AG813" i="1"/>
  <c r="AF813" i="1"/>
  <c r="AC813" i="1"/>
  <c r="AA813" i="1"/>
  <c r="Z813" i="1"/>
  <c r="Z810" i="1"/>
  <c r="AM809" i="1"/>
  <c r="AK809" i="1"/>
  <c r="AK810" i="1" s="1"/>
  <c r="AF809" i="1"/>
  <c r="AD809" i="1"/>
  <c r="AC809" i="1"/>
  <c r="AA809" i="1"/>
  <c r="Z809" i="1"/>
  <c r="AM808" i="1"/>
  <c r="AK808" i="1"/>
  <c r="AG808" i="1"/>
  <c r="AF808" i="1"/>
  <c r="AA808" i="1"/>
  <c r="Z808" i="1"/>
  <c r="AM807" i="1"/>
  <c r="AK807" i="1"/>
  <c r="AD807" i="1"/>
  <c r="AA807" i="1"/>
  <c r="Z807" i="1"/>
  <c r="O807" i="1"/>
  <c r="D807" i="1"/>
  <c r="AM806" i="1"/>
  <c r="AK806" i="1"/>
  <c r="AG806" i="1"/>
  <c r="AF806" i="1"/>
  <c r="AA806" i="1"/>
  <c r="Z806" i="1"/>
  <c r="U806" i="1"/>
  <c r="AQ791" i="1" s="1"/>
  <c r="K806" i="1"/>
  <c r="J806" i="1"/>
  <c r="I806" i="1"/>
  <c r="H806" i="1"/>
  <c r="G806" i="1"/>
  <c r="F806" i="1"/>
  <c r="T806" i="1" s="1"/>
  <c r="AP791" i="1" s="1"/>
  <c r="E806" i="1"/>
  <c r="AM805" i="1"/>
  <c r="AK805" i="1"/>
  <c r="AA805" i="1"/>
  <c r="Z805" i="1"/>
  <c r="N805" i="1"/>
  <c r="L805" i="1"/>
  <c r="K805" i="1"/>
  <c r="J805" i="1"/>
  <c r="H805" i="1"/>
  <c r="G805" i="1"/>
  <c r="I805" i="1" s="1"/>
  <c r="F805" i="1"/>
  <c r="E805" i="1"/>
  <c r="AM804" i="1"/>
  <c r="AK804" i="1"/>
  <c r="AD804" i="1"/>
  <c r="Z804" i="1"/>
  <c r="T804" i="1"/>
  <c r="AP800" i="1" s="1"/>
  <c r="K804" i="1"/>
  <c r="J804" i="1"/>
  <c r="AF800" i="1" s="1"/>
  <c r="I804" i="1"/>
  <c r="H804" i="1"/>
  <c r="G804" i="1"/>
  <c r="AC800" i="1" s="1"/>
  <c r="F804" i="1"/>
  <c r="N804" i="1" s="1"/>
  <c r="E804" i="1"/>
  <c r="T803" i="1"/>
  <c r="AP799" i="1" s="1"/>
  <c r="K803" i="1"/>
  <c r="J803" i="1"/>
  <c r="L803" i="1" s="1"/>
  <c r="AH799" i="1" s="1"/>
  <c r="I803" i="1"/>
  <c r="H803" i="1"/>
  <c r="G803" i="1"/>
  <c r="AC799" i="1" s="1"/>
  <c r="F803" i="1"/>
  <c r="N803" i="1" s="1"/>
  <c r="E803" i="1"/>
  <c r="T802" i="1"/>
  <c r="U802" i="1" s="1"/>
  <c r="AQ789" i="1" s="1"/>
  <c r="K802" i="1"/>
  <c r="J802" i="1"/>
  <c r="AF789" i="1" s="1"/>
  <c r="I802" i="1"/>
  <c r="H802" i="1"/>
  <c r="G802" i="1"/>
  <c r="F802" i="1"/>
  <c r="N802" i="1" s="1"/>
  <c r="E802" i="1"/>
  <c r="U801" i="1"/>
  <c r="AQ798" i="1" s="1"/>
  <c r="K801" i="1"/>
  <c r="J801" i="1"/>
  <c r="I801" i="1"/>
  <c r="AE798" i="1" s="1"/>
  <c r="H801" i="1"/>
  <c r="G801" i="1"/>
  <c r="F801" i="1"/>
  <c r="T801" i="1" s="1"/>
  <c r="AP798" i="1" s="1"/>
  <c r="E801" i="1"/>
  <c r="AM800" i="1"/>
  <c r="AK800" i="1"/>
  <c r="AG800" i="1"/>
  <c r="AD800" i="1"/>
  <c r="AB800" i="1"/>
  <c r="AA800" i="1"/>
  <c r="Z800" i="1"/>
  <c r="L800" i="1"/>
  <c r="AH809" i="1" s="1"/>
  <c r="K800" i="1"/>
  <c r="AG809" i="1" s="1"/>
  <c r="J800" i="1"/>
  <c r="H800" i="1"/>
  <c r="G800" i="1"/>
  <c r="I800" i="1" s="1"/>
  <c r="F800" i="1"/>
  <c r="N800" i="1" s="1"/>
  <c r="E800" i="1"/>
  <c r="AM799" i="1"/>
  <c r="AK799" i="1"/>
  <c r="AG799" i="1"/>
  <c r="AD799" i="1"/>
  <c r="AB799" i="1"/>
  <c r="AJ799" i="1" s="1"/>
  <c r="AA799" i="1"/>
  <c r="Z799" i="1"/>
  <c r="T799" i="1"/>
  <c r="AP808" i="1" s="1"/>
  <c r="K799" i="1"/>
  <c r="J799" i="1"/>
  <c r="L799" i="1" s="1"/>
  <c r="AH808" i="1" s="1"/>
  <c r="I799" i="1"/>
  <c r="H799" i="1"/>
  <c r="AD808" i="1" s="1"/>
  <c r="G799" i="1"/>
  <c r="AC808" i="1" s="1"/>
  <c r="F799" i="1"/>
  <c r="N799" i="1" s="1"/>
  <c r="E799" i="1"/>
  <c r="AM798" i="1"/>
  <c r="AF798" i="1"/>
  <c r="AD798" i="1"/>
  <c r="AC798" i="1"/>
  <c r="AA798" i="1"/>
  <c r="Z798" i="1"/>
  <c r="K798" i="1"/>
  <c r="J798" i="1"/>
  <c r="AF807" i="1" s="1"/>
  <c r="I798" i="1"/>
  <c r="AE807" i="1" s="1"/>
  <c r="H798" i="1"/>
  <c r="G798" i="1"/>
  <c r="AC807" i="1" s="1"/>
  <c r="F798" i="1"/>
  <c r="T798" i="1" s="1"/>
  <c r="AP807" i="1" s="1"/>
  <c r="E798" i="1"/>
  <c r="AM797" i="1"/>
  <c r="AK797" i="1"/>
  <c r="AG797" i="1"/>
  <c r="AD797" i="1"/>
  <c r="AB797" i="1"/>
  <c r="AJ797" i="1" s="1"/>
  <c r="AA797" i="1"/>
  <c r="Z797" i="1"/>
  <c r="L797" i="1"/>
  <c r="AH806" i="1" s="1"/>
  <c r="K797" i="1"/>
  <c r="J797" i="1"/>
  <c r="H797" i="1"/>
  <c r="AD806" i="1" s="1"/>
  <c r="G797" i="1"/>
  <c r="AC806" i="1" s="1"/>
  <c r="F797" i="1"/>
  <c r="N797" i="1" s="1"/>
  <c r="E797" i="1"/>
  <c r="AM796" i="1"/>
  <c r="AK796" i="1"/>
  <c r="AG796" i="1"/>
  <c r="AD796" i="1"/>
  <c r="AB796" i="1"/>
  <c r="AJ796" i="1" s="1"/>
  <c r="Z796" i="1"/>
  <c r="T796" i="1"/>
  <c r="U796" i="1" s="1"/>
  <c r="AQ788" i="1" s="1"/>
  <c r="K796" i="1"/>
  <c r="J796" i="1"/>
  <c r="L796" i="1" s="1"/>
  <c r="AH788" i="1" s="1"/>
  <c r="I796" i="1"/>
  <c r="M796" i="1" s="1"/>
  <c r="H796" i="1"/>
  <c r="G796" i="1"/>
  <c r="F796" i="1"/>
  <c r="N796" i="1" s="1"/>
  <c r="E796" i="1"/>
  <c r="AP795" i="1"/>
  <c r="AP801" i="1" s="1"/>
  <c r="AM795" i="1"/>
  <c r="AK795" i="1"/>
  <c r="AK801" i="1" s="1"/>
  <c r="AG795" i="1"/>
  <c r="AB795" i="1"/>
  <c r="Z795" i="1"/>
  <c r="Z801" i="1" s="1"/>
  <c r="T795" i="1"/>
  <c r="U795" i="1" s="1"/>
  <c r="AQ787" i="1" s="1"/>
  <c r="L795" i="1"/>
  <c r="AH787" i="1" s="1"/>
  <c r="K795" i="1"/>
  <c r="J795" i="1"/>
  <c r="H795" i="1"/>
  <c r="G795" i="1"/>
  <c r="I795" i="1" s="1"/>
  <c r="F795" i="1"/>
  <c r="N795" i="1" s="1"/>
  <c r="E795" i="1"/>
  <c r="AA787" i="1" s="1"/>
  <c r="T794" i="1"/>
  <c r="U794" i="1" s="1"/>
  <c r="AQ786" i="1" s="1"/>
  <c r="L794" i="1"/>
  <c r="AH786" i="1" s="1"/>
  <c r="K794" i="1"/>
  <c r="J794" i="1"/>
  <c r="H794" i="1"/>
  <c r="G794" i="1"/>
  <c r="I794" i="1" s="1"/>
  <c r="F794" i="1"/>
  <c r="N794" i="1" s="1"/>
  <c r="E794" i="1"/>
  <c r="AA786" i="1" s="1"/>
  <c r="AA792" i="1" s="1"/>
  <c r="T793" i="1"/>
  <c r="AP797" i="1" s="1"/>
  <c r="L793" i="1"/>
  <c r="AH797" i="1" s="1"/>
  <c r="K793" i="1"/>
  <c r="J793" i="1"/>
  <c r="AF797" i="1" s="1"/>
  <c r="H793" i="1"/>
  <c r="G793" i="1"/>
  <c r="I793" i="1" s="1"/>
  <c r="F793" i="1"/>
  <c r="N793" i="1" s="1"/>
  <c r="E793" i="1"/>
  <c r="L792" i="1"/>
  <c r="AH805" i="1" s="1"/>
  <c r="K792" i="1"/>
  <c r="AG805" i="1" s="1"/>
  <c r="J792" i="1"/>
  <c r="AF805" i="1" s="1"/>
  <c r="H792" i="1"/>
  <c r="AD805" i="1" s="1"/>
  <c r="G792" i="1"/>
  <c r="I792" i="1" s="1"/>
  <c r="F792" i="1"/>
  <c r="E792" i="1"/>
  <c r="AM791" i="1"/>
  <c r="AK791" i="1"/>
  <c r="AF791" i="1"/>
  <c r="AE791" i="1"/>
  <c r="AD791" i="1"/>
  <c r="AD792" i="1" s="1"/>
  <c r="AC791" i="1"/>
  <c r="AB791" i="1"/>
  <c r="AJ791" i="1" s="1"/>
  <c r="AA791" i="1"/>
  <c r="Z791" i="1"/>
  <c r="T791" i="1"/>
  <c r="AP796" i="1" s="1"/>
  <c r="K791" i="1"/>
  <c r="J791" i="1"/>
  <c r="L791" i="1" s="1"/>
  <c r="AH796" i="1" s="1"/>
  <c r="I791" i="1"/>
  <c r="H791" i="1"/>
  <c r="G791" i="1"/>
  <c r="AC796" i="1" s="1"/>
  <c r="F791" i="1"/>
  <c r="N791" i="1" s="1"/>
  <c r="E791" i="1"/>
  <c r="AA796" i="1" s="1"/>
  <c r="AM790" i="1"/>
  <c r="AK790" i="1"/>
  <c r="AH790" i="1"/>
  <c r="AG790" i="1"/>
  <c r="AF790" i="1"/>
  <c r="AD790" i="1"/>
  <c r="AC790" i="1"/>
  <c r="AA790" i="1"/>
  <c r="Z790" i="1"/>
  <c r="T790" i="1"/>
  <c r="U790" i="1" s="1"/>
  <c r="AQ795" i="1" s="1"/>
  <c r="L790" i="1"/>
  <c r="AH795" i="1" s="1"/>
  <c r="K790" i="1"/>
  <c r="J790" i="1"/>
  <c r="AF795" i="1" s="1"/>
  <c r="H790" i="1"/>
  <c r="AD795" i="1" s="1"/>
  <c r="G790" i="1"/>
  <c r="I790" i="1" s="1"/>
  <c r="F790" i="1"/>
  <c r="N790" i="1" s="1"/>
  <c r="E790" i="1"/>
  <c r="AA795" i="1" s="1"/>
  <c r="AP789" i="1"/>
  <c r="AM789" i="1"/>
  <c r="AK789" i="1"/>
  <c r="AJ789" i="1"/>
  <c r="AG789" i="1"/>
  <c r="AD789" i="1"/>
  <c r="AC789" i="1"/>
  <c r="AB789" i="1"/>
  <c r="AA789" i="1"/>
  <c r="Z789" i="1"/>
  <c r="T789" i="1"/>
  <c r="K789" i="1"/>
  <c r="K807" i="1" s="1"/>
  <c r="J789" i="1"/>
  <c r="L789" i="1" s="1"/>
  <c r="H789" i="1"/>
  <c r="H807" i="1" s="1"/>
  <c r="G789" i="1"/>
  <c r="F789" i="1"/>
  <c r="E789" i="1"/>
  <c r="E807" i="1" s="1"/>
  <c r="AP788" i="1"/>
  <c r="AM788" i="1"/>
  <c r="AK788" i="1"/>
  <c r="AG788" i="1"/>
  <c r="AF788" i="1"/>
  <c r="AE788" i="1"/>
  <c r="AD788" i="1"/>
  <c r="AC788" i="1"/>
  <c r="AB788" i="1"/>
  <c r="AJ788" i="1" s="1"/>
  <c r="AA788" i="1"/>
  <c r="Z788" i="1"/>
  <c r="AP787" i="1"/>
  <c r="AM787" i="1"/>
  <c r="AG787" i="1"/>
  <c r="AF787" i="1"/>
  <c r="AD787" i="1"/>
  <c r="AB787" i="1"/>
  <c r="AJ787" i="1" s="1"/>
  <c r="Z787" i="1"/>
  <c r="AP786" i="1"/>
  <c r="AM786" i="1"/>
  <c r="AK786" i="1"/>
  <c r="AK792" i="1" s="1"/>
  <c r="AG786" i="1"/>
  <c r="AF786" i="1"/>
  <c r="AF792" i="1" s="1"/>
  <c r="AD786" i="1"/>
  <c r="AC786" i="1"/>
  <c r="AB786" i="1"/>
  <c r="Z786" i="1"/>
  <c r="Z792" i="1" s="1"/>
  <c r="AM782" i="1"/>
  <c r="AK782" i="1"/>
  <c r="AG782" i="1"/>
  <c r="Z782" i="1"/>
  <c r="AM781" i="1"/>
  <c r="AK781" i="1"/>
  <c r="AJ781" i="1"/>
  <c r="AC781" i="1"/>
  <c r="AB781" i="1"/>
  <c r="Z781" i="1"/>
  <c r="AM780" i="1"/>
  <c r="AK780" i="1"/>
  <c r="Z780" i="1"/>
  <c r="O780" i="1"/>
  <c r="D780" i="1"/>
  <c r="AM779" i="1"/>
  <c r="AK779" i="1"/>
  <c r="AC779" i="1"/>
  <c r="AB779" i="1"/>
  <c r="AJ779" i="1" s="1"/>
  <c r="Z779" i="1"/>
  <c r="T779" i="1"/>
  <c r="U779" i="1" s="1"/>
  <c r="AQ764" i="1" s="1"/>
  <c r="K779" i="1"/>
  <c r="J779" i="1"/>
  <c r="L779" i="1" s="1"/>
  <c r="AH764" i="1" s="1"/>
  <c r="H779" i="1"/>
  <c r="G779" i="1"/>
  <c r="F779" i="1"/>
  <c r="N779" i="1" s="1"/>
  <c r="E779" i="1"/>
  <c r="AM778" i="1"/>
  <c r="AK778" i="1"/>
  <c r="Z778" i="1"/>
  <c r="T778" i="1"/>
  <c r="K778" i="1"/>
  <c r="J778" i="1"/>
  <c r="H778" i="1"/>
  <c r="I778" i="1" s="1"/>
  <c r="G778" i="1"/>
  <c r="F778" i="1"/>
  <c r="N778" i="1" s="1"/>
  <c r="E778" i="1"/>
  <c r="AM777" i="1"/>
  <c r="AK777" i="1"/>
  <c r="AK783" i="1" s="1"/>
  <c r="Z777" i="1"/>
  <c r="Z783" i="1" s="1"/>
  <c r="K777" i="1"/>
  <c r="AG773" i="1" s="1"/>
  <c r="J777" i="1"/>
  <c r="L777" i="1" s="1"/>
  <c r="AH773" i="1" s="1"/>
  <c r="H777" i="1"/>
  <c r="AD773" i="1" s="1"/>
  <c r="G777" i="1"/>
  <c r="F777" i="1"/>
  <c r="T777" i="1" s="1"/>
  <c r="E777" i="1"/>
  <c r="AA773" i="1" s="1"/>
  <c r="K776" i="1"/>
  <c r="J776" i="1"/>
  <c r="L776" i="1" s="1"/>
  <c r="AH772" i="1" s="1"/>
  <c r="H776" i="1"/>
  <c r="I776" i="1" s="1"/>
  <c r="AE772" i="1" s="1"/>
  <c r="G776" i="1"/>
  <c r="F776" i="1"/>
  <c r="T776" i="1" s="1"/>
  <c r="E776" i="1"/>
  <c r="AA772" i="1" s="1"/>
  <c r="M775" i="1"/>
  <c r="K775" i="1"/>
  <c r="J775" i="1"/>
  <c r="L775" i="1" s="1"/>
  <c r="AH762" i="1" s="1"/>
  <c r="H775" i="1"/>
  <c r="G775" i="1"/>
  <c r="I775" i="1" s="1"/>
  <c r="AE762" i="1" s="1"/>
  <c r="F775" i="1"/>
  <c r="T775" i="1" s="1"/>
  <c r="E775" i="1"/>
  <c r="AA762" i="1" s="1"/>
  <c r="T774" i="1"/>
  <c r="AP771" i="1" s="1"/>
  <c r="K774" i="1"/>
  <c r="J774" i="1"/>
  <c r="L774" i="1" s="1"/>
  <c r="AH771" i="1" s="1"/>
  <c r="H774" i="1"/>
  <c r="AD771" i="1" s="1"/>
  <c r="G774" i="1"/>
  <c r="F774" i="1"/>
  <c r="N774" i="1" s="1"/>
  <c r="E774" i="1"/>
  <c r="AM773" i="1"/>
  <c r="AK773" i="1"/>
  <c r="AF773" i="1"/>
  <c r="AC773" i="1"/>
  <c r="Z773" i="1"/>
  <c r="T773" i="1"/>
  <c r="K773" i="1"/>
  <c r="J773" i="1"/>
  <c r="H773" i="1"/>
  <c r="AD782" i="1" s="1"/>
  <c r="G773" i="1"/>
  <c r="I773" i="1" s="1"/>
  <c r="F773" i="1"/>
  <c r="N773" i="1" s="1"/>
  <c r="E773" i="1"/>
  <c r="AA782" i="1" s="1"/>
  <c r="AP772" i="1"/>
  <c r="AM772" i="1"/>
  <c r="AK772" i="1"/>
  <c r="AG772" i="1"/>
  <c r="AF772" i="1"/>
  <c r="AC772" i="1"/>
  <c r="Z772" i="1"/>
  <c r="K772" i="1"/>
  <c r="AG781" i="1" s="1"/>
  <c r="J772" i="1"/>
  <c r="L772" i="1" s="1"/>
  <c r="AH781" i="1" s="1"/>
  <c r="H772" i="1"/>
  <c r="AD781" i="1" s="1"/>
  <c r="G772" i="1"/>
  <c r="I772" i="1" s="1"/>
  <c r="AE781" i="1" s="1"/>
  <c r="F772" i="1"/>
  <c r="T772" i="1" s="1"/>
  <c r="E772" i="1"/>
  <c r="AA781" i="1" s="1"/>
  <c r="AM771" i="1"/>
  <c r="AG771" i="1"/>
  <c r="AB771" i="1"/>
  <c r="AJ771" i="1" s="1"/>
  <c r="AA771" i="1"/>
  <c r="Z771" i="1"/>
  <c r="T771" i="1"/>
  <c r="U771" i="1" s="1"/>
  <c r="AQ780" i="1" s="1"/>
  <c r="K771" i="1"/>
  <c r="AG780" i="1" s="1"/>
  <c r="J771" i="1"/>
  <c r="L771" i="1" s="1"/>
  <c r="AH780" i="1" s="1"/>
  <c r="H771" i="1"/>
  <c r="AD780" i="1" s="1"/>
  <c r="G771" i="1"/>
  <c r="F771" i="1"/>
  <c r="N771" i="1" s="1"/>
  <c r="E771" i="1"/>
  <c r="AA780" i="1" s="1"/>
  <c r="AM770" i="1"/>
  <c r="AK770" i="1"/>
  <c r="AF770" i="1"/>
  <c r="Z770" i="1"/>
  <c r="T770" i="1"/>
  <c r="K770" i="1"/>
  <c r="AG779" i="1" s="1"/>
  <c r="J770" i="1"/>
  <c r="H770" i="1"/>
  <c r="I770" i="1" s="1"/>
  <c r="G770" i="1"/>
  <c r="F770" i="1"/>
  <c r="N770" i="1" s="1"/>
  <c r="E770" i="1"/>
  <c r="AA779" i="1" s="1"/>
  <c r="AP769" i="1"/>
  <c r="AM769" i="1"/>
  <c r="AK769" i="1"/>
  <c r="AH769" i="1"/>
  <c r="Z769" i="1"/>
  <c r="K769" i="1"/>
  <c r="J769" i="1"/>
  <c r="L769" i="1" s="1"/>
  <c r="AH761" i="1" s="1"/>
  <c r="H769" i="1"/>
  <c r="I769" i="1" s="1"/>
  <c r="AE761" i="1" s="1"/>
  <c r="G769" i="1"/>
  <c r="F769" i="1"/>
  <c r="T769" i="1" s="1"/>
  <c r="E769" i="1"/>
  <c r="AM768" i="1"/>
  <c r="AK768" i="1"/>
  <c r="AK774" i="1" s="1"/>
  <c r="AC768" i="1"/>
  <c r="Z768" i="1"/>
  <c r="K768" i="1"/>
  <c r="L768" i="1" s="1"/>
  <c r="AH760" i="1" s="1"/>
  <c r="J768" i="1"/>
  <c r="H768" i="1"/>
  <c r="G768" i="1"/>
  <c r="F768" i="1"/>
  <c r="N768" i="1" s="1"/>
  <c r="E768" i="1"/>
  <c r="K767" i="1"/>
  <c r="L767" i="1" s="1"/>
  <c r="AH759" i="1" s="1"/>
  <c r="J767" i="1"/>
  <c r="H767" i="1"/>
  <c r="G767" i="1"/>
  <c r="F767" i="1"/>
  <c r="N767" i="1" s="1"/>
  <c r="E767" i="1"/>
  <c r="K766" i="1"/>
  <c r="AG770" i="1" s="1"/>
  <c r="J766" i="1"/>
  <c r="L766" i="1" s="1"/>
  <c r="AH770" i="1" s="1"/>
  <c r="H766" i="1"/>
  <c r="G766" i="1"/>
  <c r="AC770" i="1" s="1"/>
  <c r="F766" i="1"/>
  <c r="N766" i="1" s="1"/>
  <c r="E766" i="1"/>
  <c r="AA770" i="1" s="1"/>
  <c r="T765" i="1"/>
  <c r="K765" i="1"/>
  <c r="AG778" i="1" s="1"/>
  <c r="J765" i="1"/>
  <c r="H765" i="1"/>
  <c r="AD778" i="1" s="1"/>
  <c r="G765" i="1"/>
  <c r="I765" i="1" s="1"/>
  <c r="AE778" i="1" s="1"/>
  <c r="F765" i="1"/>
  <c r="AB778" i="1" s="1"/>
  <c r="AJ778" i="1" s="1"/>
  <c r="E765" i="1"/>
  <c r="AA778" i="1" s="1"/>
  <c r="AP764" i="1"/>
  <c r="AM764" i="1"/>
  <c r="AK764" i="1"/>
  <c r="AG764" i="1"/>
  <c r="AF764" i="1"/>
  <c r="AD764" i="1"/>
  <c r="AB764" i="1"/>
  <c r="AJ764" i="1" s="1"/>
  <c r="AA764" i="1"/>
  <c r="Z764" i="1"/>
  <c r="M764" i="1"/>
  <c r="K764" i="1"/>
  <c r="AG769" i="1" s="1"/>
  <c r="J764" i="1"/>
  <c r="L764" i="1" s="1"/>
  <c r="H764" i="1"/>
  <c r="AD769" i="1" s="1"/>
  <c r="G764" i="1"/>
  <c r="I764" i="1" s="1"/>
  <c r="AE769" i="1" s="1"/>
  <c r="F764" i="1"/>
  <c r="T764" i="1" s="1"/>
  <c r="E764" i="1"/>
  <c r="AA769" i="1" s="1"/>
  <c r="AM763" i="1"/>
  <c r="AK763" i="1"/>
  <c r="AG763" i="1"/>
  <c r="AD763" i="1"/>
  <c r="AC763" i="1"/>
  <c r="AB763" i="1"/>
  <c r="AJ763" i="1" s="1"/>
  <c r="AA763" i="1"/>
  <c r="Z763" i="1"/>
  <c r="T763" i="1"/>
  <c r="AP768" i="1" s="1"/>
  <c r="K763" i="1"/>
  <c r="AG768" i="1" s="1"/>
  <c r="AG774" i="1" s="1"/>
  <c r="J763" i="1"/>
  <c r="L763" i="1" s="1"/>
  <c r="AH768" i="1" s="1"/>
  <c r="H763" i="1"/>
  <c r="G763" i="1"/>
  <c r="F763" i="1"/>
  <c r="AB768" i="1" s="1"/>
  <c r="E763" i="1"/>
  <c r="AA768" i="1" s="1"/>
  <c r="AA774" i="1" s="1"/>
  <c r="AM762" i="1"/>
  <c r="AK762" i="1"/>
  <c r="AG762" i="1"/>
  <c r="AF762" i="1"/>
  <c r="AD762" i="1"/>
  <c r="AC762" i="1"/>
  <c r="AB762" i="1"/>
  <c r="Z762" i="1"/>
  <c r="K762" i="1"/>
  <c r="K780" i="1" s="1"/>
  <c r="J762" i="1"/>
  <c r="I762" i="1"/>
  <c r="H762" i="1"/>
  <c r="G762" i="1"/>
  <c r="F762" i="1"/>
  <c r="T762" i="1" s="1"/>
  <c r="E762" i="1"/>
  <c r="AM761" i="1"/>
  <c r="AK761" i="1"/>
  <c r="AG761" i="1"/>
  <c r="AF761" i="1"/>
  <c r="AD761" i="1"/>
  <c r="AC761" i="1"/>
  <c r="AB761" i="1"/>
  <c r="AA761" i="1"/>
  <c r="Z761" i="1"/>
  <c r="AM760" i="1"/>
  <c r="AG760" i="1"/>
  <c r="AF760" i="1"/>
  <c r="AC760" i="1"/>
  <c r="AB760" i="1"/>
  <c r="AJ760" i="1" s="1"/>
  <c r="AA760" i="1"/>
  <c r="Z760" i="1"/>
  <c r="AM759" i="1"/>
  <c r="AK759" i="1"/>
  <c r="AG759" i="1"/>
  <c r="AG765" i="1" s="1"/>
  <c r="AF759" i="1"/>
  <c r="AC759" i="1"/>
  <c r="AB759" i="1"/>
  <c r="AB765" i="1" s="1"/>
  <c r="AA759" i="1"/>
  <c r="Z759" i="1"/>
  <c r="Z765" i="1" s="1"/>
  <c r="Z756" i="1"/>
  <c r="AM755" i="1"/>
  <c r="AK755" i="1"/>
  <c r="AC755" i="1"/>
  <c r="Z755" i="1"/>
  <c r="AM754" i="1"/>
  <c r="AK754" i="1"/>
  <c r="AF754" i="1"/>
  <c r="Z754" i="1"/>
  <c r="AM753" i="1"/>
  <c r="AK753" i="1"/>
  <c r="AA753" i="1"/>
  <c r="Z753" i="1"/>
  <c r="O753" i="1"/>
  <c r="G753" i="1"/>
  <c r="D753" i="1"/>
  <c r="AM752" i="1"/>
  <c r="AK752" i="1"/>
  <c r="AF752" i="1"/>
  <c r="Z752" i="1"/>
  <c r="U752" i="1"/>
  <c r="AQ737" i="1" s="1"/>
  <c r="K752" i="1"/>
  <c r="J752" i="1"/>
  <c r="H752" i="1"/>
  <c r="G752" i="1"/>
  <c r="I752" i="1" s="1"/>
  <c r="F752" i="1"/>
  <c r="T752" i="1" s="1"/>
  <c r="AP737" i="1" s="1"/>
  <c r="E752" i="1"/>
  <c r="AM751" i="1"/>
  <c r="AK751" i="1"/>
  <c r="AA751" i="1"/>
  <c r="Z751" i="1"/>
  <c r="K751" i="1"/>
  <c r="J751" i="1"/>
  <c r="L751" i="1" s="1"/>
  <c r="AH736" i="1" s="1"/>
  <c r="H751" i="1"/>
  <c r="G751" i="1"/>
  <c r="I751" i="1" s="1"/>
  <c r="F751" i="1"/>
  <c r="N751" i="1" s="1"/>
  <c r="E751" i="1"/>
  <c r="AM750" i="1"/>
  <c r="AK750" i="1"/>
  <c r="AD750" i="1"/>
  <c r="Z750" i="1"/>
  <c r="T750" i="1"/>
  <c r="AP746" i="1" s="1"/>
  <c r="K750" i="1"/>
  <c r="AG746" i="1" s="1"/>
  <c r="J750" i="1"/>
  <c r="AF746" i="1" s="1"/>
  <c r="I750" i="1"/>
  <c r="H750" i="1"/>
  <c r="G750" i="1"/>
  <c r="F750" i="1"/>
  <c r="N750" i="1" s="1"/>
  <c r="E750" i="1"/>
  <c r="T749" i="1"/>
  <c r="AP745" i="1" s="1"/>
  <c r="K749" i="1"/>
  <c r="AG745" i="1" s="1"/>
  <c r="J749" i="1"/>
  <c r="L749" i="1" s="1"/>
  <c r="AH745" i="1" s="1"/>
  <c r="I749" i="1"/>
  <c r="H749" i="1"/>
  <c r="G749" i="1"/>
  <c r="F749" i="1"/>
  <c r="N749" i="1" s="1"/>
  <c r="E749" i="1"/>
  <c r="T748" i="1"/>
  <c r="U748" i="1" s="1"/>
  <c r="AQ735" i="1" s="1"/>
  <c r="K748" i="1"/>
  <c r="J748" i="1"/>
  <c r="L748" i="1" s="1"/>
  <c r="AH735" i="1" s="1"/>
  <c r="I748" i="1"/>
  <c r="H748" i="1"/>
  <c r="G748" i="1"/>
  <c r="F748" i="1"/>
  <c r="N748" i="1" s="1"/>
  <c r="AJ735" i="1" s="1"/>
  <c r="E748" i="1"/>
  <c r="K747" i="1"/>
  <c r="J747" i="1"/>
  <c r="H747" i="1"/>
  <c r="G747" i="1"/>
  <c r="I747" i="1" s="1"/>
  <c r="F747" i="1"/>
  <c r="T747" i="1" s="1"/>
  <c r="AP744" i="1" s="1"/>
  <c r="E747" i="1"/>
  <c r="AA744" i="1" s="1"/>
  <c r="AM746" i="1"/>
  <c r="AK746" i="1"/>
  <c r="AD746" i="1"/>
  <c r="AC746" i="1"/>
  <c r="AB746" i="1"/>
  <c r="AJ746" i="1" s="1"/>
  <c r="AA746" i="1"/>
  <c r="Z746" i="1"/>
  <c r="K746" i="1"/>
  <c r="AG755" i="1" s="1"/>
  <c r="J746" i="1"/>
  <c r="L746" i="1" s="1"/>
  <c r="AH755" i="1" s="1"/>
  <c r="H746" i="1"/>
  <c r="AD755" i="1" s="1"/>
  <c r="G746" i="1"/>
  <c r="I746" i="1" s="1"/>
  <c r="F746" i="1"/>
  <c r="N746" i="1" s="1"/>
  <c r="E746" i="1"/>
  <c r="AA755" i="1" s="1"/>
  <c r="AM745" i="1"/>
  <c r="AK745" i="1"/>
  <c r="AF745" i="1"/>
  <c r="AD745" i="1"/>
  <c r="AC745" i="1"/>
  <c r="AB745" i="1"/>
  <c r="AJ745" i="1" s="1"/>
  <c r="AA745" i="1"/>
  <c r="Z745" i="1"/>
  <c r="T745" i="1"/>
  <c r="AP754" i="1" s="1"/>
  <c r="K745" i="1"/>
  <c r="AG754" i="1" s="1"/>
  <c r="J745" i="1"/>
  <c r="L745" i="1" s="1"/>
  <c r="AH754" i="1" s="1"/>
  <c r="I745" i="1"/>
  <c r="H745" i="1"/>
  <c r="AD754" i="1" s="1"/>
  <c r="G745" i="1"/>
  <c r="AC754" i="1" s="1"/>
  <c r="F745" i="1"/>
  <c r="N745" i="1" s="1"/>
  <c r="E745" i="1"/>
  <c r="AA754" i="1" s="1"/>
  <c r="AM744" i="1"/>
  <c r="AF744" i="1"/>
  <c r="AD744" i="1"/>
  <c r="AC744" i="1"/>
  <c r="AB744" i="1"/>
  <c r="AJ744" i="1" s="1"/>
  <c r="Z744" i="1"/>
  <c r="K744" i="1"/>
  <c r="J744" i="1"/>
  <c r="AF753" i="1" s="1"/>
  <c r="H744" i="1"/>
  <c r="AD753" i="1" s="1"/>
  <c r="G744" i="1"/>
  <c r="I744" i="1" s="1"/>
  <c r="F744" i="1"/>
  <c r="T744" i="1" s="1"/>
  <c r="AP753" i="1" s="1"/>
  <c r="E744" i="1"/>
  <c r="AM743" i="1"/>
  <c r="AK743" i="1"/>
  <c r="AA743" i="1"/>
  <c r="Z743" i="1"/>
  <c r="K743" i="1"/>
  <c r="AG752" i="1" s="1"/>
  <c r="J743" i="1"/>
  <c r="L743" i="1" s="1"/>
  <c r="AH752" i="1" s="1"/>
  <c r="H743" i="1"/>
  <c r="AD752" i="1" s="1"/>
  <c r="G743" i="1"/>
  <c r="AC752" i="1" s="1"/>
  <c r="F743" i="1"/>
  <c r="E743" i="1"/>
  <c r="AA752" i="1" s="1"/>
  <c r="AM742" i="1"/>
  <c r="AK742" i="1"/>
  <c r="AD742" i="1"/>
  <c r="Z742" i="1"/>
  <c r="T742" i="1"/>
  <c r="U742" i="1" s="1"/>
  <c r="AQ734" i="1" s="1"/>
  <c r="S742" i="1"/>
  <c r="R742" i="1" s="1"/>
  <c r="K742" i="1"/>
  <c r="J742" i="1"/>
  <c r="L742" i="1" s="1"/>
  <c r="AH734" i="1" s="1"/>
  <c r="I742" i="1"/>
  <c r="M742" i="1" s="1"/>
  <c r="H742" i="1"/>
  <c r="G742" i="1"/>
  <c r="F742" i="1"/>
  <c r="N742" i="1" s="1"/>
  <c r="E742" i="1"/>
  <c r="AM741" i="1"/>
  <c r="AK741" i="1"/>
  <c r="AK747" i="1" s="1"/>
  <c r="AG741" i="1"/>
  <c r="Z741" i="1"/>
  <c r="Z747" i="1" s="1"/>
  <c r="L741" i="1"/>
  <c r="AH733" i="1" s="1"/>
  <c r="K741" i="1"/>
  <c r="J741" i="1"/>
  <c r="H741" i="1"/>
  <c r="G741" i="1"/>
  <c r="I741" i="1" s="1"/>
  <c r="F741" i="1"/>
  <c r="T741" i="1" s="1"/>
  <c r="U741" i="1" s="1"/>
  <c r="AQ733" i="1" s="1"/>
  <c r="E741" i="1"/>
  <c r="L740" i="1"/>
  <c r="AH732" i="1" s="1"/>
  <c r="K740" i="1"/>
  <c r="J740" i="1"/>
  <c r="H740" i="1"/>
  <c r="G740" i="1"/>
  <c r="I740" i="1" s="1"/>
  <c r="F740" i="1"/>
  <c r="T740" i="1" s="1"/>
  <c r="E740" i="1"/>
  <c r="L739" i="1"/>
  <c r="AH743" i="1" s="1"/>
  <c r="K739" i="1"/>
  <c r="AG743" i="1" s="1"/>
  <c r="J739" i="1"/>
  <c r="AF743" i="1" s="1"/>
  <c r="H739" i="1"/>
  <c r="AD743" i="1" s="1"/>
  <c r="G739" i="1"/>
  <c r="I739" i="1" s="1"/>
  <c r="F739" i="1"/>
  <c r="T739" i="1" s="1"/>
  <c r="E739" i="1"/>
  <c r="AA738" i="1"/>
  <c r="N738" i="1"/>
  <c r="L738" i="1"/>
  <c r="AH751" i="1" s="1"/>
  <c r="K738" i="1"/>
  <c r="AG751" i="1" s="1"/>
  <c r="J738" i="1"/>
  <c r="AF751" i="1" s="1"/>
  <c r="H738" i="1"/>
  <c r="AD751" i="1" s="1"/>
  <c r="G738" i="1"/>
  <c r="I738" i="1" s="1"/>
  <c r="F738" i="1"/>
  <c r="E738" i="1"/>
  <c r="AM737" i="1"/>
  <c r="AK737" i="1"/>
  <c r="AF737" i="1"/>
  <c r="AD737" i="1"/>
  <c r="AC737" i="1"/>
  <c r="AB737" i="1"/>
  <c r="AJ737" i="1" s="1"/>
  <c r="AA737" i="1"/>
  <c r="Z737" i="1"/>
  <c r="T737" i="1"/>
  <c r="AP742" i="1" s="1"/>
  <c r="K737" i="1"/>
  <c r="AG742" i="1" s="1"/>
  <c r="J737" i="1"/>
  <c r="L737" i="1" s="1"/>
  <c r="AH742" i="1" s="1"/>
  <c r="I737" i="1"/>
  <c r="H737" i="1"/>
  <c r="G737" i="1"/>
  <c r="AC742" i="1" s="1"/>
  <c r="F737" i="1"/>
  <c r="AB742" i="1" s="1"/>
  <c r="AJ742" i="1" s="1"/>
  <c r="E737" i="1"/>
  <c r="AA742" i="1" s="1"/>
  <c r="AM736" i="1"/>
  <c r="AK736" i="1"/>
  <c r="AG736" i="1"/>
  <c r="AF736" i="1"/>
  <c r="AD736" i="1"/>
  <c r="AC736" i="1"/>
  <c r="AA736" i="1"/>
  <c r="Z736" i="1"/>
  <c r="L736" i="1"/>
  <c r="AH741" i="1" s="1"/>
  <c r="K736" i="1"/>
  <c r="J736" i="1"/>
  <c r="AF741" i="1" s="1"/>
  <c r="H736" i="1"/>
  <c r="AD741" i="1" s="1"/>
  <c r="G736" i="1"/>
  <c r="AC741" i="1" s="1"/>
  <c r="F736" i="1"/>
  <c r="T736" i="1" s="1"/>
  <c r="E736" i="1"/>
  <c r="AA741" i="1" s="1"/>
  <c r="AA747" i="1" s="1"/>
  <c r="AP735" i="1"/>
  <c r="AM735" i="1"/>
  <c r="AK735" i="1"/>
  <c r="AG735" i="1"/>
  <c r="AF735" i="1"/>
  <c r="AD735" i="1"/>
  <c r="AC735" i="1"/>
  <c r="AB735" i="1"/>
  <c r="AA735" i="1"/>
  <c r="Z735" i="1"/>
  <c r="L735" i="1"/>
  <c r="K735" i="1"/>
  <c r="K753" i="1" s="1"/>
  <c r="J735" i="1"/>
  <c r="J753" i="1" s="1"/>
  <c r="H735" i="1"/>
  <c r="H753" i="1" s="1"/>
  <c r="G735" i="1"/>
  <c r="F735" i="1"/>
  <c r="E735" i="1"/>
  <c r="E753" i="1" s="1"/>
  <c r="AP734" i="1"/>
  <c r="AM734" i="1"/>
  <c r="AK734" i="1"/>
  <c r="AG734" i="1"/>
  <c r="AF734" i="1"/>
  <c r="AD734" i="1"/>
  <c r="AC734" i="1"/>
  <c r="AB734" i="1"/>
  <c r="AJ734" i="1" s="1"/>
  <c r="AA734" i="1"/>
  <c r="Z734" i="1"/>
  <c r="AP733" i="1"/>
  <c r="AM733" i="1"/>
  <c r="AG733" i="1"/>
  <c r="AF733" i="1"/>
  <c r="AD733" i="1"/>
  <c r="AC733" i="1"/>
  <c r="AB733" i="1"/>
  <c r="AJ733" i="1" s="1"/>
  <c r="AA733" i="1"/>
  <c r="Z733" i="1"/>
  <c r="AM732" i="1"/>
  <c r="AK732" i="1"/>
  <c r="AK738" i="1" s="1"/>
  <c r="AG732" i="1"/>
  <c r="AF732" i="1"/>
  <c r="AF738" i="1" s="1"/>
  <c r="AD732" i="1"/>
  <c r="AD738" i="1" s="1"/>
  <c r="AC732" i="1"/>
  <c r="AC738" i="1" s="1"/>
  <c r="AB732" i="1"/>
  <c r="AJ732" i="1" s="1"/>
  <c r="AA732" i="1"/>
  <c r="Z732" i="1"/>
  <c r="Z738" i="1" s="1"/>
  <c r="AM728" i="1"/>
  <c r="AK728" i="1"/>
  <c r="AG728" i="1"/>
  <c r="Z728" i="1"/>
  <c r="AM727" i="1"/>
  <c r="AK727" i="1"/>
  <c r="AJ727" i="1"/>
  <c r="AB727" i="1"/>
  <c r="Z727" i="1"/>
  <c r="AM726" i="1"/>
  <c r="AK726" i="1"/>
  <c r="Z726" i="1"/>
  <c r="O726" i="1"/>
  <c r="D726" i="1"/>
  <c r="AM725" i="1"/>
  <c r="AK725" i="1"/>
  <c r="AB725" i="1"/>
  <c r="Z725" i="1"/>
  <c r="K725" i="1"/>
  <c r="J725" i="1"/>
  <c r="L725" i="1" s="1"/>
  <c r="H725" i="1"/>
  <c r="G725" i="1"/>
  <c r="F725" i="1"/>
  <c r="N725" i="1" s="1"/>
  <c r="E725" i="1"/>
  <c r="AM724" i="1"/>
  <c r="AK724" i="1"/>
  <c r="AE724" i="1"/>
  <c r="Z724" i="1"/>
  <c r="T724" i="1"/>
  <c r="K724" i="1"/>
  <c r="J724" i="1"/>
  <c r="H724" i="1"/>
  <c r="I724" i="1" s="1"/>
  <c r="G724" i="1"/>
  <c r="F724" i="1"/>
  <c r="N724" i="1" s="1"/>
  <c r="E724" i="1"/>
  <c r="AM723" i="1"/>
  <c r="AK723" i="1"/>
  <c r="AK729" i="1" s="1"/>
  <c r="Z723" i="1"/>
  <c r="Z729" i="1" s="1"/>
  <c r="M723" i="1"/>
  <c r="K723" i="1"/>
  <c r="J723" i="1"/>
  <c r="L723" i="1" s="1"/>
  <c r="AH719" i="1" s="1"/>
  <c r="H723" i="1"/>
  <c r="I723" i="1" s="1"/>
  <c r="AE719" i="1" s="1"/>
  <c r="G723" i="1"/>
  <c r="F723" i="1"/>
  <c r="T723" i="1" s="1"/>
  <c r="E723" i="1"/>
  <c r="AA719" i="1" s="1"/>
  <c r="K722" i="1"/>
  <c r="J722" i="1"/>
  <c r="L722" i="1" s="1"/>
  <c r="H722" i="1"/>
  <c r="G722" i="1"/>
  <c r="I722" i="1" s="1"/>
  <c r="AE718" i="1" s="1"/>
  <c r="F722" i="1"/>
  <c r="T722" i="1" s="1"/>
  <c r="E722" i="1"/>
  <c r="AA718" i="1" s="1"/>
  <c r="K721" i="1"/>
  <c r="J721" i="1"/>
  <c r="L721" i="1" s="1"/>
  <c r="H721" i="1"/>
  <c r="G721" i="1"/>
  <c r="I721" i="1" s="1"/>
  <c r="AE708" i="1" s="1"/>
  <c r="F721" i="1"/>
  <c r="T721" i="1" s="1"/>
  <c r="E721" i="1"/>
  <c r="AA708" i="1" s="1"/>
  <c r="K720" i="1"/>
  <c r="J720" i="1"/>
  <c r="L720" i="1" s="1"/>
  <c r="AH717" i="1" s="1"/>
  <c r="H720" i="1"/>
  <c r="G720" i="1"/>
  <c r="F720" i="1"/>
  <c r="N720" i="1" s="1"/>
  <c r="E720" i="1"/>
  <c r="AM719" i="1"/>
  <c r="AK719" i="1"/>
  <c r="AG719" i="1"/>
  <c r="AF719" i="1"/>
  <c r="AD719" i="1"/>
  <c r="AC719" i="1"/>
  <c r="AB719" i="1"/>
  <c r="Z719" i="1"/>
  <c r="T719" i="1"/>
  <c r="K719" i="1"/>
  <c r="J719" i="1"/>
  <c r="H719" i="1"/>
  <c r="AD728" i="1" s="1"/>
  <c r="G719" i="1"/>
  <c r="I719" i="1" s="1"/>
  <c r="F719" i="1"/>
  <c r="N719" i="1" s="1"/>
  <c r="E719" i="1"/>
  <c r="AA728" i="1" s="1"/>
  <c r="AP718" i="1"/>
  <c r="AM718" i="1"/>
  <c r="AK718" i="1"/>
  <c r="AH718" i="1"/>
  <c r="AG718" i="1"/>
  <c r="AF718" i="1"/>
  <c r="AD718" i="1"/>
  <c r="AC718" i="1"/>
  <c r="AB718" i="1"/>
  <c r="AJ718" i="1" s="1"/>
  <c r="Z718" i="1"/>
  <c r="M718" i="1"/>
  <c r="K718" i="1"/>
  <c r="AG727" i="1" s="1"/>
  <c r="J718" i="1"/>
  <c r="L718" i="1" s="1"/>
  <c r="AH727" i="1" s="1"/>
  <c r="H718" i="1"/>
  <c r="AD727" i="1" s="1"/>
  <c r="G718" i="1"/>
  <c r="I718" i="1" s="1"/>
  <c r="AE727" i="1" s="1"/>
  <c r="F718" i="1"/>
  <c r="T718" i="1" s="1"/>
  <c r="E718" i="1"/>
  <c r="AA727" i="1" s="1"/>
  <c r="AM717" i="1"/>
  <c r="AJ717" i="1"/>
  <c r="AG717" i="1"/>
  <c r="AF717" i="1"/>
  <c r="AD717" i="1"/>
  <c r="AB717" i="1"/>
  <c r="AA717" i="1"/>
  <c r="Z717" i="1"/>
  <c r="K717" i="1"/>
  <c r="AG726" i="1" s="1"/>
  <c r="J717" i="1"/>
  <c r="L717" i="1" s="1"/>
  <c r="AH726" i="1" s="1"/>
  <c r="H717" i="1"/>
  <c r="AD726" i="1" s="1"/>
  <c r="G717" i="1"/>
  <c r="F717" i="1"/>
  <c r="N717" i="1" s="1"/>
  <c r="E717" i="1"/>
  <c r="AA726" i="1" s="1"/>
  <c r="AM716" i="1"/>
  <c r="AK716" i="1"/>
  <c r="Z716" i="1"/>
  <c r="T716" i="1"/>
  <c r="K716" i="1"/>
  <c r="AG725" i="1" s="1"/>
  <c r="J716" i="1"/>
  <c r="H716" i="1"/>
  <c r="AD725" i="1" s="1"/>
  <c r="G716" i="1"/>
  <c r="I716" i="1" s="1"/>
  <c r="F716" i="1"/>
  <c r="N716" i="1" s="1"/>
  <c r="E716" i="1"/>
  <c r="AA725" i="1" s="1"/>
  <c r="AJ725" i="1" s="1"/>
  <c r="AM715" i="1"/>
  <c r="AK715" i="1"/>
  <c r="Z715" i="1"/>
  <c r="K715" i="1"/>
  <c r="J715" i="1"/>
  <c r="L715" i="1" s="1"/>
  <c r="H715" i="1"/>
  <c r="G715" i="1"/>
  <c r="I715" i="1" s="1"/>
  <c r="AE707" i="1" s="1"/>
  <c r="F715" i="1"/>
  <c r="T715" i="1" s="1"/>
  <c r="E715" i="1"/>
  <c r="AM714" i="1"/>
  <c r="AK714" i="1"/>
  <c r="AK720" i="1" s="1"/>
  <c r="AC714" i="1"/>
  <c r="Z714" i="1"/>
  <c r="Z720" i="1" s="1"/>
  <c r="K714" i="1"/>
  <c r="J714" i="1"/>
  <c r="L714" i="1" s="1"/>
  <c r="AH706" i="1" s="1"/>
  <c r="H714" i="1"/>
  <c r="G714" i="1"/>
  <c r="F714" i="1"/>
  <c r="N714" i="1" s="1"/>
  <c r="E714" i="1"/>
  <c r="K713" i="1"/>
  <c r="J713" i="1"/>
  <c r="L713" i="1" s="1"/>
  <c r="AH705" i="1" s="1"/>
  <c r="H713" i="1"/>
  <c r="G713" i="1"/>
  <c r="F713" i="1"/>
  <c r="N713" i="1" s="1"/>
  <c r="E713" i="1"/>
  <c r="K712" i="1"/>
  <c r="AG716" i="1" s="1"/>
  <c r="J712" i="1"/>
  <c r="L712" i="1" s="1"/>
  <c r="AH716" i="1" s="1"/>
  <c r="H712" i="1"/>
  <c r="G712" i="1"/>
  <c r="AC716" i="1" s="1"/>
  <c r="F712" i="1"/>
  <c r="N712" i="1" s="1"/>
  <c r="E712" i="1"/>
  <c r="AA716" i="1" s="1"/>
  <c r="T711" i="1"/>
  <c r="K711" i="1"/>
  <c r="AG724" i="1" s="1"/>
  <c r="J711" i="1"/>
  <c r="H711" i="1"/>
  <c r="AD724" i="1" s="1"/>
  <c r="G711" i="1"/>
  <c r="I711" i="1" s="1"/>
  <c r="F711" i="1"/>
  <c r="AB724" i="1" s="1"/>
  <c r="E711" i="1"/>
  <c r="AA724" i="1" s="1"/>
  <c r="AM710" i="1"/>
  <c r="AK710" i="1"/>
  <c r="AH710" i="1"/>
  <c r="AG710" i="1"/>
  <c r="AF710" i="1"/>
  <c r="AD710" i="1"/>
  <c r="AB710" i="1"/>
  <c r="AJ710" i="1" s="1"/>
  <c r="AA710" i="1"/>
  <c r="Z710" i="1"/>
  <c r="K710" i="1"/>
  <c r="AG715" i="1" s="1"/>
  <c r="J710" i="1"/>
  <c r="L710" i="1" s="1"/>
  <c r="AH715" i="1" s="1"/>
  <c r="H710" i="1"/>
  <c r="AD715" i="1" s="1"/>
  <c r="G710" i="1"/>
  <c r="I710" i="1" s="1"/>
  <c r="AE715" i="1" s="1"/>
  <c r="F710" i="1"/>
  <c r="T710" i="1" s="1"/>
  <c r="U710" i="1" s="1"/>
  <c r="AQ715" i="1" s="1"/>
  <c r="E710" i="1"/>
  <c r="AA715" i="1" s="1"/>
  <c r="AM709" i="1"/>
  <c r="AK709" i="1"/>
  <c r="AG709" i="1"/>
  <c r="AD709" i="1"/>
  <c r="AC709" i="1"/>
  <c r="AB709" i="1"/>
  <c r="AJ709" i="1" s="1"/>
  <c r="AA709" i="1"/>
  <c r="Z709" i="1"/>
  <c r="K709" i="1"/>
  <c r="AG714" i="1" s="1"/>
  <c r="J709" i="1"/>
  <c r="L709" i="1" s="1"/>
  <c r="AH714" i="1" s="1"/>
  <c r="H709" i="1"/>
  <c r="G709" i="1"/>
  <c r="F709" i="1"/>
  <c r="AB714" i="1" s="1"/>
  <c r="E709" i="1"/>
  <c r="AA714" i="1" s="1"/>
  <c r="AA720" i="1" s="1"/>
  <c r="AM708" i="1"/>
  <c r="AK708" i="1"/>
  <c r="AG708" i="1"/>
  <c r="AF708" i="1"/>
  <c r="AD708" i="1"/>
  <c r="AC708" i="1"/>
  <c r="AB708" i="1"/>
  <c r="Z708" i="1"/>
  <c r="U708" i="1"/>
  <c r="AQ723" i="1" s="1"/>
  <c r="K708" i="1"/>
  <c r="AG723" i="1" s="1"/>
  <c r="J708" i="1"/>
  <c r="J726" i="1" s="1"/>
  <c r="H708" i="1"/>
  <c r="H726" i="1" s="1"/>
  <c r="G708" i="1"/>
  <c r="I708" i="1" s="1"/>
  <c r="F708" i="1"/>
  <c r="T708" i="1" s="1"/>
  <c r="AP723" i="1" s="1"/>
  <c r="E708" i="1"/>
  <c r="E726" i="1" s="1"/>
  <c r="AM707" i="1"/>
  <c r="AK707" i="1"/>
  <c r="AG707" i="1"/>
  <c r="AF707" i="1"/>
  <c r="AD707" i="1"/>
  <c r="AC707" i="1"/>
  <c r="AB707" i="1"/>
  <c r="AA707" i="1"/>
  <c r="Z707" i="1"/>
  <c r="AM706" i="1"/>
  <c r="AG706" i="1"/>
  <c r="AF706" i="1"/>
  <c r="AC706" i="1"/>
  <c r="AB706" i="1"/>
  <c r="AJ706" i="1" s="1"/>
  <c r="AA706" i="1"/>
  <c r="Z706" i="1"/>
  <c r="AM705" i="1"/>
  <c r="AK705" i="1"/>
  <c r="AG705" i="1"/>
  <c r="AG711" i="1" s="1"/>
  <c r="AF705" i="1"/>
  <c r="AC705" i="1"/>
  <c r="AB705" i="1"/>
  <c r="AB711" i="1" s="1"/>
  <c r="AA705" i="1"/>
  <c r="Z705" i="1"/>
  <c r="Z702" i="1"/>
  <c r="AM701" i="1"/>
  <c r="AK701" i="1"/>
  <c r="AC701" i="1"/>
  <c r="Z701" i="1"/>
  <c r="AM700" i="1"/>
  <c r="AK700" i="1"/>
  <c r="AF700" i="1"/>
  <c r="Z700" i="1"/>
  <c r="AM699" i="1"/>
  <c r="AK699" i="1"/>
  <c r="AA699" i="1"/>
  <c r="Z699" i="1"/>
  <c r="O699" i="1"/>
  <c r="D699" i="1"/>
  <c r="AM698" i="1"/>
  <c r="AK698" i="1"/>
  <c r="AF698" i="1"/>
  <c r="Z698" i="1"/>
  <c r="K698" i="1"/>
  <c r="J698" i="1"/>
  <c r="H698" i="1"/>
  <c r="G698" i="1"/>
  <c r="I698" i="1" s="1"/>
  <c r="AE683" i="1" s="1"/>
  <c r="F698" i="1"/>
  <c r="T698" i="1" s="1"/>
  <c r="AP683" i="1" s="1"/>
  <c r="E698" i="1"/>
  <c r="AM697" i="1"/>
  <c r="AK697" i="1"/>
  <c r="AA697" i="1"/>
  <c r="Z697" i="1"/>
  <c r="N697" i="1"/>
  <c r="K697" i="1"/>
  <c r="J697" i="1"/>
  <c r="L697" i="1" s="1"/>
  <c r="H697" i="1"/>
  <c r="G697" i="1"/>
  <c r="I697" i="1" s="1"/>
  <c r="M697" i="1" s="1"/>
  <c r="F697" i="1"/>
  <c r="E697" i="1"/>
  <c r="AM696" i="1"/>
  <c r="AK696" i="1"/>
  <c r="AK702" i="1" s="1"/>
  <c r="Z696" i="1"/>
  <c r="K696" i="1"/>
  <c r="J696" i="1"/>
  <c r="L696" i="1" s="1"/>
  <c r="AH692" i="1" s="1"/>
  <c r="I696" i="1"/>
  <c r="H696" i="1"/>
  <c r="G696" i="1"/>
  <c r="F696" i="1"/>
  <c r="N696" i="1" s="1"/>
  <c r="E696" i="1"/>
  <c r="K695" i="1"/>
  <c r="J695" i="1"/>
  <c r="L695" i="1" s="1"/>
  <c r="AH691" i="1" s="1"/>
  <c r="I695" i="1"/>
  <c r="H695" i="1"/>
  <c r="G695" i="1"/>
  <c r="F695" i="1"/>
  <c r="N695" i="1" s="1"/>
  <c r="E695" i="1"/>
  <c r="K694" i="1"/>
  <c r="J694" i="1"/>
  <c r="L694" i="1" s="1"/>
  <c r="AH681" i="1" s="1"/>
  <c r="I694" i="1"/>
  <c r="H694" i="1"/>
  <c r="G694" i="1"/>
  <c r="F694" i="1"/>
  <c r="N694" i="1" s="1"/>
  <c r="E694" i="1"/>
  <c r="U693" i="1"/>
  <c r="AQ690" i="1" s="1"/>
  <c r="K693" i="1"/>
  <c r="J693" i="1"/>
  <c r="H693" i="1"/>
  <c r="I693" i="1" s="1"/>
  <c r="G693" i="1"/>
  <c r="F693" i="1"/>
  <c r="T693" i="1" s="1"/>
  <c r="AP690" i="1" s="1"/>
  <c r="E693" i="1"/>
  <c r="AM692" i="1"/>
  <c r="AK692" i="1"/>
  <c r="AG692" i="1"/>
  <c r="AF692" i="1"/>
  <c r="AD692" i="1"/>
  <c r="AC692" i="1"/>
  <c r="AB692" i="1"/>
  <c r="AA692" i="1"/>
  <c r="Z692" i="1"/>
  <c r="N692" i="1"/>
  <c r="K692" i="1"/>
  <c r="L692" i="1" s="1"/>
  <c r="AH701" i="1" s="1"/>
  <c r="J692" i="1"/>
  <c r="AF701" i="1" s="1"/>
  <c r="H692" i="1"/>
  <c r="AD701" i="1" s="1"/>
  <c r="G692" i="1"/>
  <c r="I692" i="1" s="1"/>
  <c r="F692" i="1"/>
  <c r="E692" i="1"/>
  <c r="AA701" i="1" s="1"/>
  <c r="AM691" i="1"/>
  <c r="AK691" i="1"/>
  <c r="AG691" i="1"/>
  <c r="AF691" i="1"/>
  <c r="AD691" i="1"/>
  <c r="AC691" i="1"/>
  <c r="AB691" i="1"/>
  <c r="AJ691" i="1" s="1"/>
  <c r="AA691" i="1"/>
  <c r="Z691" i="1"/>
  <c r="T691" i="1"/>
  <c r="AP700" i="1" s="1"/>
  <c r="K691" i="1"/>
  <c r="AG700" i="1" s="1"/>
  <c r="J691" i="1"/>
  <c r="L691" i="1" s="1"/>
  <c r="AH700" i="1" s="1"/>
  <c r="I691" i="1"/>
  <c r="H691" i="1"/>
  <c r="AD700" i="1" s="1"/>
  <c r="G691" i="1"/>
  <c r="AC700" i="1" s="1"/>
  <c r="F691" i="1"/>
  <c r="N691" i="1" s="1"/>
  <c r="E691" i="1"/>
  <c r="AA700" i="1" s="1"/>
  <c r="AM690" i="1"/>
  <c r="AF690" i="1"/>
  <c r="AD690" i="1"/>
  <c r="AC690" i="1"/>
  <c r="AB690" i="1"/>
  <c r="AJ690" i="1" s="1"/>
  <c r="AA690" i="1"/>
  <c r="Z690" i="1"/>
  <c r="K690" i="1"/>
  <c r="AG699" i="1" s="1"/>
  <c r="J690" i="1"/>
  <c r="AF699" i="1" s="1"/>
  <c r="H690" i="1"/>
  <c r="I690" i="1" s="1"/>
  <c r="G690" i="1"/>
  <c r="AC699" i="1" s="1"/>
  <c r="F690" i="1"/>
  <c r="T690" i="1" s="1"/>
  <c r="AP699" i="1" s="1"/>
  <c r="E690" i="1"/>
  <c r="AM689" i="1"/>
  <c r="AK689" i="1"/>
  <c r="AA689" i="1"/>
  <c r="Z689" i="1"/>
  <c r="K689" i="1"/>
  <c r="AG698" i="1" s="1"/>
  <c r="J689" i="1"/>
  <c r="L689" i="1" s="1"/>
  <c r="AH698" i="1" s="1"/>
  <c r="H689" i="1"/>
  <c r="AD698" i="1" s="1"/>
  <c r="G689" i="1"/>
  <c r="AC698" i="1" s="1"/>
  <c r="F689" i="1"/>
  <c r="E689" i="1"/>
  <c r="AA698" i="1" s="1"/>
  <c r="AM688" i="1"/>
  <c r="AK688" i="1"/>
  <c r="Z688" i="1"/>
  <c r="K688" i="1"/>
  <c r="J688" i="1"/>
  <c r="L688" i="1" s="1"/>
  <c r="I688" i="1"/>
  <c r="H688" i="1"/>
  <c r="G688" i="1"/>
  <c r="F688" i="1"/>
  <c r="N688" i="1" s="1"/>
  <c r="E688" i="1"/>
  <c r="AM687" i="1"/>
  <c r="AK687" i="1"/>
  <c r="AK693" i="1" s="1"/>
  <c r="AG687" i="1"/>
  <c r="Z687" i="1"/>
  <c r="Z693" i="1" s="1"/>
  <c r="L687" i="1"/>
  <c r="K687" i="1"/>
  <c r="J687" i="1"/>
  <c r="I687" i="1"/>
  <c r="M687" i="1" s="1"/>
  <c r="AI679" i="1" s="1"/>
  <c r="H687" i="1"/>
  <c r="G687" i="1"/>
  <c r="F687" i="1"/>
  <c r="T687" i="1" s="1"/>
  <c r="U687" i="1" s="1"/>
  <c r="E687" i="1"/>
  <c r="V686" i="1"/>
  <c r="L686" i="1"/>
  <c r="K686" i="1"/>
  <c r="J686" i="1"/>
  <c r="I686" i="1"/>
  <c r="M686" i="1" s="1"/>
  <c r="H686" i="1"/>
  <c r="G686" i="1"/>
  <c r="F686" i="1"/>
  <c r="T686" i="1" s="1"/>
  <c r="U686" i="1" s="1"/>
  <c r="E686" i="1"/>
  <c r="L685" i="1"/>
  <c r="K685" i="1"/>
  <c r="AG689" i="1" s="1"/>
  <c r="J685" i="1"/>
  <c r="AF689" i="1" s="1"/>
  <c r="I685" i="1"/>
  <c r="AE689" i="1" s="1"/>
  <c r="H685" i="1"/>
  <c r="AD689" i="1" s="1"/>
  <c r="G685" i="1"/>
  <c r="AC689" i="1" s="1"/>
  <c r="F685" i="1"/>
  <c r="T685" i="1" s="1"/>
  <c r="E685" i="1"/>
  <c r="K684" i="1"/>
  <c r="AG697" i="1" s="1"/>
  <c r="J684" i="1"/>
  <c r="L684" i="1" s="1"/>
  <c r="AH697" i="1" s="1"/>
  <c r="H684" i="1"/>
  <c r="AD697" i="1" s="1"/>
  <c r="G684" i="1"/>
  <c r="F684" i="1"/>
  <c r="E684" i="1"/>
  <c r="AM683" i="1"/>
  <c r="AK683" i="1"/>
  <c r="AF683" i="1"/>
  <c r="AD683" i="1"/>
  <c r="AC683" i="1"/>
  <c r="AB683" i="1"/>
  <c r="AJ683" i="1" s="1"/>
  <c r="AA683" i="1"/>
  <c r="Z683" i="1"/>
  <c r="T683" i="1"/>
  <c r="AP688" i="1" s="1"/>
  <c r="N683" i="1"/>
  <c r="K683" i="1"/>
  <c r="AG688" i="1" s="1"/>
  <c r="J683" i="1"/>
  <c r="H683" i="1"/>
  <c r="AD688" i="1" s="1"/>
  <c r="G683" i="1"/>
  <c r="AC688" i="1" s="1"/>
  <c r="F683" i="1"/>
  <c r="AB688" i="1" s="1"/>
  <c r="E683" i="1"/>
  <c r="AA688" i="1" s="1"/>
  <c r="AM682" i="1"/>
  <c r="AK682" i="1"/>
  <c r="AI682" i="1"/>
  <c r="AH682" i="1"/>
  <c r="AG682" i="1"/>
  <c r="AF682" i="1"/>
  <c r="AD682" i="1"/>
  <c r="AC682" i="1"/>
  <c r="AA682" i="1"/>
  <c r="Z682" i="1"/>
  <c r="T682" i="1"/>
  <c r="AP687" i="1" s="1"/>
  <c r="K682" i="1"/>
  <c r="J682" i="1"/>
  <c r="AF687" i="1" s="1"/>
  <c r="H682" i="1"/>
  <c r="AD687" i="1" s="1"/>
  <c r="G682" i="1"/>
  <c r="AC687" i="1" s="1"/>
  <c r="AC693" i="1" s="1"/>
  <c r="F682" i="1"/>
  <c r="AB687" i="1" s="1"/>
  <c r="E682" i="1"/>
  <c r="AA687" i="1" s="1"/>
  <c r="AA693" i="1" s="1"/>
  <c r="AM681" i="1"/>
  <c r="AK681" i="1"/>
  <c r="AJ681" i="1"/>
  <c r="AG681" i="1"/>
  <c r="AF681" i="1"/>
  <c r="AE681" i="1"/>
  <c r="AD681" i="1"/>
  <c r="AC681" i="1"/>
  <c r="AB681" i="1"/>
  <c r="AA681" i="1"/>
  <c r="Z681" i="1"/>
  <c r="T681" i="1"/>
  <c r="K681" i="1"/>
  <c r="J681" i="1"/>
  <c r="H681" i="1"/>
  <c r="G681" i="1"/>
  <c r="AC696" i="1" s="1"/>
  <c r="F681" i="1"/>
  <c r="E681" i="1"/>
  <c r="AM680" i="1"/>
  <c r="AK680" i="1"/>
  <c r="AH680" i="1"/>
  <c r="AG680" i="1"/>
  <c r="AF680" i="1"/>
  <c r="AD680" i="1"/>
  <c r="AC680" i="1"/>
  <c r="AB680" i="1"/>
  <c r="AJ680" i="1" s="1"/>
  <c r="AA680" i="1"/>
  <c r="Z680" i="1"/>
  <c r="AQ679" i="1"/>
  <c r="AP679" i="1"/>
  <c r="AM679" i="1"/>
  <c r="AH679" i="1"/>
  <c r="AG679" i="1"/>
  <c r="AF679" i="1"/>
  <c r="AE679" i="1"/>
  <c r="AD679" i="1"/>
  <c r="AC679" i="1"/>
  <c r="AB679" i="1"/>
  <c r="AJ679" i="1" s="1"/>
  <c r="AA679" i="1"/>
  <c r="Z679" i="1"/>
  <c r="AQ678" i="1"/>
  <c r="AP678" i="1"/>
  <c r="AM678" i="1"/>
  <c r="AK678" i="1"/>
  <c r="AK684" i="1" s="1"/>
  <c r="AI678" i="1"/>
  <c r="AR678" i="1" s="1"/>
  <c r="AH678" i="1"/>
  <c r="AG678" i="1"/>
  <c r="AF678" i="1"/>
  <c r="AE678" i="1"/>
  <c r="AD678" i="1"/>
  <c r="AC678" i="1"/>
  <c r="AB678" i="1"/>
  <c r="AJ678" i="1" s="1"/>
  <c r="AA678" i="1"/>
  <c r="AA684" i="1" s="1"/>
  <c r="Z678" i="1"/>
  <c r="AM674" i="1"/>
  <c r="AK674" i="1"/>
  <c r="Z674" i="1"/>
  <c r="AM673" i="1"/>
  <c r="AK673" i="1"/>
  <c r="AC673" i="1"/>
  <c r="Z673" i="1"/>
  <c r="AM672" i="1"/>
  <c r="AK672" i="1"/>
  <c r="AF672" i="1"/>
  <c r="Z672" i="1"/>
  <c r="O672" i="1"/>
  <c r="D672" i="1"/>
  <c r="AM671" i="1"/>
  <c r="AK671" i="1"/>
  <c r="AC671" i="1"/>
  <c r="Z671" i="1"/>
  <c r="T671" i="1"/>
  <c r="U671" i="1" s="1"/>
  <c r="AQ656" i="1" s="1"/>
  <c r="K671" i="1"/>
  <c r="J671" i="1"/>
  <c r="L671" i="1" s="1"/>
  <c r="AH656" i="1" s="1"/>
  <c r="H671" i="1"/>
  <c r="AD656" i="1" s="1"/>
  <c r="G671" i="1"/>
  <c r="I671" i="1" s="1"/>
  <c r="F671" i="1"/>
  <c r="N671" i="1" s="1"/>
  <c r="E671" i="1"/>
  <c r="AM670" i="1"/>
  <c r="AK670" i="1"/>
  <c r="AF670" i="1"/>
  <c r="Z670" i="1"/>
  <c r="U670" i="1"/>
  <c r="AQ655" i="1" s="1"/>
  <c r="K670" i="1"/>
  <c r="AG655" i="1" s="1"/>
  <c r="J670" i="1"/>
  <c r="L670" i="1" s="1"/>
  <c r="AH655" i="1" s="1"/>
  <c r="H670" i="1"/>
  <c r="I670" i="1" s="1"/>
  <c r="G670" i="1"/>
  <c r="F670" i="1"/>
  <c r="T670" i="1" s="1"/>
  <c r="AP655" i="1" s="1"/>
  <c r="E670" i="1"/>
  <c r="AM669" i="1"/>
  <c r="AK669" i="1"/>
  <c r="AA669" i="1"/>
  <c r="Z669" i="1"/>
  <c r="Z675" i="1" s="1"/>
  <c r="K669" i="1"/>
  <c r="L669" i="1" s="1"/>
  <c r="AH665" i="1" s="1"/>
  <c r="J669" i="1"/>
  <c r="H669" i="1"/>
  <c r="AD665" i="1" s="1"/>
  <c r="G669" i="1"/>
  <c r="F669" i="1"/>
  <c r="E669" i="1"/>
  <c r="N668" i="1"/>
  <c r="K668" i="1"/>
  <c r="L668" i="1" s="1"/>
  <c r="AH664" i="1" s="1"/>
  <c r="J668" i="1"/>
  <c r="H668" i="1"/>
  <c r="I668" i="1" s="1"/>
  <c r="G668" i="1"/>
  <c r="F668" i="1"/>
  <c r="E668" i="1"/>
  <c r="K667" i="1"/>
  <c r="L667" i="1" s="1"/>
  <c r="AH654" i="1" s="1"/>
  <c r="J667" i="1"/>
  <c r="H667" i="1"/>
  <c r="I667" i="1" s="1"/>
  <c r="G667" i="1"/>
  <c r="F667" i="1"/>
  <c r="E667" i="1"/>
  <c r="AK666" i="1"/>
  <c r="T666" i="1"/>
  <c r="AP663" i="1" s="1"/>
  <c r="K666" i="1"/>
  <c r="AG663" i="1" s="1"/>
  <c r="J666" i="1"/>
  <c r="L666" i="1" s="1"/>
  <c r="AH663" i="1" s="1"/>
  <c r="H666" i="1"/>
  <c r="AD663" i="1" s="1"/>
  <c r="G666" i="1"/>
  <c r="F666" i="1"/>
  <c r="N666" i="1" s="1"/>
  <c r="E666" i="1"/>
  <c r="AM665" i="1"/>
  <c r="AK665" i="1"/>
  <c r="AF665" i="1"/>
  <c r="AC665" i="1"/>
  <c r="AA665" i="1"/>
  <c r="Z665" i="1"/>
  <c r="K665" i="1"/>
  <c r="AG674" i="1" s="1"/>
  <c r="J665" i="1"/>
  <c r="AF674" i="1" s="1"/>
  <c r="H665" i="1"/>
  <c r="I665" i="1" s="1"/>
  <c r="G665" i="1"/>
  <c r="AC674" i="1" s="1"/>
  <c r="F665" i="1"/>
  <c r="T665" i="1" s="1"/>
  <c r="U665" i="1" s="1"/>
  <c r="AQ674" i="1" s="1"/>
  <c r="E665" i="1"/>
  <c r="AA674" i="1" s="1"/>
  <c r="AM664" i="1"/>
  <c r="AK664" i="1"/>
  <c r="AG664" i="1"/>
  <c r="AF664" i="1"/>
  <c r="AC664" i="1"/>
  <c r="AA664" i="1"/>
  <c r="Z664" i="1"/>
  <c r="K664" i="1"/>
  <c r="L664" i="1" s="1"/>
  <c r="AH673" i="1" s="1"/>
  <c r="J664" i="1"/>
  <c r="AF673" i="1" s="1"/>
  <c r="H664" i="1"/>
  <c r="I664" i="1" s="1"/>
  <c r="G664" i="1"/>
  <c r="F664" i="1"/>
  <c r="E664" i="1"/>
  <c r="AA673" i="1" s="1"/>
  <c r="AM663" i="1"/>
  <c r="AC663" i="1"/>
  <c r="AB663" i="1"/>
  <c r="AJ663" i="1" s="1"/>
  <c r="AA663" i="1"/>
  <c r="Z663" i="1"/>
  <c r="T663" i="1"/>
  <c r="U663" i="1" s="1"/>
  <c r="AQ672" i="1" s="1"/>
  <c r="K663" i="1"/>
  <c r="AG672" i="1" s="1"/>
  <c r="J663" i="1"/>
  <c r="L663" i="1" s="1"/>
  <c r="AH672" i="1" s="1"/>
  <c r="H663" i="1"/>
  <c r="AD672" i="1" s="1"/>
  <c r="G663" i="1"/>
  <c r="AC672" i="1" s="1"/>
  <c r="F663" i="1"/>
  <c r="N663" i="1" s="1"/>
  <c r="E663" i="1"/>
  <c r="AA672" i="1" s="1"/>
  <c r="AM662" i="1"/>
  <c r="AK662" i="1"/>
  <c r="AF662" i="1"/>
  <c r="AA662" i="1"/>
  <c r="Z662" i="1"/>
  <c r="K662" i="1"/>
  <c r="AG671" i="1" s="1"/>
  <c r="J662" i="1"/>
  <c r="AF671" i="1" s="1"/>
  <c r="H662" i="1"/>
  <c r="I662" i="1" s="1"/>
  <c r="G662" i="1"/>
  <c r="F662" i="1"/>
  <c r="AB671" i="1" s="1"/>
  <c r="E662" i="1"/>
  <c r="AA671" i="1" s="1"/>
  <c r="AM661" i="1"/>
  <c r="AK661" i="1"/>
  <c r="AF661" i="1"/>
  <c r="AC661" i="1"/>
  <c r="AA661" i="1"/>
  <c r="Z661" i="1"/>
  <c r="Z666" i="1" s="1"/>
  <c r="K661" i="1"/>
  <c r="L661" i="1" s="1"/>
  <c r="AH653" i="1" s="1"/>
  <c r="J661" i="1"/>
  <c r="H661" i="1"/>
  <c r="I661" i="1" s="1"/>
  <c r="G661" i="1"/>
  <c r="F661" i="1"/>
  <c r="E661" i="1"/>
  <c r="AM660" i="1"/>
  <c r="AK660" i="1"/>
  <c r="AF660" i="1"/>
  <c r="AD660" i="1"/>
  <c r="AA660" i="1"/>
  <c r="Z660" i="1"/>
  <c r="K660" i="1"/>
  <c r="L660" i="1" s="1"/>
  <c r="AH652" i="1" s="1"/>
  <c r="J660" i="1"/>
  <c r="I660" i="1"/>
  <c r="H660" i="1"/>
  <c r="G660" i="1"/>
  <c r="F660" i="1"/>
  <c r="N660" i="1" s="1"/>
  <c r="E660" i="1"/>
  <c r="K659" i="1"/>
  <c r="L659" i="1" s="1"/>
  <c r="AH651" i="1" s="1"/>
  <c r="J659" i="1"/>
  <c r="I659" i="1"/>
  <c r="H659" i="1"/>
  <c r="G659" i="1"/>
  <c r="AC651" i="1" s="1"/>
  <c r="AC657" i="1" s="1"/>
  <c r="F659" i="1"/>
  <c r="N659" i="1" s="1"/>
  <c r="E659" i="1"/>
  <c r="K658" i="1"/>
  <c r="L658" i="1" s="1"/>
  <c r="AH662" i="1" s="1"/>
  <c r="J658" i="1"/>
  <c r="I658" i="1"/>
  <c r="H658" i="1"/>
  <c r="AD662" i="1" s="1"/>
  <c r="G658" i="1"/>
  <c r="AC662" i="1" s="1"/>
  <c r="AC666" i="1" s="1"/>
  <c r="F658" i="1"/>
  <c r="N658" i="1" s="1"/>
  <c r="E658" i="1"/>
  <c r="AF657" i="1"/>
  <c r="Z657" i="1"/>
  <c r="U657" i="1"/>
  <c r="AQ670" i="1" s="1"/>
  <c r="T657" i="1"/>
  <c r="AP670" i="1" s="1"/>
  <c r="K657" i="1"/>
  <c r="AG670" i="1" s="1"/>
  <c r="J657" i="1"/>
  <c r="H657" i="1"/>
  <c r="AD670" i="1" s="1"/>
  <c r="G657" i="1"/>
  <c r="AC670" i="1" s="1"/>
  <c r="F657" i="1"/>
  <c r="AB670" i="1" s="1"/>
  <c r="AJ670" i="1" s="1"/>
  <c r="E657" i="1"/>
  <c r="AA670" i="1" s="1"/>
  <c r="AP656" i="1"/>
  <c r="AM656" i="1"/>
  <c r="AK656" i="1"/>
  <c r="AG656" i="1"/>
  <c r="AF656" i="1"/>
  <c r="AC656" i="1"/>
  <c r="AB656" i="1"/>
  <c r="AA656" i="1"/>
  <c r="Z656" i="1"/>
  <c r="N656" i="1"/>
  <c r="K656" i="1"/>
  <c r="AG661" i="1" s="1"/>
  <c r="J656" i="1"/>
  <c r="H656" i="1"/>
  <c r="AD661" i="1" s="1"/>
  <c r="G656" i="1"/>
  <c r="F656" i="1"/>
  <c r="E656" i="1"/>
  <c r="AM655" i="1"/>
  <c r="AK655" i="1"/>
  <c r="AK657" i="1" s="1"/>
  <c r="AF655" i="1"/>
  <c r="AD655" i="1"/>
  <c r="AC655" i="1"/>
  <c r="AB655" i="1"/>
  <c r="AJ655" i="1" s="1"/>
  <c r="AA655" i="1"/>
  <c r="Z655" i="1"/>
  <c r="K655" i="1"/>
  <c r="AG660" i="1" s="1"/>
  <c r="J655" i="1"/>
  <c r="I655" i="1"/>
  <c r="H655" i="1"/>
  <c r="G655" i="1"/>
  <c r="AC660" i="1" s="1"/>
  <c r="F655" i="1"/>
  <c r="AB660" i="1" s="1"/>
  <c r="E655" i="1"/>
  <c r="AM654" i="1"/>
  <c r="AK654" i="1"/>
  <c r="AG654" i="1"/>
  <c r="AF654" i="1"/>
  <c r="AD654" i="1"/>
  <c r="AC654" i="1"/>
  <c r="AA654" i="1"/>
  <c r="Z654" i="1"/>
  <c r="L654" i="1"/>
  <c r="AH669" i="1" s="1"/>
  <c r="K654" i="1"/>
  <c r="J654" i="1"/>
  <c r="J672" i="1" s="1"/>
  <c r="I654" i="1"/>
  <c r="H654" i="1"/>
  <c r="H672" i="1" s="1"/>
  <c r="G654" i="1"/>
  <c r="G672" i="1" s="1"/>
  <c r="F654" i="1"/>
  <c r="T654" i="1" s="1"/>
  <c r="E654" i="1"/>
  <c r="E672" i="1" s="1"/>
  <c r="AM653" i="1"/>
  <c r="AK653" i="1"/>
  <c r="AG653" i="1"/>
  <c r="AF653" i="1"/>
  <c r="AD653" i="1"/>
  <c r="AC653" i="1"/>
  <c r="AA653" i="1"/>
  <c r="Z653" i="1"/>
  <c r="AM652" i="1"/>
  <c r="AF652" i="1"/>
  <c r="AD652" i="1"/>
  <c r="AC652" i="1"/>
  <c r="AB652" i="1"/>
  <c r="AJ652" i="1" s="1"/>
  <c r="AA652" i="1"/>
  <c r="Z652" i="1"/>
  <c r="AM651" i="1"/>
  <c r="AK651" i="1"/>
  <c r="AG651" i="1"/>
  <c r="AF651" i="1"/>
  <c r="AD651" i="1"/>
  <c r="AD657" i="1" s="1"/>
  <c r="AB651" i="1"/>
  <c r="AA651" i="1"/>
  <c r="AA657" i="1" s="1"/>
  <c r="Z651" i="1"/>
  <c r="AK648" i="1"/>
  <c r="AM647" i="1"/>
  <c r="AK647" i="1"/>
  <c r="AD647" i="1"/>
  <c r="Z647" i="1"/>
  <c r="AM646" i="1"/>
  <c r="AK646" i="1"/>
  <c r="AG646" i="1"/>
  <c r="Z646" i="1"/>
  <c r="AM645" i="1"/>
  <c r="AK645" i="1"/>
  <c r="AB645" i="1"/>
  <c r="AJ645" i="1" s="1"/>
  <c r="Z645" i="1"/>
  <c r="O645" i="1"/>
  <c r="D645" i="1"/>
  <c r="AM644" i="1"/>
  <c r="AK644" i="1"/>
  <c r="AG644" i="1"/>
  <c r="Z644" i="1"/>
  <c r="L644" i="1"/>
  <c r="AH629" i="1" s="1"/>
  <c r="K644" i="1"/>
  <c r="J644" i="1"/>
  <c r="I644" i="1"/>
  <c r="H644" i="1"/>
  <c r="G644" i="1"/>
  <c r="F644" i="1"/>
  <c r="T644" i="1" s="1"/>
  <c r="E644" i="1"/>
  <c r="AM643" i="1"/>
  <c r="AK643" i="1"/>
  <c r="AB643" i="1"/>
  <c r="AJ643" i="1" s="1"/>
  <c r="Z643" i="1"/>
  <c r="L643" i="1"/>
  <c r="K643" i="1"/>
  <c r="J643" i="1"/>
  <c r="H643" i="1"/>
  <c r="G643" i="1"/>
  <c r="F643" i="1"/>
  <c r="N643" i="1" s="1"/>
  <c r="E643" i="1"/>
  <c r="AM642" i="1"/>
  <c r="AK642" i="1"/>
  <c r="Z642" i="1"/>
  <c r="Z648" i="1" s="1"/>
  <c r="T642" i="1"/>
  <c r="K642" i="1"/>
  <c r="J642" i="1"/>
  <c r="I642" i="1"/>
  <c r="H642" i="1"/>
  <c r="G642" i="1"/>
  <c r="AC638" i="1" s="1"/>
  <c r="F642" i="1"/>
  <c r="N642" i="1" s="1"/>
  <c r="E642" i="1"/>
  <c r="T641" i="1"/>
  <c r="K641" i="1"/>
  <c r="J641" i="1"/>
  <c r="I641" i="1"/>
  <c r="H641" i="1"/>
  <c r="G641" i="1"/>
  <c r="F641" i="1"/>
  <c r="N641" i="1" s="1"/>
  <c r="E641" i="1"/>
  <c r="T640" i="1"/>
  <c r="K640" i="1"/>
  <c r="J640" i="1"/>
  <c r="I640" i="1"/>
  <c r="H640" i="1"/>
  <c r="G640" i="1"/>
  <c r="F640" i="1"/>
  <c r="N640" i="1" s="1"/>
  <c r="AJ627" i="1" s="1"/>
  <c r="E640" i="1"/>
  <c r="L639" i="1"/>
  <c r="AH636" i="1" s="1"/>
  <c r="K639" i="1"/>
  <c r="J639" i="1"/>
  <c r="H639" i="1"/>
  <c r="G639" i="1"/>
  <c r="I639" i="1" s="1"/>
  <c r="F639" i="1"/>
  <c r="T639" i="1" s="1"/>
  <c r="U639" i="1" s="1"/>
  <c r="AQ636" i="1" s="1"/>
  <c r="E639" i="1"/>
  <c r="AM638" i="1"/>
  <c r="AK638" i="1"/>
  <c r="AG638" i="1"/>
  <c r="AE638" i="1"/>
  <c r="AD638" i="1"/>
  <c r="AB638" i="1"/>
  <c r="AJ638" i="1" s="1"/>
  <c r="AA638" i="1"/>
  <c r="Z638" i="1"/>
  <c r="K638" i="1"/>
  <c r="AG647" i="1" s="1"/>
  <c r="J638" i="1"/>
  <c r="L638" i="1" s="1"/>
  <c r="AH647" i="1" s="1"/>
  <c r="H638" i="1"/>
  <c r="G638" i="1"/>
  <c r="F638" i="1"/>
  <c r="N638" i="1" s="1"/>
  <c r="E638" i="1"/>
  <c r="AA647" i="1" s="1"/>
  <c r="AM637" i="1"/>
  <c r="AK637" i="1"/>
  <c r="AG637" i="1"/>
  <c r="AE637" i="1"/>
  <c r="AD637" i="1"/>
  <c r="AC637" i="1"/>
  <c r="AB637" i="1"/>
  <c r="AJ637" i="1" s="1"/>
  <c r="AA637" i="1"/>
  <c r="Z637" i="1"/>
  <c r="T637" i="1"/>
  <c r="K637" i="1"/>
  <c r="J637" i="1"/>
  <c r="I637" i="1"/>
  <c r="AE646" i="1" s="1"/>
  <c r="H637" i="1"/>
  <c r="AD646" i="1" s="1"/>
  <c r="G637" i="1"/>
  <c r="AC646" i="1" s="1"/>
  <c r="F637" i="1"/>
  <c r="N637" i="1" s="1"/>
  <c r="E637" i="1"/>
  <c r="AA646" i="1" s="1"/>
  <c r="AP636" i="1"/>
  <c r="AM636" i="1"/>
  <c r="AG636" i="1"/>
  <c r="AF636" i="1"/>
  <c r="AD636" i="1"/>
  <c r="AC636" i="1"/>
  <c r="AA636" i="1"/>
  <c r="Z636" i="1"/>
  <c r="L636" i="1"/>
  <c r="AH645" i="1" s="1"/>
  <c r="K636" i="1"/>
  <c r="AG645" i="1" s="1"/>
  <c r="J636" i="1"/>
  <c r="AF645" i="1" s="1"/>
  <c r="H636" i="1"/>
  <c r="AD645" i="1" s="1"/>
  <c r="G636" i="1"/>
  <c r="I636" i="1" s="1"/>
  <c r="F636" i="1"/>
  <c r="T636" i="1" s="1"/>
  <c r="E636" i="1"/>
  <c r="AA645" i="1" s="1"/>
  <c r="AM635" i="1"/>
  <c r="AK635" i="1"/>
  <c r="AB635" i="1"/>
  <c r="Z635" i="1"/>
  <c r="K635" i="1"/>
  <c r="J635" i="1"/>
  <c r="AF644" i="1" s="1"/>
  <c r="H635" i="1"/>
  <c r="AD644" i="1" s="1"/>
  <c r="G635" i="1"/>
  <c r="F635" i="1"/>
  <c r="N635" i="1" s="1"/>
  <c r="E635" i="1"/>
  <c r="AA644" i="1" s="1"/>
  <c r="AM634" i="1"/>
  <c r="AK634" i="1"/>
  <c r="Z634" i="1"/>
  <c r="T634" i="1"/>
  <c r="K634" i="1"/>
  <c r="J634" i="1"/>
  <c r="L634" i="1" s="1"/>
  <c r="AH626" i="1" s="1"/>
  <c r="I634" i="1"/>
  <c r="H634" i="1"/>
  <c r="G634" i="1"/>
  <c r="F634" i="1"/>
  <c r="N634" i="1" s="1"/>
  <c r="E634" i="1"/>
  <c r="AP633" i="1"/>
  <c r="AM633" i="1"/>
  <c r="AK633" i="1"/>
  <c r="AK639" i="1" s="1"/>
  <c r="Z633" i="1"/>
  <c r="Z639" i="1" s="1"/>
  <c r="T633" i="1"/>
  <c r="U633" i="1" s="1"/>
  <c r="AQ625" i="1" s="1"/>
  <c r="K633" i="1"/>
  <c r="J633" i="1"/>
  <c r="L633" i="1" s="1"/>
  <c r="H633" i="1"/>
  <c r="G633" i="1"/>
  <c r="I633" i="1" s="1"/>
  <c r="AE625" i="1" s="1"/>
  <c r="F633" i="1"/>
  <c r="E633" i="1"/>
  <c r="AA625" i="1" s="1"/>
  <c r="T632" i="1"/>
  <c r="U632" i="1" s="1"/>
  <c r="AQ624" i="1" s="1"/>
  <c r="K632" i="1"/>
  <c r="J632" i="1"/>
  <c r="L632" i="1" s="1"/>
  <c r="AH624" i="1" s="1"/>
  <c r="H632" i="1"/>
  <c r="G632" i="1"/>
  <c r="I632" i="1" s="1"/>
  <c r="AE624" i="1" s="1"/>
  <c r="F632" i="1"/>
  <c r="E632" i="1"/>
  <c r="AA624" i="1" s="1"/>
  <c r="AA630" i="1" s="1"/>
  <c r="T631" i="1"/>
  <c r="AP635" i="1" s="1"/>
  <c r="K631" i="1"/>
  <c r="AG635" i="1" s="1"/>
  <c r="J631" i="1"/>
  <c r="L631" i="1" s="1"/>
  <c r="AH635" i="1" s="1"/>
  <c r="H631" i="1"/>
  <c r="AD635" i="1" s="1"/>
  <c r="G631" i="1"/>
  <c r="I631" i="1" s="1"/>
  <c r="AE635" i="1" s="1"/>
  <c r="F631" i="1"/>
  <c r="E631" i="1"/>
  <c r="AA635" i="1" s="1"/>
  <c r="AJ635" i="1" s="1"/>
  <c r="AJ630" i="1"/>
  <c r="AB630" i="1"/>
  <c r="L630" i="1"/>
  <c r="AH643" i="1" s="1"/>
  <c r="K630" i="1"/>
  <c r="AG643" i="1" s="1"/>
  <c r="J630" i="1"/>
  <c r="AF643" i="1" s="1"/>
  <c r="H630" i="1"/>
  <c r="AD643" i="1" s="1"/>
  <c r="G630" i="1"/>
  <c r="F630" i="1"/>
  <c r="N630" i="1" s="1"/>
  <c r="E630" i="1"/>
  <c r="AA643" i="1" s="1"/>
  <c r="AM629" i="1"/>
  <c r="AK629" i="1"/>
  <c r="AG629" i="1"/>
  <c r="AF629" i="1"/>
  <c r="AE629" i="1"/>
  <c r="AD629" i="1"/>
  <c r="AC629" i="1"/>
  <c r="AB629" i="1"/>
  <c r="AJ629" i="1" s="1"/>
  <c r="AA629" i="1"/>
  <c r="Z629" i="1"/>
  <c r="T629" i="1"/>
  <c r="K629" i="1"/>
  <c r="AG634" i="1" s="1"/>
  <c r="J629" i="1"/>
  <c r="H629" i="1"/>
  <c r="AD634" i="1" s="1"/>
  <c r="G629" i="1"/>
  <c r="I629" i="1" s="1"/>
  <c r="AE634" i="1" s="1"/>
  <c r="F629" i="1"/>
  <c r="AB634" i="1" s="1"/>
  <c r="E629" i="1"/>
  <c r="AA634" i="1" s="1"/>
  <c r="AM628" i="1"/>
  <c r="AK628" i="1"/>
  <c r="AH628" i="1"/>
  <c r="AG628" i="1"/>
  <c r="AF628" i="1"/>
  <c r="AD628" i="1"/>
  <c r="AB628" i="1"/>
  <c r="AJ628" i="1" s="1"/>
  <c r="AA628" i="1"/>
  <c r="Z628" i="1"/>
  <c r="T628" i="1"/>
  <c r="K628" i="1"/>
  <c r="AG633" i="1" s="1"/>
  <c r="AG639" i="1" s="1"/>
  <c r="J628" i="1"/>
  <c r="L628" i="1" s="1"/>
  <c r="AH633" i="1" s="1"/>
  <c r="H628" i="1"/>
  <c r="AD633" i="1" s="1"/>
  <c r="G628" i="1"/>
  <c r="I628" i="1" s="1"/>
  <c r="F628" i="1"/>
  <c r="AB633" i="1" s="1"/>
  <c r="E628" i="1"/>
  <c r="AA633" i="1" s="1"/>
  <c r="AM627" i="1"/>
  <c r="AK627" i="1"/>
  <c r="AG627" i="1"/>
  <c r="AE627" i="1"/>
  <c r="AD627" i="1"/>
  <c r="AC627" i="1"/>
  <c r="AB627" i="1"/>
  <c r="AA627" i="1"/>
  <c r="Z627" i="1"/>
  <c r="T627" i="1"/>
  <c r="K627" i="1"/>
  <c r="K645" i="1" s="1"/>
  <c r="J627" i="1"/>
  <c r="L627" i="1" s="1"/>
  <c r="H627" i="1"/>
  <c r="G627" i="1"/>
  <c r="G645" i="1" s="1"/>
  <c r="F627" i="1"/>
  <c r="F645" i="1" s="1"/>
  <c r="E627" i="1"/>
  <c r="AM626" i="1"/>
  <c r="AK626" i="1"/>
  <c r="AG626" i="1"/>
  <c r="AF626" i="1"/>
  <c r="AE626" i="1"/>
  <c r="AD626" i="1"/>
  <c r="AC626" i="1"/>
  <c r="AB626" i="1"/>
  <c r="AJ626" i="1" s="1"/>
  <c r="AA626" i="1"/>
  <c r="Z626" i="1"/>
  <c r="AP625" i="1"/>
  <c r="AM625" i="1"/>
  <c r="AH625" i="1"/>
  <c r="AG625" i="1"/>
  <c r="AF625" i="1"/>
  <c r="AD625" i="1"/>
  <c r="AC625" i="1"/>
  <c r="AB625" i="1"/>
  <c r="Z625" i="1"/>
  <c r="AP624" i="1"/>
  <c r="AM624" i="1"/>
  <c r="AK624" i="1"/>
  <c r="AK630" i="1" s="1"/>
  <c r="AG624" i="1"/>
  <c r="AG630" i="1" s="1"/>
  <c r="AF624" i="1"/>
  <c r="AD624" i="1"/>
  <c r="AD630" i="1" s="1"/>
  <c r="AC624" i="1"/>
  <c r="AB624" i="1"/>
  <c r="AJ624" i="1" s="1"/>
  <c r="Z624" i="1"/>
  <c r="AM620" i="1"/>
  <c r="AK620" i="1"/>
  <c r="Z620" i="1"/>
  <c r="AM619" i="1"/>
  <c r="AK619" i="1"/>
  <c r="AC619" i="1"/>
  <c r="Z619" i="1"/>
  <c r="AM618" i="1"/>
  <c r="AK618" i="1"/>
  <c r="AF618" i="1"/>
  <c r="Z618" i="1"/>
  <c r="O618" i="1"/>
  <c r="D618" i="1"/>
  <c r="AM617" i="1"/>
  <c r="AK617" i="1"/>
  <c r="AC617" i="1"/>
  <c r="Z617" i="1"/>
  <c r="T617" i="1"/>
  <c r="U617" i="1" s="1"/>
  <c r="K617" i="1"/>
  <c r="J617" i="1"/>
  <c r="L617" i="1" s="1"/>
  <c r="AH602" i="1" s="1"/>
  <c r="H617" i="1"/>
  <c r="AD602" i="1" s="1"/>
  <c r="G617" i="1"/>
  <c r="F617" i="1"/>
  <c r="N617" i="1" s="1"/>
  <c r="E617" i="1"/>
  <c r="AM616" i="1"/>
  <c r="AK616" i="1"/>
  <c r="AF616" i="1"/>
  <c r="Z616" i="1"/>
  <c r="U616" i="1"/>
  <c r="AQ601" i="1" s="1"/>
  <c r="K616" i="1"/>
  <c r="AG601" i="1" s="1"/>
  <c r="J616" i="1"/>
  <c r="H616" i="1"/>
  <c r="I616" i="1" s="1"/>
  <c r="G616" i="1"/>
  <c r="F616" i="1"/>
  <c r="T616" i="1" s="1"/>
  <c r="AP601" i="1" s="1"/>
  <c r="E616" i="1"/>
  <c r="AM615" i="1"/>
  <c r="AK615" i="1"/>
  <c r="AK621" i="1" s="1"/>
  <c r="AA615" i="1"/>
  <c r="Z615" i="1"/>
  <c r="K615" i="1"/>
  <c r="L615" i="1" s="1"/>
  <c r="AH611" i="1" s="1"/>
  <c r="J615" i="1"/>
  <c r="H615" i="1"/>
  <c r="I615" i="1" s="1"/>
  <c r="G615" i="1"/>
  <c r="F615" i="1"/>
  <c r="N615" i="1" s="1"/>
  <c r="E615" i="1"/>
  <c r="K614" i="1"/>
  <c r="L614" i="1" s="1"/>
  <c r="AH610" i="1" s="1"/>
  <c r="J614" i="1"/>
  <c r="H614" i="1"/>
  <c r="I614" i="1" s="1"/>
  <c r="G614" i="1"/>
  <c r="F614" i="1"/>
  <c r="E614" i="1"/>
  <c r="N613" i="1"/>
  <c r="AJ600" i="1" s="1"/>
  <c r="K613" i="1"/>
  <c r="L613" i="1" s="1"/>
  <c r="AH600" i="1" s="1"/>
  <c r="J613" i="1"/>
  <c r="H613" i="1"/>
  <c r="I613" i="1" s="1"/>
  <c r="G613" i="1"/>
  <c r="F613" i="1"/>
  <c r="E613" i="1"/>
  <c r="AK612" i="1"/>
  <c r="T612" i="1"/>
  <c r="AP609" i="1" s="1"/>
  <c r="K612" i="1"/>
  <c r="J612" i="1"/>
  <c r="L612" i="1" s="1"/>
  <c r="AH609" i="1" s="1"/>
  <c r="H612" i="1"/>
  <c r="AD609" i="1" s="1"/>
  <c r="G612" i="1"/>
  <c r="I612" i="1" s="1"/>
  <c r="F612" i="1"/>
  <c r="N612" i="1" s="1"/>
  <c r="E612" i="1"/>
  <c r="AM611" i="1"/>
  <c r="AK611" i="1"/>
  <c r="AG611" i="1"/>
  <c r="AF611" i="1"/>
  <c r="AD611" i="1"/>
  <c r="AC611" i="1"/>
  <c r="AA611" i="1"/>
  <c r="Z611" i="1"/>
  <c r="K611" i="1"/>
  <c r="AG620" i="1" s="1"/>
  <c r="J611" i="1"/>
  <c r="AF620" i="1" s="1"/>
  <c r="H611" i="1"/>
  <c r="I611" i="1" s="1"/>
  <c r="G611" i="1"/>
  <c r="AC620" i="1" s="1"/>
  <c r="F611" i="1"/>
  <c r="T611" i="1" s="1"/>
  <c r="AP620" i="1" s="1"/>
  <c r="E611" i="1"/>
  <c r="AA620" i="1" s="1"/>
  <c r="AM610" i="1"/>
  <c r="AK610" i="1"/>
  <c r="AG610" i="1"/>
  <c r="AF610" i="1"/>
  <c r="AD610" i="1"/>
  <c r="AC610" i="1"/>
  <c r="AA610" i="1"/>
  <c r="Z610" i="1"/>
  <c r="K610" i="1"/>
  <c r="L610" i="1" s="1"/>
  <c r="AH619" i="1" s="1"/>
  <c r="J610" i="1"/>
  <c r="AF619" i="1" s="1"/>
  <c r="H610" i="1"/>
  <c r="I610" i="1" s="1"/>
  <c r="G610" i="1"/>
  <c r="F610" i="1"/>
  <c r="N610" i="1" s="1"/>
  <c r="E610" i="1"/>
  <c r="AA619" i="1" s="1"/>
  <c r="AM609" i="1"/>
  <c r="AG609" i="1"/>
  <c r="AC609" i="1"/>
  <c r="AB609" i="1"/>
  <c r="AJ609" i="1" s="1"/>
  <c r="AA609" i="1"/>
  <c r="Z609" i="1"/>
  <c r="T609" i="1"/>
  <c r="U609" i="1" s="1"/>
  <c r="AQ618" i="1" s="1"/>
  <c r="K609" i="1"/>
  <c r="AG618" i="1" s="1"/>
  <c r="J609" i="1"/>
  <c r="L609" i="1" s="1"/>
  <c r="AH618" i="1" s="1"/>
  <c r="H609" i="1"/>
  <c r="AD618" i="1" s="1"/>
  <c r="G609" i="1"/>
  <c r="AC618" i="1" s="1"/>
  <c r="F609" i="1"/>
  <c r="N609" i="1" s="1"/>
  <c r="E609" i="1"/>
  <c r="AA618" i="1" s="1"/>
  <c r="AM608" i="1"/>
  <c r="AK608" i="1"/>
  <c r="AF608" i="1"/>
  <c r="Z608" i="1"/>
  <c r="K608" i="1"/>
  <c r="AG617" i="1" s="1"/>
  <c r="J608" i="1"/>
  <c r="AF617" i="1" s="1"/>
  <c r="H608" i="1"/>
  <c r="I608" i="1" s="1"/>
  <c r="G608" i="1"/>
  <c r="F608" i="1"/>
  <c r="AB617" i="1" s="1"/>
  <c r="E608" i="1"/>
  <c r="AA617" i="1" s="1"/>
  <c r="AM607" i="1"/>
  <c r="AK607" i="1"/>
  <c r="AA607" i="1"/>
  <c r="Z607" i="1"/>
  <c r="K607" i="1"/>
  <c r="L607" i="1" s="1"/>
  <c r="AH599" i="1" s="1"/>
  <c r="J607" i="1"/>
  <c r="H607" i="1"/>
  <c r="I607" i="1" s="1"/>
  <c r="G607" i="1"/>
  <c r="F607" i="1"/>
  <c r="T607" i="1" s="1"/>
  <c r="E607" i="1"/>
  <c r="AM606" i="1"/>
  <c r="AK606" i="1"/>
  <c r="AD606" i="1"/>
  <c r="Z606" i="1"/>
  <c r="Z612" i="1" s="1"/>
  <c r="K606" i="1"/>
  <c r="L606" i="1" s="1"/>
  <c r="AH598" i="1" s="1"/>
  <c r="J606" i="1"/>
  <c r="I606" i="1"/>
  <c r="H606" i="1"/>
  <c r="G606" i="1"/>
  <c r="F606" i="1"/>
  <c r="N606" i="1" s="1"/>
  <c r="E606" i="1"/>
  <c r="K605" i="1"/>
  <c r="L605" i="1" s="1"/>
  <c r="AH597" i="1" s="1"/>
  <c r="J605" i="1"/>
  <c r="I605" i="1"/>
  <c r="H605" i="1"/>
  <c r="G605" i="1"/>
  <c r="F605" i="1"/>
  <c r="N605" i="1" s="1"/>
  <c r="E605" i="1"/>
  <c r="K604" i="1"/>
  <c r="AG608" i="1" s="1"/>
  <c r="J604" i="1"/>
  <c r="L604" i="1" s="1"/>
  <c r="AH608" i="1" s="1"/>
  <c r="I604" i="1"/>
  <c r="H604" i="1"/>
  <c r="AD608" i="1" s="1"/>
  <c r="G604" i="1"/>
  <c r="AC608" i="1" s="1"/>
  <c r="F604" i="1"/>
  <c r="N604" i="1" s="1"/>
  <c r="E604" i="1"/>
  <c r="AA608" i="1" s="1"/>
  <c r="AF603" i="1"/>
  <c r="U603" i="1"/>
  <c r="AQ616" i="1" s="1"/>
  <c r="T603" i="1"/>
  <c r="AP616" i="1" s="1"/>
  <c r="K603" i="1"/>
  <c r="AG616" i="1" s="1"/>
  <c r="J603" i="1"/>
  <c r="L603" i="1" s="1"/>
  <c r="AH616" i="1" s="1"/>
  <c r="H603" i="1"/>
  <c r="AD616" i="1" s="1"/>
  <c r="G603" i="1"/>
  <c r="I603" i="1" s="1"/>
  <c r="F603" i="1"/>
  <c r="AB616" i="1" s="1"/>
  <c r="E603" i="1"/>
  <c r="AA616" i="1" s="1"/>
  <c r="AQ602" i="1"/>
  <c r="AP602" i="1"/>
  <c r="AM602" i="1"/>
  <c r="AK602" i="1"/>
  <c r="AG602" i="1"/>
  <c r="AF602" i="1"/>
  <c r="AC602" i="1"/>
  <c r="AB602" i="1"/>
  <c r="AJ602" i="1" s="1"/>
  <c r="AA602" i="1"/>
  <c r="Z602" i="1"/>
  <c r="N602" i="1"/>
  <c r="K602" i="1"/>
  <c r="AG607" i="1" s="1"/>
  <c r="J602" i="1"/>
  <c r="L602" i="1" s="1"/>
  <c r="AH607" i="1" s="1"/>
  <c r="H602" i="1"/>
  <c r="AD607" i="1" s="1"/>
  <c r="G602" i="1"/>
  <c r="I602" i="1" s="1"/>
  <c r="F602" i="1"/>
  <c r="E602" i="1"/>
  <c r="AM601" i="1"/>
  <c r="AK601" i="1"/>
  <c r="AF601" i="1"/>
  <c r="AD601" i="1"/>
  <c r="AC601" i="1"/>
  <c r="AB601" i="1"/>
  <c r="AJ601" i="1" s="1"/>
  <c r="AA601" i="1"/>
  <c r="Z601" i="1"/>
  <c r="K601" i="1"/>
  <c r="AG606" i="1" s="1"/>
  <c r="J601" i="1"/>
  <c r="L601" i="1" s="1"/>
  <c r="AH606" i="1" s="1"/>
  <c r="AH612" i="1" s="1"/>
  <c r="I601" i="1"/>
  <c r="H601" i="1"/>
  <c r="G601" i="1"/>
  <c r="AC606" i="1" s="1"/>
  <c r="F601" i="1"/>
  <c r="AB606" i="1" s="1"/>
  <c r="E601" i="1"/>
  <c r="AA606" i="1" s="1"/>
  <c r="AM600" i="1"/>
  <c r="AK600" i="1"/>
  <c r="AG600" i="1"/>
  <c r="AF600" i="1"/>
  <c r="AD600" i="1"/>
  <c r="AC600" i="1"/>
  <c r="AA600" i="1"/>
  <c r="Z600" i="1"/>
  <c r="L600" i="1"/>
  <c r="K600" i="1"/>
  <c r="J600" i="1"/>
  <c r="J618" i="1" s="1"/>
  <c r="I600" i="1"/>
  <c r="H600" i="1"/>
  <c r="G600" i="1"/>
  <c r="G618" i="1" s="1"/>
  <c r="F600" i="1"/>
  <c r="T600" i="1" s="1"/>
  <c r="E600" i="1"/>
  <c r="E618" i="1" s="1"/>
  <c r="AM599" i="1"/>
  <c r="AK599" i="1"/>
  <c r="AG599" i="1"/>
  <c r="AF599" i="1"/>
  <c r="AD599" i="1"/>
  <c r="AC599" i="1"/>
  <c r="AB599" i="1"/>
  <c r="AJ599" i="1" s="1"/>
  <c r="AA599" i="1"/>
  <c r="Z599" i="1"/>
  <c r="AM598" i="1"/>
  <c r="AG598" i="1"/>
  <c r="AF598" i="1"/>
  <c r="AD598" i="1"/>
  <c r="AC598" i="1"/>
  <c r="AB598" i="1"/>
  <c r="AJ598" i="1" s="1"/>
  <c r="AA598" i="1"/>
  <c r="Z598" i="1"/>
  <c r="AM597" i="1"/>
  <c r="AK597" i="1"/>
  <c r="AK603" i="1" s="1"/>
  <c r="AG597" i="1"/>
  <c r="AF597" i="1"/>
  <c r="AD597" i="1"/>
  <c r="AD603" i="1" s="1"/>
  <c r="AC597" i="1"/>
  <c r="AC603" i="1" s="1"/>
  <c r="AB597" i="1"/>
  <c r="AA597" i="1"/>
  <c r="AA603" i="1" s="1"/>
  <c r="Z597" i="1"/>
  <c r="Z603" i="1" s="1"/>
  <c r="AM593" i="1"/>
  <c r="AK593" i="1"/>
  <c r="AD593" i="1"/>
  <c r="Z593" i="1"/>
  <c r="AM592" i="1"/>
  <c r="AK592" i="1"/>
  <c r="AG592" i="1"/>
  <c r="Z592" i="1"/>
  <c r="AM591" i="1"/>
  <c r="AK591" i="1"/>
  <c r="AB591" i="1"/>
  <c r="AJ591" i="1" s="1"/>
  <c r="Z591" i="1"/>
  <c r="O591" i="1"/>
  <c r="D591" i="1"/>
  <c r="AM590" i="1"/>
  <c r="AK590" i="1"/>
  <c r="AG590" i="1"/>
  <c r="Z590" i="1"/>
  <c r="L590" i="1"/>
  <c r="AH575" i="1" s="1"/>
  <c r="K590" i="1"/>
  <c r="J590" i="1"/>
  <c r="H590" i="1"/>
  <c r="G590" i="1"/>
  <c r="I590" i="1" s="1"/>
  <c r="M590" i="1" s="1"/>
  <c r="F590" i="1"/>
  <c r="T590" i="1" s="1"/>
  <c r="E590" i="1"/>
  <c r="AM589" i="1"/>
  <c r="AK589" i="1"/>
  <c r="AB589" i="1"/>
  <c r="AJ589" i="1" s="1"/>
  <c r="Z589" i="1"/>
  <c r="K589" i="1"/>
  <c r="J589" i="1"/>
  <c r="L589" i="1" s="1"/>
  <c r="H589" i="1"/>
  <c r="G589" i="1"/>
  <c r="F589" i="1"/>
  <c r="N589" i="1" s="1"/>
  <c r="E589" i="1"/>
  <c r="AM588" i="1"/>
  <c r="AK588" i="1"/>
  <c r="AK594" i="1" s="1"/>
  <c r="Z588" i="1"/>
  <c r="Z594" i="1" s="1"/>
  <c r="T588" i="1"/>
  <c r="K588" i="1"/>
  <c r="J588" i="1"/>
  <c r="I588" i="1"/>
  <c r="H588" i="1"/>
  <c r="G588" i="1"/>
  <c r="F588" i="1"/>
  <c r="N588" i="1" s="1"/>
  <c r="E588" i="1"/>
  <c r="T587" i="1"/>
  <c r="K587" i="1"/>
  <c r="J587" i="1"/>
  <c r="H587" i="1"/>
  <c r="I587" i="1" s="1"/>
  <c r="AE583" i="1" s="1"/>
  <c r="G587" i="1"/>
  <c r="F587" i="1"/>
  <c r="N587" i="1" s="1"/>
  <c r="E587" i="1"/>
  <c r="T586" i="1"/>
  <c r="K586" i="1"/>
  <c r="J586" i="1"/>
  <c r="H586" i="1"/>
  <c r="I586" i="1" s="1"/>
  <c r="G586" i="1"/>
  <c r="F586" i="1"/>
  <c r="N586" i="1" s="1"/>
  <c r="AJ573" i="1" s="1"/>
  <c r="E586" i="1"/>
  <c r="L585" i="1"/>
  <c r="AH582" i="1" s="1"/>
  <c r="K585" i="1"/>
  <c r="J585" i="1"/>
  <c r="H585" i="1"/>
  <c r="G585" i="1"/>
  <c r="I585" i="1" s="1"/>
  <c r="F585" i="1"/>
  <c r="T585" i="1" s="1"/>
  <c r="E585" i="1"/>
  <c r="AM584" i="1"/>
  <c r="AK584" i="1"/>
  <c r="AG584" i="1"/>
  <c r="AE584" i="1"/>
  <c r="AD584" i="1"/>
  <c r="AC584" i="1"/>
  <c r="AB584" i="1"/>
  <c r="AJ584" i="1" s="1"/>
  <c r="AA584" i="1"/>
  <c r="Z584" i="1"/>
  <c r="K584" i="1"/>
  <c r="AG593" i="1" s="1"/>
  <c r="J584" i="1"/>
  <c r="L584" i="1" s="1"/>
  <c r="AH593" i="1" s="1"/>
  <c r="H584" i="1"/>
  <c r="G584" i="1"/>
  <c r="F584" i="1"/>
  <c r="N584" i="1" s="1"/>
  <c r="E584" i="1"/>
  <c r="AA593" i="1" s="1"/>
  <c r="AM583" i="1"/>
  <c r="AK583" i="1"/>
  <c r="AG583" i="1"/>
  <c r="AD583" i="1"/>
  <c r="AC583" i="1"/>
  <c r="AB583" i="1"/>
  <c r="AJ583" i="1" s="1"/>
  <c r="AA583" i="1"/>
  <c r="Z583" i="1"/>
  <c r="T583" i="1"/>
  <c r="K583" i="1"/>
  <c r="J583" i="1"/>
  <c r="H583" i="1"/>
  <c r="I583" i="1" s="1"/>
  <c r="G583" i="1"/>
  <c r="AC592" i="1" s="1"/>
  <c r="F583" i="1"/>
  <c r="N583" i="1" s="1"/>
  <c r="E583" i="1"/>
  <c r="AA592" i="1" s="1"/>
  <c r="AM582" i="1"/>
  <c r="AG582" i="1"/>
  <c r="AF582" i="1"/>
  <c r="AD582" i="1"/>
  <c r="AC582" i="1"/>
  <c r="AB582" i="1"/>
  <c r="AJ582" i="1" s="1"/>
  <c r="AA582" i="1"/>
  <c r="Z582" i="1"/>
  <c r="L582" i="1"/>
  <c r="AH591" i="1" s="1"/>
  <c r="K582" i="1"/>
  <c r="AG591" i="1" s="1"/>
  <c r="J582" i="1"/>
  <c r="AF591" i="1" s="1"/>
  <c r="H582" i="1"/>
  <c r="AD591" i="1" s="1"/>
  <c r="G582" i="1"/>
  <c r="I582" i="1" s="1"/>
  <c r="F582" i="1"/>
  <c r="T582" i="1" s="1"/>
  <c r="E582" i="1"/>
  <c r="AA591" i="1" s="1"/>
  <c r="AM581" i="1"/>
  <c r="AK581" i="1"/>
  <c r="AB581" i="1"/>
  <c r="Z581" i="1"/>
  <c r="T581" i="1"/>
  <c r="U581" i="1" s="1"/>
  <c r="AQ590" i="1" s="1"/>
  <c r="K581" i="1"/>
  <c r="J581" i="1"/>
  <c r="AF590" i="1" s="1"/>
  <c r="H581" i="1"/>
  <c r="AD590" i="1" s="1"/>
  <c r="G581" i="1"/>
  <c r="F581" i="1"/>
  <c r="N581" i="1" s="1"/>
  <c r="E581" i="1"/>
  <c r="AA590" i="1" s="1"/>
  <c r="AM580" i="1"/>
  <c r="AK580" i="1"/>
  <c r="Z580" i="1"/>
  <c r="T580" i="1"/>
  <c r="K580" i="1"/>
  <c r="J580" i="1"/>
  <c r="L580" i="1" s="1"/>
  <c r="I580" i="1"/>
  <c r="H580" i="1"/>
  <c r="G580" i="1"/>
  <c r="F580" i="1"/>
  <c r="N580" i="1" s="1"/>
  <c r="E580" i="1"/>
  <c r="AM579" i="1"/>
  <c r="AK579" i="1"/>
  <c r="AK585" i="1" s="1"/>
  <c r="Z579" i="1"/>
  <c r="Z585" i="1" s="1"/>
  <c r="K579" i="1"/>
  <c r="J579" i="1"/>
  <c r="L579" i="1" s="1"/>
  <c r="AH571" i="1" s="1"/>
  <c r="H579" i="1"/>
  <c r="I579" i="1" s="1"/>
  <c r="AE571" i="1" s="1"/>
  <c r="G579" i="1"/>
  <c r="F579" i="1"/>
  <c r="T579" i="1" s="1"/>
  <c r="E579" i="1"/>
  <c r="AA571" i="1" s="1"/>
  <c r="K578" i="1"/>
  <c r="J578" i="1"/>
  <c r="L578" i="1" s="1"/>
  <c r="AH570" i="1" s="1"/>
  <c r="H578" i="1"/>
  <c r="I578" i="1" s="1"/>
  <c r="AE570" i="1" s="1"/>
  <c r="G578" i="1"/>
  <c r="F578" i="1"/>
  <c r="T578" i="1" s="1"/>
  <c r="E578" i="1"/>
  <c r="AA570" i="1" s="1"/>
  <c r="M577" i="1"/>
  <c r="K577" i="1"/>
  <c r="AG581" i="1" s="1"/>
  <c r="J577" i="1"/>
  <c r="L577" i="1" s="1"/>
  <c r="AH581" i="1" s="1"/>
  <c r="H577" i="1"/>
  <c r="I577" i="1" s="1"/>
  <c r="AE581" i="1" s="1"/>
  <c r="G577" i="1"/>
  <c r="AC581" i="1" s="1"/>
  <c r="F577" i="1"/>
  <c r="T577" i="1" s="1"/>
  <c r="E577" i="1"/>
  <c r="AA581" i="1" s="1"/>
  <c r="AJ581" i="1" s="1"/>
  <c r="AB576" i="1"/>
  <c r="T576" i="1"/>
  <c r="AP589" i="1" s="1"/>
  <c r="K576" i="1"/>
  <c r="AG589" i="1" s="1"/>
  <c r="J576" i="1"/>
  <c r="L576" i="1" s="1"/>
  <c r="AH589" i="1" s="1"/>
  <c r="H576" i="1"/>
  <c r="AD589" i="1" s="1"/>
  <c r="G576" i="1"/>
  <c r="F576" i="1"/>
  <c r="N576" i="1" s="1"/>
  <c r="E576" i="1"/>
  <c r="AA589" i="1" s="1"/>
  <c r="AM575" i="1"/>
  <c r="AK575" i="1"/>
  <c r="AG575" i="1"/>
  <c r="AF575" i="1"/>
  <c r="AD575" i="1"/>
  <c r="AC575" i="1"/>
  <c r="AB575" i="1"/>
  <c r="AJ575" i="1" s="1"/>
  <c r="AA575" i="1"/>
  <c r="Z575" i="1"/>
  <c r="T575" i="1"/>
  <c r="K575" i="1"/>
  <c r="AG580" i="1" s="1"/>
  <c r="J575" i="1"/>
  <c r="H575" i="1"/>
  <c r="AD580" i="1" s="1"/>
  <c r="G575" i="1"/>
  <c r="I575" i="1" s="1"/>
  <c r="AE580" i="1" s="1"/>
  <c r="F575" i="1"/>
  <c r="AB580" i="1" s="1"/>
  <c r="AJ580" i="1" s="1"/>
  <c r="E575" i="1"/>
  <c r="AA580" i="1" s="1"/>
  <c r="AM574" i="1"/>
  <c r="AK574" i="1"/>
  <c r="AH574" i="1"/>
  <c r="AG574" i="1"/>
  <c r="AF574" i="1"/>
  <c r="AD574" i="1"/>
  <c r="AB574" i="1"/>
  <c r="AJ574" i="1" s="1"/>
  <c r="AA574" i="1"/>
  <c r="Z574" i="1"/>
  <c r="K574" i="1"/>
  <c r="AG579" i="1" s="1"/>
  <c r="AG585" i="1" s="1"/>
  <c r="J574" i="1"/>
  <c r="L574" i="1" s="1"/>
  <c r="AH579" i="1" s="1"/>
  <c r="H574" i="1"/>
  <c r="AD579" i="1" s="1"/>
  <c r="G574" i="1"/>
  <c r="AC579" i="1" s="1"/>
  <c r="F574" i="1"/>
  <c r="T574" i="1" s="1"/>
  <c r="U574" i="1" s="1"/>
  <c r="AQ579" i="1" s="1"/>
  <c r="E574" i="1"/>
  <c r="AA579" i="1" s="1"/>
  <c r="AM573" i="1"/>
  <c r="AK573" i="1"/>
  <c r="AG573" i="1"/>
  <c r="AD573" i="1"/>
  <c r="AC573" i="1"/>
  <c r="AB573" i="1"/>
  <c r="AA573" i="1"/>
  <c r="Z573" i="1"/>
  <c r="K573" i="1"/>
  <c r="K591" i="1" s="1"/>
  <c r="J573" i="1"/>
  <c r="L573" i="1" s="1"/>
  <c r="H573" i="1"/>
  <c r="G573" i="1"/>
  <c r="F573" i="1"/>
  <c r="F591" i="1" s="1"/>
  <c r="E573" i="1"/>
  <c r="AM572" i="1"/>
  <c r="AK572" i="1"/>
  <c r="AG572" i="1"/>
  <c r="AF572" i="1"/>
  <c r="AE572" i="1"/>
  <c r="AD572" i="1"/>
  <c r="AC572" i="1"/>
  <c r="AB572" i="1"/>
  <c r="AJ572" i="1" s="1"/>
  <c r="AA572" i="1"/>
  <c r="Z572" i="1"/>
  <c r="AM571" i="1"/>
  <c r="AG571" i="1"/>
  <c r="AF571" i="1"/>
  <c r="AD571" i="1"/>
  <c r="AC571" i="1"/>
  <c r="AB571" i="1"/>
  <c r="AJ571" i="1" s="1"/>
  <c r="Z571" i="1"/>
  <c r="AM570" i="1"/>
  <c r="AK570" i="1"/>
  <c r="AG570" i="1"/>
  <c r="AG576" i="1" s="1"/>
  <c r="AF570" i="1"/>
  <c r="AD570" i="1"/>
  <c r="AD576" i="1" s="1"/>
  <c r="AC570" i="1"/>
  <c r="AB570" i="1"/>
  <c r="AJ570" i="1" s="1"/>
  <c r="Z570" i="1"/>
  <c r="AM566" i="1"/>
  <c r="AK566" i="1"/>
  <c r="Z566" i="1"/>
  <c r="AM565" i="1"/>
  <c r="AK565" i="1"/>
  <c r="AC565" i="1"/>
  <c r="Z565" i="1"/>
  <c r="AM564" i="1"/>
  <c r="AK564" i="1"/>
  <c r="AF564" i="1"/>
  <c r="Z564" i="1"/>
  <c r="O564" i="1"/>
  <c r="D564" i="1"/>
  <c r="AM563" i="1"/>
  <c r="AK563" i="1"/>
  <c r="AC563" i="1"/>
  <c r="Z563" i="1"/>
  <c r="K563" i="1"/>
  <c r="J563" i="1"/>
  <c r="L563" i="1" s="1"/>
  <c r="AH548" i="1" s="1"/>
  <c r="H563" i="1"/>
  <c r="AD548" i="1" s="1"/>
  <c r="G563" i="1"/>
  <c r="F563" i="1"/>
  <c r="N563" i="1" s="1"/>
  <c r="E563" i="1"/>
  <c r="AM562" i="1"/>
  <c r="AK562" i="1"/>
  <c r="AF562" i="1"/>
  <c r="Z562" i="1"/>
  <c r="K562" i="1"/>
  <c r="AG547" i="1" s="1"/>
  <c r="J562" i="1"/>
  <c r="L562" i="1" s="1"/>
  <c r="AH547" i="1" s="1"/>
  <c r="H562" i="1"/>
  <c r="G562" i="1"/>
  <c r="I562" i="1" s="1"/>
  <c r="F562" i="1"/>
  <c r="T562" i="1" s="1"/>
  <c r="AP547" i="1" s="1"/>
  <c r="E562" i="1"/>
  <c r="AM561" i="1"/>
  <c r="AK561" i="1"/>
  <c r="AA561" i="1"/>
  <c r="Z561" i="1"/>
  <c r="Z567" i="1" s="1"/>
  <c r="K561" i="1"/>
  <c r="J561" i="1"/>
  <c r="L561" i="1" s="1"/>
  <c r="AH557" i="1" s="1"/>
  <c r="H561" i="1"/>
  <c r="I561" i="1" s="1"/>
  <c r="G561" i="1"/>
  <c r="F561" i="1"/>
  <c r="E561" i="1"/>
  <c r="N560" i="1"/>
  <c r="K560" i="1"/>
  <c r="J560" i="1"/>
  <c r="L560" i="1" s="1"/>
  <c r="AH556" i="1" s="1"/>
  <c r="H560" i="1"/>
  <c r="I560" i="1" s="1"/>
  <c r="G560" i="1"/>
  <c r="F560" i="1"/>
  <c r="E560" i="1"/>
  <c r="N559" i="1"/>
  <c r="AJ546" i="1" s="1"/>
  <c r="K559" i="1"/>
  <c r="J559" i="1"/>
  <c r="L559" i="1" s="1"/>
  <c r="AH546" i="1" s="1"/>
  <c r="H559" i="1"/>
  <c r="I559" i="1" s="1"/>
  <c r="G559" i="1"/>
  <c r="F559" i="1"/>
  <c r="E559" i="1"/>
  <c r="AK558" i="1"/>
  <c r="T558" i="1"/>
  <c r="U558" i="1" s="1"/>
  <c r="AQ555" i="1" s="1"/>
  <c r="K558" i="1"/>
  <c r="J558" i="1"/>
  <c r="L558" i="1" s="1"/>
  <c r="AH555" i="1" s="1"/>
  <c r="H558" i="1"/>
  <c r="AD555" i="1" s="1"/>
  <c r="G558" i="1"/>
  <c r="I558" i="1" s="1"/>
  <c r="F558" i="1"/>
  <c r="N558" i="1" s="1"/>
  <c r="E558" i="1"/>
  <c r="AM557" i="1"/>
  <c r="AK557" i="1"/>
  <c r="AG557" i="1"/>
  <c r="AF557" i="1"/>
  <c r="AD557" i="1"/>
  <c r="AC557" i="1"/>
  <c r="AA557" i="1"/>
  <c r="Z557" i="1"/>
  <c r="K557" i="1"/>
  <c r="AG566" i="1" s="1"/>
  <c r="J557" i="1"/>
  <c r="AF566" i="1" s="1"/>
  <c r="H557" i="1"/>
  <c r="AD566" i="1" s="1"/>
  <c r="G557" i="1"/>
  <c r="I557" i="1" s="1"/>
  <c r="F557" i="1"/>
  <c r="T557" i="1" s="1"/>
  <c r="U557" i="1" s="1"/>
  <c r="AQ566" i="1" s="1"/>
  <c r="E557" i="1"/>
  <c r="AA566" i="1" s="1"/>
  <c r="AM556" i="1"/>
  <c r="AK556" i="1"/>
  <c r="AG556" i="1"/>
  <c r="AF556" i="1"/>
  <c r="AD556" i="1"/>
  <c r="AC556" i="1"/>
  <c r="AA556" i="1"/>
  <c r="Z556" i="1"/>
  <c r="N556" i="1"/>
  <c r="K556" i="1"/>
  <c r="AG565" i="1" s="1"/>
  <c r="J556" i="1"/>
  <c r="L556" i="1" s="1"/>
  <c r="AH565" i="1" s="1"/>
  <c r="H556" i="1"/>
  <c r="I556" i="1" s="1"/>
  <c r="G556" i="1"/>
  <c r="F556" i="1"/>
  <c r="E556" i="1"/>
  <c r="AA565" i="1" s="1"/>
  <c r="AP555" i="1"/>
  <c r="AM555" i="1"/>
  <c r="AG555" i="1"/>
  <c r="AF555" i="1"/>
  <c r="AC555" i="1"/>
  <c r="AB555" i="1"/>
  <c r="AJ555" i="1" s="1"/>
  <c r="AA555" i="1"/>
  <c r="Z555" i="1"/>
  <c r="T555" i="1"/>
  <c r="U555" i="1" s="1"/>
  <c r="AQ564" i="1" s="1"/>
  <c r="K555" i="1"/>
  <c r="AG564" i="1" s="1"/>
  <c r="J555" i="1"/>
  <c r="L555" i="1" s="1"/>
  <c r="AH564" i="1" s="1"/>
  <c r="H555" i="1"/>
  <c r="AD564" i="1" s="1"/>
  <c r="G555" i="1"/>
  <c r="AC564" i="1" s="1"/>
  <c r="F555" i="1"/>
  <c r="N555" i="1" s="1"/>
  <c r="E555" i="1"/>
  <c r="AA564" i="1" s="1"/>
  <c r="AM554" i="1"/>
  <c r="AK554" i="1"/>
  <c r="AF554" i="1"/>
  <c r="Z554" i="1"/>
  <c r="K554" i="1"/>
  <c r="AG563" i="1" s="1"/>
  <c r="J554" i="1"/>
  <c r="AF563" i="1" s="1"/>
  <c r="H554" i="1"/>
  <c r="AD563" i="1" s="1"/>
  <c r="G554" i="1"/>
  <c r="I554" i="1" s="1"/>
  <c r="F554" i="1"/>
  <c r="AB563" i="1" s="1"/>
  <c r="E554" i="1"/>
  <c r="AA563" i="1" s="1"/>
  <c r="AM553" i="1"/>
  <c r="AK553" i="1"/>
  <c r="AA553" i="1"/>
  <c r="Z553" i="1"/>
  <c r="K553" i="1"/>
  <c r="J553" i="1"/>
  <c r="L553" i="1" s="1"/>
  <c r="AH545" i="1" s="1"/>
  <c r="H553" i="1"/>
  <c r="I553" i="1" s="1"/>
  <c r="G553" i="1"/>
  <c r="F553" i="1"/>
  <c r="T553" i="1" s="1"/>
  <c r="E553" i="1"/>
  <c r="AM552" i="1"/>
  <c r="AK552" i="1"/>
  <c r="AD552" i="1"/>
  <c r="AD558" i="1" s="1"/>
  <c r="Z552" i="1"/>
  <c r="Z558" i="1" s="1"/>
  <c r="K552" i="1"/>
  <c r="J552" i="1"/>
  <c r="L552" i="1" s="1"/>
  <c r="AH544" i="1" s="1"/>
  <c r="I552" i="1"/>
  <c r="H552" i="1"/>
  <c r="G552" i="1"/>
  <c r="F552" i="1"/>
  <c r="N552" i="1" s="1"/>
  <c r="E552" i="1"/>
  <c r="K551" i="1"/>
  <c r="J551" i="1"/>
  <c r="L551" i="1" s="1"/>
  <c r="AH543" i="1" s="1"/>
  <c r="I551" i="1"/>
  <c r="H551" i="1"/>
  <c r="G551" i="1"/>
  <c r="F551" i="1"/>
  <c r="N551" i="1" s="1"/>
  <c r="E551" i="1"/>
  <c r="K550" i="1"/>
  <c r="AG554" i="1" s="1"/>
  <c r="J550" i="1"/>
  <c r="L550" i="1" s="1"/>
  <c r="AH554" i="1" s="1"/>
  <c r="I550" i="1"/>
  <c r="H550" i="1"/>
  <c r="AD554" i="1" s="1"/>
  <c r="G550" i="1"/>
  <c r="AC554" i="1" s="1"/>
  <c r="F550" i="1"/>
  <c r="N550" i="1" s="1"/>
  <c r="E550" i="1"/>
  <c r="AA554" i="1" s="1"/>
  <c r="AF549" i="1"/>
  <c r="U549" i="1"/>
  <c r="AQ562" i="1" s="1"/>
  <c r="T549" i="1"/>
  <c r="AP562" i="1" s="1"/>
  <c r="K549" i="1"/>
  <c r="AG562" i="1" s="1"/>
  <c r="J549" i="1"/>
  <c r="L549" i="1" s="1"/>
  <c r="AH562" i="1" s="1"/>
  <c r="H549" i="1"/>
  <c r="AD562" i="1" s="1"/>
  <c r="G549" i="1"/>
  <c r="I549" i="1" s="1"/>
  <c r="F549" i="1"/>
  <c r="AB562" i="1" s="1"/>
  <c r="AJ562" i="1" s="1"/>
  <c r="E549" i="1"/>
  <c r="AA562" i="1" s="1"/>
  <c r="AM548" i="1"/>
  <c r="AK548" i="1"/>
  <c r="AG548" i="1"/>
  <c r="AF548" i="1"/>
  <c r="AC548" i="1"/>
  <c r="AB548" i="1"/>
  <c r="AA548" i="1"/>
  <c r="Z548" i="1"/>
  <c r="K548" i="1"/>
  <c r="AG553" i="1" s="1"/>
  <c r="J548" i="1"/>
  <c r="L548" i="1" s="1"/>
  <c r="AH553" i="1" s="1"/>
  <c r="H548" i="1"/>
  <c r="AD553" i="1" s="1"/>
  <c r="G548" i="1"/>
  <c r="I548" i="1" s="1"/>
  <c r="F548" i="1"/>
  <c r="N548" i="1" s="1"/>
  <c r="E548" i="1"/>
  <c r="AM547" i="1"/>
  <c r="AK547" i="1"/>
  <c r="AF547" i="1"/>
  <c r="AD547" i="1"/>
  <c r="AC547" i="1"/>
  <c r="AB547" i="1"/>
  <c r="AJ547" i="1" s="1"/>
  <c r="AA547" i="1"/>
  <c r="Z547" i="1"/>
  <c r="K547" i="1"/>
  <c r="AG552" i="1" s="1"/>
  <c r="AG558" i="1" s="1"/>
  <c r="J547" i="1"/>
  <c r="L547" i="1" s="1"/>
  <c r="AH552" i="1" s="1"/>
  <c r="AH558" i="1" s="1"/>
  <c r="I547" i="1"/>
  <c r="H547" i="1"/>
  <c r="G547" i="1"/>
  <c r="AC552" i="1" s="1"/>
  <c r="F547" i="1"/>
  <c r="AB552" i="1" s="1"/>
  <c r="E547" i="1"/>
  <c r="AA552" i="1" s="1"/>
  <c r="AM546" i="1"/>
  <c r="AK546" i="1"/>
  <c r="AG546" i="1"/>
  <c r="AF546" i="1"/>
  <c r="AD546" i="1"/>
  <c r="AC546" i="1"/>
  <c r="AA546" i="1"/>
  <c r="Z546" i="1"/>
  <c r="L546" i="1"/>
  <c r="AH561" i="1" s="1"/>
  <c r="K546" i="1"/>
  <c r="J546" i="1"/>
  <c r="J564" i="1" s="1"/>
  <c r="I546" i="1"/>
  <c r="H546" i="1"/>
  <c r="H564" i="1" s="1"/>
  <c r="G546" i="1"/>
  <c r="G564" i="1" s="1"/>
  <c r="F546" i="1"/>
  <c r="T546" i="1" s="1"/>
  <c r="E546" i="1"/>
  <c r="E564" i="1" s="1"/>
  <c r="AM545" i="1"/>
  <c r="AK545" i="1"/>
  <c r="AG545" i="1"/>
  <c r="AF545" i="1"/>
  <c r="AD545" i="1"/>
  <c r="AC545" i="1"/>
  <c r="AB545" i="1"/>
  <c r="AJ545" i="1" s="1"/>
  <c r="AA545" i="1"/>
  <c r="Z545" i="1"/>
  <c r="AM544" i="1"/>
  <c r="AG544" i="1"/>
  <c r="AF544" i="1"/>
  <c r="AD544" i="1"/>
  <c r="AC544" i="1"/>
  <c r="AB544" i="1"/>
  <c r="AJ544" i="1" s="1"/>
  <c r="AA544" i="1"/>
  <c r="Z544" i="1"/>
  <c r="AM543" i="1"/>
  <c r="AK543" i="1"/>
  <c r="AK549" i="1" s="1"/>
  <c r="AG543" i="1"/>
  <c r="AF543" i="1"/>
  <c r="AD543" i="1"/>
  <c r="AD549" i="1" s="1"/>
  <c r="AC543" i="1"/>
  <c r="AC549" i="1" s="1"/>
  <c r="AB543" i="1"/>
  <c r="AA543" i="1"/>
  <c r="Z543" i="1"/>
  <c r="Z549" i="1" s="1"/>
  <c r="AM539" i="1"/>
  <c r="AK539" i="1"/>
  <c r="AD539" i="1"/>
  <c r="Z539" i="1"/>
  <c r="AM538" i="1"/>
  <c r="AK538" i="1"/>
  <c r="AG538" i="1"/>
  <c r="Z538" i="1"/>
  <c r="AM537" i="1"/>
  <c r="AK537" i="1"/>
  <c r="AB537" i="1"/>
  <c r="Z537" i="1"/>
  <c r="O537" i="1"/>
  <c r="H537" i="1"/>
  <c r="D537" i="1"/>
  <c r="AM536" i="1"/>
  <c r="AK536" i="1"/>
  <c r="AG536" i="1"/>
  <c r="Z536" i="1"/>
  <c r="L536" i="1"/>
  <c r="AH521" i="1" s="1"/>
  <c r="K536" i="1"/>
  <c r="J536" i="1"/>
  <c r="H536" i="1"/>
  <c r="G536" i="1"/>
  <c r="I536" i="1" s="1"/>
  <c r="F536" i="1"/>
  <c r="T536" i="1" s="1"/>
  <c r="E536" i="1"/>
  <c r="AM535" i="1"/>
  <c r="AK535" i="1"/>
  <c r="AB535" i="1"/>
  <c r="Z535" i="1"/>
  <c r="K535" i="1"/>
  <c r="J535" i="1"/>
  <c r="L535" i="1" s="1"/>
  <c r="H535" i="1"/>
  <c r="G535" i="1"/>
  <c r="F535" i="1"/>
  <c r="N535" i="1" s="1"/>
  <c r="E535" i="1"/>
  <c r="AM534" i="1"/>
  <c r="AK534" i="1"/>
  <c r="AK540" i="1" s="1"/>
  <c r="Z534" i="1"/>
  <c r="Z540" i="1" s="1"/>
  <c r="T534" i="1"/>
  <c r="K534" i="1"/>
  <c r="J534" i="1"/>
  <c r="H534" i="1"/>
  <c r="I534" i="1" s="1"/>
  <c r="G534" i="1"/>
  <c r="F534" i="1"/>
  <c r="N534" i="1" s="1"/>
  <c r="E534" i="1"/>
  <c r="T533" i="1"/>
  <c r="K533" i="1"/>
  <c r="J533" i="1"/>
  <c r="H533" i="1"/>
  <c r="G533" i="1"/>
  <c r="I533" i="1" s="1"/>
  <c r="F533" i="1"/>
  <c r="N533" i="1" s="1"/>
  <c r="E533" i="1"/>
  <c r="T532" i="1"/>
  <c r="K532" i="1"/>
  <c r="J532" i="1"/>
  <c r="H532" i="1"/>
  <c r="G532" i="1"/>
  <c r="I532" i="1" s="1"/>
  <c r="F532" i="1"/>
  <c r="N532" i="1" s="1"/>
  <c r="AJ519" i="1" s="1"/>
  <c r="E532" i="1"/>
  <c r="L531" i="1"/>
  <c r="AH528" i="1" s="1"/>
  <c r="K531" i="1"/>
  <c r="J531" i="1"/>
  <c r="H531" i="1"/>
  <c r="G531" i="1"/>
  <c r="I531" i="1" s="1"/>
  <c r="F531" i="1"/>
  <c r="T531" i="1" s="1"/>
  <c r="U531" i="1" s="1"/>
  <c r="AQ528" i="1" s="1"/>
  <c r="E531" i="1"/>
  <c r="AM530" i="1"/>
  <c r="AK530" i="1"/>
  <c r="AG530" i="1"/>
  <c r="AD530" i="1"/>
  <c r="AC530" i="1"/>
  <c r="AB530" i="1"/>
  <c r="AJ530" i="1" s="1"/>
  <c r="AA530" i="1"/>
  <c r="Z530" i="1"/>
  <c r="K530" i="1"/>
  <c r="AG539" i="1" s="1"/>
  <c r="J530" i="1"/>
  <c r="L530" i="1" s="1"/>
  <c r="AH539" i="1" s="1"/>
  <c r="H530" i="1"/>
  <c r="G530" i="1"/>
  <c r="F530" i="1"/>
  <c r="N530" i="1" s="1"/>
  <c r="E530" i="1"/>
  <c r="AA539" i="1" s="1"/>
  <c r="AM529" i="1"/>
  <c r="AK529" i="1"/>
  <c r="AG529" i="1"/>
  <c r="AE529" i="1"/>
  <c r="AD529" i="1"/>
  <c r="AC529" i="1"/>
  <c r="AB529" i="1"/>
  <c r="AJ529" i="1" s="1"/>
  <c r="AA529" i="1"/>
  <c r="Z529" i="1"/>
  <c r="T529" i="1"/>
  <c r="K529" i="1"/>
  <c r="J529" i="1"/>
  <c r="H529" i="1"/>
  <c r="AD538" i="1" s="1"/>
  <c r="G529" i="1"/>
  <c r="I529" i="1" s="1"/>
  <c r="F529" i="1"/>
  <c r="N529" i="1" s="1"/>
  <c r="E529" i="1"/>
  <c r="AA538" i="1" s="1"/>
  <c r="AP528" i="1"/>
  <c r="AM528" i="1"/>
  <c r="AG528" i="1"/>
  <c r="AF528" i="1"/>
  <c r="AD528" i="1"/>
  <c r="AC528" i="1"/>
  <c r="AB528" i="1"/>
  <c r="AJ528" i="1" s="1"/>
  <c r="AA528" i="1"/>
  <c r="Z528" i="1"/>
  <c r="L528" i="1"/>
  <c r="AH537" i="1" s="1"/>
  <c r="K528" i="1"/>
  <c r="AG537" i="1" s="1"/>
  <c r="J528" i="1"/>
  <c r="AF537" i="1" s="1"/>
  <c r="H528" i="1"/>
  <c r="AD537" i="1" s="1"/>
  <c r="G528" i="1"/>
  <c r="I528" i="1" s="1"/>
  <c r="F528" i="1"/>
  <c r="T528" i="1" s="1"/>
  <c r="E528" i="1"/>
  <c r="AA537" i="1" s="1"/>
  <c r="AJ537" i="1" s="1"/>
  <c r="AM527" i="1"/>
  <c r="AK527" i="1"/>
  <c r="AB527" i="1"/>
  <c r="AJ527" i="1" s="1"/>
  <c r="Z527" i="1"/>
  <c r="K527" i="1"/>
  <c r="J527" i="1"/>
  <c r="AF536" i="1" s="1"/>
  <c r="H527" i="1"/>
  <c r="AD536" i="1" s="1"/>
  <c r="G527" i="1"/>
  <c r="F527" i="1"/>
  <c r="N527" i="1" s="1"/>
  <c r="E527" i="1"/>
  <c r="AA536" i="1" s="1"/>
  <c r="AM526" i="1"/>
  <c r="AK526" i="1"/>
  <c r="AE526" i="1"/>
  <c r="Z526" i="1"/>
  <c r="T526" i="1"/>
  <c r="K526" i="1"/>
  <c r="J526" i="1"/>
  <c r="L526" i="1" s="1"/>
  <c r="AH518" i="1" s="1"/>
  <c r="H526" i="1"/>
  <c r="I526" i="1" s="1"/>
  <c r="G526" i="1"/>
  <c r="F526" i="1"/>
  <c r="N526" i="1" s="1"/>
  <c r="E526" i="1"/>
  <c r="AP525" i="1"/>
  <c r="AM525" i="1"/>
  <c r="AK525" i="1"/>
  <c r="AK531" i="1" s="1"/>
  <c r="Z525" i="1"/>
  <c r="Z531" i="1" s="1"/>
  <c r="K525" i="1"/>
  <c r="J525" i="1"/>
  <c r="L525" i="1" s="1"/>
  <c r="I525" i="1"/>
  <c r="H525" i="1"/>
  <c r="G525" i="1"/>
  <c r="F525" i="1"/>
  <c r="T525" i="1" s="1"/>
  <c r="E525" i="1"/>
  <c r="AA517" i="1" s="1"/>
  <c r="K524" i="1"/>
  <c r="J524" i="1"/>
  <c r="L524" i="1" s="1"/>
  <c r="I524" i="1"/>
  <c r="H524" i="1"/>
  <c r="G524" i="1"/>
  <c r="F524" i="1"/>
  <c r="T524" i="1" s="1"/>
  <c r="E524" i="1"/>
  <c r="AA516" i="1" s="1"/>
  <c r="AA522" i="1" s="1"/>
  <c r="K523" i="1"/>
  <c r="AG527" i="1" s="1"/>
  <c r="J523" i="1"/>
  <c r="L523" i="1" s="1"/>
  <c r="AH527" i="1" s="1"/>
  <c r="H523" i="1"/>
  <c r="AD527" i="1" s="1"/>
  <c r="G523" i="1"/>
  <c r="I523" i="1" s="1"/>
  <c r="AE527" i="1" s="1"/>
  <c r="F523" i="1"/>
  <c r="T523" i="1" s="1"/>
  <c r="E523" i="1"/>
  <c r="AA527" i="1" s="1"/>
  <c r="AB522" i="1"/>
  <c r="AJ522" i="1" s="1"/>
  <c r="T522" i="1"/>
  <c r="AP535" i="1" s="1"/>
  <c r="K522" i="1"/>
  <c r="AG535" i="1" s="1"/>
  <c r="J522" i="1"/>
  <c r="L522" i="1" s="1"/>
  <c r="AH535" i="1" s="1"/>
  <c r="H522" i="1"/>
  <c r="AD535" i="1" s="1"/>
  <c r="G522" i="1"/>
  <c r="F522" i="1"/>
  <c r="N522" i="1" s="1"/>
  <c r="E522" i="1"/>
  <c r="AA535" i="1" s="1"/>
  <c r="AJ535" i="1" s="1"/>
  <c r="AM521" i="1"/>
  <c r="AK521" i="1"/>
  <c r="AG521" i="1"/>
  <c r="AF521" i="1"/>
  <c r="AE521" i="1"/>
  <c r="AD521" i="1"/>
  <c r="AC521" i="1"/>
  <c r="AB521" i="1"/>
  <c r="AJ521" i="1" s="1"/>
  <c r="AA521" i="1"/>
  <c r="Z521" i="1"/>
  <c r="T521" i="1"/>
  <c r="K521" i="1"/>
  <c r="AG526" i="1" s="1"/>
  <c r="AG531" i="1" s="1"/>
  <c r="J521" i="1"/>
  <c r="H521" i="1"/>
  <c r="AD526" i="1" s="1"/>
  <c r="G521" i="1"/>
  <c r="I521" i="1" s="1"/>
  <c r="F521" i="1"/>
  <c r="AB526" i="1" s="1"/>
  <c r="AJ526" i="1" s="1"/>
  <c r="E521" i="1"/>
  <c r="AA526" i="1" s="1"/>
  <c r="AM520" i="1"/>
  <c r="AK520" i="1"/>
  <c r="AH520" i="1"/>
  <c r="AG520" i="1"/>
  <c r="AF520" i="1"/>
  <c r="AD520" i="1"/>
  <c r="AB520" i="1"/>
  <c r="AJ520" i="1" s="1"/>
  <c r="AA520" i="1"/>
  <c r="Z520" i="1"/>
  <c r="K520" i="1"/>
  <c r="AG525" i="1" s="1"/>
  <c r="J520" i="1"/>
  <c r="L520" i="1" s="1"/>
  <c r="AH525" i="1" s="1"/>
  <c r="H520" i="1"/>
  <c r="AD525" i="1" s="1"/>
  <c r="AD531" i="1" s="1"/>
  <c r="G520" i="1"/>
  <c r="AC525" i="1" s="1"/>
  <c r="F520" i="1"/>
  <c r="T520" i="1" s="1"/>
  <c r="E520" i="1"/>
  <c r="AA525" i="1" s="1"/>
  <c r="AA531" i="1" s="1"/>
  <c r="AM519" i="1"/>
  <c r="AK519" i="1"/>
  <c r="AG519" i="1"/>
  <c r="AD519" i="1"/>
  <c r="AC519" i="1"/>
  <c r="AB519" i="1"/>
  <c r="AA519" i="1"/>
  <c r="Z519" i="1"/>
  <c r="K519" i="1"/>
  <c r="K537" i="1" s="1"/>
  <c r="J519" i="1"/>
  <c r="L519" i="1" s="1"/>
  <c r="H519" i="1"/>
  <c r="G519" i="1"/>
  <c r="G537" i="1" s="1"/>
  <c r="F519" i="1"/>
  <c r="F537" i="1" s="1"/>
  <c r="E519" i="1"/>
  <c r="AM518" i="1"/>
  <c r="AK518" i="1"/>
  <c r="AG518" i="1"/>
  <c r="AF518" i="1"/>
  <c r="AD518" i="1"/>
  <c r="AC518" i="1"/>
  <c r="AB518" i="1"/>
  <c r="AJ518" i="1" s="1"/>
  <c r="AA518" i="1"/>
  <c r="Z518" i="1"/>
  <c r="AM517" i="1"/>
  <c r="AG517" i="1"/>
  <c r="AF517" i="1"/>
  <c r="AE517" i="1"/>
  <c r="AD517" i="1"/>
  <c r="AC517" i="1"/>
  <c r="AB517" i="1"/>
  <c r="AJ517" i="1" s="1"/>
  <c r="Z517" i="1"/>
  <c r="AM516" i="1"/>
  <c r="AK516" i="1"/>
  <c r="AG516" i="1"/>
  <c r="AG522" i="1" s="1"/>
  <c r="AF516" i="1"/>
  <c r="AE516" i="1"/>
  <c r="AD516" i="1"/>
  <c r="AD522" i="1" s="1"/>
  <c r="AC516" i="1"/>
  <c r="AB516" i="1"/>
  <c r="AJ516" i="1" s="1"/>
  <c r="Z516" i="1"/>
  <c r="AM512" i="1"/>
  <c r="AK512" i="1"/>
  <c r="Z512" i="1"/>
  <c r="AM511" i="1"/>
  <c r="AK511" i="1"/>
  <c r="AC511" i="1"/>
  <c r="Z511" i="1"/>
  <c r="AM510" i="1"/>
  <c r="AK510" i="1"/>
  <c r="AF510" i="1"/>
  <c r="Z510" i="1"/>
  <c r="O510" i="1"/>
  <c r="D510" i="1"/>
  <c r="AM509" i="1"/>
  <c r="AK509" i="1"/>
  <c r="AC509" i="1"/>
  <c r="Z509" i="1"/>
  <c r="K509" i="1"/>
  <c r="J509" i="1"/>
  <c r="L509" i="1" s="1"/>
  <c r="AH494" i="1" s="1"/>
  <c r="H509" i="1"/>
  <c r="AD494" i="1" s="1"/>
  <c r="G509" i="1"/>
  <c r="F509" i="1"/>
  <c r="N509" i="1" s="1"/>
  <c r="E509" i="1"/>
  <c r="AM508" i="1"/>
  <c r="AK508" i="1"/>
  <c r="AF508" i="1"/>
  <c r="Z508" i="1"/>
  <c r="K508" i="1"/>
  <c r="AG493" i="1" s="1"/>
  <c r="J508" i="1"/>
  <c r="H508" i="1"/>
  <c r="I508" i="1" s="1"/>
  <c r="G508" i="1"/>
  <c r="F508" i="1"/>
  <c r="T508" i="1" s="1"/>
  <c r="AP493" i="1" s="1"/>
  <c r="E508" i="1"/>
  <c r="AM507" i="1"/>
  <c r="AK507" i="1"/>
  <c r="AK513" i="1" s="1"/>
  <c r="AA507" i="1"/>
  <c r="Z507" i="1"/>
  <c r="Z513" i="1" s="1"/>
  <c r="N507" i="1"/>
  <c r="K507" i="1"/>
  <c r="J507" i="1"/>
  <c r="L507" i="1" s="1"/>
  <c r="AH503" i="1" s="1"/>
  <c r="H507" i="1"/>
  <c r="I507" i="1" s="1"/>
  <c r="G507" i="1"/>
  <c r="F507" i="1"/>
  <c r="E507" i="1"/>
  <c r="K506" i="1"/>
  <c r="J506" i="1"/>
  <c r="L506" i="1" s="1"/>
  <c r="AH502" i="1" s="1"/>
  <c r="H506" i="1"/>
  <c r="I506" i="1" s="1"/>
  <c r="G506" i="1"/>
  <c r="F506" i="1"/>
  <c r="N506" i="1" s="1"/>
  <c r="E506" i="1"/>
  <c r="K505" i="1"/>
  <c r="J505" i="1"/>
  <c r="L505" i="1" s="1"/>
  <c r="AH492" i="1" s="1"/>
  <c r="H505" i="1"/>
  <c r="I505" i="1" s="1"/>
  <c r="G505" i="1"/>
  <c r="F505" i="1"/>
  <c r="N505" i="1" s="1"/>
  <c r="AJ492" i="1" s="1"/>
  <c r="E505" i="1"/>
  <c r="AK504" i="1"/>
  <c r="K504" i="1"/>
  <c r="J504" i="1"/>
  <c r="L504" i="1" s="1"/>
  <c r="AH501" i="1" s="1"/>
  <c r="H504" i="1"/>
  <c r="AD501" i="1" s="1"/>
  <c r="G504" i="1"/>
  <c r="F504" i="1"/>
  <c r="N504" i="1" s="1"/>
  <c r="E504" i="1"/>
  <c r="AM503" i="1"/>
  <c r="AK503" i="1"/>
  <c r="AG503" i="1"/>
  <c r="AF503" i="1"/>
  <c r="AD503" i="1"/>
  <c r="AC503" i="1"/>
  <c r="AA503" i="1"/>
  <c r="Z503" i="1"/>
  <c r="K503" i="1"/>
  <c r="AG512" i="1" s="1"/>
  <c r="J503" i="1"/>
  <c r="AF512" i="1" s="1"/>
  <c r="H503" i="1"/>
  <c r="AD512" i="1" s="1"/>
  <c r="G503" i="1"/>
  <c r="I503" i="1" s="1"/>
  <c r="F503" i="1"/>
  <c r="T503" i="1" s="1"/>
  <c r="U503" i="1" s="1"/>
  <c r="AQ512" i="1" s="1"/>
  <c r="E503" i="1"/>
  <c r="AA512" i="1" s="1"/>
  <c r="AM502" i="1"/>
  <c r="AK502" i="1"/>
  <c r="AG502" i="1"/>
  <c r="AF502" i="1"/>
  <c r="AD502" i="1"/>
  <c r="AC502" i="1"/>
  <c r="AA502" i="1"/>
  <c r="Z502" i="1"/>
  <c r="N502" i="1"/>
  <c r="K502" i="1"/>
  <c r="AG511" i="1" s="1"/>
  <c r="J502" i="1"/>
  <c r="L502" i="1" s="1"/>
  <c r="AH511" i="1" s="1"/>
  <c r="H502" i="1"/>
  <c r="I502" i="1" s="1"/>
  <c r="G502" i="1"/>
  <c r="F502" i="1"/>
  <c r="E502" i="1"/>
  <c r="AA511" i="1" s="1"/>
  <c r="AM501" i="1"/>
  <c r="AG501" i="1"/>
  <c r="AF501" i="1"/>
  <c r="AC501" i="1"/>
  <c r="AB501" i="1"/>
  <c r="AJ501" i="1" s="1"/>
  <c r="AA501" i="1"/>
  <c r="Z501" i="1"/>
  <c r="T501" i="1"/>
  <c r="U501" i="1" s="1"/>
  <c r="AQ510" i="1" s="1"/>
  <c r="K501" i="1"/>
  <c r="AG510" i="1" s="1"/>
  <c r="J501" i="1"/>
  <c r="L501" i="1" s="1"/>
  <c r="AH510" i="1" s="1"/>
  <c r="H501" i="1"/>
  <c r="AD510" i="1" s="1"/>
  <c r="G501" i="1"/>
  <c r="AC510" i="1" s="1"/>
  <c r="F501" i="1"/>
  <c r="N501" i="1" s="1"/>
  <c r="E501" i="1"/>
  <c r="AA510" i="1" s="1"/>
  <c r="AM500" i="1"/>
  <c r="AK500" i="1"/>
  <c r="AF500" i="1"/>
  <c r="Z500" i="1"/>
  <c r="K500" i="1"/>
  <c r="AG509" i="1" s="1"/>
  <c r="J500" i="1"/>
  <c r="AF509" i="1" s="1"/>
  <c r="H500" i="1"/>
  <c r="AD509" i="1" s="1"/>
  <c r="G500" i="1"/>
  <c r="I500" i="1" s="1"/>
  <c r="F500" i="1"/>
  <c r="AB509" i="1" s="1"/>
  <c r="E500" i="1"/>
  <c r="AA509" i="1" s="1"/>
  <c r="AM499" i="1"/>
  <c r="AK499" i="1"/>
  <c r="AA499" i="1"/>
  <c r="Z499" i="1"/>
  <c r="K499" i="1"/>
  <c r="J499" i="1"/>
  <c r="L499" i="1" s="1"/>
  <c r="AH491" i="1" s="1"/>
  <c r="H499" i="1"/>
  <c r="I499" i="1" s="1"/>
  <c r="G499" i="1"/>
  <c r="F499" i="1"/>
  <c r="T499" i="1" s="1"/>
  <c r="E499" i="1"/>
  <c r="AM498" i="1"/>
  <c r="AK498" i="1"/>
  <c r="AD498" i="1"/>
  <c r="Z498" i="1"/>
  <c r="Z504" i="1" s="1"/>
  <c r="K498" i="1"/>
  <c r="L498" i="1" s="1"/>
  <c r="AH490" i="1" s="1"/>
  <c r="J498" i="1"/>
  <c r="I498" i="1"/>
  <c r="H498" i="1"/>
  <c r="G498" i="1"/>
  <c r="F498" i="1"/>
  <c r="N498" i="1" s="1"/>
  <c r="E498" i="1"/>
  <c r="K497" i="1"/>
  <c r="L497" i="1" s="1"/>
  <c r="AH489" i="1" s="1"/>
  <c r="J497" i="1"/>
  <c r="I497" i="1"/>
  <c r="H497" i="1"/>
  <c r="G497" i="1"/>
  <c r="F497" i="1"/>
  <c r="N497" i="1" s="1"/>
  <c r="E497" i="1"/>
  <c r="K496" i="1"/>
  <c r="L496" i="1" s="1"/>
  <c r="AH500" i="1" s="1"/>
  <c r="J496" i="1"/>
  <c r="I496" i="1"/>
  <c r="H496" i="1"/>
  <c r="AD500" i="1" s="1"/>
  <c r="G496" i="1"/>
  <c r="AC500" i="1" s="1"/>
  <c r="F496" i="1"/>
  <c r="N496" i="1" s="1"/>
  <c r="E496" i="1"/>
  <c r="AA500" i="1" s="1"/>
  <c r="AF495" i="1"/>
  <c r="K495" i="1"/>
  <c r="AG508" i="1" s="1"/>
  <c r="J495" i="1"/>
  <c r="H495" i="1"/>
  <c r="AD508" i="1" s="1"/>
  <c r="G495" i="1"/>
  <c r="I495" i="1" s="1"/>
  <c r="F495" i="1"/>
  <c r="T495" i="1" s="1"/>
  <c r="AP508" i="1" s="1"/>
  <c r="E495" i="1"/>
  <c r="AA508" i="1" s="1"/>
  <c r="AM494" i="1"/>
  <c r="AK494" i="1"/>
  <c r="AG494" i="1"/>
  <c r="AF494" i="1"/>
  <c r="AC494" i="1"/>
  <c r="AB494" i="1"/>
  <c r="AJ494" i="1" s="1"/>
  <c r="AA494" i="1"/>
  <c r="Z494" i="1"/>
  <c r="N494" i="1"/>
  <c r="K494" i="1"/>
  <c r="AG499" i="1" s="1"/>
  <c r="J494" i="1"/>
  <c r="L494" i="1" s="1"/>
  <c r="AH499" i="1" s="1"/>
  <c r="H494" i="1"/>
  <c r="AD499" i="1" s="1"/>
  <c r="G494" i="1"/>
  <c r="I494" i="1" s="1"/>
  <c r="F494" i="1"/>
  <c r="E494" i="1"/>
  <c r="AM493" i="1"/>
  <c r="AK493" i="1"/>
  <c r="AF493" i="1"/>
  <c r="AD493" i="1"/>
  <c r="AC493" i="1"/>
  <c r="AB493" i="1"/>
  <c r="AJ493" i="1" s="1"/>
  <c r="AA493" i="1"/>
  <c r="Z493" i="1"/>
  <c r="K493" i="1"/>
  <c r="AG498" i="1" s="1"/>
  <c r="J493" i="1"/>
  <c r="L493" i="1" s="1"/>
  <c r="AH498" i="1" s="1"/>
  <c r="AH504" i="1" s="1"/>
  <c r="I493" i="1"/>
  <c r="H493" i="1"/>
  <c r="G493" i="1"/>
  <c r="AC498" i="1" s="1"/>
  <c r="F493" i="1"/>
  <c r="AB498" i="1" s="1"/>
  <c r="E493" i="1"/>
  <c r="AA498" i="1" s="1"/>
  <c r="AM492" i="1"/>
  <c r="AK492" i="1"/>
  <c r="AG492" i="1"/>
  <c r="AF492" i="1"/>
  <c r="AD492" i="1"/>
  <c r="AC492" i="1"/>
  <c r="AA492" i="1"/>
  <c r="Z492" i="1"/>
  <c r="L492" i="1"/>
  <c r="K492" i="1"/>
  <c r="J492" i="1"/>
  <c r="J510" i="1" s="1"/>
  <c r="H492" i="1"/>
  <c r="I492" i="1" s="1"/>
  <c r="G492" i="1"/>
  <c r="G510" i="1" s="1"/>
  <c r="F492" i="1"/>
  <c r="T492" i="1" s="1"/>
  <c r="E492" i="1"/>
  <c r="E510" i="1" s="1"/>
  <c r="AM491" i="1"/>
  <c r="AK491" i="1"/>
  <c r="AJ491" i="1"/>
  <c r="AG491" i="1"/>
  <c r="AF491" i="1"/>
  <c r="AD491" i="1"/>
  <c r="AC491" i="1"/>
  <c r="AB491" i="1"/>
  <c r="AA491" i="1"/>
  <c r="Z491" i="1"/>
  <c r="AM490" i="1"/>
  <c r="AG490" i="1"/>
  <c r="AF490" i="1"/>
  <c r="AD490" i="1"/>
  <c r="AC490" i="1"/>
  <c r="AB490" i="1"/>
  <c r="AJ490" i="1" s="1"/>
  <c r="AA490" i="1"/>
  <c r="Z490" i="1"/>
  <c r="AM489" i="1"/>
  <c r="AK489" i="1"/>
  <c r="AK495" i="1" s="1"/>
  <c r="AG489" i="1"/>
  <c r="AF489" i="1"/>
  <c r="AD489" i="1"/>
  <c r="AC489" i="1"/>
  <c r="AC495" i="1" s="1"/>
  <c r="AB489" i="1"/>
  <c r="AA489" i="1"/>
  <c r="AA495" i="1" s="1"/>
  <c r="Z489" i="1"/>
  <c r="Z495" i="1" s="1"/>
  <c r="AM485" i="1"/>
  <c r="AK485" i="1"/>
  <c r="AD485" i="1"/>
  <c r="Z485" i="1"/>
  <c r="AM484" i="1"/>
  <c r="AK484" i="1"/>
  <c r="AG484" i="1"/>
  <c r="Z484" i="1"/>
  <c r="AM483" i="1"/>
  <c r="AK483" i="1"/>
  <c r="AB483" i="1"/>
  <c r="AJ483" i="1" s="1"/>
  <c r="Z483" i="1"/>
  <c r="O483" i="1"/>
  <c r="D483" i="1"/>
  <c r="AM482" i="1"/>
  <c r="AK482" i="1"/>
  <c r="AG482" i="1"/>
  <c r="Z482" i="1"/>
  <c r="V482" i="1"/>
  <c r="L482" i="1"/>
  <c r="AH467" i="1" s="1"/>
  <c r="K482" i="1"/>
  <c r="J482" i="1"/>
  <c r="H482" i="1"/>
  <c r="G482" i="1"/>
  <c r="I482" i="1" s="1"/>
  <c r="M482" i="1" s="1"/>
  <c r="F482" i="1"/>
  <c r="T482" i="1" s="1"/>
  <c r="E482" i="1"/>
  <c r="AM481" i="1"/>
  <c r="AK481" i="1"/>
  <c r="AJ481" i="1"/>
  <c r="AB481" i="1"/>
  <c r="Z481" i="1"/>
  <c r="K481" i="1"/>
  <c r="J481" i="1"/>
  <c r="L481" i="1" s="1"/>
  <c r="AH466" i="1" s="1"/>
  <c r="H481" i="1"/>
  <c r="G481" i="1"/>
  <c r="F481" i="1"/>
  <c r="N481" i="1" s="1"/>
  <c r="E481" i="1"/>
  <c r="AM480" i="1"/>
  <c r="AK480" i="1"/>
  <c r="AK486" i="1" s="1"/>
  <c r="Z480" i="1"/>
  <c r="Z486" i="1" s="1"/>
  <c r="T480" i="1"/>
  <c r="K480" i="1"/>
  <c r="J480" i="1"/>
  <c r="H480" i="1"/>
  <c r="I480" i="1" s="1"/>
  <c r="G480" i="1"/>
  <c r="F480" i="1"/>
  <c r="N480" i="1" s="1"/>
  <c r="E480" i="1"/>
  <c r="T479" i="1"/>
  <c r="K479" i="1"/>
  <c r="J479" i="1"/>
  <c r="H479" i="1"/>
  <c r="G479" i="1"/>
  <c r="I479" i="1" s="1"/>
  <c r="F479" i="1"/>
  <c r="N479" i="1" s="1"/>
  <c r="E479" i="1"/>
  <c r="T478" i="1"/>
  <c r="K478" i="1"/>
  <c r="J478" i="1"/>
  <c r="H478" i="1"/>
  <c r="G478" i="1"/>
  <c r="I478" i="1" s="1"/>
  <c r="F478" i="1"/>
  <c r="N478" i="1" s="1"/>
  <c r="AJ465" i="1" s="1"/>
  <c r="E478" i="1"/>
  <c r="L477" i="1"/>
  <c r="AH474" i="1" s="1"/>
  <c r="K477" i="1"/>
  <c r="J477" i="1"/>
  <c r="H477" i="1"/>
  <c r="G477" i="1"/>
  <c r="I477" i="1" s="1"/>
  <c r="F477" i="1"/>
  <c r="T477" i="1" s="1"/>
  <c r="U477" i="1" s="1"/>
  <c r="AQ474" i="1" s="1"/>
  <c r="E477" i="1"/>
  <c r="AM476" i="1"/>
  <c r="AK476" i="1"/>
  <c r="AJ476" i="1"/>
  <c r="AG476" i="1"/>
  <c r="AD476" i="1"/>
  <c r="AC476" i="1"/>
  <c r="AB476" i="1"/>
  <c r="AA476" i="1"/>
  <c r="Z476" i="1"/>
  <c r="K476" i="1"/>
  <c r="AG485" i="1" s="1"/>
  <c r="J476" i="1"/>
  <c r="L476" i="1" s="1"/>
  <c r="AH485" i="1" s="1"/>
  <c r="H476" i="1"/>
  <c r="G476" i="1"/>
  <c r="F476" i="1"/>
  <c r="N476" i="1" s="1"/>
  <c r="E476" i="1"/>
  <c r="AA485" i="1" s="1"/>
  <c r="AM475" i="1"/>
  <c r="AK475" i="1"/>
  <c r="AG475" i="1"/>
  <c r="AE475" i="1"/>
  <c r="AD475" i="1"/>
  <c r="AC475" i="1"/>
  <c r="AB475" i="1"/>
  <c r="AJ475" i="1" s="1"/>
  <c r="AA475" i="1"/>
  <c r="Z475" i="1"/>
  <c r="T475" i="1"/>
  <c r="K475" i="1"/>
  <c r="J475" i="1"/>
  <c r="H475" i="1"/>
  <c r="AD484" i="1" s="1"/>
  <c r="G475" i="1"/>
  <c r="I475" i="1" s="1"/>
  <c r="F475" i="1"/>
  <c r="N475" i="1" s="1"/>
  <c r="E475" i="1"/>
  <c r="AA484" i="1" s="1"/>
  <c r="AM474" i="1"/>
  <c r="AG474" i="1"/>
  <c r="AF474" i="1"/>
  <c r="AD474" i="1"/>
  <c r="AC474" i="1"/>
  <c r="AB474" i="1"/>
  <c r="AJ474" i="1" s="1"/>
  <c r="AA474" i="1"/>
  <c r="Z474" i="1"/>
  <c r="L474" i="1"/>
  <c r="AH483" i="1" s="1"/>
  <c r="K474" i="1"/>
  <c r="AG483" i="1" s="1"/>
  <c r="J474" i="1"/>
  <c r="AF483" i="1" s="1"/>
  <c r="H474" i="1"/>
  <c r="AD483" i="1" s="1"/>
  <c r="G474" i="1"/>
  <c r="I474" i="1" s="1"/>
  <c r="F474" i="1"/>
  <c r="T474" i="1" s="1"/>
  <c r="E474" i="1"/>
  <c r="AA483" i="1" s="1"/>
  <c r="AM473" i="1"/>
  <c r="AK473" i="1"/>
  <c r="AB473" i="1"/>
  <c r="AJ473" i="1" s="1"/>
  <c r="Z473" i="1"/>
  <c r="K473" i="1"/>
  <c r="J473" i="1"/>
  <c r="AF482" i="1" s="1"/>
  <c r="H473" i="1"/>
  <c r="AD482" i="1" s="1"/>
  <c r="G473" i="1"/>
  <c r="F473" i="1"/>
  <c r="N473" i="1" s="1"/>
  <c r="E473" i="1"/>
  <c r="AA482" i="1" s="1"/>
  <c r="AM472" i="1"/>
  <c r="AK472" i="1"/>
  <c r="Z472" i="1"/>
  <c r="T472" i="1"/>
  <c r="K472" i="1"/>
  <c r="J472" i="1"/>
  <c r="L472" i="1" s="1"/>
  <c r="AH464" i="1" s="1"/>
  <c r="H472" i="1"/>
  <c r="I472" i="1" s="1"/>
  <c r="G472" i="1"/>
  <c r="F472" i="1"/>
  <c r="N472" i="1" s="1"/>
  <c r="E472" i="1"/>
  <c r="AP471" i="1"/>
  <c r="AM471" i="1"/>
  <c r="AK471" i="1"/>
  <c r="AK477" i="1" s="1"/>
  <c r="Z471" i="1"/>
  <c r="Z477" i="1" s="1"/>
  <c r="K471" i="1"/>
  <c r="L471" i="1" s="1"/>
  <c r="AH463" i="1" s="1"/>
  <c r="J471" i="1"/>
  <c r="H471" i="1"/>
  <c r="I471" i="1" s="1"/>
  <c r="AE463" i="1" s="1"/>
  <c r="G471" i="1"/>
  <c r="F471" i="1"/>
  <c r="T471" i="1" s="1"/>
  <c r="E471" i="1"/>
  <c r="AA463" i="1" s="1"/>
  <c r="K470" i="1"/>
  <c r="J470" i="1"/>
  <c r="L470" i="1" s="1"/>
  <c r="H470" i="1"/>
  <c r="I470" i="1" s="1"/>
  <c r="AE462" i="1" s="1"/>
  <c r="G470" i="1"/>
  <c r="F470" i="1"/>
  <c r="T470" i="1" s="1"/>
  <c r="E470" i="1"/>
  <c r="AA462" i="1" s="1"/>
  <c r="K469" i="1"/>
  <c r="AG473" i="1" s="1"/>
  <c r="J469" i="1"/>
  <c r="L469" i="1" s="1"/>
  <c r="AH473" i="1" s="1"/>
  <c r="H469" i="1"/>
  <c r="I469" i="1" s="1"/>
  <c r="G469" i="1"/>
  <c r="AC473" i="1" s="1"/>
  <c r="F469" i="1"/>
  <c r="T469" i="1" s="1"/>
  <c r="E469" i="1"/>
  <c r="AA473" i="1" s="1"/>
  <c r="AB468" i="1"/>
  <c r="K468" i="1"/>
  <c r="AG481" i="1" s="1"/>
  <c r="J468" i="1"/>
  <c r="L468" i="1" s="1"/>
  <c r="AH481" i="1" s="1"/>
  <c r="H468" i="1"/>
  <c r="AD481" i="1" s="1"/>
  <c r="G468" i="1"/>
  <c r="F468" i="1"/>
  <c r="N468" i="1" s="1"/>
  <c r="E468" i="1"/>
  <c r="AA481" i="1" s="1"/>
  <c r="AM467" i="1"/>
  <c r="AK467" i="1"/>
  <c r="AG467" i="1"/>
  <c r="AF467" i="1"/>
  <c r="AE467" i="1"/>
  <c r="AD467" i="1"/>
  <c r="AC467" i="1"/>
  <c r="AB467" i="1"/>
  <c r="AJ467" i="1" s="1"/>
  <c r="AA467" i="1"/>
  <c r="Z467" i="1"/>
  <c r="T467" i="1"/>
  <c r="K467" i="1"/>
  <c r="AG472" i="1" s="1"/>
  <c r="J467" i="1"/>
  <c r="H467" i="1"/>
  <c r="AD472" i="1" s="1"/>
  <c r="G467" i="1"/>
  <c r="I467" i="1" s="1"/>
  <c r="F467" i="1"/>
  <c r="AB472" i="1" s="1"/>
  <c r="E467" i="1"/>
  <c r="AA472" i="1" s="1"/>
  <c r="AM466" i="1"/>
  <c r="AK466" i="1"/>
  <c r="AG466" i="1"/>
  <c r="AF466" i="1"/>
  <c r="AD466" i="1"/>
  <c r="AB466" i="1"/>
  <c r="AJ466" i="1" s="1"/>
  <c r="AA466" i="1"/>
  <c r="Z466" i="1"/>
  <c r="K466" i="1"/>
  <c r="AG471" i="1" s="1"/>
  <c r="AG477" i="1" s="1"/>
  <c r="J466" i="1"/>
  <c r="L466" i="1" s="1"/>
  <c r="AH471" i="1" s="1"/>
  <c r="H466" i="1"/>
  <c r="AD471" i="1" s="1"/>
  <c r="G466" i="1"/>
  <c r="AC471" i="1" s="1"/>
  <c r="F466" i="1"/>
  <c r="T466" i="1" s="1"/>
  <c r="E466" i="1"/>
  <c r="AA471" i="1" s="1"/>
  <c r="AM465" i="1"/>
  <c r="AK465" i="1"/>
  <c r="AG465" i="1"/>
  <c r="AD465" i="1"/>
  <c r="AC465" i="1"/>
  <c r="AB465" i="1"/>
  <c r="AA465" i="1"/>
  <c r="Z465" i="1"/>
  <c r="K465" i="1"/>
  <c r="K483" i="1" s="1"/>
  <c r="J465" i="1"/>
  <c r="L465" i="1" s="1"/>
  <c r="H465" i="1"/>
  <c r="G465" i="1"/>
  <c r="F465" i="1"/>
  <c r="F483" i="1" s="1"/>
  <c r="E465" i="1"/>
  <c r="AM464" i="1"/>
  <c r="AK464" i="1"/>
  <c r="AG464" i="1"/>
  <c r="AF464" i="1"/>
  <c r="AD464" i="1"/>
  <c r="AC464" i="1"/>
  <c r="AB464" i="1"/>
  <c r="AJ464" i="1" s="1"/>
  <c r="AA464" i="1"/>
  <c r="Z464" i="1"/>
  <c r="AM463" i="1"/>
  <c r="AG463" i="1"/>
  <c r="AF463" i="1"/>
  <c r="AD463" i="1"/>
  <c r="AC463" i="1"/>
  <c r="AB463" i="1"/>
  <c r="Z463" i="1"/>
  <c r="AM462" i="1"/>
  <c r="AK462" i="1"/>
  <c r="AG462" i="1"/>
  <c r="AG468" i="1" s="1"/>
  <c r="AF462" i="1"/>
  <c r="AD462" i="1"/>
  <c r="AD468" i="1" s="1"/>
  <c r="AC462" i="1"/>
  <c r="AB462" i="1"/>
  <c r="AJ462" i="1" s="1"/>
  <c r="Z462" i="1"/>
  <c r="Z468" i="1" s="1"/>
  <c r="AP458" i="1"/>
  <c r="AM458" i="1"/>
  <c r="AK458" i="1"/>
  <c r="Z458" i="1"/>
  <c r="AM457" i="1"/>
  <c r="AK457" i="1"/>
  <c r="AC457" i="1"/>
  <c r="Z457" i="1"/>
  <c r="AM456" i="1"/>
  <c r="AK456" i="1"/>
  <c r="AF456" i="1"/>
  <c r="Z456" i="1"/>
  <c r="O456" i="1"/>
  <c r="D456" i="1"/>
  <c r="AM455" i="1"/>
  <c r="AK455" i="1"/>
  <c r="AC455" i="1"/>
  <c r="Z455" i="1"/>
  <c r="K455" i="1"/>
  <c r="J455" i="1"/>
  <c r="L455" i="1" s="1"/>
  <c r="AH440" i="1" s="1"/>
  <c r="H455" i="1"/>
  <c r="AD440" i="1" s="1"/>
  <c r="G455" i="1"/>
  <c r="I455" i="1" s="1"/>
  <c r="F455" i="1"/>
  <c r="N455" i="1" s="1"/>
  <c r="E455" i="1"/>
  <c r="AM454" i="1"/>
  <c r="AK454" i="1"/>
  <c r="AF454" i="1"/>
  <c r="Z454" i="1"/>
  <c r="K454" i="1"/>
  <c r="AG439" i="1" s="1"/>
  <c r="J454" i="1"/>
  <c r="H454" i="1"/>
  <c r="I454" i="1" s="1"/>
  <c r="G454" i="1"/>
  <c r="F454" i="1"/>
  <c r="T454" i="1" s="1"/>
  <c r="AP439" i="1" s="1"/>
  <c r="E454" i="1"/>
  <c r="AM453" i="1"/>
  <c r="AK453" i="1"/>
  <c r="AK459" i="1" s="1"/>
  <c r="AA453" i="1"/>
  <c r="Z453" i="1"/>
  <c r="Z459" i="1" s="1"/>
  <c r="N453" i="1"/>
  <c r="K453" i="1"/>
  <c r="L453" i="1" s="1"/>
  <c r="AH449" i="1" s="1"/>
  <c r="J453" i="1"/>
  <c r="H453" i="1"/>
  <c r="I453" i="1" s="1"/>
  <c r="G453" i="1"/>
  <c r="F453" i="1"/>
  <c r="E453" i="1"/>
  <c r="K452" i="1"/>
  <c r="J452" i="1"/>
  <c r="L452" i="1" s="1"/>
  <c r="AH448" i="1" s="1"/>
  <c r="H452" i="1"/>
  <c r="I452" i="1" s="1"/>
  <c r="G452" i="1"/>
  <c r="F452" i="1"/>
  <c r="E452" i="1"/>
  <c r="N451" i="1"/>
  <c r="AJ438" i="1" s="1"/>
  <c r="K451" i="1"/>
  <c r="J451" i="1"/>
  <c r="L451" i="1" s="1"/>
  <c r="AH438" i="1" s="1"/>
  <c r="H451" i="1"/>
  <c r="I451" i="1" s="1"/>
  <c r="G451" i="1"/>
  <c r="F451" i="1"/>
  <c r="E451" i="1"/>
  <c r="AK450" i="1"/>
  <c r="AC450" i="1"/>
  <c r="K450" i="1"/>
  <c r="J450" i="1"/>
  <c r="L450" i="1" s="1"/>
  <c r="AH447" i="1" s="1"/>
  <c r="H450" i="1"/>
  <c r="AD447" i="1" s="1"/>
  <c r="G450" i="1"/>
  <c r="I450" i="1" s="1"/>
  <c r="F450" i="1"/>
  <c r="N450" i="1" s="1"/>
  <c r="E450" i="1"/>
  <c r="AM449" i="1"/>
  <c r="AK449" i="1"/>
  <c r="AG449" i="1"/>
  <c r="AF449" i="1"/>
  <c r="AD449" i="1"/>
  <c r="AC449" i="1"/>
  <c r="AA449" i="1"/>
  <c r="Z449" i="1"/>
  <c r="K449" i="1"/>
  <c r="AG458" i="1" s="1"/>
  <c r="J449" i="1"/>
  <c r="AF458" i="1" s="1"/>
  <c r="H449" i="1"/>
  <c r="I449" i="1" s="1"/>
  <c r="G449" i="1"/>
  <c r="AC458" i="1" s="1"/>
  <c r="F449" i="1"/>
  <c r="T449" i="1" s="1"/>
  <c r="U449" i="1" s="1"/>
  <c r="AQ458" i="1" s="1"/>
  <c r="E449" i="1"/>
  <c r="AA458" i="1" s="1"/>
  <c r="AM448" i="1"/>
  <c r="AK448" i="1"/>
  <c r="AG448" i="1"/>
  <c r="AF448" i="1"/>
  <c r="AD448" i="1"/>
  <c r="AC448" i="1"/>
  <c r="AA448" i="1"/>
  <c r="Z448" i="1"/>
  <c r="N448" i="1"/>
  <c r="K448" i="1"/>
  <c r="AG457" i="1" s="1"/>
  <c r="J448" i="1"/>
  <c r="L448" i="1" s="1"/>
  <c r="AH457" i="1" s="1"/>
  <c r="H448" i="1"/>
  <c r="I448" i="1" s="1"/>
  <c r="G448" i="1"/>
  <c r="F448" i="1"/>
  <c r="E448" i="1"/>
  <c r="AA457" i="1" s="1"/>
  <c r="AM447" i="1"/>
  <c r="AG447" i="1"/>
  <c r="AF447" i="1"/>
  <c r="AC447" i="1"/>
  <c r="AB447" i="1"/>
  <c r="AJ447" i="1" s="1"/>
  <c r="AA447" i="1"/>
  <c r="Z447" i="1"/>
  <c r="T447" i="1"/>
  <c r="U447" i="1" s="1"/>
  <c r="AQ456" i="1" s="1"/>
  <c r="K447" i="1"/>
  <c r="AG456" i="1" s="1"/>
  <c r="J447" i="1"/>
  <c r="L447" i="1" s="1"/>
  <c r="AH456" i="1" s="1"/>
  <c r="H447" i="1"/>
  <c r="AD456" i="1" s="1"/>
  <c r="G447" i="1"/>
  <c r="AC456" i="1" s="1"/>
  <c r="F447" i="1"/>
  <c r="N447" i="1" s="1"/>
  <c r="E447" i="1"/>
  <c r="AA456" i="1" s="1"/>
  <c r="AM446" i="1"/>
  <c r="AK446" i="1"/>
  <c r="AF446" i="1"/>
  <c r="Z446" i="1"/>
  <c r="K446" i="1"/>
  <c r="AG455" i="1" s="1"/>
  <c r="J446" i="1"/>
  <c r="AF455" i="1" s="1"/>
  <c r="H446" i="1"/>
  <c r="I446" i="1" s="1"/>
  <c r="G446" i="1"/>
  <c r="F446" i="1"/>
  <c r="AB455" i="1" s="1"/>
  <c r="AJ455" i="1" s="1"/>
  <c r="E446" i="1"/>
  <c r="AA455" i="1" s="1"/>
  <c r="AM445" i="1"/>
  <c r="AK445" i="1"/>
  <c r="AA445" i="1"/>
  <c r="Z445" i="1"/>
  <c r="K445" i="1"/>
  <c r="L445" i="1" s="1"/>
  <c r="AH437" i="1" s="1"/>
  <c r="J445" i="1"/>
  <c r="H445" i="1"/>
  <c r="I445" i="1" s="1"/>
  <c r="G445" i="1"/>
  <c r="F445" i="1"/>
  <c r="E445" i="1"/>
  <c r="AM444" i="1"/>
  <c r="AK444" i="1"/>
  <c r="AD444" i="1"/>
  <c r="Z444" i="1"/>
  <c r="Z450" i="1" s="1"/>
  <c r="K444" i="1"/>
  <c r="L444" i="1" s="1"/>
  <c r="AH436" i="1" s="1"/>
  <c r="J444" i="1"/>
  <c r="I444" i="1"/>
  <c r="H444" i="1"/>
  <c r="G444" i="1"/>
  <c r="F444" i="1"/>
  <c r="N444" i="1" s="1"/>
  <c r="E444" i="1"/>
  <c r="K443" i="1"/>
  <c r="L443" i="1" s="1"/>
  <c r="AH435" i="1" s="1"/>
  <c r="J443" i="1"/>
  <c r="I443" i="1"/>
  <c r="H443" i="1"/>
  <c r="G443" i="1"/>
  <c r="F443" i="1"/>
  <c r="N443" i="1" s="1"/>
  <c r="E443" i="1"/>
  <c r="K442" i="1"/>
  <c r="L442" i="1" s="1"/>
  <c r="AH446" i="1" s="1"/>
  <c r="J442" i="1"/>
  <c r="I442" i="1"/>
  <c r="H442" i="1"/>
  <c r="AD446" i="1" s="1"/>
  <c r="G442" i="1"/>
  <c r="AC446" i="1" s="1"/>
  <c r="F442" i="1"/>
  <c r="N442" i="1" s="1"/>
  <c r="E442" i="1"/>
  <c r="AA446" i="1" s="1"/>
  <c r="AF441" i="1"/>
  <c r="K441" i="1"/>
  <c r="AG454" i="1" s="1"/>
  <c r="J441" i="1"/>
  <c r="H441" i="1"/>
  <c r="AD454" i="1" s="1"/>
  <c r="G441" i="1"/>
  <c r="AC454" i="1" s="1"/>
  <c r="F441" i="1"/>
  <c r="T441" i="1" s="1"/>
  <c r="AP454" i="1" s="1"/>
  <c r="E441" i="1"/>
  <c r="AA454" i="1" s="1"/>
  <c r="AM440" i="1"/>
  <c r="AK440" i="1"/>
  <c r="AG440" i="1"/>
  <c r="AF440" i="1"/>
  <c r="AC440" i="1"/>
  <c r="AB440" i="1"/>
  <c r="AA440" i="1"/>
  <c r="Z440" i="1"/>
  <c r="N440" i="1"/>
  <c r="K440" i="1"/>
  <c r="AG445" i="1" s="1"/>
  <c r="J440" i="1"/>
  <c r="AF445" i="1" s="1"/>
  <c r="H440" i="1"/>
  <c r="AD445" i="1" s="1"/>
  <c r="G440" i="1"/>
  <c r="AC445" i="1" s="1"/>
  <c r="F440" i="1"/>
  <c r="E440" i="1"/>
  <c r="AM439" i="1"/>
  <c r="AK439" i="1"/>
  <c r="AF439" i="1"/>
  <c r="AD439" i="1"/>
  <c r="AC439" i="1"/>
  <c r="AB439" i="1"/>
  <c r="AJ439" i="1" s="1"/>
  <c r="AA439" i="1"/>
  <c r="Z439" i="1"/>
  <c r="K439" i="1"/>
  <c r="AG444" i="1" s="1"/>
  <c r="J439" i="1"/>
  <c r="AF444" i="1" s="1"/>
  <c r="AF450" i="1" s="1"/>
  <c r="I439" i="1"/>
  <c r="H439" i="1"/>
  <c r="G439" i="1"/>
  <c r="AC444" i="1" s="1"/>
  <c r="F439" i="1"/>
  <c r="AB444" i="1" s="1"/>
  <c r="E439" i="1"/>
  <c r="AA444" i="1" s="1"/>
  <c r="AM438" i="1"/>
  <c r="AK438" i="1"/>
  <c r="AG438" i="1"/>
  <c r="AF438" i="1"/>
  <c r="AD438" i="1"/>
  <c r="AC438" i="1"/>
  <c r="AA438" i="1"/>
  <c r="Z438" i="1"/>
  <c r="L438" i="1"/>
  <c r="AH453" i="1" s="1"/>
  <c r="K438" i="1"/>
  <c r="J438" i="1"/>
  <c r="J456" i="1" s="1"/>
  <c r="I438" i="1"/>
  <c r="H438" i="1"/>
  <c r="H456" i="1" s="1"/>
  <c r="G438" i="1"/>
  <c r="G456" i="1" s="1"/>
  <c r="F438" i="1"/>
  <c r="T438" i="1" s="1"/>
  <c r="E438" i="1"/>
  <c r="E456" i="1" s="1"/>
  <c r="AM437" i="1"/>
  <c r="AK437" i="1"/>
  <c r="AG437" i="1"/>
  <c r="AF437" i="1"/>
  <c r="AD437" i="1"/>
  <c r="AC437" i="1"/>
  <c r="AA437" i="1"/>
  <c r="Z437" i="1"/>
  <c r="AM436" i="1"/>
  <c r="AG436" i="1"/>
  <c r="AF436" i="1"/>
  <c r="AD436" i="1"/>
  <c r="AC436" i="1"/>
  <c r="AB436" i="1"/>
  <c r="AJ436" i="1" s="1"/>
  <c r="AA436" i="1"/>
  <c r="Z436" i="1"/>
  <c r="AM435" i="1"/>
  <c r="AK435" i="1"/>
  <c r="AK441" i="1" s="1"/>
  <c r="AG435" i="1"/>
  <c r="AG441" i="1" s="1"/>
  <c r="AF435" i="1"/>
  <c r="AD435" i="1"/>
  <c r="AC435" i="1"/>
  <c r="AC441" i="1" s="1"/>
  <c r="AB435" i="1"/>
  <c r="AA435" i="1"/>
  <c r="Z435" i="1"/>
  <c r="Z441" i="1" s="1"/>
  <c r="AM431" i="1"/>
  <c r="AK431" i="1"/>
  <c r="AD431" i="1"/>
  <c r="Z431" i="1"/>
  <c r="AM430" i="1"/>
  <c r="AK430" i="1"/>
  <c r="AA430" i="1"/>
  <c r="Z430" i="1"/>
  <c r="AP429" i="1"/>
  <c r="AM429" i="1"/>
  <c r="AK429" i="1"/>
  <c r="AC429" i="1"/>
  <c r="AA429" i="1"/>
  <c r="Z429" i="1"/>
  <c r="O429" i="1"/>
  <c r="D429" i="1"/>
  <c r="AM428" i="1"/>
  <c r="AK428" i="1"/>
  <c r="AF428" i="1"/>
  <c r="AD428" i="1"/>
  <c r="AC428" i="1"/>
  <c r="Z428" i="1"/>
  <c r="K428" i="1"/>
  <c r="AG413" i="1" s="1"/>
  <c r="J428" i="1"/>
  <c r="I428" i="1"/>
  <c r="H428" i="1"/>
  <c r="G428" i="1"/>
  <c r="F428" i="1"/>
  <c r="T428" i="1" s="1"/>
  <c r="AP413" i="1" s="1"/>
  <c r="E428" i="1"/>
  <c r="AM427" i="1"/>
  <c r="AK427" i="1"/>
  <c r="AG427" i="1"/>
  <c r="AF427" i="1"/>
  <c r="AA427" i="1"/>
  <c r="Z427" i="1"/>
  <c r="L427" i="1"/>
  <c r="AH412" i="1" s="1"/>
  <c r="K427" i="1"/>
  <c r="J427" i="1"/>
  <c r="H427" i="1"/>
  <c r="I427" i="1" s="1"/>
  <c r="G427" i="1"/>
  <c r="F427" i="1"/>
  <c r="N427" i="1" s="1"/>
  <c r="E427" i="1"/>
  <c r="AM426" i="1"/>
  <c r="AK426" i="1"/>
  <c r="AD426" i="1"/>
  <c r="AD432" i="1" s="1"/>
  <c r="AB426" i="1"/>
  <c r="Z426" i="1"/>
  <c r="K426" i="1"/>
  <c r="L426" i="1" s="1"/>
  <c r="AH422" i="1" s="1"/>
  <c r="J426" i="1"/>
  <c r="I426" i="1"/>
  <c r="H426" i="1"/>
  <c r="G426" i="1"/>
  <c r="AC422" i="1" s="1"/>
  <c r="F426" i="1"/>
  <c r="N426" i="1" s="1"/>
  <c r="E426" i="1"/>
  <c r="K425" i="1"/>
  <c r="L425" i="1" s="1"/>
  <c r="AH421" i="1" s="1"/>
  <c r="J425" i="1"/>
  <c r="I425" i="1"/>
  <c r="H425" i="1"/>
  <c r="G425" i="1"/>
  <c r="AC421" i="1" s="1"/>
  <c r="F425" i="1"/>
  <c r="N425" i="1" s="1"/>
  <c r="E425" i="1"/>
  <c r="K424" i="1"/>
  <c r="L424" i="1" s="1"/>
  <c r="AH411" i="1" s="1"/>
  <c r="J424" i="1"/>
  <c r="I424" i="1"/>
  <c r="H424" i="1"/>
  <c r="G424" i="1"/>
  <c r="AC411" i="1" s="1"/>
  <c r="F424" i="1"/>
  <c r="N424" i="1" s="1"/>
  <c r="E424" i="1"/>
  <c r="AK423" i="1"/>
  <c r="U423" i="1"/>
  <c r="AQ420" i="1" s="1"/>
  <c r="K423" i="1"/>
  <c r="AG420" i="1" s="1"/>
  <c r="J423" i="1"/>
  <c r="L423" i="1" s="1"/>
  <c r="AH420" i="1" s="1"/>
  <c r="I423" i="1"/>
  <c r="AE420" i="1" s="1"/>
  <c r="H423" i="1"/>
  <c r="G423" i="1"/>
  <c r="F423" i="1"/>
  <c r="T423" i="1" s="1"/>
  <c r="AP420" i="1" s="1"/>
  <c r="E423" i="1"/>
  <c r="AA420" i="1" s="1"/>
  <c r="AM422" i="1"/>
  <c r="AK422" i="1"/>
  <c r="AG422" i="1"/>
  <c r="AF422" i="1"/>
  <c r="AD422" i="1"/>
  <c r="AA422" i="1"/>
  <c r="Z422" i="1"/>
  <c r="L422" i="1"/>
  <c r="AH431" i="1" s="1"/>
  <c r="K422" i="1"/>
  <c r="AG431" i="1" s="1"/>
  <c r="J422" i="1"/>
  <c r="AF431" i="1" s="1"/>
  <c r="H422" i="1"/>
  <c r="I422" i="1" s="1"/>
  <c r="G422" i="1"/>
  <c r="AC431" i="1" s="1"/>
  <c r="F422" i="1"/>
  <c r="N422" i="1" s="1"/>
  <c r="E422" i="1"/>
  <c r="AA431" i="1" s="1"/>
  <c r="AM421" i="1"/>
  <c r="AK421" i="1"/>
  <c r="AF421" i="1"/>
  <c r="AD421" i="1"/>
  <c r="AB421" i="1"/>
  <c r="AJ421" i="1" s="1"/>
  <c r="AA421" i="1"/>
  <c r="Z421" i="1"/>
  <c r="K421" i="1"/>
  <c r="L421" i="1" s="1"/>
  <c r="AH430" i="1" s="1"/>
  <c r="J421" i="1"/>
  <c r="AF430" i="1" s="1"/>
  <c r="I421" i="1"/>
  <c r="H421" i="1"/>
  <c r="AD430" i="1" s="1"/>
  <c r="G421" i="1"/>
  <c r="AC430" i="1" s="1"/>
  <c r="F421" i="1"/>
  <c r="AB430" i="1" s="1"/>
  <c r="E421" i="1"/>
  <c r="AM420" i="1"/>
  <c r="AF420" i="1"/>
  <c r="AD420" i="1"/>
  <c r="AC420" i="1"/>
  <c r="Z420" i="1"/>
  <c r="Z423" i="1" s="1"/>
  <c r="U420" i="1"/>
  <c r="AQ429" i="1" s="1"/>
  <c r="T420" i="1"/>
  <c r="K420" i="1"/>
  <c r="AG429" i="1" s="1"/>
  <c r="J420" i="1"/>
  <c r="AF429" i="1" s="1"/>
  <c r="I420" i="1"/>
  <c r="AE429" i="1" s="1"/>
  <c r="H420" i="1"/>
  <c r="AD429" i="1" s="1"/>
  <c r="G420" i="1"/>
  <c r="F420" i="1"/>
  <c r="N420" i="1" s="1"/>
  <c r="E420" i="1"/>
  <c r="AM419" i="1"/>
  <c r="AK419" i="1"/>
  <c r="AG419" i="1"/>
  <c r="AD419" i="1"/>
  <c r="AC419" i="1"/>
  <c r="AA419" i="1"/>
  <c r="Z419" i="1"/>
  <c r="L419" i="1"/>
  <c r="AH428" i="1" s="1"/>
  <c r="K419" i="1"/>
  <c r="AG428" i="1" s="1"/>
  <c r="J419" i="1"/>
  <c r="H419" i="1"/>
  <c r="I419" i="1" s="1"/>
  <c r="G419" i="1"/>
  <c r="F419" i="1"/>
  <c r="N419" i="1" s="1"/>
  <c r="E419" i="1"/>
  <c r="AA428" i="1" s="1"/>
  <c r="AM418" i="1"/>
  <c r="AK418" i="1"/>
  <c r="AF418" i="1"/>
  <c r="AD418" i="1"/>
  <c r="AD423" i="1" s="1"/>
  <c r="AB418" i="1"/>
  <c r="AJ418" i="1" s="1"/>
  <c r="AA418" i="1"/>
  <c r="Z418" i="1"/>
  <c r="K418" i="1"/>
  <c r="L418" i="1" s="1"/>
  <c r="AH410" i="1" s="1"/>
  <c r="J418" i="1"/>
  <c r="I418" i="1"/>
  <c r="H418" i="1"/>
  <c r="G418" i="1"/>
  <c r="F418" i="1"/>
  <c r="N418" i="1" s="1"/>
  <c r="E418" i="1"/>
  <c r="AM417" i="1"/>
  <c r="AK417" i="1"/>
  <c r="AG417" i="1"/>
  <c r="AE417" i="1"/>
  <c r="AD417" i="1"/>
  <c r="AA417" i="1"/>
  <c r="AA423" i="1" s="1"/>
  <c r="Z417" i="1"/>
  <c r="T417" i="1"/>
  <c r="U417" i="1" s="1"/>
  <c r="AQ409" i="1" s="1"/>
  <c r="L417" i="1"/>
  <c r="AH409" i="1" s="1"/>
  <c r="K417" i="1"/>
  <c r="J417" i="1"/>
  <c r="AF409" i="1" s="1"/>
  <c r="I417" i="1"/>
  <c r="H417" i="1"/>
  <c r="G417" i="1"/>
  <c r="F417" i="1"/>
  <c r="AB409" i="1" s="1"/>
  <c r="AJ409" i="1" s="1"/>
  <c r="E417" i="1"/>
  <c r="T416" i="1"/>
  <c r="U416" i="1" s="1"/>
  <c r="AQ408" i="1" s="1"/>
  <c r="L416" i="1"/>
  <c r="AH408" i="1" s="1"/>
  <c r="K416" i="1"/>
  <c r="J416" i="1"/>
  <c r="AF408" i="1" s="1"/>
  <c r="I416" i="1"/>
  <c r="AE408" i="1" s="1"/>
  <c r="H416" i="1"/>
  <c r="G416" i="1"/>
  <c r="F416" i="1"/>
  <c r="N416" i="1" s="1"/>
  <c r="E416" i="1"/>
  <c r="T415" i="1"/>
  <c r="AP419" i="1" s="1"/>
  <c r="L415" i="1"/>
  <c r="AH419" i="1" s="1"/>
  <c r="K415" i="1"/>
  <c r="J415" i="1"/>
  <c r="AF419" i="1" s="1"/>
  <c r="I415" i="1"/>
  <c r="AE419" i="1" s="1"/>
  <c r="H415" i="1"/>
  <c r="G415" i="1"/>
  <c r="F415" i="1"/>
  <c r="N415" i="1" s="1"/>
  <c r="E415" i="1"/>
  <c r="AA414" i="1"/>
  <c r="N414" i="1"/>
  <c r="L414" i="1"/>
  <c r="AH427" i="1" s="1"/>
  <c r="K414" i="1"/>
  <c r="J414" i="1"/>
  <c r="H414" i="1"/>
  <c r="AD427" i="1" s="1"/>
  <c r="G414" i="1"/>
  <c r="AC427" i="1" s="1"/>
  <c r="F414" i="1"/>
  <c r="E414" i="1"/>
  <c r="AM413" i="1"/>
  <c r="AK413" i="1"/>
  <c r="AF413" i="1"/>
  <c r="AD413" i="1"/>
  <c r="AC413" i="1"/>
  <c r="AB413" i="1"/>
  <c r="AJ413" i="1" s="1"/>
  <c r="AA413" i="1"/>
  <c r="Z413" i="1"/>
  <c r="K413" i="1"/>
  <c r="AG418" i="1" s="1"/>
  <c r="J413" i="1"/>
  <c r="I413" i="1"/>
  <c r="H413" i="1"/>
  <c r="G413" i="1"/>
  <c r="AC418" i="1" s="1"/>
  <c r="F413" i="1"/>
  <c r="N413" i="1" s="1"/>
  <c r="E413" i="1"/>
  <c r="AM412" i="1"/>
  <c r="AK412" i="1"/>
  <c r="AG412" i="1"/>
  <c r="AF412" i="1"/>
  <c r="AD412" i="1"/>
  <c r="AC412" i="1"/>
  <c r="AA412" i="1"/>
  <c r="Z412" i="1"/>
  <c r="T412" i="1"/>
  <c r="U412" i="1" s="1"/>
  <c r="AQ417" i="1" s="1"/>
  <c r="L412" i="1"/>
  <c r="AH417" i="1" s="1"/>
  <c r="K412" i="1"/>
  <c r="J412" i="1"/>
  <c r="AF417" i="1" s="1"/>
  <c r="AF423" i="1" s="1"/>
  <c r="I412" i="1"/>
  <c r="H412" i="1"/>
  <c r="G412" i="1"/>
  <c r="AC417" i="1" s="1"/>
  <c r="F412" i="1"/>
  <c r="AB417" i="1" s="1"/>
  <c r="E412" i="1"/>
  <c r="AM411" i="1"/>
  <c r="AK411" i="1"/>
  <c r="AJ411" i="1"/>
  <c r="AG411" i="1"/>
  <c r="AF411" i="1"/>
  <c r="AD411" i="1"/>
  <c r="AB411" i="1"/>
  <c r="AA411" i="1"/>
  <c r="Z411" i="1"/>
  <c r="L411" i="1"/>
  <c r="K411" i="1"/>
  <c r="K429" i="1" s="1"/>
  <c r="J411" i="1"/>
  <c r="J429" i="1" s="1"/>
  <c r="H411" i="1"/>
  <c r="H429" i="1" s="1"/>
  <c r="G411" i="1"/>
  <c r="G429" i="1" s="1"/>
  <c r="F411" i="1"/>
  <c r="E411" i="1"/>
  <c r="E429" i="1" s="1"/>
  <c r="AM410" i="1"/>
  <c r="AK410" i="1"/>
  <c r="AK414" i="1" s="1"/>
  <c r="AG410" i="1"/>
  <c r="AF410" i="1"/>
  <c r="AE410" i="1"/>
  <c r="AD410" i="1"/>
  <c r="AC410" i="1"/>
  <c r="AB410" i="1"/>
  <c r="AJ410" i="1" s="1"/>
  <c r="AA410" i="1"/>
  <c r="Z410" i="1"/>
  <c r="AP409" i="1"/>
  <c r="AM409" i="1"/>
  <c r="AG409" i="1"/>
  <c r="AG414" i="1" s="1"/>
  <c r="AE409" i="1"/>
  <c r="AD409" i="1"/>
  <c r="AC409" i="1"/>
  <c r="AA409" i="1"/>
  <c r="Z409" i="1"/>
  <c r="AP408" i="1"/>
  <c r="AM408" i="1"/>
  <c r="AK408" i="1"/>
  <c r="AG408" i="1"/>
  <c r="AD408" i="1"/>
  <c r="AD414" i="1" s="1"/>
  <c r="AC408" i="1"/>
  <c r="AB408" i="1"/>
  <c r="AA408" i="1"/>
  <c r="Z408" i="1"/>
  <c r="Z414" i="1" s="1"/>
  <c r="AM404" i="1"/>
  <c r="AK404" i="1"/>
  <c r="AG404" i="1"/>
  <c r="Z404" i="1"/>
  <c r="AP403" i="1"/>
  <c r="AM403" i="1"/>
  <c r="AK403" i="1"/>
  <c r="AB403" i="1"/>
  <c r="Z403" i="1"/>
  <c r="AM402" i="1"/>
  <c r="AK402" i="1"/>
  <c r="AG402" i="1"/>
  <c r="AB402" i="1"/>
  <c r="Z402" i="1"/>
  <c r="O402" i="1"/>
  <c r="D402" i="1"/>
  <c r="AM401" i="1"/>
  <c r="AK401" i="1"/>
  <c r="AG401" i="1"/>
  <c r="AB401" i="1"/>
  <c r="AJ401" i="1" s="1"/>
  <c r="Z401" i="1"/>
  <c r="L401" i="1"/>
  <c r="K401" i="1"/>
  <c r="J401" i="1"/>
  <c r="H401" i="1"/>
  <c r="G401" i="1"/>
  <c r="F401" i="1"/>
  <c r="N401" i="1" s="1"/>
  <c r="E401" i="1"/>
  <c r="AA386" i="1" s="1"/>
  <c r="AM400" i="1"/>
  <c r="AK400" i="1"/>
  <c r="AC400" i="1"/>
  <c r="AB400" i="1"/>
  <c r="Z400" i="1"/>
  <c r="T400" i="1"/>
  <c r="K400" i="1"/>
  <c r="J400" i="1"/>
  <c r="H400" i="1"/>
  <c r="AD385" i="1" s="1"/>
  <c r="G400" i="1"/>
  <c r="I400" i="1" s="1"/>
  <c r="F400" i="1"/>
  <c r="N400" i="1" s="1"/>
  <c r="E400" i="1"/>
  <c r="AM399" i="1"/>
  <c r="AK399" i="1"/>
  <c r="AK405" i="1" s="1"/>
  <c r="AF399" i="1"/>
  <c r="Z399" i="1"/>
  <c r="Z405" i="1" s="1"/>
  <c r="T399" i="1"/>
  <c r="AP395" i="1" s="1"/>
  <c r="K399" i="1"/>
  <c r="AG395" i="1" s="1"/>
  <c r="J399" i="1"/>
  <c r="L399" i="1" s="1"/>
  <c r="AH395" i="1" s="1"/>
  <c r="H399" i="1"/>
  <c r="G399" i="1"/>
  <c r="I399" i="1" s="1"/>
  <c r="F399" i="1"/>
  <c r="N399" i="1" s="1"/>
  <c r="E399" i="1"/>
  <c r="T398" i="1"/>
  <c r="K398" i="1"/>
  <c r="AG394" i="1" s="1"/>
  <c r="J398" i="1"/>
  <c r="L398" i="1" s="1"/>
  <c r="AH394" i="1" s="1"/>
  <c r="H398" i="1"/>
  <c r="AD394" i="1" s="1"/>
  <c r="G398" i="1"/>
  <c r="I398" i="1" s="1"/>
  <c r="AE394" i="1" s="1"/>
  <c r="F398" i="1"/>
  <c r="N398" i="1" s="1"/>
  <c r="E398" i="1"/>
  <c r="T397" i="1"/>
  <c r="AP384" i="1" s="1"/>
  <c r="K397" i="1"/>
  <c r="AG384" i="1" s="1"/>
  <c r="J397" i="1"/>
  <c r="L397" i="1" s="1"/>
  <c r="AH384" i="1" s="1"/>
  <c r="H397" i="1"/>
  <c r="G397" i="1"/>
  <c r="I397" i="1" s="1"/>
  <c r="AE384" i="1" s="1"/>
  <c r="F397" i="1"/>
  <c r="N397" i="1" s="1"/>
  <c r="AJ384" i="1" s="1"/>
  <c r="E397" i="1"/>
  <c r="T396" i="1"/>
  <c r="U396" i="1" s="1"/>
  <c r="AQ393" i="1" s="1"/>
  <c r="L396" i="1"/>
  <c r="K396" i="1"/>
  <c r="J396" i="1"/>
  <c r="AF393" i="1" s="1"/>
  <c r="H396" i="1"/>
  <c r="G396" i="1"/>
  <c r="F396" i="1"/>
  <c r="N396" i="1" s="1"/>
  <c r="E396" i="1"/>
  <c r="AA393" i="1" s="1"/>
  <c r="AM395" i="1"/>
  <c r="AK395" i="1"/>
  <c r="AE395" i="1"/>
  <c r="AD395" i="1"/>
  <c r="AC395" i="1"/>
  <c r="AB395" i="1"/>
  <c r="Z395" i="1"/>
  <c r="T395" i="1"/>
  <c r="K395" i="1"/>
  <c r="J395" i="1"/>
  <c r="H395" i="1"/>
  <c r="AD404" i="1" s="1"/>
  <c r="G395" i="1"/>
  <c r="I395" i="1" s="1"/>
  <c r="F395" i="1"/>
  <c r="N395" i="1" s="1"/>
  <c r="E395" i="1"/>
  <c r="AA404" i="1" s="1"/>
  <c r="AP394" i="1"/>
  <c r="AM394" i="1"/>
  <c r="AK394" i="1"/>
  <c r="AF394" i="1"/>
  <c r="AB394" i="1"/>
  <c r="Z394" i="1"/>
  <c r="T394" i="1"/>
  <c r="K394" i="1"/>
  <c r="AG403" i="1" s="1"/>
  <c r="J394" i="1"/>
  <c r="L394" i="1" s="1"/>
  <c r="AH403" i="1" s="1"/>
  <c r="H394" i="1"/>
  <c r="AD403" i="1" s="1"/>
  <c r="G394" i="1"/>
  <c r="I394" i="1" s="1"/>
  <c r="AE403" i="1" s="1"/>
  <c r="F394" i="1"/>
  <c r="N394" i="1" s="1"/>
  <c r="E394" i="1"/>
  <c r="AP393" i="1"/>
  <c r="AM393" i="1"/>
  <c r="AH393" i="1"/>
  <c r="AG393" i="1"/>
  <c r="AD393" i="1"/>
  <c r="AB393" i="1"/>
  <c r="AJ393" i="1" s="1"/>
  <c r="Z393" i="1"/>
  <c r="T393" i="1"/>
  <c r="U393" i="1" s="1"/>
  <c r="AQ402" i="1" s="1"/>
  <c r="L393" i="1"/>
  <c r="AH402" i="1" s="1"/>
  <c r="K393" i="1"/>
  <c r="J393" i="1"/>
  <c r="AF402" i="1" s="1"/>
  <c r="H393" i="1"/>
  <c r="AD402" i="1" s="1"/>
  <c r="G393" i="1"/>
  <c r="F393" i="1"/>
  <c r="N393" i="1" s="1"/>
  <c r="E393" i="1"/>
  <c r="AA402" i="1" s="1"/>
  <c r="AM392" i="1"/>
  <c r="AK392" i="1"/>
  <c r="AG392" i="1"/>
  <c r="AC392" i="1"/>
  <c r="Z392" i="1"/>
  <c r="T392" i="1"/>
  <c r="K392" i="1"/>
  <c r="J392" i="1"/>
  <c r="H392" i="1"/>
  <c r="AD401" i="1" s="1"/>
  <c r="G392" i="1"/>
  <c r="I392" i="1" s="1"/>
  <c r="F392" i="1"/>
  <c r="N392" i="1" s="1"/>
  <c r="E392" i="1"/>
  <c r="AA401" i="1" s="1"/>
  <c r="AP391" i="1"/>
  <c r="AM391" i="1"/>
  <c r="AK391" i="1"/>
  <c r="AF391" i="1"/>
  <c r="AB391" i="1"/>
  <c r="Z391" i="1"/>
  <c r="Z396" i="1" s="1"/>
  <c r="T391" i="1"/>
  <c r="AP383" i="1" s="1"/>
  <c r="M391" i="1"/>
  <c r="AI383" i="1" s="1"/>
  <c r="K391" i="1"/>
  <c r="J391" i="1"/>
  <c r="L391" i="1" s="1"/>
  <c r="AH383" i="1" s="1"/>
  <c r="H391" i="1"/>
  <c r="G391" i="1"/>
  <c r="I391" i="1" s="1"/>
  <c r="AE383" i="1" s="1"/>
  <c r="F391" i="1"/>
  <c r="N391" i="1" s="1"/>
  <c r="E391" i="1"/>
  <c r="U391" i="1" s="1"/>
  <c r="AQ383" i="1" s="1"/>
  <c r="AM390" i="1"/>
  <c r="AK390" i="1"/>
  <c r="AK396" i="1" s="1"/>
  <c r="AC390" i="1"/>
  <c r="AA390" i="1"/>
  <c r="Z390" i="1"/>
  <c r="K390" i="1"/>
  <c r="J390" i="1"/>
  <c r="L390" i="1" s="1"/>
  <c r="AH382" i="1" s="1"/>
  <c r="H390" i="1"/>
  <c r="AD382" i="1" s="1"/>
  <c r="G390" i="1"/>
  <c r="F390" i="1"/>
  <c r="AB382" i="1" s="1"/>
  <c r="AJ382" i="1" s="1"/>
  <c r="E390" i="1"/>
  <c r="K389" i="1"/>
  <c r="J389" i="1"/>
  <c r="L389" i="1" s="1"/>
  <c r="AH381" i="1" s="1"/>
  <c r="H389" i="1"/>
  <c r="AD381" i="1" s="1"/>
  <c r="G389" i="1"/>
  <c r="I389" i="1" s="1"/>
  <c r="F389" i="1"/>
  <c r="N389" i="1" s="1"/>
  <c r="E389" i="1"/>
  <c r="AA381" i="1" s="1"/>
  <c r="K388" i="1"/>
  <c r="J388" i="1"/>
  <c r="L388" i="1" s="1"/>
  <c r="AH392" i="1" s="1"/>
  <c r="H388" i="1"/>
  <c r="AD392" i="1" s="1"/>
  <c r="G388" i="1"/>
  <c r="F388" i="1"/>
  <c r="N388" i="1" s="1"/>
  <c r="E388" i="1"/>
  <c r="AA392" i="1" s="1"/>
  <c r="T387" i="1"/>
  <c r="K387" i="1"/>
  <c r="AG400" i="1" s="1"/>
  <c r="J387" i="1"/>
  <c r="H387" i="1"/>
  <c r="AD400" i="1" s="1"/>
  <c r="G387" i="1"/>
  <c r="I387" i="1" s="1"/>
  <c r="AE400" i="1" s="1"/>
  <c r="F387" i="1"/>
  <c r="N387" i="1" s="1"/>
  <c r="E387" i="1"/>
  <c r="AA400" i="1" s="1"/>
  <c r="AM386" i="1"/>
  <c r="AK386" i="1"/>
  <c r="AH386" i="1"/>
  <c r="AG386" i="1"/>
  <c r="AF386" i="1"/>
  <c r="AD386" i="1"/>
  <c r="AB386" i="1"/>
  <c r="AJ386" i="1" s="1"/>
  <c r="Z386" i="1"/>
  <c r="T386" i="1"/>
  <c r="K386" i="1"/>
  <c r="AG391" i="1" s="1"/>
  <c r="J386" i="1"/>
  <c r="L386" i="1" s="1"/>
  <c r="AH391" i="1" s="1"/>
  <c r="H386" i="1"/>
  <c r="AD391" i="1" s="1"/>
  <c r="G386" i="1"/>
  <c r="I386" i="1" s="1"/>
  <c r="AE391" i="1" s="1"/>
  <c r="F386" i="1"/>
  <c r="E386" i="1"/>
  <c r="AM385" i="1"/>
  <c r="AK385" i="1"/>
  <c r="AK387" i="1" s="1"/>
  <c r="AG385" i="1"/>
  <c r="AC385" i="1"/>
  <c r="AB385" i="1"/>
  <c r="AJ385" i="1" s="1"/>
  <c r="AA385" i="1"/>
  <c r="Z385" i="1"/>
  <c r="K385" i="1"/>
  <c r="AG390" i="1" s="1"/>
  <c r="J385" i="1"/>
  <c r="L385" i="1" s="1"/>
  <c r="AH390" i="1" s="1"/>
  <c r="H385" i="1"/>
  <c r="AD390" i="1" s="1"/>
  <c r="AD396" i="1" s="1"/>
  <c r="G385" i="1"/>
  <c r="F385" i="1"/>
  <c r="AB390" i="1" s="1"/>
  <c r="AJ390" i="1" s="1"/>
  <c r="E385" i="1"/>
  <c r="AM384" i="1"/>
  <c r="AK384" i="1"/>
  <c r="AF384" i="1"/>
  <c r="AD384" i="1"/>
  <c r="AC384" i="1"/>
  <c r="AB384" i="1"/>
  <c r="Z384" i="1"/>
  <c r="K384" i="1"/>
  <c r="AG399" i="1" s="1"/>
  <c r="J384" i="1"/>
  <c r="I384" i="1"/>
  <c r="H384" i="1"/>
  <c r="G384" i="1"/>
  <c r="F384" i="1"/>
  <c r="T384" i="1" s="1"/>
  <c r="U384" i="1" s="1"/>
  <c r="AQ399" i="1" s="1"/>
  <c r="E384" i="1"/>
  <c r="E402" i="1" s="1"/>
  <c r="AM383" i="1"/>
  <c r="AK383" i="1"/>
  <c r="AG383" i="1"/>
  <c r="AG387" i="1" s="1"/>
  <c r="AF383" i="1"/>
  <c r="AD383" i="1"/>
  <c r="AC383" i="1"/>
  <c r="AB383" i="1"/>
  <c r="AA383" i="1"/>
  <c r="Z383" i="1"/>
  <c r="AM382" i="1"/>
  <c r="AG382" i="1"/>
  <c r="AF382" i="1"/>
  <c r="AC382" i="1"/>
  <c r="AA382" i="1"/>
  <c r="Z382" i="1"/>
  <c r="AM381" i="1"/>
  <c r="AK381" i="1"/>
  <c r="AG381" i="1"/>
  <c r="AF381" i="1"/>
  <c r="AC381" i="1"/>
  <c r="Z381" i="1"/>
  <c r="Z378" i="1"/>
  <c r="AM377" i="1"/>
  <c r="AK377" i="1"/>
  <c r="AC377" i="1"/>
  <c r="AA377" i="1"/>
  <c r="Z377" i="1"/>
  <c r="AM376" i="1"/>
  <c r="AK376" i="1"/>
  <c r="AF376" i="1"/>
  <c r="AD376" i="1"/>
  <c r="Z376" i="1"/>
  <c r="AQ375" i="1"/>
  <c r="AM375" i="1"/>
  <c r="AK375" i="1"/>
  <c r="AF375" i="1"/>
  <c r="AC375" i="1"/>
  <c r="AA375" i="1"/>
  <c r="Z375" i="1"/>
  <c r="O375" i="1"/>
  <c r="D375" i="1"/>
  <c r="AM374" i="1"/>
  <c r="AK374" i="1"/>
  <c r="AF374" i="1"/>
  <c r="AD374" i="1"/>
  <c r="AC374" i="1"/>
  <c r="Z374" i="1"/>
  <c r="K374" i="1"/>
  <c r="AG359" i="1" s="1"/>
  <c r="J374" i="1"/>
  <c r="I374" i="1"/>
  <c r="H374" i="1"/>
  <c r="G374" i="1"/>
  <c r="F374" i="1"/>
  <c r="T374" i="1" s="1"/>
  <c r="AP359" i="1" s="1"/>
  <c r="E374" i="1"/>
  <c r="AM373" i="1"/>
  <c r="AK373" i="1"/>
  <c r="AG373" i="1"/>
  <c r="AF373" i="1"/>
  <c r="AA373" i="1"/>
  <c r="Z373" i="1"/>
  <c r="L373" i="1"/>
  <c r="AH358" i="1" s="1"/>
  <c r="K373" i="1"/>
  <c r="J373" i="1"/>
  <c r="H373" i="1"/>
  <c r="I373" i="1" s="1"/>
  <c r="M373" i="1" s="1"/>
  <c r="G373" i="1"/>
  <c r="F373" i="1"/>
  <c r="N373" i="1" s="1"/>
  <c r="E373" i="1"/>
  <c r="AM372" i="1"/>
  <c r="AK372" i="1"/>
  <c r="AD372" i="1"/>
  <c r="AB372" i="1"/>
  <c r="Z372" i="1"/>
  <c r="K372" i="1"/>
  <c r="L372" i="1" s="1"/>
  <c r="AH368" i="1" s="1"/>
  <c r="J372" i="1"/>
  <c r="I372" i="1"/>
  <c r="H372" i="1"/>
  <c r="G372" i="1"/>
  <c r="AC368" i="1" s="1"/>
  <c r="F372" i="1"/>
  <c r="N372" i="1" s="1"/>
  <c r="E372" i="1"/>
  <c r="K371" i="1"/>
  <c r="L371" i="1" s="1"/>
  <c r="AH367" i="1" s="1"/>
  <c r="J371" i="1"/>
  <c r="I371" i="1"/>
  <c r="H371" i="1"/>
  <c r="G371" i="1"/>
  <c r="AC367" i="1" s="1"/>
  <c r="F371" i="1"/>
  <c r="N371" i="1" s="1"/>
  <c r="E371" i="1"/>
  <c r="K370" i="1"/>
  <c r="L370" i="1" s="1"/>
  <c r="J370" i="1"/>
  <c r="I370" i="1"/>
  <c r="H370" i="1"/>
  <c r="G370" i="1"/>
  <c r="AC357" i="1" s="1"/>
  <c r="F370" i="1"/>
  <c r="N370" i="1" s="1"/>
  <c r="E370" i="1"/>
  <c r="AK369" i="1"/>
  <c r="U369" i="1"/>
  <c r="AQ366" i="1" s="1"/>
  <c r="K369" i="1"/>
  <c r="AG366" i="1" s="1"/>
  <c r="J369" i="1"/>
  <c r="I369" i="1"/>
  <c r="H369" i="1"/>
  <c r="G369" i="1"/>
  <c r="F369" i="1"/>
  <c r="T369" i="1" s="1"/>
  <c r="AP366" i="1" s="1"/>
  <c r="E369" i="1"/>
  <c r="AA366" i="1" s="1"/>
  <c r="AM368" i="1"/>
  <c r="AK368" i="1"/>
  <c r="AG368" i="1"/>
  <c r="AF368" i="1"/>
  <c r="AD368" i="1"/>
  <c r="AA368" i="1"/>
  <c r="Z368" i="1"/>
  <c r="L368" i="1"/>
  <c r="AH377" i="1" s="1"/>
  <c r="K368" i="1"/>
  <c r="AG377" i="1" s="1"/>
  <c r="J368" i="1"/>
  <c r="AF377" i="1" s="1"/>
  <c r="H368" i="1"/>
  <c r="I368" i="1" s="1"/>
  <c r="G368" i="1"/>
  <c r="F368" i="1"/>
  <c r="N368" i="1" s="1"/>
  <c r="E368" i="1"/>
  <c r="AM367" i="1"/>
  <c r="AK367" i="1"/>
  <c r="AJ367" i="1"/>
  <c r="AF367" i="1"/>
  <c r="AD367" i="1"/>
  <c r="AB367" i="1"/>
  <c r="AA367" i="1"/>
  <c r="Z367" i="1"/>
  <c r="K367" i="1"/>
  <c r="L367" i="1" s="1"/>
  <c r="AH376" i="1" s="1"/>
  <c r="J367" i="1"/>
  <c r="I367" i="1"/>
  <c r="H367" i="1"/>
  <c r="G367" i="1"/>
  <c r="AC376" i="1" s="1"/>
  <c r="F367" i="1"/>
  <c r="N367" i="1" s="1"/>
  <c r="E367" i="1"/>
  <c r="AA376" i="1" s="1"/>
  <c r="AM366" i="1"/>
  <c r="AF366" i="1"/>
  <c r="AD366" i="1"/>
  <c r="AC366" i="1"/>
  <c r="Z366" i="1"/>
  <c r="Z369" i="1" s="1"/>
  <c r="U366" i="1"/>
  <c r="K366" i="1"/>
  <c r="AG375" i="1" s="1"/>
  <c r="J366" i="1"/>
  <c r="L366" i="1" s="1"/>
  <c r="AH375" i="1" s="1"/>
  <c r="I366" i="1"/>
  <c r="H366" i="1"/>
  <c r="AD375" i="1" s="1"/>
  <c r="G366" i="1"/>
  <c r="F366" i="1"/>
  <c r="T366" i="1" s="1"/>
  <c r="AP375" i="1" s="1"/>
  <c r="E366" i="1"/>
  <c r="AM365" i="1"/>
  <c r="AK365" i="1"/>
  <c r="AG365" i="1"/>
  <c r="AC365" i="1"/>
  <c r="AA365" i="1"/>
  <c r="Z365" i="1"/>
  <c r="N365" i="1"/>
  <c r="L365" i="1"/>
  <c r="AH374" i="1" s="1"/>
  <c r="K365" i="1"/>
  <c r="AG374" i="1" s="1"/>
  <c r="J365" i="1"/>
  <c r="H365" i="1"/>
  <c r="I365" i="1" s="1"/>
  <c r="G365" i="1"/>
  <c r="F365" i="1"/>
  <c r="E365" i="1"/>
  <c r="AA374" i="1" s="1"/>
  <c r="AM364" i="1"/>
  <c r="AK364" i="1"/>
  <c r="AF364" i="1"/>
  <c r="AD364" i="1"/>
  <c r="AD369" i="1" s="1"/>
  <c r="AB364" i="1"/>
  <c r="AJ364" i="1" s="1"/>
  <c r="AA364" i="1"/>
  <c r="Z364" i="1"/>
  <c r="K364" i="1"/>
  <c r="L364" i="1" s="1"/>
  <c r="AH356" i="1" s="1"/>
  <c r="J364" i="1"/>
  <c r="H364" i="1"/>
  <c r="G364" i="1"/>
  <c r="F364" i="1"/>
  <c r="N364" i="1" s="1"/>
  <c r="E364" i="1"/>
  <c r="AM363" i="1"/>
  <c r="AK363" i="1"/>
  <c r="AG363" i="1"/>
  <c r="AE363" i="1"/>
  <c r="AD363" i="1"/>
  <c r="AA363" i="1"/>
  <c r="Z363" i="1"/>
  <c r="T363" i="1"/>
  <c r="U363" i="1" s="1"/>
  <c r="AQ355" i="1" s="1"/>
  <c r="L363" i="1"/>
  <c r="AH355" i="1" s="1"/>
  <c r="K363" i="1"/>
  <c r="J363" i="1"/>
  <c r="AF355" i="1" s="1"/>
  <c r="I363" i="1"/>
  <c r="M363" i="1" s="1"/>
  <c r="H363" i="1"/>
  <c r="G363" i="1"/>
  <c r="F363" i="1"/>
  <c r="AB355" i="1" s="1"/>
  <c r="AJ355" i="1" s="1"/>
  <c r="E363" i="1"/>
  <c r="T362" i="1"/>
  <c r="U362" i="1" s="1"/>
  <c r="AQ354" i="1" s="1"/>
  <c r="K362" i="1"/>
  <c r="J362" i="1"/>
  <c r="AF354" i="1" s="1"/>
  <c r="AF360" i="1" s="1"/>
  <c r="I362" i="1"/>
  <c r="AE354" i="1" s="1"/>
  <c r="H362" i="1"/>
  <c r="G362" i="1"/>
  <c r="F362" i="1"/>
  <c r="N362" i="1" s="1"/>
  <c r="E362" i="1"/>
  <c r="T361" i="1"/>
  <c r="K361" i="1"/>
  <c r="J361" i="1"/>
  <c r="AF365" i="1" s="1"/>
  <c r="I361" i="1"/>
  <c r="AE365" i="1" s="1"/>
  <c r="H361" i="1"/>
  <c r="AD365" i="1" s="1"/>
  <c r="G361" i="1"/>
  <c r="F361" i="1"/>
  <c r="N361" i="1" s="1"/>
  <c r="E361" i="1"/>
  <c r="AA360" i="1"/>
  <c r="L360" i="1"/>
  <c r="AH373" i="1" s="1"/>
  <c r="K360" i="1"/>
  <c r="J360" i="1"/>
  <c r="H360" i="1"/>
  <c r="AD373" i="1" s="1"/>
  <c r="G360" i="1"/>
  <c r="AC373" i="1" s="1"/>
  <c r="F360" i="1"/>
  <c r="N360" i="1" s="1"/>
  <c r="E360" i="1"/>
  <c r="AM359" i="1"/>
  <c r="AK359" i="1"/>
  <c r="AJ359" i="1"/>
  <c r="AF359" i="1"/>
  <c r="AD359" i="1"/>
  <c r="AC359" i="1"/>
  <c r="AB359" i="1"/>
  <c r="AA359" i="1"/>
  <c r="Z359" i="1"/>
  <c r="K359" i="1"/>
  <c r="AG364" i="1" s="1"/>
  <c r="J359" i="1"/>
  <c r="H359" i="1"/>
  <c r="G359" i="1"/>
  <c r="F359" i="1"/>
  <c r="N359" i="1" s="1"/>
  <c r="E359" i="1"/>
  <c r="AM358" i="1"/>
  <c r="AK358" i="1"/>
  <c r="AG358" i="1"/>
  <c r="AF358" i="1"/>
  <c r="AE358" i="1"/>
  <c r="AD358" i="1"/>
  <c r="AC358" i="1"/>
  <c r="AA358" i="1"/>
  <c r="Z358" i="1"/>
  <c r="T358" i="1"/>
  <c r="K358" i="1"/>
  <c r="J358" i="1"/>
  <c r="AF363" i="1" s="1"/>
  <c r="AF369" i="1" s="1"/>
  <c r="I358" i="1"/>
  <c r="H358" i="1"/>
  <c r="G358" i="1"/>
  <c r="AC363" i="1" s="1"/>
  <c r="F358" i="1"/>
  <c r="AB363" i="1" s="1"/>
  <c r="E358" i="1"/>
  <c r="AM357" i="1"/>
  <c r="AK357" i="1"/>
  <c r="AJ357" i="1"/>
  <c r="AH357" i="1"/>
  <c r="AG357" i="1"/>
  <c r="AF357" i="1"/>
  <c r="AD357" i="1"/>
  <c r="AB357" i="1"/>
  <c r="AA357" i="1"/>
  <c r="Z357" i="1"/>
  <c r="L357" i="1"/>
  <c r="K357" i="1"/>
  <c r="J357" i="1"/>
  <c r="H357" i="1"/>
  <c r="H375" i="1" s="1"/>
  <c r="G357" i="1"/>
  <c r="F357" i="1"/>
  <c r="F375" i="1" s="1"/>
  <c r="E357" i="1"/>
  <c r="AM356" i="1"/>
  <c r="AK356" i="1"/>
  <c r="AK360" i="1" s="1"/>
  <c r="AG356" i="1"/>
  <c r="AF356" i="1"/>
  <c r="AD356" i="1"/>
  <c r="AB356" i="1"/>
  <c r="AJ356" i="1" s="1"/>
  <c r="AA356" i="1"/>
  <c r="Z356" i="1"/>
  <c r="AP355" i="1"/>
  <c r="AM355" i="1"/>
  <c r="AG355" i="1"/>
  <c r="AG360" i="1" s="1"/>
  <c r="AE355" i="1"/>
  <c r="AD355" i="1"/>
  <c r="AC355" i="1"/>
  <c r="AA355" i="1"/>
  <c r="Z355" i="1"/>
  <c r="AP354" i="1"/>
  <c r="AM354" i="1"/>
  <c r="AK354" i="1"/>
  <c r="AG354" i="1"/>
  <c r="AD354" i="1"/>
  <c r="AD360" i="1" s="1"/>
  <c r="AC354" i="1"/>
  <c r="AB354" i="1"/>
  <c r="AA354" i="1"/>
  <c r="Z354" i="1"/>
  <c r="Z360" i="1" s="1"/>
  <c r="AM350" i="1"/>
  <c r="AK350" i="1"/>
  <c r="AG350" i="1"/>
  <c r="AE350" i="1"/>
  <c r="Z350" i="1"/>
  <c r="AP349" i="1"/>
  <c r="AM349" i="1"/>
  <c r="AK349" i="1"/>
  <c r="AH349" i="1"/>
  <c r="AB349" i="1"/>
  <c r="AJ349" i="1" s="1"/>
  <c r="Z349" i="1"/>
  <c r="AM348" i="1"/>
  <c r="AK348" i="1"/>
  <c r="AC348" i="1"/>
  <c r="AB348" i="1"/>
  <c r="Z348" i="1"/>
  <c r="O348" i="1"/>
  <c r="D348" i="1"/>
  <c r="AP347" i="1"/>
  <c r="AM347" i="1"/>
  <c r="AK347" i="1"/>
  <c r="AG347" i="1"/>
  <c r="AB347" i="1"/>
  <c r="AJ347" i="1" s="1"/>
  <c r="Z347" i="1"/>
  <c r="L347" i="1"/>
  <c r="K347" i="1"/>
  <c r="J347" i="1"/>
  <c r="H347" i="1"/>
  <c r="G347" i="1"/>
  <c r="F347" i="1"/>
  <c r="E347" i="1"/>
  <c r="AA332" i="1" s="1"/>
  <c r="AM346" i="1"/>
  <c r="AK346" i="1"/>
  <c r="AC346" i="1"/>
  <c r="AB346" i="1"/>
  <c r="Z346" i="1"/>
  <c r="T346" i="1"/>
  <c r="K346" i="1"/>
  <c r="J346" i="1"/>
  <c r="H346" i="1"/>
  <c r="AD331" i="1" s="1"/>
  <c r="G346" i="1"/>
  <c r="I346" i="1" s="1"/>
  <c r="F346" i="1"/>
  <c r="N346" i="1" s="1"/>
  <c r="E346" i="1"/>
  <c r="AM345" i="1"/>
  <c r="AK345" i="1"/>
  <c r="AF345" i="1"/>
  <c r="Z345" i="1"/>
  <c r="T345" i="1"/>
  <c r="AP341" i="1" s="1"/>
  <c r="K345" i="1"/>
  <c r="AG341" i="1" s="1"/>
  <c r="J345" i="1"/>
  <c r="H345" i="1"/>
  <c r="G345" i="1"/>
  <c r="I345" i="1" s="1"/>
  <c r="F345" i="1"/>
  <c r="E345" i="1"/>
  <c r="AA341" i="1" s="1"/>
  <c r="T344" i="1"/>
  <c r="M344" i="1"/>
  <c r="K344" i="1"/>
  <c r="AG340" i="1" s="1"/>
  <c r="J344" i="1"/>
  <c r="L344" i="1" s="1"/>
  <c r="AH340" i="1" s="1"/>
  <c r="H344" i="1"/>
  <c r="G344" i="1"/>
  <c r="I344" i="1" s="1"/>
  <c r="AE340" i="1" s="1"/>
  <c r="F344" i="1"/>
  <c r="N344" i="1" s="1"/>
  <c r="E344" i="1"/>
  <c r="AA340" i="1" s="1"/>
  <c r="T343" i="1"/>
  <c r="AP330" i="1" s="1"/>
  <c r="K343" i="1"/>
  <c r="AG330" i="1" s="1"/>
  <c r="J343" i="1"/>
  <c r="L343" i="1" s="1"/>
  <c r="AH330" i="1" s="1"/>
  <c r="H343" i="1"/>
  <c r="G343" i="1"/>
  <c r="I343" i="1" s="1"/>
  <c r="F343" i="1"/>
  <c r="E343" i="1"/>
  <c r="AA330" i="1" s="1"/>
  <c r="L342" i="1"/>
  <c r="K342" i="1"/>
  <c r="J342" i="1"/>
  <c r="H342" i="1"/>
  <c r="G342" i="1"/>
  <c r="F342" i="1"/>
  <c r="E342" i="1"/>
  <c r="AA339" i="1" s="1"/>
  <c r="AM341" i="1"/>
  <c r="AK341" i="1"/>
  <c r="AE341" i="1"/>
  <c r="AD341" i="1"/>
  <c r="AC341" i="1"/>
  <c r="AB341" i="1"/>
  <c r="Z341" i="1"/>
  <c r="T341" i="1"/>
  <c r="K341" i="1"/>
  <c r="J341" i="1"/>
  <c r="H341" i="1"/>
  <c r="AD350" i="1" s="1"/>
  <c r="G341" i="1"/>
  <c r="I341" i="1" s="1"/>
  <c r="F341" i="1"/>
  <c r="N341" i="1" s="1"/>
  <c r="E341" i="1"/>
  <c r="AA350" i="1" s="1"/>
  <c r="AP340" i="1"/>
  <c r="AM340" i="1"/>
  <c r="AK340" i="1"/>
  <c r="AF340" i="1"/>
  <c r="AD340" i="1"/>
  <c r="AB340" i="1"/>
  <c r="Z340" i="1"/>
  <c r="T340" i="1"/>
  <c r="M340" i="1"/>
  <c r="K340" i="1"/>
  <c r="AG349" i="1" s="1"/>
  <c r="J340" i="1"/>
  <c r="L340" i="1" s="1"/>
  <c r="H340" i="1"/>
  <c r="AD349" i="1" s="1"/>
  <c r="G340" i="1"/>
  <c r="I340" i="1" s="1"/>
  <c r="AE349" i="1" s="1"/>
  <c r="F340" i="1"/>
  <c r="N340" i="1" s="1"/>
  <c r="E340" i="1"/>
  <c r="AA349" i="1" s="1"/>
  <c r="AM339" i="1"/>
  <c r="AH339" i="1"/>
  <c r="AG339" i="1"/>
  <c r="AF339" i="1"/>
  <c r="AD339" i="1"/>
  <c r="AB339" i="1"/>
  <c r="Z339" i="1"/>
  <c r="T339" i="1"/>
  <c r="U339" i="1" s="1"/>
  <c r="AQ348" i="1" s="1"/>
  <c r="L339" i="1"/>
  <c r="AH348" i="1" s="1"/>
  <c r="K339" i="1"/>
  <c r="AG348" i="1" s="1"/>
  <c r="J339" i="1"/>
  <c r="AF348" i="1" s="1"/>
  <c r="H339" i="1"/>
  <c r="AD348" i="1" s="1"/>
  <c r="G339" i="1"/>
  <c r="I339" i="1" s="1"/>
  <c r="M339" i="1" s="1"/>
  <c r="F339" i="1"/>
  <c r="N339" i="1" s="1"/>
  <c r="E339" i="1"/>
  <c r="AA348" i="1" s="1"/>
  <c r="AM338" i="1"/>
  <c r="AK338" i="1"/>
  <c r="AG338" i="1"/>
  <c r="AE338" i="1"/>
  <c r="AC338" i="1"/>
  <c r="Z338" i="1"/>
  <c r="T338" i="1"/>
  <c r="U338" i="1" s="1"/>
  <c r="AQ347" i="1" s="1"/>
  <c r="K338" i="1"/>
  <c r="J338" i="1"/>
  <c r="H338" i="1"/>
  <c r="AD347" i="1" s="1"/>
  <c r="G338" i="1"/>
  <c r="I338" i="1" s="1"/>
  <c r="F338" i="1"/>
  <c r="N338" i="1" s="1"/>
  <c r="E338" i="1"/>
  <c r="AA347" i="1" s="1"/>
  <c r="AP337" i="1"/>
  <c r="AM337" i="1"/>
  <c r="AK337" i="1"/>
  <c r="AF337" i="1"/>
  <c r="AB337" i="1"/>
  <c r="Z337" i="1"/>
  <c r="Z342" i="1" s="1"/>
  <c r="T337" i="1"/>
  <c r="AP329" i="1" s="1"/>
  <c r="K337" i="1"/>
  <c r="J337" i="1"/>
  <c r="H337" i="1"/>
  <c r="G337" i="1"/>
  <c r="I337" i="1" s="1"/>
  <c r="AE329" i="1" s="1"/>
  <c r="F337" i="1"/>
  <c r="N337" i="1" s="1"/>
  <c r="E337" i="1"/>
  <c r="U337" i="1" s="1"/>
  <c r="AQ329" i="1" s="1"/>
  <c r="AM336" i="1"/>
  <c r="AK336" i="1"/>
  <c r="AC336" i="1"/>
  <c r="AA336" i="1"/>
  <c r="Z336" i="1"/>
  <c r="K336" i="1"/>
  <c r="J336" i="1"/>
  <c r="L336" i="1" s="1"/>
  <c r="AH328" i="1" s="1"/>
  <c r="H336" i="1"/>
  <c r="AD328" i="1" s="1"/>
  <c r="G336" i="1"/>
  <c r="I336" i="1" s="1"/>
  <c r="F336" i="1"/>
  <c r="N336" i="1" s="1"/>
  <c r="E336" i="1"/>
  <c r="K335" i="1"/>
  <c r="J335" i="1"/>
  <c r="L335" i="1" s="1"/>
  <c r="AH327" i="1" s="1"/>
  <c r="H335" i="1"/>
  <c r="G335" i="1"/>
  <c r="I335" i="1" s="1"/>
  <c r="F335" i="1"/>
  <c r="N335" i="1" s="1"/>
  <c r="E335" i="1"/>
  <c r="AA327" i="1" s="1"/>
  <c r="K334" i="1"/>
  <c r="J334" i="1"/>
  <c r="L334" i="1" s="1"/>
  <c r="AH338" i="1" s="1"/>
  <c r="H334" i="1"/>
  <c r="AD338" i="1" s="1"/>
  <c r="G334" i="1"/>
  <c r="I334" i="1" s="1"/>
  <c r="M334" i="1" s="1"/>
  <c r="F334" i="1"/>
  <c r="N334" i="1" s="1"/>
  <c r="E334" i="1"/>
  <c r="AA338" i="1" s="1"/>
  <c r="T333" i="1"/>
  <c r="K333" i="1"/>
  <c r="AG346" i="1" s="1"/>
  <c r="J333" i="1"/>
  <c r="H333" i="1"/>
  <c r="AD346" i="1" s="1"/>
  <c r="G333" i="1"/>
  <c r="F333" i="1"/>
  <c r="N333" i="1" s="1"/>
  <c r="E333" i="1"/>
  <c r="AA346" i="1" s="1"/>
  <c r="AM332" i="1"/>
  <c r="AK332" i="1"/>
  <c r="AH332" i="1"/>
  <c r="AG332" i="1"/>
  <c r="AF332" i="1"/>
  <c r="AD332" i="1"/>
  <c r="AB332" i="1"/>
  <c r="Z332" i="1"/>
  <c r="T332" i="1"/>
  <c r="M332" i="1"/>
  <c r="K332" i="1"/>
  <c r="AG337" i="1" s="1"/>
  <c r="J332" i="1"/>
  <c r="L332" i="1" s="1"/>
  <c r="AH337" i="1" s="1"/>
  <c r="H332" i="1"/>
  <c r="AD337" i="1" s="1"/>
  <c r="G332" i="1"/>
  <c r="I332" i="1" s="1"/>
  <c r="AE337" i="1" s="1"/>
  <c r="F332" i="1"/>
  <c r="N332" i="1" s="1"/>
  <c r="E332" i="1"/>
  <c r="AA337" i="1" s="1"/>
  <c r="AM331" i="1"/>
  <c r="AK331" i="1"/>
  <c r="AK333" i="1" s="1"/>
  <c r="AG331" i="1"/>
  <c r="AC331" i="1"/>
  <c r="AB331" i="1"/>
  <c r="AJ331" i="1" s="1"/>
  <c r="AA331" i="1"/>
  <c r="Z331" i="1"/>
  <c r="K331" i="1"/>
  <c r="AG336" i="1" s="1"/>
  <c r="J331" i="1"/>
  <c r="L331" i="1" s="1"/>
  <c r="AH336" i="1" s="1"/>
  <c r="H331" i="1"/>
  <c r="AD336" i="1" s="1"/>
  <c r="G331" i="1"/>
  <c r="I331" i="1" s="1"/>
  <c r="F331" i="1"/>
  <c r="N331" i="1" s="1"/>
  <c r="E331" i="1"/>
  <c r="AM330" i="1"/>
  <c r="AK330" i="1"/>
  <c r="AF330" i="1"/>
  <c r="AD330" i="1"/>
  <c r="AC330" i="1"/>
  <c r="AB330" i="1"/>
  <c r="Z330" i="1"/>
  <c r="K330" i="1"/>
  <c r="AG345" i="1" s="1"/>
  <c r="J330" i="1"/>
  <c r="I330" i="1"/>
  <c r="H330" i="1"/>
  <c r="G330" i="1"/>
  <c r="F330" i="1"/>
  <c r="T330" i="1" s="1"/>
  <c r="AP345" i="1" s="1"/>
  <c r="E330" i="1"/>
  <c r="AM329" i="1"/>
  <c r="AK329" i="1"/>
  <c r="AG329" i="1"/>
  <c r="AG333" i="1" s="1"/>
  <c r="AF329" i="1"/>
  <c r="AD329" i="1"/>
  <c r="AC329" i="1"/>
  <c r="AB329" i="1"/>
  <c r="Z329" i="1"/>
  <c r="AM328" i="1"/>
  <c r="AG328" i="1"/>
  <c r="AF328" i="1"/>
  <c r="AC328" i="1"/>
  <c r="AA328" i="1"/>
  <c r="Z328" i="1"/>
  <c r="AM327" i="1"/>
  <c r="AK327" i="1"/>
  <c r="AG327" i="1"/>
  <c r="AF327" i="1"/>
  <c r="AD327" i="1"/>
  <c r="AC327" i="1"/>
  <c r="Z327" i="1"/>
  <c r="Z324" i="1"/>
  <c r="AM323" i="1"/>
  <c r="AK323" i="1"/>
  <c r="AC323" i="1"/>
  <c r="AA323" i="1"/>
  <c r="Z323" i="1"/>
  <c r="AM322" i="1"/>
  <c r="AK322" i="1"/>
  <c r="AF322" i="1"/>
  <c r="AD322" i="1"/>
  <c r="Z322" i="1"/>
  <c r="AM321" i="1"/>
  <c r="AK321" i="1"/>
  <c r="AF321" i="1"/>
  <c r="AA321" i="1"/>
  <c r="Z321" i="1"/>
  <c r="O321" i="1"/>
  <c r="E321" i="1"/>
  <c r="D321" i="1"/>
  <c r="AM320" i="1"/>
  <c r="AK320" i="1"/>
  <c r="AF320" i="1"/>
  <c r="AD320" i="1"/>
  <c r="AC320" i="1"/>
  <c r="Z320" i="1"/>
  <c r="U320" i="1"/>
  <c r="AQ305" i="1" s="1"/>
  <c r="K320" i="1"/>
  <c r="AG305" i="1" s="1"/>
  <c r="J320" i="1"/>
  <c r="L320" i="1" s="1"/>
  <c r="AH305" i="1" s="1"/>
  <c r="I320" i="1"/>
  <c r="H320" i="1"/>
  <c r="G320" i="1"/>
  <c r="F320" i="1"/>
  <c r="T320" i="1" s="1"/>
  <c r="AP305" i="1" s="1"/>
  <c r="E320" i="1"/>
  <c r="AM319" i="1"/>
  <c r="AK319" i="1"/>
  <c r="AG319" i="1"/>
  <c r="AF319" i="1"/>
  <c r="AA319" i="1"/>
  <c r="Z319" i="1"/>
  <c r="N319" i="1"/>
  <c r="L319" i="1"/>
  <c r="AH304" i="1" s="1"/>
  <c r="K319" i="1"/>
  <c r="J319" i="1"/>
  <c r="H319" i="1"/>
  <c r="I319" i="1" s="1"/>
  <c r="G319" i="1"/>
  <c r="F319" i="1"/>
  <c r="E319" i="1"/>
  <c r="AM318" i="1"/>
  <c r="AK318" i="1"/>
  <c r="AD318" i="1"/>
  <c r="AB318" i="1"/>
  <c r="Z318" i="1"/>
  <c r="K318" i="1"/>
  <c r="L318" i="1" s="1"/>
  <c r="AH314" i="1" s="1"/>
  <c r="J318" i="1"/>
  <c r="H318" i="1"/>
  <c r="G318" i="1"/>
  <c r="AC314" i="1" s="1"/>
  <c r="F318" i="1"/>
  <c r="N318" i="1" s="1"/>
  <c r="E318" i="1"/>
  <c r="K317" i="1"/>
  <c r="L317" i="1" s="1"/>
  <c r="AH313" i="1" s="1"/>
  <c r="J317" i="1"/>
  <c r="I317" i="1"/>
  <c r="H317" i="1"/>
  <c r="G317" i="1"/>
  <c r="AC313" i="1" s="1"/>
  <c r="F317" i="1"/>
  <c r="N317" i="1" s="1"/>
  <c r="E317" i="1"/>
  <c r="K316" i="1"/>
  <c r="L316" i="1" s="1"/>
  <c r="J316" i="1"/>
  <c r="H316" i="1"/>
  <c r="G316" i="1"/>
  <c r="F316" i="1"/>
  <c r="N316" i="1" s="1"/>
  <c r="E316" i="1"/>
  <c r="AK315" i="1"/>
  <c r="U315" i="1"/>
  <c r="AQ312" i="1" s="1"/>
  <c r="K315" i="1"/>
  <c r="AG312" i="1" s="1"/>
  <c r="J315" i="1"/>
  <c r="I315" i="1"/>
  <c r="H315" i="1"/>
  <c r="G315" i="1"/>
  <c r="F315" i="1"/>
  <c r="T315" i="1" s="1"/>
  <c r="AP312" i="1" s="1"/>
  <c r="E315" i="1"/>
  <c r="AA312" i="1" s="1"/>
  <c r="AM314" i="1"/>
  <c r="AK314" i="1"/>
  <c r="AG314" i="1"/>
  <c r="AF314" i="1"/>
  <c r="AD314" i="1"/>
  <c r="AA314" i="1"/>
  <c r="Z314" i="1"/>
  <c r="L314" i="1"/>
  <c r="AH323" i="1" s="1"/>
  <c r="K314" i="1"/>
  <c r="AG323" i="1" s="1"/>
  <c r="J314" i="1"/>
  <c r="AF323" i="1" s="1"/>
  <c r="H314" i="1"/>
  <c r="I314" i="1" s="1"/>
  <c r="G314" i="1"/>
  <c r="F314" i="1"/>
  <c r="N314" i="1" s="1"/>
  <c r="E314" i="1"/>
  <c r="AM313" i="1"/>
  <c r="AK313" i="1"/>
  <c r="AJ313" i="1"/>
  <c r="AF313" i="1"/>
  <c r="AD313" i="1"/>
  <c r="AB313" i="1"/>
  <c r="AA313" i="1"/>
  <c r="Z313" i="1"/>
  <c r="K313" i="1"/>
  <c r="L313" i="1" s="1"/>
  <c r="AH322" i="1" s="1"/>
  <c r="J313" i="1"/>
  <c r="I313" i="1"/>
  <c r="H313" i="1"/>
  <c r="G313" i="1"/>
  <c r="AC322" i="1" s="1"/>
  <c r="F313" i="1"/>
  <c r="N313" i="1" s="1"/>
  <c r="E313" i="1"/>
  <c r="AA322" i="1" s="1"/>
  <c r="AM312" i="1"/>
  <c r="AF312" i="1"/>
  <c r="AD312" i="1"/>
  <c r="AC312" i="1"/>
  <c r="AB312" i="1"/>
  <c r="Z312" i="1"/>
  <c r="Z315" i="1" s="1"/>
  <c r="U312" i="1"/>
  <c r="AQ321" i="1" s="1"/>
  <c r="K312" i="1"/>
  <c r="AG321" i="1" s="1"/>
  <c r="J312" i="1"/>
  <c r="I312" i="1"/>
  <c r="H312" i="1"/>
  <c r="AD321" i="1" s="1"/>
  <c r="G312" i="1"/>
  <c r="AC321" i="1" s="1"/>
  <c r="F312" i="1"/>
  <c r="T312" i="1" s="1"/>
  <c r="AP321" i="1" s="1"/>
  <c r="E312" i="1"/>
  <c r="AM311" i="1"/>
  <c r="AK311" i="1"/>
  <c r="AG311" i="1"/>
  <c r="AC311" i="1"/>
  <c r="AA311" i="1"/>
  <c r="Z311" i="1"/>
  <c r="N311" i="1"/>
  <c r="L311" i="1"/>
  <c r="AH320" i="1" s="1"/>
  <c r="K311" i="1"/>
  <c r="AG320" i="1" s="1"/>
  <c r="J311" i="1"/>
  <c r="H311" i="1"/>
  <c r="I311" i="1" s="1"/>
  <c r="G311" i="1"/>
  <c r="F311" i="1"/>
  <c r="E311" i="1"/>
  <c r="AA320" i="1" s="1"/>
  <c r="AM310" i="1"/>
  <c r="AK310" i="1"/>
  <c r="AF310" i="1"/>
  <c r="AD310" i="1"/>
  <c r="AD315" i="1" s="1"/>
  <c r="AB310" i="1"/>
  <c r="AJ310" i="1" s="1"/>
  <c r="AA310" i="1"/>
  <c r="Z310" i="1"/>
  <c r="K310" i="1"/>
  <c r="L310" i="1" s="1"/>
  <c r="AH302" i="1" s="1"/>
  <c r="J310" i="1"/>
  <c r="H310" i="1"/>
  <c r="G310" i="1"/>
  <c r="I310" i="1" s="1"/>
  <c r="F310" i="1"/>
  <c r="N310" i="1" s="1"/>
  <c r="E310" i="1"/>
  <c r="AM309" i="1"/>
  <c r="AK309" i="1"/>
  <c r="AG309" i="1"/>
  <c r="AE309" i="1"/>
  <c r="AD309" i="1"/>
  <c r="AA309" i="1"/>
  <c r="Z309" i="1"/>
  <c r="T309" i="1"/>
  <c r="U309" i="1" s="1"/>
  <c r="AQ301" i="1" s="1"/>
  <c r="K309" i="1"/>
  <c r="J309" i="1"/>
  <c r="I309" i="1"/>
  <c r="H309" i="1"/>
  <c r="G309" i="1"/>
  <c r="F309" i="1"/>
  <c r="AB301" i="1" s="1"/>
  <c r="AJ301" i="1" s="1"/>
  <c r="E309" i="1"/>
  <c r="T308" i="1"/>
  <c r="U308" i="1" s="1"/>
  <c r="AQ300" i="1" s="1"/>
  <c r="L308" i="1"/>
  <c r="AH300" i="1" s="1"/>
  <c r="K308" i="1"/>
  <c r="J308" i="1"/>
  <c r="AF300" i="1" s="1"/>
  <c r="I308" i="1"/>
  <c r="AE300" i="1" s="1"/>
  <c r="H308" i="1"/>
  <c r="G308" i="1"/>
  <c r="F308" i="1"/>
  <c r="N308" i="1" s="1"/>
  <c r="E308" i="1"/>
  <c r="T307" i="1"/>
  <c r="L307" i="1"/>
  <c r="AH311" i="1" s="1"/>
  <c r="K307" i="1"/>
  <c r="J307" i="1"/>
  <c r="AF311" i="1" s="1"/>
  <c r="I307" i="1"/>
  <c r="AE311" i="1" s="1"/>
  <c r="H307" i="1"/>
  <c r="AD311" i="1" s="1"/>
  <c r="G307" i="1"/>
  <c r="F307" i="1"/>
  <c r="N307" i="1" s="1"/>
  <c r="E307" i="1"/>
  <c r="AA306" i="1"/>
  <c r="N306" i="1"/>
  <c r="L306" i="1"/>
  <c r="AH319" i="1" s="1"/>
  <c r="K306" i="1"/>
  <c r="J306" i="1"/>
  <c r="H306" i="1"/>
  <c r="AD319" i="1" s="1"/>
  <c r="G306" i="1"/>
  <c r="AC319" i="1" s="1"/>
  <c r="F306" i="1"/>
  <c r="E306" i="1"/>
  <c r="AM305" i="1"/>
  <c r="AK305" i="1"/>
  <c r="AF305" i="1"/>
  <c r="AD305" i="1"/>
  <c r="AC305" i="1"/>
  <c r="AB305" i="1"/>
  <c r="AJ305" i="1" s="1"/>
  <c r="AA305" i="1"/>
  <c r="Z305" i="1"/>
  <c r="K305" i="1"/>
  <c r="AG310" i="1" s="1"/>
  <c r="J305" i="1"/>
  <c r="L305" i="1" s="1"/>
  <c r="AH310" i="1" s="1"/>
  <c r="H305" i="1"/>
  <c r="G305" i="1"/>
  <c r="AC310" i="1" s="1"/>
  <c r="F305" i="1"/>
  <c r="N305" i="1" s="1"/>
  <c r="E305" i="1"/>
  <c r="AM304" i="1"/>
  <c r="AK304" i="1"/>
  <c r="AG304" i="1"/>
  <c r="AF304" i="1"/>
  <c r="AE304" i="1"/>
  <c r="AD304" i="1"/>
  <c r="AC304" i="1"/>
  <c r="AA304" i="1"/>
  <c r="Z304" i="1"/>
  <c r="T304" i="1"/>
  <c r="L304" i="1"/>
  <c r="AH309" i="1" s="1"/>
  <c r="K304" i="1"/>
  <c r="J304" i="1"/>
  <c r="AF309" i="1" s="1"/>
  <c r="AF315" i="1" s="1"/>
  <c r="I304" i="1"/>
  <c r="H304" i="1"/>
  <c r="G304" i="1"/>
  <c r="AC309" i="1" s="1"/>
  <c r="AC315" i="1" s="1"/>
  <c r="F304" i="1"/>
  <c r="AB309" i="1" s="1"/>
  <c r="E304" i="1"/>
  <c r="AM303" i="1"/>
  <c r="AK303" i="1"/>
  <c r="AJ303" i="1"/>
  <c r="AH303" i="1"/>
  <c r="AG303" i="1"/>
  <c r="AF303" i="1"/>
  <c r="AD303" i="1"/>
  <c r="AB303" i="1"/>
  <c r="AA303" i="1"/>
  <c r="Z303" i="1"/>
  <c r="L303" i="1"/>
  <c r="K303" i="1"/>
  <c r="J303" i="1"/>
  <c r="J321" i="1" s="1"/>
  <c r="H303" i="1"/>
  <c r="H321" i="1" s="1"/>
  <c r="G303" i="1"/>
  <c r="F303" i="1"/>
  <c r="E303" i="1"/>
  <c r="AA318" i="1" s="1"/>
  <c r="AM302" i="1"/>
  <c r="AK302" i="1"/>
  <c r="AK306" i="1" s="1"/>
  <c r="AG302" i="1"/>
  <c r="AF302" i="1"/>
  <c r="AD302" i="1"/>
  <c r="AC302" i="1"/>
  <c r="AB302" i="1"/>
  <c r="AJ302" i="1" s="1"/>
  <c r="AA302" i="1"/>
  <c r="Z302" i="1"/>
  <c r="AM301" i="1"/>
  <c r="AG301" i="1"/>
  <c r="AG306" i="1" s="1"/>
  <c r="AE301" i="1"/>
  <c r="AD301" i="1"/>
  <c r="AC301" i="1"/>
  <c r="AA301" i="1"/>
  <c r="Z301" i="1"/>
  <c r="AP300" i="1"/>
  <c r="AM300" i="1"/>
  <c r="AK300" i="1"/>
  <c r="AG300" i="1"/>
  <c r="AD300" i="1"/>
  <c r="AC300" i="1"/>
  <c r="AB300" i="1"/>
  <c r="AJ300" i="1" s="1"/>
  <c r="AA300" i="1"/>
  <c r="Z300" i="1"/>
  <c r="Z306" i="1" s="1"/>
  <c r="AM296" i="1"/>
  <c r="AK296" i="1"/>
  <c r="AG296" i="1"/>
  <c r="Z296" i="1"/>
  <c r="AP295" i="1"/>
  <c r="AM295" i="1"/>
  <c r="AK295" i="1"/>
  <c r="AJ295" i="1"/>
  <c r="AB295" i="1"/>
  <c r="Z295" i="1"/>
  <c r="AM294" i="1"/>
  <c r="AK294" i="1"/>
  <c r="AE294" i="1"/>
  <c r="AB294" i="1"/>
  <c r="AJ294" i="1" s="1"/>
  <c r="Z294" i="1"/>
  <c r="O294" i="1"/>
  <c r="D294" i="1"/>
  <c r="AP293" i="1"/>
  <c r="AM293" i="1"/>
  <c r="AK293" i="1"/>
  <c r="AJ293" i="1"/>
  <c r="AG293" i="1"/>
  <c r="AB293" i="1"/>
  <c r="Z293" i="1"/>
  <c r="L293" i="1"/>
  <c r="K293" i="1"/>
  <c r="J293" i="1"/>
  <c r="H293" i="1"/>
  <c r="G293" i="1"/>
  <c r="F293" i="1"/>
  <c r="N293" i="1" s="1"/>
  <c r="E293" i="1"/>
  <c r="AA278" i="1" s="1"/>
  <c r="AM292" i="1"/>
  <c r="AK292" i="1"/>
  <c r="AC292" i="1"/>
  <c r="AB292" i="1"/>
  <c r="AJ292" i="1" s="1"/>
  <c r="Z292" i="1"/>
  <c r="T292" i="1"/>
  <c r="K292" i="1"/>
  <c r="J292" i="1"/>
  <c r="H292" i="1"/>
  <c r="AD277" i="1" s="1"/>
  <c r="G292" i="1"/>
  <c r="F292" i="1"/>
  <c r="N292" i="1" s="1"/>
  <c r="E292" i="1"/>
  <c r="AP291" i="1"/>
  <c r="AM291" i="1"/>
  <c r="AK291" i="1"/>
  <c r="AK297" i="1" s="1"/>
  <c r="AF291" i="1"/>
  <c r="Z291" i="1"/>
  <c r="Z297" i="1" s="1"/>
  <c r="T291" i="1"/>
  <c r="AP287" i="1" s="1"/>
  <c r="M291" i="1"/>
  <c r="K291" i="1"/>
  <c r="AG287" i="1" s="1"/>
  <c r="J291" i="1"/>
  <c r="L291" i="1" s="1"/>
  <c r="AH287" i="1" s="1"/>
  <c r="H291" i="1"/>
  <c r="G291" i="1"/>
  <c r="I291" i="1" s="1"/>
  <c r="F291" i="1"/>
  <c r="N291" i="1" s="1"/>
  <c r="E291" i="1"/>
  <c r="AA287" i="1" s="1"/>
  <c r="T290" i="1"/>
  <c r="K290" i="1"/>
  <c r="AG286" i="1" s="1"/>
  <c r="J290" i="1"/>
  <c r="L290" i="1" s="1"/>
  <c r="H290" i="1"/>
  <c r="G290" i="1"/>
  <c r="I290" i="1" s="1"/>
  <c r="F290" i="1"/>
  <c r="E290" i="1"/>
  <c r="AA286" i="1" s="1"/>
  <c r="T289" i="1"/>
  <c r="AP276" i="1" s="1"/>
  <c r="K289" i="1"/>
  <c r="AG276" i="1" s="1"/>
  <c r="J289" i="1"/>
  <c r="H289" i="1"/>
  <c r="G289" i="1"/>
  <c r="I289" i="1" s="1"/>
  <c r="AE276" i="1" s="1"/>
  <c r="F289" i="1"/>
  <c r="N289" i="1" s="1"/>
  <c r="AJ276" i="1" s="1"/>
  <c r="E289" i="1"/>
  <c r="AA276" i="1" s="1"/>
  <c r="Z288" i="1"/>
  <c r="T288" i="1"/>
  <c r="L288" i="1"/>
  <c r="K288" i="1"/>
  <c r="J288" i="1"/>
  <c r="H288" i="1"/>
  <c r="G288" i="1"/>
  <c r="F288" i="1"/>
  <c r="E288" i="1"/>
  <c r="AA285" i="1" s="1"/>
  <c r="AJ285" i="1" s="1"/>
  <c r="AM287" i="1"/>
  <c r="AK287" i="1"/>
  <c r="AE287" i="1"/>
  <c r="AD287" i="1"/>
  <c r="AC287" i="1"/>
  <c r="AB287" i="1"/>
  <c r="AJ287" i="1" s="1"/>
  <c r="Z287" i="1"/>
  <c r="T287" i="1"/>
  <c r="K287" i="1"/>
  <c r="J287" i="1"/>
  <c r="H287" i="1"/>
  <c r="AD296" i="1" s="1"/>
  <c r="G287" i="1"/>
  <c r="F287" i="1"/>
  <c r="N287" i="1" s="1"/>
  <c r="E287" i="1"/>
  <c r="AA296" i="1" s="1"/>
  <c r="AP286" i="1"/>
  <c r="AM286" i="1"/>
  <c r="AK286" i="1"/>
  <c r="AH286" i="1"/>
  <c r="AF286" i="1"/>
  <c r="AD286" i="1"/>
  <c r="AB286" i="1"/>
  <c r="Z286" i="1"/>
  <c r="T286" i="1"/>
  <c r="K286" i="1"/>
  <c r="AG295" i="1" s="1"/>
  <c r="J286" i="1"/>
  <c r="H286" i="1"/>
  <c r="AD295" i="1" s="1"/>
  <c r="G286" i="1"/>
  <c r="I286" i="1" s="1"/>
  <c r="AE295" i="1" s="1"/>
  <c r="F286" i="1"/>
  <c r="N286" i="1" s="1"/>
  <c r="E286" i="1"/>
  <c r="AA295" i="1" s="1"/>
  <c r="AP285" i="1"/>
  <c r="AM285" i="1"/>
  <c r="AH285" i="1"/>
  <c r="AG285" i="1"/>
  <c r="AF285" i="1"/>
  <c r="AD285" i="1"/>
  <c r="AB285" i="1"/>
  <c r="Z285" i="1"/>
  <c r="T285" i="1"/>
  <c r="U285" i="1" s="1"/>
  <c r="AQ294" i="1" s="1"/>
  <c r="M285" i="1"/>
  <c r="L285" i="1"/>
  <c r="AH294" i="1" s="1"/>
  <c r="K285" i="1"/>
  <c r="AG294" i="1" s="1"/>
  <c r="J285" i="1"/>
  <c r="AF294" i="1" s="1"/>
  <c r="H285" i="1"/>
  <c r="AD294" i="1" s="1"/>
  <c r="G285" i="1"/>
  <c r="I285" i="1" s="1"/>
  <c r="F285" i="1"/>
  <c r="N285" i="1" s="1"/>
  <c r="E285" i="1"/>
  <c r="AA294" i="1" s="1"/>
  <c r="AM284" i="1"/>
  <c r="AK284" i="1"/>
  <c r="AC284" i="1"/>
  <c r="Z284" i="1"/>
  <c r="T284" i="1"/>
  <c r="U284" i="1" s="1"/>
  <c r="AQ293" i="1" s="1"/>
  <c r="K284" i="1"/>
  <c r="J284" i="1"/>
  <c r="H284" i="1"/>
  <c r="AD293" i="1" s="1"/>
  <c r="G284" i="1"/>
  <c r="I284" i="1" s="1"/>
  <c r="F284" i="1"/>
  <c r="N284" i="1" s="1"/>
  <c r="E284" i="1"/>
  <c r="AA293" i="1" s="1"/>
  <c r="AP283" i="1"/>
  <c r="AM283" i="1"/>
  <c r="AK283" i="1"/>
  <c r="AF283" i="1"/>
  <c r="Z283" i="1"/>
  <c r="T283" i="1"/>
  <c r="AP275" i="1" s="1"/>
  <c r="K283" i="1"/>
  <c r="J283" i="1"/>
  <c r="L283" i="1" s="1"/>
  <c r="AH275" i="1" s="1"/>
  <c r="H283" i="1"/>
  <c r="G283" i="1"/>
  <c r="I283" i="1" s="1"/>
  <c r="AE275" i="1" s="1"/>
  <c r="F283" i="1"/>
  <c r="N283" i="1" s="1"/>
  <c r="E283" i="1"/>
  <c r="U283" i="1" s="1"/>
  <c r="AQ275" i="1" s="1"/>
  <c r="AM282" i="1"/>
  <c r="AK282" i="1"/>
  <c r="AC282" i="1"/>
  <c r="AA282" i="1"/>
  <c r="Z282" i="1"/>
  <c r="K282" i="1"/>
  <c r="J282" i="1"/>
  <c r="L282" i="1" s="1"/>
  <c r="AH274" i="1" s="1"/>
  <c r="H282" i="1"/>
  <c r="G282" i="1"/>
  <c r="F282" i="1"/>
  <c r="N282" i="1" s="1"/>
  <c r="E282" i="1"/>
  <c r="K281" i="1"/>
  <c r="J281" i="1"/>
  <c r="L281" i="1" s="1"/>
  <c r="AH273" i="1" s="1"/>
  <c r="H281" i="1"/>
  <c r="G281" i="1"/>
  <c r="F281" i="1"/>
  <c r="N281" i="1" s="1"/>
  <c r="E281" i="1"/>
  <c r="AA273" i="1" s="1"/>
  <c r="K280" i="1"/>
  <c r="AG284" i="1" s="1"/>
  <c r="J280" i="1"/>
  <c r="L280" i="1" s="1"/>
  <c r="AH284" i="1" s="1"/>
  <c r="H280" i="1"/>
  <c r="G280" i="1"/>
  <c r="F280" i="1"/>
  <c r="N280" i="1" s="1"/>
  <c r="E280" i="1"/>
  <c r="AA284" i="1" s="1"/>
  <c r="T279" i="1"/>
  <c r="K279" i="1"/>
  <c r="AG292" i="1" s="1"/>
  <c r="J279" i="1"/>
  <c r="H279" i="1"/>
  <c r="AD292" i="1" s="1"/>
  <c r="G279" i="1"/>
  <c r="I279" i="1" s="1"/>
  <c r="AE292" i="1" s="1"/>
  <c r="F279" i="1"/>
  <c r="N279" i="1" s="1"/>
  <c r="E279" i="1"/>
  <c r="AA292" i="1" s="1"/>
  <c r="AM278" i="1"/>
  <c r="AK278" i="1"/>
  <c r="AH278" i="1"/>
  <c r="AG278" i="1"/>
  <c r="AF278" i="1"/>
  <c r="AD278" i="1"/>
  <c r="AB278" i="1"/>
  <c r="AJ278" i="1" s="1"/>
  <c r="Z278" i="1"/>
  <c r="T278" i="1"/>
  <c r="K278" i="1"/>
  <c r="AG283" i="1" s="1"/>
  <c r="J278" i="1"/>
  <c r="L278" i="1" s="1"/>
  <c r="AH283" i="1" s="1"/>
  <c r="AH288" i="1" s="1"/>
  <c r="H278" i="1"/>
  <c r="AD283" i="1" s="1"/>
  <c r="G278" i="1"/>
  <c r="I278" i="1" s="1"/>
  <c r="F278" i="1"/>
  <c r="AB283" i="1" s="1"/>
  <c r="E278" i="1"/>
  <c r="AA283" i="1" s="1"/>
  <c r="AM277" i="1"/>
  <c r="AK277" i="1"/>
  <c r="AK279" i="1" s="1"/>
  <c r="AG277" i="1"/>
  <c r="AC277" i="1"/>
  <c r="AB277" i="1"/>
  <c r="AA277" i="1"/>
  <c r="Z277" i="1"/>
  <c r="K277" i="1"/>
  <c r="AG282" i="1" s="1"/>
  <c r="AG288" i="1" s="1"/>
  <c r="J277" i="1"/>
  <c r="L277" i="1" s="1"/>
  <c r="AH282" i="1" s="1"/>
  <c r="H277" i="1"/>
  <c r="G277" i="1"/>
  <c r="F277" i="1"/>
  <c r="N277" i="1" s="1"/>
  <c r="E277" i="1"/>
  <c r="AM276" i="1"/>
  <c r="AK276" i="1"/>
  <c r="AF276" i="1"/>
  <c r="AD276" i="1"/>
  <c r="AC276" i="1"/>
  <c r="AB276" i="1"/>
  <c r="Z276" i="1"/>
  <c r="U276" i="1"/>
  <c r="AQ291" i="1" s="1"/>
  <c r="K276" i="1"/>
  <c r="J276" i="1"/>
  <c r="J294" i="1" s="1"/>
  <c r="I276" i="1"/>
  <c r="H276" i="1"/>
  <c r="G276" i="1"/>
  <c r="F276" i="1"/>
  <c r="T276" i="1" s="1"/>
  <c r="E276" i="1"/>
  <c r="AM275" i="1"/>
  <c r="AK275" i="1"/>
  <c r="AG275" i="1"/>
  <c r="AF275" i="1"/>
  <c r="AD275" i="1"/>
  <c r="AC275" i="1"/>
  <c r="AB275" i="1"/>
  <c r="AA275" i="1"/>
  <c r="Z275" i="1"/>
  <c r="AM274" i="1"/>
  <c r="AG274" i="1"/>
  <c r="AF274" i="1"/>
  <c r="AC274" i="1"/>
  <c r="AA274" i="1"/>
  <c r="Z274" i="1"/>
  <c r="AM273" i="1"/>
  <c r="AK273" i="1"/>
  <c r="AG273" i="1"/>
  <c r="AF273" i="1"/>
  <c r="AC273" i="1"/>
  <c r="Z273" i="1"/>
  <c r="Z279" i="1" s="1"/>
  <c r="Z270" i="1"/>
  <c r="AM269" i="1"/>
  <c r="AK269" i="1"/>
  <c r="AC269" i="1"/>
  <c r="AA269" i="1"/>
  <c r="Z269" i="1"/>
  <c r="AM268" i="1"/>
  <c r="AK268" i="1"/>
  <c r="AF268" i="1"/>
  <c r="AD268" i="1"/>
  <c r="Z268" i="1"/>
  <c r="AM267" i="1"/>
  <c r="AK267" i="1"/>
  <c r="AF267" i="1"/>
  <c r="AA267" i="1"/>
  <c r="Z267" i="1"/>
  <c r="O267" i="1"/>
  <c r="D267" i="1"/>
  <c r="AM266" i="1"/>
  <c r="AK266" i="1"/>
  <c r="AF266" i="1"/>
  <c r="AD266" i="1"/>
  <c r="AC266" i="1"/>
  <c r="Z266" i="1"/>
  <c r="U266" i="1"/>
  <c r="AQ251" i="1" s="1"/>
  <c r="K266" i="1"/>
  <c r="AG251" i="1" s="1"/>
  <c r="J266" i="1"/>
  <c r="I266" i="1"/>
  <c r="H266" i="1"/>
  <c r="G266" i="1"/>
  <c r="F266" i="1"/>
  <c r="T266" i="1" s="1"/>
  <c r="AP251" i="1" s="1"/>
  <c r="E266" i="1"/>
  <c r="AM265" i="1"/>
  <c r="AK265" i="1"/>
  <c r="AG265" i="1"/>
  <c r="AF265" i="1"/>
  <c r="AA265" i="1"/>
  <c r="Z265" i="1"/>
  <c r="N265" i="1"/>
  <c r="L265" i="1"/>
  <c r="AH250" i="1" s="1"/>
  <c r="K265" i="1"/>
  <c r="J265" i="1"/>
  <c r="H265" i="1"/>
  <c r="I265" i="1" s="1"/>
  <c r="G265" i="1"/>
  <c r="F265" i="1"/>
  <c r="E265" i="1"/>
  <c r="AM264" i="1"/>
  <c r="AK264" i="1"/>
  <c r="AD264" i="1"/>
  <c r="AB264" i="1"/>
  <c r="Z264" i="1"/>
  <c r="K264" i="1"/>
  <c r="L264" i="1" s="1"/>
  <c r="AH260" i="1" s="1"/>
  <c r="J264" i="1"/>
  <c r="I264" i="1"/>
  <c r="H264" i="1"/>
  <c r="G264" i="1"/>
  <c r="AC260" i="1" s="1"/>
  <c r="F264" i="1"/>
  <c r="N264" i="1" s="1"/>
  <c r="E264" i="1"/>
  <c r="K263" i="1"/>
  <c r="L263" i="1" s="1"/>
  <c r="AH259" i="1" s="1"/>
  <c r="J263" i="1"/>
  <c r="H263" i="1"/>
  <c r="G263" i="1"/>
  <c r="F263" i="1"/>
  <c r="N263" i="1" s="1"/>
  <c r="E263" i="1"/>
  <c r="K262" i="1"/>
  <c r="J262" i="1"/>
  <c r="L262" i="1" s="1"/>
  <c r="AH249" i="1" s="1"/>
  <c r="H262" i="1"/>
  <c r="G262" i="1"/>
  <c r="AC249" i="1" s="1"/>
  <c r="F262" i="1"/>
  <c r="N262" i="1" s="1"/>
  <c r="AJ249" i="1" s="1"/>
  <c r="E262" i="1"/>
  <c r="AK261" i="1"/>
  <c r="AD261" i="1"/>
  <c r="K261" i="1"/>
  <c r="AG258" i="1" s="1"/>
  <c r="J261" i="1"/>
  <c r="I261" i="1"/>
  <c r="H261" i="1"/>
  <c r="G261" i="1"/>
  <c r="F261" i="1"/>
  <c r="T261" i="1" s="1"/>
  <c r="E261" i="1"/>
  <c r="AA258" i="1" s="1"/>
  <c r="AM260" i="1"/>
  <c r="AK260" i="1"/>
  <c r="AG260" i="1"/>
  <c r="AF260" i="1"/>
  <c r="AD260" i="1"/>
  <c r="AA260" i="1"/>
  <c r="Z260" i="1"/>
  <c r="L260" i="1"/>
  <c r="AH269" i="1" s="1"/>
  <c r="K260" i="1"/>
  <c r="AG269" i="1" s="1"/>
  <c r="J260" i="1"/>
  <c r="AF269" i="1" s="1"/>
  <c r="H260" i="1"/>
  <c r="I260" i="1" s="1"/>
  <c r="G260" i="1"/>
  <c r="F260" i="1"/>
  <c r="N260" i="1" s="1"/>
  <c r="E260" i="1"/>
  <c r="AM259" i="1"/>
  <c r="AK259" i="1"/>
  <c r="AJ259" i="1"/>
  <c r="AF259" i="1"/>
  <c r="AD259" i="1"/>
  <c r="AB259" i="1"/>
  <c r="AA259" i="1"/>
  <c r="Z259" i="1"/>
  <c r="K259" i="1"/>
  <c r="AG268" i="1" s="1"/>
  <c r="J259" i="1"/>
  <c r="L259" i="1" s="1"/>
  <c r="AH268" i="1" s="1"/>
  <c r="I259" i="1"/>
  <c r="H259" i="1"/>
  <c r="G259" i="1"/>
  <c r="AC268" i="1" s="1"/>
  <c r="F259" i="1"/>
  <c r="N259" i="1" s="1"/>
  <c r="E259" i="1"/>
  <c r="AA268" i="1" s="1"/>
  <c r="AM258" i="1"/>
  <c r="AF258" i="1"/>
  <c r="AD258" i="1"/>
  <c r="AC258" i="1"/>
  <c r="AB258" i="1"/>
  <c r="AJ258" i="1" s="1"/>
  <c r="Z258" i="1"/>
  <c r="K258" i="1"/>
  <c r="AG267" i="1" s="1"/>
  <c r="J258" i="1"/>
  <c r="L258" i="1" s="1"/>
  <c r="AH267" i="1" s="1"/>
  <c r="I258" i="1"/>
  <c r="H258" i="1"/>
  <c r="AD267" i="1" s="1"/>
  <c r="G258" i="1"/>
  <c r="AC267" i="1" s="1"/>
  <c r="F258" i="1"/>
  <c r="T258" i="1" s="1"/>
  <c r="AP267" i="1" s="1"/>
  <c r="E258" i="1"/>
  <c r="AM257" i="1"/>
  <c r="AK257" i="1"/>
  <c r="AG257" i="1"/>
  <c r="AC257" i="1"/>
  <c r="AA257" i="1"/>
  <c r="Z257" i="1"/>
  <c r="L257" i="1"/>
  <c r="AH266" i="1" s="1"/>
  <c r="K257" i="1"/>
  <c r="AG266" i="1" s="1"/>
  <c r="J257" i="1"/>
  <c r="H257" i="1"/>
  <c r="G257" i="1"/>
  <c r="I257" i="1" s="1"/>
  <c r="F257" i="1"/>
  <c r="E257" i="1"/>
  <c r="AA266" i="1" s="1"/>
  <c r="AM256" i="1"/>
  <c r="AK256" i="1"/>
  <c r="AD256" i="1"/>
  <c r="AB256" i="1"/>
  <c r="AJ256" i="1" s="1"/>
  <c r="AA256" i="1"/>
  <c r="Z256" i="1"/>
  <c r="K256" i="1"/>
  <c r="J256" i="1"/>
  <c r="L256" i="1" s="1"/>
  <c r="AH248" i="1" s="1"/>
  <c r="H256" i="1"/>
  <c r="G256" i="1"/>
  <c r="I256" i="1" s="1"/>
  <c r="M256" i="1" s="1"/>
  <c r="F256" i="1"/>
  <c r="N256" i="1" s="1"/>
  <c r="E256" i="1"/>
  <c r="AM255" i="1"/>
  <c r="AK255" i="1"/>
  <c r="AG255" i="1"/>
  <c r="AE255" i="1"/>
  <c r="AD255" i="1"/>
  <c r="Z255" i="1"/>
  <c r="Z261" i="1" s="1"/>
  <c r="T255" i="1"/>
  <c r="U255" i="1" s="1"/>
  <c r="AQ247" i="1" s="1"/>
  <c r="L255" i="1"/>
  <c r="AH247" i="1" s="1"/>
  <c r="K255" i="1"/>
  <c r="J255" i="1"/>
  <c r="AF247" i="1" s="1"/>
  <c r="I255" i="1"/>
  <c r="M255" i="1" s="1"/>
  <c r="H255" i="1"/>
  <c r="G255" i="1"/>
  <c r="F255" i="1"/>
  <c r="N255" i="1" s="1"/>
  <c r="E255" i="1"/>
  <c r="T254" i="1"/>
  <c r="U254" i="1" s="1"/>
  <c r="AQ246" i="1" s="1"/>
  <c r="K254" i="1"/>
  <c r="J254" i="1"/>
  <c r="AF246" i="1" s="1"/>
  <c r="AF252" i="1" s="1"/>
  <c r="I254" i="1"/>
  <c r="AE246" i="1" s="1"/>
  <c r="H254" i="1"/>
  <c r="G254" i="1"/>
  <c r="F254" i="1"/>
  <c r="N254" i="1" s="1"/>
  <c r="E254" i="1"/>
  <c r="T253" i="1"/>
  <c r="K253" i="1"/>
  <c r="J253" i="1"/>
  <c r="AF257" i="1" s="1"/>
  <c r="I253" i="1"/>
  <c r="AE257" i="1" s="1"/>
  <c r="H253" i="1"/>
  <c r="AD257" i="1" s="1"/>
  <c r="G253" i="1"/>
  <c r="F253" i="1"/>
  <c r="N253" i="1" s="1"/>
  <c r="E253" i="1"/>
  <c r="AA252" i="1"/>
  <c r="L252" i="1"/>
  <c r="AH265" i="1" s="1"/>
  <c r="K252" i="1"/>
  <c r="J252" i="1"/>
  <c r="H252" i="1"/>
  <c r="AD265" i="1" s="1"/>
  <c r="G252" i="1"/>
  <c r="I252" i="1" s="1"/>
  <c r="F252" i="1"/>
  <c r="N252" i="1" s="1"/>
  <c r="E252" i="1"/>
  <c r="AM251" i="1"/>
  <c r="AK251" i="1"/>
  <c r="AJ251" i="1"/>
  <c r="AF251" i="1"/>
  <c r="AD251" i="1"/>
  <c r="AC251" i="1"/>
  <c r="AB251" i="1"/>
  <c r="AA251" i="1"/>
  <c r="Z251" i="1"/>
  <c r="K251" i="1"/>
  <c r="AG256" i="1" s="1"/>
  <c r="J251" i="1"/>
  <c r="L251" i="1" s="1"/>
  <c r="AH256" i="1" s="1"/>
  <c r="H251" i="1"/>
  <c r="G251" i="1"/>
  <c r="F251" i="1"/>
  <c r="N251" i="1" s="1"/>
  <c r="E251" i="1"/>
  <c r="AM250" i="1"/>
  <c r="AK250" i="1"/>
  <c r="AG250" i="1"/>
  <c r="AF250" i="1"/>
  <c r="AE250" i="1"/>
  <c r="AD250" i="1"/>
  <c r="AC250" i="1"/>
  <c r="AA250" i="1"/>
  <c r="Z250" i="1"/>
  <c r="T250" i="1"/>
  <c r="K250" i="1"/>
  <c r="J250" i="1"/>
  <c r="AF255" i="1" s="1"/>
  <c r="I250" i="1"/>
  <c r="H250" i="1"/>
  <c r="G250" i="1"/>
  <c r="AC255" i="1" s="1"/>
  <c r="F250" i="1"/>
  <c r="AB255" i="1" s="1"/>
  <c r="E250" i="1"/>
  <c r="AA255" i="1" s="1"/>
  <c r="AM249" i="1"/>
  <c r="AK249" i="1"/>
  <c r="AG249" i="1"/>
  <c r="AF249" i="1"/>
  <c r="AD249" i="1"/>
  <c r="AB249" i="1"/>
  <c r="AA249" i="1"/>
  <c r="Z249" i="1"/>
  <c r="L249" i="1"/>
  <c r="K249" i="1"/>
  <c r="J249" i="1"/>
  <c r="H249" i="1"/>
  <c r="H267" i="1" s="1"/>
  <c r="G249" i="1"/>
  <c r="F249" i="1"/>
  <c r="E249" i="1"/>
  <c r="AA264" i="1" s="1"/>
  <c r="AA270" i="1" s="1"/>
  <c r="AM248" i="1"/>
  <c r="AK248" i="1"/>
  <c r="AG248" i="1"/>
  <c r="AF248" i="1"/>
  <c r="AE248" i="1"/>
  <c r="AD248" i="1"/>
  <c r="AC248" i="1"/>
  <c r="AB248" i="1"/>
  <c r="AJ248" i="1" s="1"/>
  <c r="AA248" i="1"/>
  <c r="Z248" i="1"/>
  <c r="AP247" i="1"/>
  <c r="AM247" i="1"/>
  <c r="AG247" i="1"/>
  <c r="AG252" i="1" s="1"/>
  <c r="AE247" i="1"/>
  <c r="AD247" i="1"/>
  <c r="AC247" i="1"/>
  <c r="AB247" i="1"/>
  <c r="AJ247" i="1" s="1"/>
  <c r="AA247" i="1"/>
  <c r="Z247" i="1"/>
  <c r="AP246" i="1"/>
  <c r="AM246" i="1"/>
  <c r="AK246" i="1"/>
  <c r="AK252" i="1" s="1"/>
  <c r="AG246" i="1"/>
  <c r="AD246" i="1"/>
  <c r="AC246" i="1"/>
  <c r="AC252" i="1" s="1"/>
  <c r="AB246" i="1"/>
  <c r="AJ246" i="1" s="1"/>
  <c r="AA246" i="1"/>
  <c r="Z246" i="1"/>
  <c r="AM242" i="1"/>
  <c r="AK242" i="1"/>
  <c r="AG242" i="1"/>
  <c r="Z242" i="1"/>
  <c r="AM241" i="1"/>
  <c r="AK241" i="1"/>
  <c r="AJ241" i="1"/>
  <c r="AB241" i="1"/>
  <c r="Z241" i="1"/>
  <c r="AM240" i="1"/>
  <c r="AK240" i="1"/>
  <c r="AJ240" i="1"/>
  <c r="AB240" i="1"/>
  <c r="Z240" i="1"/>
  <c r="O240" i="1"/>
  <c r="D240" i="1"/>
  <c r="AM239" i="1"/>
  <c r="AK239" i="1"/>
  <c r="AG239" i="1"/>
  <c r="AB239" i="1"/>
  <c r="AJ239" i="1" s="1"/>
  <c r="Z239" i="1"/>
  <c r="L239" i="1"/>
  <c r="K239" i="1"/>
  <c r="J239" i="1"/>
  <c r="H239" i="1"/>
  <c r="G239" i="1"/>
  <c r="F239" i="1"/>
  <c r="N239" i="1" s="1"/>
  <c r="E239" i="1"/>
  <c r="AA224" i="1" s="1"/>
  <c r="AM238" i="1"/>
  <c r="AK238" i="1"/>
  <c r="AB238" i="1"/>
  <c r="AJ238" i="1" s="1"/>
  <c r="Z238" i="1"/>
  <c r="T238" i="1"/>
  <c r="U238" i="1" s="1"/>
  <c r="K238" i="1"/>
  <c r="J238" i="1"/>
  <c r="H238" i="1"/>
  <c r="AD223" i="1" s="1"/>
  <c r="G238" i="1"/>
  <c r="I238" i="1" s="1"/>
  <c r="F238" i="1"/>
  <c r="N238" i="1" s="1"/>
  <c r="E238" i="1"/>
  <c r="AM237" i="1"/>
  <c r="AK237" i="1"/>
  <c r="AK243" i="1" s="1"/>
  <c r="AF237" i="1"/>
  <c r="Z237" i="1"/>
  <c r="T237" i="1"/>
  <c r="AP233" i="1" s="1"/>
  <c r="K237" i="1"/>
  <c r="AG233" i="1" s="1"/>
  <c r="J237" i="1"/>
  <c r="H237" i="1"/>
  <c r="G237" i="1"/>
  <c r="I237" i="1" s="1"/>
  <c r="AE233" i="1" s="1"/>
  <c r="F237" i="1"/>
  <c r="E237" i="1"/>
  <c r="AA233" i="1" s="1"/>
  <c r="T236" i="1"/>
  <c r="M236" i="1"/>
  <c r="K236" i="1"/>
  <c r="AG232" i="1" s="1"/>
  <c r="J236" i="1"/>
  <c r="L236" i="1" s="1"/>
  <c r="H236" i="1"/>
  <c r="G236" i="1"/>
  <c r="I236" i="1" s="1"/>
  <c r="F236" i="1"/>
  <c r="E236" i="1"/>
  <c r="AA232" i="1" s="1"/>
  <c r="T235" i="1"/>
  <c r="K235" i="1"/>
  <c r="AG222" i="1" s="1"/>
  <c r="J235" i="1"/>
  <c r="AF222" i="1" s="1"/>
  <c r="H235" i="1"/>
  <c r="G235" i="1"/>
  <c r="I235" i="1" s="1"/>
  <c r="AE222" i="1" s="1"/>
  <c r="F235" i="1"/>
  <c r="N235" i="1" s="1"/>
  <c r="AJ222" i="1" s="1"/>
  <c r="E235" i="1"/>
  <c r="AA222" i="1" s="1"/>
  <c r="T234" i="1"/>
  <c r="U234" i="1" s="1"/>
  <c r="L234" i="1"/>
  <c r="AH231" i="1" s="1"/>
  <c r="K234" i="1"/>
  <c r="J234" i="1"/>
  <c r="H234" i="1"/>
  <c r="G234" i="1"/>
  <c r="F234" i="1"/>
  <c r="N234" i="1" s="1"/>
  <c r="E234" i="1"/>
  <c r="AA231" i="1" s="1"/>
  <c r="AM233" i="1"/>
  <c r="AK233" i="1"/>
  <c r="AD233" i="1"/>
  <c r="AC233" i="1"/>
  <c r="AB233" i="1"/>
  <c r="AJ233" i="1" s="1"/>
  <c r="Z233" i="1"/>
  <c r="T233" i="1"/>
  <c r="K233" i="1"/>
  <c r="J233" i="1"/>
  <c r="H233" i="1"/>
  <c r="AD242" i="1" s="1"/>
  <c r="G233" i="1"/>
  <c r="F233" i="1"/>
  <c r="N233" i="1" s="1"/>
  <c r="E233" i="1"/>
  <c r="AA242" i="1" s="1"/>
  <c r="AP232" i="1"/>
  <c r="AM232" i="1"/>
  <c r="AK232" i="1"/>
  <c r="AH232" i="1"/>
  <c r="AE232" i="1"/>
  <c r="AD232" i="1"/>
  <c r="AC232" i="1"/>
  <c r="AB232" i="1"/>
  <c r="Z232" i="1"/>
  <c r="T232" i="1"/>
  <c r="K232" i="1"/>
  <c r="AG241" i="1" s="1"/>
  <c r="J232" i="1"/>
  <c r="H232" i="1"/>
  <c r="AD241" i="1" s="1"/>
  <c r="G232" i="1"/>
  <c r="I232" i="1" s="1"/>
  <c r="AE241" i="1" s="1"/>
  <c r="F232" i="1"/>
  <c r="N232" i="1" s="1"/>
  <c r="E232" i="1"/>
  <c r="AA241" i="1" s="1"/>
  <c r="AQ231" i="1"/>
  <c r="AP231" i="1"/>
  <c r="AM231" i="1"/>
  <c r="AG231" i="1"/>
  <c r="AF231" i="1"/>
  <c r="AD231" i="1"/>
  <c r="AB231" i="1"/>
  <c r="AJ231" i="1" s="1"/>
  <c r="Z231" i="1"/>
  <c r="T231" i="1"/>
  <c r="U231" i="1" s="1"/>
  <c r="AQ240" i="1" s="1"/>
  <c r="L231" i="1"/>
  <c r="AH240" i="1" s="1"/>
  <c r="K231" i="1"/>
  <c r="AG240" i="1" s="1"/>
  <c r="J231" i="1"/>
  <c r="AF240" i="1" s="1"/>
  <c r="H231" i="1"/>
  <c r="AD240" i="1" s="1"/>
  <c r="G231" i="1"/>
  <c r="I231" i="1" s="1"/>
  <c r="AE240" i="1" s="1"/>
  <c r="F231" i="1"/>
  <c r="N231" i="1" s="1"/>
  <c r="E231" i="1"/>
  <c r="AA240" i="1" s="1"/>
  <c r="AM230" i="1"/>
  <c r="AK230" i="1"/>
  <c r="AJ230" i="1"/>
  <c r="AC230" i="1"/>
  <c r="AB230" i="1"/>
  <c r="Z230" i="1"/>
  <c r="T230" i="1"/>
  <c r="U230" i="1" s="1"/>
  <c r="AQ239" i="1" s="1"/>
  <c r="K230" i="1"/>
  <c r="J230" i="1"/>
  <c r="H230" i="1"/>
  <c r="AD239" i="1" s="1"/>
  <c r="G230" i="1"/>
  <c r="F230" i="1"/>
  <c r="N230" i="1" s="1"/>
  <c r="E230" i="1"/>
  <c r="AA239" i="1" s="1"/>
  <c r="AM229" i="1"/>
  <c r="AK229" i="1"/>
  <c r="AF229" i="1"/>
  <c r="Z229" i="1"/>
  <c r="Z234" i="1" s="1"/>
  <c r="T229" i="1"/>
  <c r="AP221" i="1" s="1"/>
  <c r="M229" i="1"/>
  <c r="K229" i="1"/>
  <c r="J229" i="1"/>
  <c r="L229" i="1" s="1"/>
  <c r="AH221" i="1" s="1"/>
  <c r="H229" i="1"/>
  <c r="G229" i="1"/>
  <c r="I229" i="1" s="1"/>
  <c r="AE221" i="1" s="1"/>
  <c r="F229" i="1"/>
  <c r="E229" i="1"/>
  <c r="U229" i="1" s="1"/>
  <c r="AQ221" i="1" s="1"/>
  <c r="AM228" i="1"/>
  <c r="AK228" i="1"/>
  <c r="AK234" i="1" s="1"/>
  <c r="AC228" i="1"/>
  <c r="Z228" i="1"/>
  <c r="K228" i="1"/>
  <c r="J228" i="1"/>
  <c r="L228" i="1" s="1"/>
  <c r="H228" i="1"/>
  <c r="G228" i="1"/>
  <c r="F228" i="1"/>
  <c r="E228" i="1"/>
  <c r="K227" i="1"/>
  <c r="J227" i="1"/>
  <c r="L227" i="1" s="1"/>
  <c r="AH219" i="1" s="1"/>
  <c r="H227" i="1"/>
  <c r="G227" i="1"/>
  <c r="F227" i="1"/>
  <c r="E227" i="1"/>
  <c r="AA219" i="1" s="1"/>
  <c r="K226" i="1"/>
  <c r="AG230" i="1" s="1"/>
  <c r="J226" i="1"/>
  <c r="L226" i="1" s="1"/>
  <c r="AH230" i="1" s="1"/>
  <c r="H226" i="1"/>
  <c r="AD230" i="1" s="1"/>
  <c r="G226" i="1"/>
  <c r="I226" i="1" s="1"/>
  <c r="F226" i="1"/>
  <c r="T226" i="1" s="1"/>
  <c r="E226" i="1"/>
  <c r="AA230" i="1" s="1"/>
  <c r="T225" i="1"/>
  <c r="K225" i="1"/>
  <c r="AG238" i="1" s="1"/>
  <c r="J225" i="1"/>
  <c r="H225" i="1"/>
  <c r="AD238" i="1" s="1"/>
  <c r="G225" i="1"/>
  <c r="F225" i="1"/>
  <c r="N225" i="1" s="1"/>
  <c r="E225" i="1"/>
  <c r="AA238" i="1" s="1"/>
  <c r="AM224" i="1"/>
  <c r="AK224" i="1"/>
  <c r="AH224" i="1"/>
  <c r="AG224" i="1"/>
  <c r="AF224" i="1"/>
  <c r="AD224" i="1"/>
  <c r="AB224" i="1"/>
  <c r="AJ224" i="1" s="1"/>
  <c r="Z224" i="1"/>
  <c r="T224" i="1"/>
  <c r="U224" i="1" s="1"/>
  <c r="AQ229" i="1" s="1"/>
  <c r="K224" i="1"/>
  <c r="AG229" i="1" s="1"/>
  <c r="J224" i="1"/>
  <c r="H224" i="1"/>
  <c r="AD229" i="1" s="1"/>
  <c r="G224" i="1"/>
  <c r="I224" i="1" s="1"/>
  <c r="AE229" i="1" s="1"/>
  <c r="F224" i="1"/>
  <c r="AB229" i="1" s="1"/>
  <c r="E224" i="1"/>
  <c r="AA229" i="1" s="1"/>
  <c r="AQ223" i="1"/>
  <c r="AP223" i="1"/>
  <c r="AM223" i="1"/>
  <c r="AK223" i="1"/>
  <c r="AG223" i="1"/>
  <c r="AB223" i="1"/>
  <c r="AJ223" i="1" s="1"/>
  <c r="AA223" i="1"/>
  <c r="Z223" i="1"/>
  <c r="K223" i="1"/>
  <c r="AG228" i="1" s="1"/>
  <c r="J223" i="1"/>
  <c r="L223" i="1" s="1"/>
  <c r="AH228" i="1" s="1"/>
  <c r="H223" i="1"/>
  <c r="AD228" i="1" s="1"/>
  <c r="G223" i="1"/>
  <c r="F223" i="1"/>
  <c r="E223" i="1"/>
  <c r="AA228" i="1" s="1"/>
  <c r="AA234" i="1" s="1"/>
  <c r="AM222" i="1"/>
  <c r="AK222" i="1"/>
  <c r="AD222" i="1"/>
  <c r="AC222" i="1"/>
  <c r="AB222" i="1"/>
  <c r="Z222" i="1"/>
  <c r="K222" i="1"/>
  <c r="AG237" i="1" s="1"/>
  <c r="J222" i="1"/>
  <c r="I222" i="1"/>
  <c r="H222" i="1"/>
  <c r="AD237" i="1" s="1"/>
  <c r="AD243" i="1" s="1"/>
  <c r="G222" i="1"/>
  <c r="G240" i="1" s="1"/>
  <c r="F222" i="1"/>
  <c r="T222" i="1" s="1"/>
  <c r="U222" i="1" s="1"/>
  <c r="AQ237" i="1" s="1"/>
  <c r="E222" i="1"/>
  <c r="AM221" i="1"/>
  <c r="AK221" i="1"/>
  <c r="AG221" i="1"/>
  <c r="AD221" i="1"/>
  <c r="AC221" i="1"/>
  <c r="AB221" i="1"/>
  <c r="AA221" i="1"/>
  <c r="Z221" i="1"/>
  <c r="AM220" i="1"/>
  <c r="AH220" i="1"/>
  <c r="AG220" i="1"/>
  <c r="AF220" i="1"/>
  <c r="AC220" i="1"/>
  <c r="Z220" i="1"/>
  <c r="AM219" i="1"/>
  <c r="AK219" i="1"/>
  <c r="AK225" i="1" s="1"/>
  <c r="AG219" i="1"/>
  <c r="AF219" i="1"/>
  <c r="AD219" i="1"/>
  <c r="AC219" i="1"/>
  <c r="Z219" i="1"/>
  <c r="AM215" i="1"/>
  <c r="AK215" i="1"/>
  <c r="AC215" i="1"/>
  <c r="AA215" i="1"/>
  <c r="Z215" i="1"/>
  <c r="Z216" i="1" s="1"/>
  <c r="AM214" i="1"/>
  <c r="AK214" i="1"/>
  <c r="AF214" i="1"/>
  <c r="AD214" i="1"/>
  <c r="Z214" i="1"/>
  <c r="AM213" i="1"/>
  <c r="AK213" i="1"/>
  <c r="AF213" i="1"/>
  <c r="AA213" i="1"/>
  <c r="Z213" i="1"/>
  <c r="O213" i="1"/>
  <c r="E213" i="1"/>
  <c r="D213" i="1"/>
  <c r="AM212" i="1"/>
  <c r="AK212" i="1"/>
  <c r="AF212" i="1"/>
  <c r="AD212" i="1"/>
  <c r="AC212" i="1"/>
  <c r="Z212" i="1"/>
  <c r="K212" i="1"/>
  <c r="AG197" i="1" s="1"/>
  <c r="J212" i="1"/>
  <c r="H212" i="1"/>
  <c r="I212" i="1" s="1"/>
  <c r="G212" i="1"/>
  <c r="F212" i="1"/>
  <c r="T212" i="1" s="1"/>
  <c r="AP197" i="1" s="1"/>
  <c r="E212" i="1"/>
  <c r="AM211" i="1"/>
  <c r="AK211" i="1"/>
  <c r="AG211" i="1"/>
  <c r="AF211" i="1"/>
  <c r="AA211" i="1"/>
  <c r="Z211" i="1"/>
  <c r="N211" i="1"/>
  <c r="K211" i="1"/>
  <c r="J211" i="1"/>
  <c r="H211" i="1"/>
  <c r="I211" i="1" s="1"/>
  <c r="AE196" i="1" s="1"/>
  <c r="G211" i="1"/>
  <c r="F211" i="1"/>
  <c r="E211" i="1"/>
  <c r="AM210" i="1"/>
  <c r="AK210" i="1"/>
  <c r="AD210" i="1"/>
  <c r="AB210" i="1"/>
  <c r="Z210" i="1"/>
  <c r="N210" i="1"/>
  <c r="K210" i="1"/>
  <c r="L210" i="1" s="1"/>
  <c r="AH206" i="1" s="1"/>
  <c r="J210" i="1"/>
  <c r="H210" i="1"/>
  <c r="G210" i="1"/>
  <c r="F210" i="1"/>
  <c r="E210" i="1"/>
  <c r="K209" i="1"/>
  <c r="L209" i="1" s="1"/>
  <c r="AH205" i="1" s="1"/>
  <c r="J209" i="1"/>
  <c r="I209" i="1"/>
  <c r="H209" i="1"/>
  <c r="G209" i="1"/>
  <c r="AC205" i="1" s="1"/>
  <c r="F209" i="1"/>
  <c r="T209" i="1" s="1"/>
  <c r="E209" i="1"/>
  <c r="K208" i="1"/>
  <c r="L208" i="1" s="1"/>
  <c r="AH195" i="1" s="1"/>
  <c r="J208" i="1"/>
  <c r="I208" i="1"/>
  <c r="H208" i="1"/>
  <c r="G208" i="1"/>
  <c r="AC195" i="1" s="1"/>
  <c r="F208" i="1"/>
  <c r="T208" i="1" s="1"/>
  <c r="U208" i="1" s="1"/>
  <c r="AQ195" i="1" s="1"/>
  <c r="E208" i="1"/>
  <c r="AK207" i="1"/>
  <c r="K207" i="1"/>
  <c r="AG204" i="1" s="1"/>
  <c r="J207" i="1"/>
  <c r="I207" i="1"/>
  <c r="H207" i="1"/>
  <c r="AD204" i="1" s="1"/>
  <c r="AD207" i="1" s="1"/>
  <c r="G207" i="1"/>
  <c r="F207" i="1"/>
  <c r="T207" i="1" s="1"/>
  <c r="AP204" i="1" s="1"/>
  <c r="E207" i="1"/>
  <c r="AM206" i="1"/>
  <c r="AK206" i="1"/>
  <c r="AG206" i="1"/>
  <c r="AF206" i="1"/>
  <c r="AD206" i="1"/>
  <c r="AA206" i="1"/>
  <c r="Z206" i="1"/>
  <c r="K206" i="1"/>
  <c r="AG215" i="1" s="1"/>
  <c r="J206" i="1"/>
  <c r="AF215" i="1" s="1"/>
  <c r="H206" i="1"/>
  <c r="I206" i="1" s="1"/>
  <c r="G206" i="1"/>
  <c r="F206" i="1"/>
  <c r="N206" i="1" s="1"/>
  <c r="E206" i="1"/>
  <c r="AM205" i="1"/>
  <c r="AK205" i="1"/>
  <c r="AG205" i="1"/>
  <c r="AF205" i="1"/>
  <c r="AD205" i="1"/>
  <c r="AA205" i="1"/>
  <c r="Z205" i="1"/>
  <c r="N205" i="1"/>
  <c r="K205" i="1"/>
  <c r="L205" i="1" s="1"/>
  <c r="AH214" i="1" s="1"/>
  <c r="J205" i="1"/>
  <c r="H205" i="1"/>
  <c r="G205" i="1"/>
  <c r="F205" i="1"/>
  <c r="E205" i="1"/>
  <c r="AA214" i="1" s="1"/>
  <c r="AM204" i="1"/>
  <c r="AF204" i="1"/>
  <c r="AC204" i="1"/>
  <c r="AB204" i="1"/>
  <c r="AJ204" i="1" s="1"/>
  <c r="AA204" i="1"/>
  <c r="Z204" i="1"/>
  <c r="K204" i="1"/>
  <c r="AG213" i="1" s="1"/>
  <c r="J204" i="1"/>
  <c r="L204" i="1" s="1"/>
  <c r="AH213" i="1" s="1"/>
  <c r="H204" i="1"/>
  <c r="AD213" i="1" s="1"/>
  <c r="G204" i="1"/>
  <c r="AC213" i="1" s="1"/>
  <c r="F204" i="1"/>
  <c r="T204" i="1" s="1"/>
  <c r="AP213" i="1" s="1"/>
  <c r="E204" i="1"/>
  <c r="AM203" i="1"/>
  <c r="AK203" i="1"/>
  <c r="AG203" i="1"/>
  <c r="AA203" i="1"/>
  <c r="Z203" i="1"/>
  <c r="L203" i="1"/>
  <c r="AH212" i="1" s="1"/>
  <c r="K203" i="1"/>
  <c r="AG212" i="1" s="1"/>
  <c r="J203" i="1"/>
  <c r="H203" i="1"/>
  <c r="I203" i="1" s="1"/>
  <c r="G203" i="1"/>
  <c r="F203" i="1"/>
  <c r="E203" i="1"/>
  <c r="AA212" i="1" s="1"/>
  <c r="AM202" i="1"/>
  <c r="AK202" i="1"/>
  <c r="AD202" i="1"/>
  <c r="AB202" i="1"/>
  <c r="AJ202" i="1" s="1"/>
  <c r="AA202" i="1"/>
  <c r="Z202" i="1"/>
  <c r="K202" i="1"/>
  <c r="L202" i="1" s="1"/>
  <c r="AH194" i="1" s="1"/>
  <c r="J202" i="1"/>
  <c r="I202" i="1"/>
  <c r="AE194" i="1" s="1"/>
  <c r="H202" i="1"/>
  <c r="G202" i="1"/>
  <c r="F202" i="1"/>
  <c r="T202" i="1" s="1"/>
  <c r="E202" i="1"/>
  <c r="AM201" i="1"/>
  <c r="AK201" i="1"/>
  <c r="AG201" i="1"/>
  <c r="AD201" i="1"/>
  <c r="Z201" i="1"/>
  <c r="Z207" i="1" s="1"/>
  <c r="T201" i="1"/>
  <c r="L201" i="1"/>
  <c r="AH193" i="1" s="1"/>
  <c r="K201" i="1"/>
  <c r="J201" i="1"/>
  <c r="AF193" i="1" s="1"/>
  <c r="I201" i="1"/>
  <c r="H201" i="1"/>
  <c r="G201" i="1"/>
  <c r="F201" i="1"/>
  <c r="N201" i="1" s="1"/>
  <c r="E201" i="1"/>
  <c r="T200" i="1"/>
  <c r="U200" i="1" s="1"/>
  <c r="AQ192" i="1" s="1"/>
  <c r="L200" i="1"/>
  <c r="K200" i="1"/>
  <c r="J200" i="1"/>
  <c r="AF192" i="1" s="1"/>
  <c r="I200" i="1"/>
  <c r="H200" i="1"/>
  <c r="G200" i="1"/>
  <c r="F200" i="1"/>
  <c r="N200" i="1" s="1"/>
  <c r="E200" i="1"/>
  <c r="T199" i="1"/>
  <c r="L199" i="1"/>
  <c r="AH203" i="1" s="1"/>
  <c r="K199" i="1"/>
  <c r="J199" i="1"/>
  <c r="AF203" i="1" s="1"/>
  <c r="I199" i="1"/>
  <c r="H199" i="1"/>
  <c r="AD203" i="1" s="1"/>
  <c r="G199" i="1"/>
  <c r="AC203" i="1" s="1"/>
  <c r="F199" i="1"/>
  <c r="N199" i="1" s="1"/>
  <c r="E199" i="1"/>
  <c r="AF198" i="1"/>
  <c r="AA198" i="1"/>
  <c r="N198" i="1"/>
  <c r="L198" i="1"/>
  <c r="AH211" i="1" s="1"/>
  <c r="K198" i="1"/>
  <c r="J198" i="1"/>
  <c r="H198" i="1"/>
  <c r="AD211" i="1" s="1"/>
  <c r="G198" i="1"/>
  <c r="I198" i="1" s="1"/>
  <c r="F198" i="1"/>
  <c r="E198" i="1"/>
  <c r="AM197" i="1"/>
  <c r="AK197" i="1"/>
  <c r="AF197" i="1"/>
  <c r="AD197" i="1"/>
  <c r="AC197" i="1"/>
  <c r="AB197" i="1"/>
  <c r="AJ197" i="1" s="1"/>
  <c r="AA197" i="1"/>
  <c r="Z197" i="1"/>
  <c r="N197" i="1"/>
  <c r="K197" i="1"/>
  <c r="AG202" i="1" s="1"/>
  <c r="J197" i="1"/>
  <c r="L197" i="1" s="1"/>
  <c r="AH202" i="1" s="1"/>
  <c r="I197" i="1"/>
  <c r="H197" i="1"/>
  <c r="G197" i="1"/>
  <c r="AC202" i="1" s="1"/>
  <c r="F197" i="1"/>
  <c r="T197" i="1" s="1"/>
  <c r="E197" i="1"/>
  <c r="AM196" i="1"/>
  <c r="AK196" i="1"/>
  <c r="AF196" i="1"/>
  <c r="AD196" i="1"/>
  <c r="AC196" i="1"/>
  <c r="AA196" i="1"/>
  <c r="Z196" i="1"/>
  <c r="T196" i="1"/>
  <c r="K196" i="1"/>
  <c r="J196" i="1"/>
  <c r="I196" i="1"/>
  <c r="AE201" i="1" s="1"/>
  <c r="H196" i="1"/>
  <c r="G196" i="1"/>
  <c r="AC201" i="1" s="1"/>
  <c r="F196" i="1"/>
  <c r="AB201" i="1" s="1"/>
  <c r="E196" i="1"/>
  <c r="AA201" i="1" s="1"/>
  <c r="AM195" i="1"/>
  <c r="AK195" i="1"/>
  <c r="AG195" i="1"/>
  <c r="AF195" i="1"/>
  <c r="AD195" i="1"/>
  <c r="AB195" i="1"/>
  <c r="AA195" i="1"/>
  <c r="Z195" i="1"/>
  <c r="L195" i="1"/>
  <c r="AH210" i="1" s="1"/>
  <c r="K195" i="1"/>
  <c r="J195" i="1"/>
  <c r="H195" i="1"/>
  <c r="G195" i="1"/>
  <c r="G213" i="1" s="1"/>
  <c r="F195" i="1"/>
  <c r="E195" i="1"/>
  <c r="AA210" i="1" s="1"/>
  <c r="AM194" i="1"/>
  <c r="AK194" i="1"/>
  <c r="AJ194" i="1"/>
  <c r="AG194" i="1"/>
  <c r="AF194" i="1"/>
  <c r="AD194" i="1"/>
  <c r="AC194" i="1"/>
  <c r="AB194" i="1"/>
  <c r="AA194" i="1"/>
  <c r="Z194" i="1"/>
  <c r="AM193" i="1"/>
  <c r="AG193" i="1"/>
  <c r="AE193" i="1"/>
  <c r="AD193" i="1"/>
  <c r="AC193" i="1"/>
  <c r="AB193" i="1"/>
  <c r="AJ193" i="1" s="1"/>
  <c r="AA193" i="1"/>
  <c r="Z193" i="1"/>
  <c r="AM192" i="1"/>
  <c r="AK192" i="1"/>
  <c r="AK198" i="1" s="1"/>
  <c r="AJ192" i="1"/>
  <c r="AH192" i="1"/>
  <c r="AG192" i="1"/>
  <c r="AD192" i="1"/>
  <c r="AD198" i="1" s="1"/>
  <c r="AC192" i="1"/>
  <c r="AB192" i="1"/>
  <c r="AA192" i="1"/>
  <c r="Z192" i="1"/>
  <c r="AM188" i="1"/>
  <c r="AK188" i="1"/>
  <c r="Z188" i="1"/>
  <c r="AM187" i="1"/>
  <c r="AK187" i="1"/>
  <c r="Z187" i="1"/>
  <c r="AM186" i="1"/>
  <c r="AK186" i="1"/>
  <c r="Z186" i="1"/>
  <c r="O186" i="1"/>
  <c r="D186" i="1"/>
  <c r="AP185" i="1"/>
  <c r="AM185" i="1"/>
  <c r="AK185" i="1"/>
  <c r="AG185" i="1"/>
  <c r="AB185" i="1"/>
  <c r="Z185" i="1"/>
  <c r="L185" i="1"/>
  <c r="K185" i="1"/>
  <c r="J185" i="1"/>
  <c r="H185" i="1"/>
  <c r="G185" i="1"/>
  <c r="I185" i="1" s="1"/>
  <c r="M185" i="1" s="1"/>
  <c r="F185" i="1"/>
  <c r="N185" i="1" s="1"/>
  <c r="E185" i="1"/>
  <c r="AM184" i="1"/>
  <c r="AK184" i="1"/>
  <c r="AC184" i="1"/>
  <c r="AB184" i="1"/>
  <c r="Z184" i="1"/>
  <c r="T184" i="1"/>
  <c r="M184" i="1"/>
  <c r="K184" i="1"/>
  <c r="J184" i="1"/>
  <c r="L184" i="1" s="1"/>
  <c r="AH169" i="1" s="1"/>
  <c r="H184" i="1"/>
  <c r="G184" i="1"/>
  <c r="I184" i="1" s="1"/>
  <c r="AE169" i="1" s="1"/>
  <c r="F184" i="1"/>
  <c r="E184" i="1"/>
  <c r="AA169" i="1" s="1"/>
  <c r="AM183" i="1"/>
  <c r="AK183" i="1"/>
  <c r="AK189" i="1" s="1"/>
  <c r="AC183" i="1"/>
  <c r="AA183" i="1"/>
  <c r="Z183" i="1"/>
  <c r="K183" i="1"/>
  <c r="J183" i="1"/>
  <c r="L183" i="1" s="1"/>
  <c r="H183" i="1"/>
  <c r="AD179" i="1" s="1"/>
  <c r="G183" i="1"/>
  <c r="I183" i="1" s="1"/>
  <c r="F183" i="1"/>
  <c r="N183" i="1" s="1"/>
  <c r="E183" i="1"/>
  <c r="AA179" i="1" s="1"/>
  <c r="K182" i="1"/>
  <c r="AG178" i="1" s="1"/>
  <c r="J182" i="1"/>
  <c r="L182" i="1" s="1"/>
  <c r="AH178" i="1" s="1"/>
  <c r="H182" i="1"/>
  <c r="AD178" i="1" s="1"/>
  <c r="G182" i="1"/>
  <c r="F182" i="1"/>
  <c r="AB178" i="1" s="1"/>
  <c r="AJ178" i="1" s="1"/>
  <c r="E182" i="1"/>
  <c r="K181" i="1"/>
  <c r="J181" i="1"/>
  <c r="L181" i="1" s="1"/>
  <c r="AH168" i="1" s="1"/>
  <c r="H181" i="1"/>
  <c r="AD168" i="1" s="1"/>
  <c r="G181" i="1"/>
  <c r="I181" i="1" s="1"/>
  <c r="F181" i="1"/>
  <c r="N181" i="1" s="1"/>
  <c r="AJ168" i="1" s="1"/>
  <c r="E181" i="1"/>
  <c r="T180" i="1"/>
  <c r="K180" i="1"/>
  <c r="J180" i="1"/>
  <c r="H180" i="1"/>
  <c r="AD177" i="1" s="1"/>
  <c r="G180" i="1"/>
  <c r="I180" i="1" s="1"/>
  <c r="F180" i="1"/>
  <c r="N180" i="1" s="1"/>
  <c r="E180" i="1"/>
  <c r="AA177" i="1" s="1"/>
  <c r="AM179" i="1"/>
  <c r="AK179" i="1"/>
  <c r="AH179" i="1"/>
  <c r="AG179" i="1"/>
  <c r="AF179" i="1"/>
  <c r="AC179" i="1"/>
  <c r="Z179" i="1"/>
  <c r="T179" i="1"/>
  <c r="AP188" i="1" s="1"/>
  <c r="K179" i="1"/>
  <c r="AG188" i="1" s="1"/>
  <c r="J179" i="1"/>
  <c r="AF188" i="1" s="1"/>
  <c r="H179" i="1"/>
  <c r="AD188" i="1" s="1"/>
  <c r="G179" i="1"/>
  <c r="AC188" i="1" s="1"/>
  <c r="F179" i="1"/>
  <c r="AB188" i="1" s="1"/>
  <c r="E179" i="1"/>
  <c r="AM178" i="1"/>
  <c r="AK178" i="1"/>
  <c r="AC178" i="1"/>
  <c r="AA178" i="1"/>
  <c r="Z178" i="1"/>
  <c r="K178" i="1"/>
  <c r="AG187" i="1" s="1"/>
  <c r="J178" i="1"/>
  <c r="AF187" i="1" s="1"/>
  <c r="H178" i="1"/>
  <c r="AD187" i="1" s="1"/>
  <c r="G178" i="1"/>
  <c r="AC187" i="1" s="1"/>
  <c r="F178" i="1"/>
  <c r="N178" i="1" s="1"/>
  <c r="E178" i="1"/>
  <c r="AA187" i="1" s="1"/>
  <c r="AM177" i="1"/>
  <c r="AG177" i="1"/>
  <c r="AE177" i="1"/>
  <c r="AC177" i="1"/>
  <c r="AB177" i="1"/>
  <c r="AJ177" i="1" s="1"/>
  <c r="Z177" i="1"/>
  <c r="T177" i="1"/>
  <c r="K177" i="1"/>
  <c r="AG186" i="1" s="1"/>
  <c r="J177" i="1"/>
  <c r="H177" i="1"/>
  <c r="AD186" i="1" s="1"/>
  <c r="G177" i="1"/>
  <c r="I177" i="1" s="1"/>
  <c r="F177" i="1"/>
  <c r="N177" i="1" s="1"/>
  <c r="E177" i="1"/>
  <c r="AA186" i="1" s="1"/>
  <c r="AM176" i="1"/>
  <c r="AK176" i="1"/>
  <c r="AF176" i="1"/>
  <c r="AC176" i="1"/>
  <c r="Z176" i="1"/>
  <c r="T176" i="1"/>
  <c r="K176" i="1"/>
  <c r="J176" i="1"/>
  <c r="AF185" i="1" s="1"/>
  <c r="H176" i="1"/>
  <c r="AD185" i="1" s="1"/>
  <c r="G176" i="1"/>
  <c r="AC185" i="1" s="1"/>
  <c r="F176" i="1"/>
  <c r="N176" i="1" s="1"/>
  <c r="E176" i="1"/>
  <c r="AM175" i="1"/>
  <c r="AK175" i="1"/>
  <c r="AK180" i="1" s="1"/>
  <c r="AC175" i="1"/>
  <c r="AC180" i="1" s="1"/>
  <c r="AA175" i="1"/>
  <c r="Z175" i="1"/>
  <c r="K175" i="1"/>
  <c r="J175" i="1"/>
  <c r="L175" i="1" s="1"/>
  <c r="AH167" i="1" s="1"/>
  <c r="H175" i="1"/>
  <c r="G175" i="1"/>
  <c r="I175" i="1" s="1"/>
  <c r="F175" i="1"/>
  <c r="N175" i="1" s="1"/>
  <c r="E175" i="1"/>
  <c r="AM174" i="1"/>
  <c r="AK174" i="1"/>
  <c r="AF174" i="1"/>
  <c r="AD174" i="1"/>
  <c r="AC174" i="1"/>
  <c r="Z174" i="1"/>
  <c r="Z180" i="1" s="1"/>
  <c r="K174" i="1"/>
  <c r="AG166" i="1" s="1"/>
  <c r="J174" i="1"/>
  <c r="L174" i="1" s="1"/>
  <c r="AH166" i="1" s="1"/>
  <c r="I174" i="1"/>
  <c r="AE166" i="1" s="1"/>
  <c r="H174" i="1"/>
  <c r="G174" i="1"/>
  <c r="F174" i="1"/>
  <c r="T174" i="1" s="1"/>
  <c r="AP166" i="1" s="1"/>
  <c r="E174" i="1"/>
  <c r="K173" i="1"/>
  <c r="AG165" i="1" s="1"/>
  <c r="AG171" i="1" s="1"/>
  <c r="J173" i="1"/>
  <c r="L173" i="1" s="1"/>
  <c r="AH165" i="1" s="1"/>
  <c r="AH171" i="1" s="1"/>
  <c r="I173" i="1"/>
  <c r="AE165" i="1" s="1"/>
  <c r="H173" i="1"/>
  <c r="AD165" i="1" s="1"/>
  <c r="G173" i="1"/>
  <c r="F173" i="1"/>
  <c r="T173" i="1" s="1"/>
  <c r="AP165" i="1" s="1"/>
  <c r="E173" i="1"/>
  <c r="K172" i="1"/>
  <c r="AG176" i="1" s="1"/>
  <c r="J172" i="1"/>
  <c r="L172" i="1" s="1"/>
  <c r="AH176" i="1" s="1"/>
  <c r="I172" i="1"/>
  <c r="AE176" i="1" s="1"/>
  <c r="H172" i="1"/>
  <c r="AD176" i="1" s="1"/>
  <c r="G172" i="1"/>
  <c r="F172" i="1"/>
  <c r="T172" i="1" s="1"/>
  <c r="AP176" i="1" s="1"/>
  <c r="E172" i="1"/>
  <c r="AA176" i="1" s="1"/>
  <c r="Z171" i="1"/>
  <c r="T171" i="1"/>
  <c r="AP184" i="1" s="1"/>
  <c r="K171" i="1"/>
  <c r="AG184" i="1" s="1"/>
  <c r="J171" i="1"/>
  <c r="AF184" i="1" s="1"/>
  <c r="H171" i="1"/>
  <c r="AD184" i="1" s="1"/>
  <c r="G171" i="1"/>
  <c r="I171" i="1" s="1"/>
  <c r="AE184" i="1" s="1"/>
  <c r="F171" i="1"/>
  <c r="E171" i="1"/>
  <c r="AM170" i="1"/>
  <c r="AK170" i="1"/>
  <c r="AH170" i="1"/>
  <c r="AG170" i="1"/>
  <c r="AF170" i="1"/>
  <c r="AD170" i="1"/>
  <c r="AC170" i="1"/>
  <c r="AB170" i="1"/>
  <c r="AJ170" i="1" s="1"/>
  <c r="AA170" i="1"/>
  <c r="Z170" i="1"/>
  <c r="K170" i="1"/>
  <c r="AG175" i="1" s="1"/>
  <c r="J170" i="1"/>
  <c r="L170" i="1" s="1"/>
  <c r="AH175" i="1" s="1"/>
  <c r="H170" i="1"/>
  <c r="AD175" i="1" s="1"/>
  <c r="G170" i="1"/>
  <c r="I170" i="1" s="1"/>
  <c r="F170" i="1"/>
  <c r="AB175" i="1" s="1"/>
  <c r="AJ175" i="1" s="1"/>
  <c r="E170" i="1"/>
  <c r="AP169" i="1"/>
  <c r="AM169" i="1"/>
  <c r="AK169" i="1"/>
  <c r="AG169" i="1"/>
  <c r="AF169" i="1"/>
  <c r="AD169" i="1"/>
  <c r="AC169" i="1"/>
  <c r="AB169" i="1"/>
  <c r="AJ169" i="1" s="1"/>
  <c r="Z169" i="1"/>
  <c r="U169" i="1"/>
  <c r="AQ174" i="1" s="1"/>
  <c r="K169" i="1"/>
  <c r="AG174" i="1" s="1"/>
  <c r="J169" i="1"/>
  <c r="L169" i="1" s="1"/>
  <c r="AH174" i="1" s="1"/>
  <c r="I169" i="1"/>
  <c r="AE174" i="1" s="1"/>
  <c r="H169" i="1"/>
  <c r="G169" i="1"/>
  <c r="F169" i="1"/>
  <c r="T169" i="1" s="1"/>
  <c r="AP174" i="1" s="1"/>
  <c r="E169" i="1"/>
  <c r="AA174" i="1" s="1"/>
  <c r="AA180" i="1" s="1"/>
  <c r="AM168" i="1"/>
  <c r="AK168" i="1"/>
  <c r="AG168" i="1"/>
  <c r="AF168" i="1"/>
  <c r="AC168" i="1"/>
  <c r="AA168" i="1"/>
  <c r="Z168" i="1"/>
  <c r="N168" i="1"/>
  <c r="L168" i="1"/>
  <c r="AH183" i="1" s="1"/>
  <c r="K168" i="1"/>
  <c r="AG183" i="1" s="1"/>
  <c r="J168" i="1"/>
  <c r="AF183" i="1" s="1"/>
  <c r="H168" i="1"/>
  <c r="I168" i="1" s="1"/>
  <c r="G168" i="1"/>
  <c r="F168" i="1"/>
  <c r="E168" i="1"/>
  <c r="AM167" i="1"/>
  <c r="AK167" i="1"/>
  <c r="AG167" i="1"/>
  <c r="AF167" i="1"/>
  <c r="AD167" i="1"/>
  <c r="AC167" i="1"/>
  <c r="AB167" i="1"/>
  <c r="AJ167" i="1" s="1"/>
  <c r="AA167" i="1"/>
  <c r="Z167" i="1"/>
  <c r="AM166" i="1"/>
  <c r="AF166" i="1"/>
  <c r="AD166" i="1"/>
  <c r="AC166" i="1"/>
  <c r="AA166" i="1"/>
  <c r="Z166" i="1"/>
  <c r="AM165" i="1"/>
  <c r="AK165" i="1"/>
  <c r="AK171" i="1" s="1"/>
  <c r="AF165" i="1"/>
  <c r="AC165" i="1"/>
  <c r="AA165" i="1"/>
  <c r="AA171" i="1" s="1"/>
  <c r="Z165" i="1"/>
  <c r="AK162" i="1"/>
  <c r="Z162" i="1"/>
  <c r="AM161" i="1"/>
  <c r="AK161" i="1"/>
  <c r="AF161" i="1"/>
  <c r="AD161" i="1"/>
  <c r="AA161" i="1"/>
  <c r="Z161" i="1"/>
  <c r="AM160" i="1"/>
  <c r="AK160" i="1"/>
  <c r="AG160" i="1"/>
  <c r="AD160" i="1"/>
  <c r="AA160" i="1"/>
  <c r="Z160" i="1"/>
  <c r="AM159" i="1"/>
  <c r="AK159" i="1"/>
  <c r="AF159" i="1"/>
  <c r="AD159" i="1"/>
  <c r="AA159" i="1"/>
  <c r="Z159" i="1"/>
  <c r="O159" i="1"/>
  <c r="D159" i="1"/>
  <c r="AM158" i="1"/>
  <c r="AK158" i="1"/>
  <c r="AG158" i="1"/>
  <c r="AF158" i="1"/>
  <c r="AA158" i="1"/>
  <c r="Z158" i="1"/>
  <c r="L158" i="1"/>
  <c r="AH143" i="1" s="1"/>
  <c r="K158" i="1"/>
  <c r="J158" i="1"/>
  <c r="H158" i="1"/>
  <c r="I158" i="1" s="1"/>
  <c r="G158" i="1"/>
  <c r="F158" i="1"/>
  <c r="N158" i="1" s="1"/>
  <c r="E158" i="1"/>
  <c r="AM157" i="1"/>
  <c r="AK157" i="1"/>
  <c r="AF157" i="1"/>
  <c r="AD157" i="1"/>
  <c r="AB157" i="1"/>
  <c r="AJ157" i="1" s="1"/>
  <c r="AA157" i="1"/>
  <c r="Z157" i="1"/>
  <c r="K157" i="1"/>
  <c r="L157" i="1" s="1"/>
  <c r="AH142" i="1" s="1"/>
  <c r="J157" i="1"/>
  <c r="I157" i="1"/>
  <c r="H157" i="1"/>
  <c r="G157" i="1"/>
  <c r="AC142" i="1" s="1"/>
  <c r="F157" i="1"/>
  <c r="N157" i="1" s="1"/>
  <c r="E157" i="1"/>
  <c r="AM156" i="1"/>
  <c r="AK156" i="1"/>
  <c r="AG156" i="1"/>
  <c r="Z156" i="1"/>
  <c r="T156" i="1"/>
  <c r="U156" i="1" s="1"/>
  <c r="AQ152" i="1" s="1"/>
  <c r="L156" i="1"/>
  <c r="AH152" i="1" s="1"/>
  <c r="K156" i="1"/>
  <c r="J156" i="1"/>
  <c r="AF152" i="1" s="1"/>
  <c r="I156" i="1"/>
  <c r="H156" i="1"/>
  <c r="G156" i="1"/>
  <c r="AC152" i="1" s="1"/>
  <c r="F156" i="1"/>
  <c r="N156" i="1" s="1"/>
  <c r="E156" i="1"/>
  <c r="T155" i="1"/>
  <c r="U155" i="1" s="1"/>
  <c r="AQ151" i="1" s="1"/>
  <c r="L155" i="1"/>
  <c r="AH151" i="1" s="1"/>
  <c r="K155" i="1"/>
  <c r="J155" i="1"/>
  <c r="AF151" i="1" s="1"/>
  <c r="I155" i="1"/>
  <c r="H155" i="1"/>
  <c r="G155" i="1"/>
  <c r="AC151" i="1" s="1"/>
  <c r="F155" i="1"/>
  <c r="N155" i="1" s="1"/>
  <c r="E155" i="1"/>
  <c r="T154" i="1"/>
  <c r="U154" i="1" s="1"/>
  <c r="AQ141" i="1" s="1"/>
  <c r="L154" i="1"/>
  <c r="AH141" i="1" s="1"/>
  <c r="K154" i="1"/>
  <c r="J154" i="1"/>
  <c r="AF141" i="1" s="1"/>
  <c r="I154" i="1"/>
  <c r="H154" i="1"/>
  <c r="G154" i="1"/>
  <c r="F154" i="1"/>
  <c r="N154" i="1" s="1"/>
  <c r="AJ141" i="1" s="1"/>
  <c r="E154" i="1"/>
  <c r="AK153" i="1"/>
  <c r="L153" i="1"/>
  <c r="AH150" i="1" s="1"/>
  <c r="K153" i="1"/>
  <c r="J153" i="1"/>
  <c r="H153" i="1"/>
  <c r="I153" i="1" s="1"/>
  <c r="G153" i="1"/>
  <c r="F153" i="1"/>
  <c r="N153" i="1" s="1"/>
  <c r="E153" i="1"/>
  <c r="AM152" i="1"/>
  <c r="AK152" i="1"/>
  <c r="AG152" i="1"/>
  <c r="AD152" i="1"/>
  <c r="AB152" i="1"/>
  <c r="AJ152" i="1" s="1"/>
  <c r="AA152" i="1"/>
  <c r="Z152" i="1"/>
  <c r="K152" i="1"/>
  <c r="L152" i="1" s="1"/>
  <c r="AH161" i="1" s="1"/>
  <c r="J152" i="1"/>
  <c r="I152" i="1"/>
  <c r="H152" i="1"/>
  <c r="G152" i="1"/>
  <c r="AC161" i="1" s="1"/>
  <c r="F152" i="1"/>
  <c r="N152" i="1" s="1"/>
  <c r="E152" i="1"/>
  <c r="AM151" i="1"/>
  <c r="AK151" i="1"/>
  <c r="AG151" i="1"/>
  <c r="AE151" i="1"/>
  <c r="AD151" i="1"/>
  <c r="AB151" i="1"/>
  <c r="AJ151" i="1" s="1"/>
  <c r="AA151" i="1"/>
  <c r="Z151" i="1"/>
  <c r="T151" i="1"/>
  <c r="AP160" i="1" s="1"/>
  <c r="L151" i="1"/>
  <c r="AH160" i="1" s="1"/>
  <c r="K151" i="1"/>
  <c r="J151" i="1"/>
  <c r="AF160" i="1" s="1"/>
  <c r="I151" i="1"/>
  <c r="AE160" i="1" s="1"/>
  <c r="H151" i="1"/>
  <c r="G151" i="1"/>
  <c r="AC160" i="1" s="1"/>
  <c r="F151" i="1"/>
  <c r="N151" i="1" s="1"/>
  <c r="E151" i="1"/>
  <c r="AM150" i="1"/>
  <c r="AG150" i="1"/>
  <c r="AF150" i="1"/>
  <c r="AC150" i="1"/>
  <c r="AA150" i="1"/>
  <c r="Z150" i="1"/>
  <c r="L150" i="1"/>
  <c r="AH159" i="1" s="1"/>
  <c r="K150" i="1"/>
  <c r="AG159" i="1" s="1"/>
  <c r="J150" i="1"/>
  <c r="H150" i="1"/>
  <c r="I150" i="1" s="1"/>
  <c r="G150" i="1"/>
  <c r="AC159" i="1" s="1"/>
  <c r="F150" i="1"/>
  <c r="N150" i="1" s="1"/>
  <c r="E150" i="1"/>
  <c r="AM149" i="1"/>
  <c r="AK149" i="1"/>
  <c r="AG149" i="1"/>
  <c r="AD149" i="1"/>
  <c r="AB149" i="1"/>
  <c r="Z149" i="1"/>
  <c r="K149" i="1"/>
  <c r="L149" i="1" s="1"/>
  <c r="AH158" i="1" s="1"/>
  <c r="J149" i="1"/>
  <c r="I149" i="1"/>
  <c r="H149" i="1"/>
  <c r="AD158" i="1" s="1"/>
  <c r="G149" i="1"/>
  <c r="AC158" i="1" s="1"/>
  <c r="F149" i="1"/>
  <c r="N149" i="1" s="1"/>
  <c r="E149" i="1"/>
  <c r="AM148" i="1"/>
  <c r="AK148" i="1"/>
  <c r="AG148" i="1"/>
  <c r="AG153" i="1" s="1"/>
  <c r="AE148" i="1"/>
  <c r="AD148" i="1"/>
  <c r="AA148" i="1"/>
  <c r="Z148" i="1"/>
  <c r="T148" i="1"/>
  <c r="U148" i="1" s="1"/>
  <c r="AQ140" i="1" s="1"/>
  <c r="L148" i="1"/>
  <c r="K148" i="1"/>
  <c r="J148" i="1"/>
  <c r="I148" i="1"/>
  <c r="H148" i="1"/>
  <c r="G148" i="1"/>
  <c r="F148" i="1"/>
  <c r="N148" i="1" s="1"/>
  <c r="E148" i="1"/>
  <c r="AP147" i="1"/>
  <c r="AM147" i="1"/>
  <c r="AK147" i="1"/>
  <c r="AH147" i="1"/>
  <c r="AG147" i="1"/>
  <c r="AD147" i="1"/>
  <c r="AB147" i="1"/>
  <c r="Z147" i="1"/>
  <c r="Z153" i="1" s="1"/>
  <c r="T147" i="1"/>
  <c r="U147" i="1" s="1"/>
  <c r="AQ139" i="1" s="1"/>
  <c r="L147" i="1"/>
  <c r="K147" i="1"/>
  <c r="J147" i="1"/>
  <c r="AF139" i="1" s="1"/>
  <c r="H147" i="1"/>
  <c r="G147" i="1"/>
  <c r="F147" i="1"/>
  <c r="N147" i="1" s="1"/>
  <c r="E147" i="1"/>
  <c r="AA139" i="1" s="1"/>
  <c r="AJ139" i="1" s="1"/>
  <c r="T146" i="1"/>
  <c r="U146" i="1" s="1"/>
  <c r="AQ138" i="1" s="1"/>
  <c r="L146" i="1"/>
  <c r="AH138" i="1" s="1"/>
  <c r="K146" i="1"/>
  <c r="J146" i="1"/>
  <c r="AF138" i="1" s="1"/>
  <c r="H146" i="1"/>
  <c r="G146" i="1"/>
  <c r="F146" i="1"/>
  <c r="N146" i="1" s="1"/>
  <c r="E146" i="1"/>
  <c r="AA138" i="1" s="1"/>
  <c r="T145" i="1"/>
  <c r="AP149" i="1" s="1"/>
  <c r="L145" i="1"/>
  <c r="AH149" i="1" s="1"/>
  <c r="K145" i="1"/>
  <c r="J145" i="1"/>
  <c r="AF149" i="1" s="1"/>
  <c r="H145" i="1"/>
  <c r="G145" i="1"/>
  <c r="F145" i="1"/>
  <c r="N145" i="1" s="1"/>
  <c r="E145" i="1"/>
  <c r="AA149" i="1" s="1"/>
  <c r="AD144" i="1"/>
  <c r="K144" i="1"/>
  <c r="AG157" i="1" s="1"/>
  <c r="J144" i="1"/>
  <c r="I144" i="1"/>
  <c r="H144" i="1"/>
  <c r="G144" i="1"/>
  <c r="AC157" i="1" s="1"/>
  <c r="F144" i="1"/>
  <c r="N144" i="1" s="1"/>
  <c r="E144" i="1"/>
  <c r="AM143" i="1"/>
  <c r="AK143" i="1"/>
  <c r="AG143" i="1"/>
  <c r="AF143" i="1"/>
  <c r="AD143" i="1"/>
  <c r="AC143" i="1"/>
  <c r="AA143" i="1"/>
  <c r="Z143" i="1"/>
  <c r="T143" i="1"/>
  <c r="U143" i="1" s="1"/>
  <c r="AQ148" i="1" s="1"/>
  <c r="L143" i="1"/>
  <c r="AH148" i="1" s="1"/>
  <c r="K143" i="1"/>
  <c r="J143" i="1"/>
  <c r="AF148" i="1" s="1"/>
  <c r="I143" i="1"/>
  <c r="H143" i="1"/>
  <c r="G143" i="1"/>
  <c r="AC148" i="1" s="1"/>
  <c r="F143" i="1"/>
  <c r="AB148" i="1" s="1"/>
  <c r="AJ148" i="1" s="1"/>
  <c r="E143" i="1"/>
  <c r="AM142" i="1"/>
  <c r="AK142" i="1"/>
  <c r="AG142" i="1"/>
  <c r="AF142" i="1"/>
  <c r="AD142" i="1"/>
  <c r="AB142" i="1"/>
  <c r="AJ142" i="1" s="1"/>
  <c r="AA142" i="1"/>
  <c r="Z142" i="1"/>
  <c r="T142" i="1"/>
  <c r="U142" i="1" s="1"/>
  <c r="AQ147" i="1" s="1"/>
  <c r="L142" i="1"/>
  <c r="K142" i="1"/>
  <c r="J142" i="1"/>
  <c r="AF147" i="1" s="1"/>
  <c r="AF153" i="1" s="1"/>
  <c r="H142" i="1"/>
  <c r="G142" i="1"/>
  <c r="F142" i="1"/>
  <c r="N142" i="1" s="1"/>
  <c r="E142" i="1"/>
  <c r="AA147" i="1" s="1"/>
  <c r="AA153" i="1" s="1"/>
  <c r="AM141" i="1"/>
  <c r="AK141" i="1"/>
  <c r="AG141" i="1"/>
  <c r="AE141" i="1"/>
  <c r="AD141" i="1"/>
  <c r="AC141" i="1"/>
  <c r="AB141" i="1"/>
  <c r="AA141" i="1"/>
  <c r="Z141" i="1"/>
  <c r="T141" i="1"/>
  <c r="K141" i="1"/>
  <c r="K159" i="1" s="1"/>
  <c r="J141" i="1"/>
  <c r="H141" i="1"/>
  <c r="H159" i="1" s="1"/>
  <c r="G141" i="1"/>
  <c r="I141" i="1" s="1"/>
  <c r="F141" i="1"/>
  <c r="E141" i="1"/>
  <c r="E159" i="1" s="1"/>
  <c r="AP140" i="1"/>
  <c r="AM140" i="1"/>
  <c r="AK140" i="1"/>
  <c r="AH140" i="1"/>
  <c r="AG140" i="1"/>
  <c r="AF140" i="1"/>
  <c r="AE140" i="1"/>
  <c r="AD140" i="1"/>
  <c r="AC140" i="1"/>
  <c r="AB140" i="1"/>
  <c r="AJ140" i="1" s="1"/>
  <c r="AA140" i="1"/>
  <c r="Z140" i="1"/>
  <c r="AP139" i="1"/>
  <c r="AM139" i="1"/>
  <c r="AH139" i="1"/>
  <c r="AG139" i="1"/>
  <c r="AD139" i="1"/>
  <c r="AB139" i="1"/>
  <c r="Z139" i="1"/>
  <c r="AP138" i="1"/>
  <c r="AM138" i="1"/>
  <c r="AK138" i="1"/>
  <c r="AK144" i="1" s="1"/>
  <c r="AG138" i="1"/>
  <c r="AD138" i="1"/>
  <c r="AB138" i="1"/>
  <c r="AJ138" i="1" s="1"/>
  <c r="Z138" i="1"/>
  <c r="Z144" i="1" s="1"/>
  <c r="AP134" i="1"/>
  <c r="AM134" i="1"/>
  <c r="AK134" i="1"/>
  <c r="AB134" i="1"/>
  <c r="Z134" i="1"/>
  <c r="AM133" i="1"/>
  <c r="AK133" i="1"/>
  <c r="AC133" i="1"/>
  <c r="Z133" i="1"/>
  <c r="AM132" i="1"/>
  <c r="AK132" i="1"/>
  <c r="AB132" i="1"/>
  <c r="Z132" i="1"/>
  <c r="O132" i="1"/>
  <c r="D132" i="1"/>
  <c r="AM131" i="1"/>
  <c r="AK131" i="1"/>
  <c r="AC131" i="1"/>
  <c r="AB131" i="1"/>
  <c r="Z131" i="1"/>
  <c r="T131" i="1"/>
  <c r="K131" i="1"/>
  <c r="J131" i="1"/>
  <c r="H131" i="1"/>
  <c r="AD116" i="1" s="1"/>
  <c r="G131" i="1"/>
  <c r="I131" i="1" s="1"/>
  <c r="F131" i="1"/>
  <c r="N131" i="1" s="1"/>
  <c r="E131" i="1"/>
  <c r="AP130" i="1"/>
  <c r="AM130" i="1"/>
  <c r="AK130" i="1"/>
  <c r="AF130" i="1"/>
  <c r="Z130" i="1"/>
  <c r="T130" i="1"/>
  <c r="AP115" i="1" s="1"/>
  <c r="K130" i="1"/>
  <c r="AG115" i="1" s="1"/>
  <c r="J130" i="1"/>
  <c r="L130" i="1" s="1"/>
  <c r="AH115" i="1" s="1"/>
  <c r="H130" i="1"/>
  <c r="G130" i="1"/>
  <c r="I130" i="1" s="1"/>
  <c r="AE115" i="1" s="1"/>
  <c r="F130" i="1"/>
  <c r="N130" i="1" s="1"/>
  <c r="E130" i="1"/>
  <c r="AM129" i="1"/>
  <c r="AK129" i="1"/>
  <c r="AK135" i="1" s="1"/>
  <c r="AC129" i="1"/>
  <c r="AA129" i="1"/>
  <c r="Z129" i="1"/>
  <c r="Z135" i="1" s="1"/>
  <c r="K129" i="1"/>
  <c r="J129" i="1"/>
  <c r="L129" i="1" s="1"/>
  <c r="H129" i="1"/>
  <c r="AD125" i="1" s="1"/>
  <c r="G129" i="1"/>
  <c r="I129" i="1" s="1"/>
  <c r="F129" i="1"/>
  <c r="N129" i="1" s="1"/>
  <c r="E129" i="1"/>
  <c r="AA125" i="1" s="1"/>
  <c r="K128" i="1"/>
  <c r="AG124" i="1" s="1"/>
  <c r="J128" i="1"/>
  <c r="L128" i="1" s="1"/>
  <c r="AH124" i="1" s="1"/>
  <c r="H128" i="1"/>
  <c r="AD124" i="1" s="1"/>
  <c r="G128" i="1"/>
  <c r="F128" i="1"/>
  <c r="AB124" i="1" s="1"/>
  <c r="AJ124" i="1" s="1"/>
  <c r="E128" i="1"/>
  <c r="K127" i="1"/>
  <c r="J127" i="1"/>
  <c r="L127" i="1" s="1"/>
  <c r="AH114" i="1" s="1"/>
  <c r="H127" i="1"/>
  <c r="AD114" i="1" s="1"/>
  <c r="G127" i="1"/>
  <c r="F127" i="1"/>
  <c r="N127" i="1" s="1"/>
  <c r="AJ114" i="1" s="1"/>
  <c r="E127" i="1"/>
  <c r="T126" i="1"/>
  <c r="K126" i="1"/>
  <c r="J126" i="1"/>
  <c r="H126" i="1"/>
  <c r="AD123" i="1" s="1"/>
  <c r="G126" i="1"/>
  <c r="I126" i="1" s="1"/>
  <c r="F126" i="1"/>
  <c r="N126" i="1" s="1"/>
  <c r="E126" i="1"/>
  <c r="AA123" i="1" s="1"/>
  <c r="AM125" i="1"/>
  <c r="AK125" i="1"/>
  <c r="AH125" i="1"/>
  <c r="AG125" i="1"/>
  <c r="AF125" i="1"/>
  <c r="AC125" i="1"/>
  <c r="Z125" i="1"/>
  <c r="T125" i="1"/>
  <c r="K125" i="1"/>
  <c r="AG134" i="1" s="1"/>
  <c r="J125" i="1"/>
  <c r="L125" i="1" s="1"/>
  <c r="AH134" i="1" s="1"/>
  <c r="H125" i="1"/>
  <c r="AD134" i="1" s="1"/>
  <c r="G125" i="1"/>
  <c r="I125" i="1" s="1"/>
  <c r="AE134" i="1" s="1"/>
  <c r="F125" i="1"/>
  <c r="E125" i="1"/>
  <c r="AM124" i="1"/>
  <c r="AK124" i="1"/>
  <c r="AF124" i="1"/>
  <c r="AC124" i="1"/>
  <c r="AA124" i="1"/>
  <c r="Z124" i="1"/>
  <c r="K124" i="1"/>
  <c r="AG133" i="1" s="1"/>
  <c r="J124" i="1"/>
  <c r="L124" i="1" s="1"/>
  <c r="AH133" i="1" s="1"/>
  <c r="H124" i="1"/>
  <c r="AD133" i="1" s="1"/>
  <c r="G124" i="1"/>
  <c r="F124" i="1"/>
  <c r="N124" i="1" s="1"/>
  <c r="E124" i="1"/>
  <c r="AA133" i="1" s="1"/>
  <c r="AM123" i="1"/>
  <c r="AG123" i="1"/>
  <c r="AE123" i="1"/>
  <c r="AC123" i="1"/>
  <c r="AB123" i="1"/>
  <c r="AJ123" i="1" s="1"/>
  <c r="Z123" i="1"/>
  <c r="T123" i="1"/>
  <c r="U123" i="1" s="1"/>
  <c r="AQ132" i="1" s="1"/>
  <c r="K123" i="1"/>
  <c r="AG132" i="1" s="1"/>
  <c r="J123" i="1"/>
  <c r="H123" i="1"/>
  <c r="AD132" i="1" s="1"/>
  <c r="G123" i="1"/>
  <c r="I123" i="1" s="1"/>
  <c r="F123" i="1"/>
  <c r="N123" i="1" s="1"/>
  <c r="E123" i="1"/>
  <c r="AA132" i="1" s="1"/>
  <c r="AM122" i="1"/>
  <c r="AK122" i="1"/>
  <c r="AF122" i="1"/>
  <c r="AC122" i="1"/>
  <c r="Z122" i="1"/>
  <c r="T122" i="1"/>
  <c r="AP131" i="1" s="1"/>
  <c r="M122" i="1"/>
  <c r="K122" i="1"/>
  <c r="AG131" i="1" s="1"/>
  <c r="J122" i="1"/>
  <c r="L122" i="1" s="1"/>
  <c r="AH131" i="1" s="1"/>
  <c r="H122" i="1"/>
  <c r="AD131" i="1" s="1"/>
  <c r="G122" i="1"/>
  <c r="I122" i="1" s="1"/>
  <c r="AE131" i="1" s="1"/>
  <c r="F122" i="1"/>
  <c r="E122" i="1"/>
  <c r="AM121" i="1"/>
  <c r="AK121" i="1"/>
  <c r="AK126" i="1" s="1"/>
  <c r="AC121" i="1"/>
  <c r="AA121" i="1"/>
  <c r="Z121" i="1"/>
  <c r="K121" i="1"/>
  <c r="J121" i="1"/>
  <c r="L121" i="1" s="1"/>
  <c r="AH113" i="1" s="1"/>
  <c r="H121" i="1"/>
  <c r="G121" i="1"/>
  <c r="I121" i="1" s="1"/>
  <c r="F121" i="1"/>
  <c r="N121" i="1" s="1"/>
  <c r="E121" i="1"/>
  <c r="AM120" i="1"/>
  <c r="AK120" i="1"/>
  <c r="AF120" i="1"/>
  <c r="AD120" i="1"/>
  <c r="AC120" i="1"/>
  <c r="Z120" i="1"/>
  <c r="Z126" i="1" s="1"/>
  <c r="K120" i="1"/>
  <c r="AG112" i="1" s="1"/>
  <c r="J120" i="1"/>
  <c r="I120" i="1"/>
  <c r="AE112" i="1" s="1"/>
  <c r="H120" i="1"/>
  <c r="G120" i="1"/>
  <c r="F120" i="1"/>
  <c r="T120" i="1" s="1"/>
  <c r="AP112" i="1" s="1"/>
  <c r="E120" i="1"/>
  <c r="K119" i="1"/>
  <c r="AG111" i="1" s="1"/>
  <c r="AG117" i="1" s="1"/>
  <c r="J119" i="1"/>
  <c r="I119" i="1"/>
  <c r="AE111" i="1" s="1"/>
  <c r="H119" i="1"/>
  <c r="AD111" i="1" s="1"/>
  <c r="G119" i="1"/>
  <c r="F119" i="1"/>
  <c r="T119" i="1" s="1"/>
  <c r="AP111" i="1" s="1"/>
  <c r="E119" i="1"/>
  <c r="K118" i="1"/>
  <c r="AG122" i="1" s="1"/>
  <c r="J118" i="1"/>
  <c r="I118" i="1"/>
  <c r="AE122" i="1" s="1"/>
  <c r="H118" i="1"/>
  <c r="AD122" i="1" s="1"/>
  <c r="G118" i="1"/>
  <c r="F118" i="1"/>
  <c r="T118" i="1" s="1"/>
  <c r="U118" i="1" s="1"/>
  <c r="AQ122" i="1" s="1"/>
  <c r="E118" i="1"/>
  <c r="AA122" i="1" s="1"/>
  <c r="Z117" i="1"/>
  <c r="T117" i="1"/>
  <c r="K117" i="1"/>
  <c r="AG130" i="1" s="1"/>
  <c r="J117" i="1"/>
  <c r="L117" i="1" s="1"/>
  <c r="M117" i="1" s="1"/>
  <c r="H117" i="1"/>
  <c r="AD130" i="1" s="1"/>
  <c r="G117" i="1"/>
  <c r="I117" i="1" s="1"/>
  <c r="AE130" i="1" s="1"/>
  <c r="F117" i="1"/>
  <c r="AB130" i="1" s="1"/>
  <c r="E117" i="1"/>
  <c r="AM116" i="1"/>
  <c r="AK116" i="1"/>
  <c r="AG116" i="1"/>
  <c r="AC116" i="1"/>
  <c r="AB116" i="1"/>
  <c r="AJ116" i="1" s="1"/>
  <c r="AA116" i="1"/>
  <c r="Z116" i="1"/>
  <c r="K116" i="1"/>
  <c r="AG121" i="1" s="1"/>
  <c r="J116" i="1"/>
  <c r="L116" i="1" s="1"/>
  <c r="AH121" i="1" s="1"/>
  <c r="H116" i="1"/>
  <c r="AD121" i="1" s="1"/>
  <c r="G116" i="1"/>
  <c r="I116" i="1" s="1"/>
  <c r="F116" i="1"/>
  <c r="AB121" i="1" s="1"/>
  <c r="AJ121" i="1" s="1"/>
  <c r="E116" i="1"/>
  <c r="AM115" i="1"/>
  <c r="AK115" i="1"/>
  <c r="AF115" i="1"/>
  <c r="AD115" i="1"/>
  <c r="AC115" i="1"/>
  <c r="AB115" i="1"/>
  <c r="Z115" i="1"/>
  <c r="U115" i="1"/>
  <c r="AQ120" i="1" s="1"/>
  <c r="K115" i="1"/>
  <c r="AG120" i="1" s="1"/>
  <c r="AG126" i="1" s="1"/>
  <c r="J115" i="1"/>
  <c r="I115" i="1"/>
  <c r="AE120" i="1" s="1"/>
  <c r="H115" i="1"/>
  <c r="G115" i="1"/>
  <c r="F115" i="1"/>
  <c r="T115" i="1" s="1"/>
  <c r="AP120" i="1" s="1"/>
  <c r="E115" i="1"/>
  <c r="AA120" i="1" s="1"/>
  <c r="AM114" i="1"/>
  <c r="AK114" i="1"/>
  <c r="AG114" i="1"/>
  <c r="AF114" i="1"/>
  <c r="AC114" i="1"/>
  <c r="AA114" i="1"/>
  <c r="Z114" i="1"/>
  <c r="N114" i="1"/>
  <c r="L114" i="1"/>
  <c r="K114" i="1"/>
  <c r="K132" i="1" s="1"/>
  <c r="J114" i="1"/>
  <c r="H114" i="1"/>
  <c r="I114" i="1" s="1"/>
  <c r="G114" i="1"/>
  <c r="G132" i="1" s="1"/>
  <c r="F114" i="1"/>
  <c r="F132" i="1" s="1"/>
  <c r="N132" i="1" s="1"/>
  <c r="E114" i="1"/>
  <c r="E132" i="1" s="1"/>
  <c r="AM113" i="1"/>
  <c r="AK113" i="1"/>
  <c r="AG113" i="1"/>
  <c r="AF113" i="1"/>
  <c r="AD113" i="1"/>
  <c r="AC113" i="1"/>
  <c r="AB113" i="1"/>
  <c r="AJ113" i="1" s="1"/>
  <c r="AA113" i="1"/>
  <c r="Z113" i="1"/>
  <c r="AM112" i="1"/>
  <c r="AF112" i="1"/>
  <c r="AD112" i="1"/>
  <c r="AC112" i="1"/>
  <c r="AA112" i="1"/>
  <c r="Z112" i="1"/>
  <c r="AM111" i="1"/>
  <c r="AK111" i="1"/>
  <c r="AK117" i="1" s="1"/>
  <c r="AF111" i="1"/>
  <c r="AC111" i="1"/>
  <c r="AA111" i="1"/>
  <c r="Z111" i="1"/>
  <c r="AK108" i="1"/>
  <c r="Z108" i="1"/>
  <c r="AM107" i="1"/>
  <c r="AK107" i="1"/>
  <c r="AF107" i="1"/>
  <c r="AD107" i="1"/>
  <c r="Z107" i="1"/>
  <c r="AM106" i="1"/>
  <c r="AK106" i="1"/>
  <c r="AG106" i="1"/>
  <c r="AA106" i="1"/>
  <c r="Z106" i="1"/>
  <c r="AM105" i="1"/>
  <c r="AK105" i="1"/>
  <c r="AF105" i="1"/>
  <c r="AD105" i="1"/>
  <c r="AA105" i="1"/>
  <c r="Z105" i="1"/>
  <c r="O105" i="1"/>
  <c r="D105" i="1"/>
  <c r="AM104" i="1"/>
  <c r="AK104" i="1"/>
  <c r="AG104" i="1"/>
  <c r="AF104" i="1"/>
  <c r="AA104" i="1"/>
  <c r="Z104" i="1"/>
  <c r="N104" i="1"/>
  <c r="L104" i="1"/>
  <c r="AH89" i="1" s="1"/>
  <c r="K104" i="1"/>
  <c r="J104" i="1"/>
  <c r="H104" i="1"/>
  <c r="I104" i="1" s="1"/>
  <c r="G104" i="1"/>
  <c r="F104" i="1"/>
  <c r="E104" i="1"/>
  <c r="AM103" i="1"/>
  <c r="AK103" i="1"/>
  <c r="AD103" i="1"/>
  <c r="AB103" i="1"/>
  <c r="AJ103" i="1" s="1"/>
  <c r="AA103" i="1"/>
  <c r="Z103" i="1"/>
  <c r="K103" i="1"/>
  <c r="L103" i="1" s="1"/>
  <c r="AH88" i="1" s="1"/>
  <c r="J103" i="1"/>
  <c r="I103" i="1"/>
  <c r="H103" i="1"/>
  <c r="G103" i="1"/>
  <c r="AC88" i="1" s="1"/>
  <c r="F103" i="1"/>
  <c r="N103" i="1" s="1"/>
  <c r="E103" i="1"/>
  <c r="AM102" i="1"/>
  <c r="AK102" i="1"/>
  <c r="AG102" i="1"/>
  <c r="Z102" i="1"/>
  <c r="T102" i="1"/>
  <c r="U102" i="1" s="1"/>
  <c r="AQ98" i="1" s="1"/>
  <c r="L102" i="1"/>
  <c r="AH98" i="1" s="1"/>
  <c r="K102" i="1"/>
  <c r="J102" i="1"/>
  <c r="AF98" i="1" s="1"/>
  <c r="I102" i="1"/>
  <c r="H102" i="1"/>
  <c r="G102" i="1"/>
  <c r="F102" i="1"/>
  <c r="N102" i="1" s="1"/>
  <c r="E102" i="1"/>
  <c r="T101" i="1"/>
  <c r="U101" i="1" s="1"/>
  <c r="AQ97" i="1" s="1"/>
  <c r="L101" i="1"/>
  <c r="AH97" i="1" s="1"/>
  <c r="K101" i="1"/>
  <c r="J101" i="1"/>
  <c r="AF97" i="1" s="1"/>
  <c r="I101" i="1"/>
  <c r="H101" i="1"/>
  <c r="G101" i="1"/>
  <c r="AC97" i="1" s="1"/>
  <c r="F101" i="1"/>
  <c r="N101" i="1" s="1"/>
  <c r="E101" i="1"/>
  <c r="T100" i="1"/>
  <c r="U100" i="1" s="1"/>
  <c r="AQ87" i="1" s="1"/>
  <c r="L100" i="1"/>
  <c r="AH87" i="1" s="1"/>
  <c r="K100" i="1"/>
  <c r="J100" i="1"/>
  <c r="AF87" i="1" s="1"/>
  <c r="I100" i="1"/>
  <c r="H100" i="1"/>
  <c r="G100" i="1"/>
  <c r="F100" i="1"/>
  <c r="N100" i="1" s="1"/>
  <c r="AJ87" i="1" s="1"/>
  <c r="E100" i="1"/>
  <c r="L99" i="1"/>
  <c r="AH96" i="1" s="1"/>
  <c r="K99" i="1"/>
  <c r="J99" i="1"/>
  <c r="H99" i="1"/>
  <c r="I99" i="1" s="1"/>
  <c r="G99" i="1"/>
  <c r="F99" i="1"/>
  <c r="N99" i="1" s="1"/>
  <c r="E99" i="1"/>
  <c r="AM98" i="1"/>
  <c r="AK98" i="1"/>
  <c r="AG98" i="1"/>
  <c r="AD98" i="1"/>
  <c r="AC98" i="1"/>
  <c r="AB98" i="1"/>
  <c r="AJ98" i="1" s="1"/>
  <c r="AA98" i="1"/>
  <c r="Z98" i="1"/>
  <c r="K98" i="1"/>
  <c r="L98" i="1" s="1"/>
  <c r="AH107" i="1" s="1"/>
  <c r="J98" i="1"/>
  <c r="I98" i="1"/>
  <c r="H98" i="1"/>
  <c r="G98" i="1"/>
  <c r="AC107" i="1" s="1"/>
  <c r="F98" i="1"/>
  <c r="N98" i="1" s="1"/>
  <c r="E98" i="1"/>
  <c r="AA107" i="1" s="1"/>
  <c r="AM97" i="1"/>
  <c r="AK97" i="1"/>
  <c r="AG97" i="1"/>
  <c r="AE97" i="1"/>
  <c r="AD97" i="1"/>
  <c r="AB97" i="1"/>
  <c r="AJ97" i="1" s="1"/>
  <c r="AA97" i="1"/>
  <c r="Z97" i="1"/>
  <c r="T97" i="1"/>
  <c r="AP106" i="1" s="1"/>
  <c r="L97" i="1"/>
  <c r="AH106" i="1" s="1"/>
  <c r="K97" i="1"/>
  <c r="J97" i="1"/>
  <c r="AF106" i="1" s="1"/>
  <c r="I97" i="1"/>
  <c r="AE106" i="1" s="1"/>
  <c r="H97" i="1"/>
  <c r="AD106" i="1" s="1"/>
  <c r="G97" i="1"/>
  <c r="AC106" i="1" s="1"/>
  <c r="F97" i="1"/>
  <c r="N97" i="1" s="1"/>
  <c r="E97" i="1"/>
  <c r="AM96" i="1"/>
  <c r="AG96" i="1"/>
  <c r="AF96" i="1"/>
  <c r="AC96" i="1"/>
  <c r="AA96" i="1"/>
  <c r="Z96" i="1"/>
  <c r="N96" i="1"/>
  <c r="L96" i="1"/>
  <c r="AH105" i="1" s="1"/>
  <c r="K96" i="1"/>
  <c r="AG105" i="1" s="1"/>
  <c r="J96" i="1"/>
  <c r="H96" i="1"/>
  <c r="I96" i="1" s="1"/>
  <c r="G96" i="1"/>
  <c r="AC105" i="1" s="1"/>
  <c r="F96" i="1"/>
  <c r="E96" i="1"/>
  <c r="AM95" i="1"/>
  <c r="AK95" i="1"/>
  <c r="AK99" i="1" s="1"/>
  <c r="AG95" i="1"/>
  <c r="AD95" i="1"/>
  <c r="AB95" i="1"/>
  <c r="AJ95" i="1" s="1"/>
  <c r="Z95" i="1"/>
  <c r="K95" i="1"/>
  <c r="L95" i="1" s="1"/>
  <c r="AH104" i="1" s="1"/>
  <c r="J95" i="1"/>
  <c r="I95" i="1"/>
  <c r="H95" i="1"/>
  <c r="AD104" i="1" s="1"/>
  <c r="G95" i="1"/>
  <c r="AC104" i="1" s="1"/>
  <c r="F95" i="1"/>
  <c r="N95" i="1" s="1"/>
  <c r="E95" i="1"/>
  <c r="AM94" i="1"/>
  <c r="AK94" i="1"/>
  <c r="AG94" i="1"/>
  <c r="AG99" i="1" s="1"/>
  <c r="AE94" i="1"/>
  <c r="AD94" i="1"/>
  <c r="AA94" i="1"/>
  <c r="Z94" i="1"/>
  <c r="V94" i="1"/>
  <c r="T94" i="1"/>
  <c r="U94" i="1" s="1"/>
  <c r="AQ86" i="1" s="1"/>
  <c r="L94" i="1"/>
  <c r="K94" i="1"/>
  <c r="J94" i="1"/>
  <c r="I94" i="1"/>
  <c r="M94" i="1" s="1"/>
  <c r="H94" i="1"/>
  <c r="G94" i="1"/>
  <c r="F94" i="1"/>
  <c r="N94" i="1" s="1"/>
  <c r="E94" i="1"/>
  <c r="AM93" i="1"/>
  <c r="AK93" i="1"/>
  <c r="AH93" i="1"/>
  <c r="AG93" i="1"/>
  <c r="AD93" i="1"/>
  <c r="AB93" i="1"/>
  <c r="AJ93" i="1" s="1"/>
  <c r="Z93" i="1"/>
  <c r="Z99" i="1" s="1"/>
  <c r="L93" i="1"/>
  <c r="K93" i="1"/>
  <c r="J93" i="1"/>
  <c r="H93" i="1"/>
  <c r="G93" i="1"/>
  <c r="F93" i="1"/>
  <c r="N93" i="1" s="1"/>
  <c r="E93" i="1"/>
  <c r="AA85" i="1" s="1"/>
  <c r="L92" i="1"/>
  <c r="AH84" i="1" s="1"/>
  <c r="K92" i="1"/>
  <c r="J92" i="1"/>
  <c r="H92" i="1"/>
  <c r="G92" i="1"/>
  <c r="F92" i="1"/>
  <c r="N92" i="1" s="1"/>
  <c r="E92" i="1"/>
  <c r="AA84" i="1" s="1"/>
  <c r="AA90" i="1" s="1"/>
  <c r="L91" i="1"/>
  <c r="AH95" i="1" s="1"/>
  <c r="K91" i="1"/>
  <c r="J91" i="1"/>
  <c r="AF95" i="1" s="1"/>
  <c r="H91" i="1"/>
  <c r="G91" i="1"/>
  <c r="F91" i="1"/>
  <c r="N91" i="1" s="1"/>
  <c r="E91" i="1"/>
  <c r="AA95" i="1" s="1"/>
  <c r="AD90" i="1"/>
  <c r="K90" i="1"/>
  <c r="AG103" i="1" s="1"/>
  <c r="J90" i="1"/>
  <c r="AF103" i="1" s="1"/>
  <c r="I90" i="1"/>
  <c r="H90" i="1"/>
  <c r="G90" i="1"/>
  <c r="AC103" i="1" s="1"/>
  <c r="F90" i="1"/>
  <c r="N90" i="1" s="1"/>
  <c r="E90" i="1"/>
  <c r="AM89" i="1"/>
  <c r="AK89" i="1"/>
  <c r="AG89" i="1"/>
  <c r="AF89" i="1"/>
  <c r="AD89" i="1"/>
  <c r="AC89" i="1"/>
  <c r="AA89" i="1"/>
  <c r="Z89" i="1"/>
  <c r="T89" i="1"/>
  <c r="U89" i="1" s="1"/>
  <c r="AQ94" i="1" s="1"/>
  <c r="L89" i="1"/>
  <c r="AH94" i="1" s="1"/>
  <c r="K89" i="1"/>
  <c r="J89" i="1"/>
  <c r="AF94" i="1" s="1"/>
  <c r="I89" i="1"/>
  <c r="H89" i="1"/>
  <c r="G89" i="1"/>
  <c r="AC94" i="1" s="1"/>
  <c r="F89" i="1"/>
  <c r="AB94" i="1" s="1"/>
  <c r="AJ94" i="1" s="1"/>
  <c r="E89" i="1"/>
  <c r="AM88" i="1"/>
  <c r="AK88" i="1"/>
  <c r="AJ88" i="1"/>
  <c r="AG88" i="1"/>
  <c r="AF88" i="1"/>
  <c r="AD88" i="1"/>
  <c r="AB88" i="1"/>
  <c r="AA88" i="1"/>
  <c r="Z88" i="1"/>
  <c r="L88" i="1"/>
  <c r="K88" i="1"/>
  <c r="J88" i="1"/>
  <c r="AF93" i="1" s="1"/>
  <c r="H88" i="1"/>
  <c r="G88" i="1"/>
  <c r="F88" i="1"/>
  <c r="N88" i="1" s="1"/>
  <c r="E88" i="1"/>
  <c r="AA93" i="1" s="1"/>
  <c r="AA99" i="1" s="1"/>
  <c r="AM87" i="1"/>
  <c r="AK87" i="1"/>
  <c r="AG87" i="1"/>
  <c r="AE87" i="1"/>
  <c r="AD87" i="1"/>
  <c r="AC87" i="1"/>
  <c r="AB87" i="1"/>
  <c r="AA87" i="1"/>
  <c r="Z87" i="1"/>
  <c r="T87" i="1"/>
  <c r="K87" i="1"/>
  <c r="K105" i="1" s="1"/>
  <c r="J87" i="1"/>
  <c r="J105" i="1" s="1"/>
  <c r="H87" i="1"/>
  <c r="H105" i="1" s="1"/>
  <c r="G87" i="1"/>
  <c r="I87" i="1" s="1"/>
  <c r="F87" i="1"/>
  <c r="F105" i="1" s="1"/>
  <c r="N105" i="1" s="1"/>
  <c r="E87" i="1"/>
  <c r="E105" i="1" s="1"/>
  <c r="AP86" i="1"/>
  <c r="AM86" i="1"/>
  <c r="AK86" i="1"/>
  <c r="AH86" i="1"/>
  <c r="AG86" i="1"/>
  <c r="AF86" i="1"/>
  <c r="AF90" i="1" s="1"/>
  <c r="AE86" i="1"/>
  <c r="AD86" i="1"/>
  <c r="AC86" i="1"/>
  <c r="AB86" i="1"/>
  <c r="AJ86" i="1" s="1"/>
  <c r="AA86" i="1"/>
  <c r="Z86" i="1"/>
  <c r="AM85" i="1"/>
  <c r="AJ85" i="1"/>
  <c r="AH85" i="1"/>
  <c r="AG85" i="1"/>
  <c r="AF85" i="1"/>
  <c r="AD85" i="1"/>
  <c r="AB85" i="1"/>
  <c r="Z85" i="1"/>
  <c r="AM84" i="1"/>
  <c r="AK84" i="1"/>
  <c r="AK90" i="1" s="1"/>
  <c r="AG84" i="1"/>
  <c r="AG90" i="1" s="1"/>
  <c r="AF84" i="1"/>
  <c r="AD84" i="1"/>
  <c r="AB84" i="1"/>
  <c r="AJ84" i="1" s="1"/>
  <c r="Z84" i="1"/>
  <c r="Z90" i="1" s="1"/>
  <c r="AP80" i="1"/>
  <c r="AM80" i="1"/>
  <c r="AK80" i="1"/>
  <c r="AB80" i="1"/>
  <c r="Z80" i="1"/>
  <c r="AM79" i="1"/>
  <c r="AK79" i="1"/>
  <c r="AC79" i="1"/>
  <c r="Z79" i="1"/>
  <c r="AM78" i="1"/>
  <c r="AK78" i="1"/>
  <c r="Z78" i="1"/>
  <c r="O78" i="1"/>
  <c r="D78" i="1"/>
  <c r="AM77" i="1"/>
  <c r="AK77" i="1"/>
  <c r="AC77" i="1"/>
  <c r="AB77" i="1"/>
  <c r="Z77" i="1"/>
  <c r="T77" i="1"/>
  <c r="K77" i="1"/>
  <c r="J77" i="1"/>
  <c r="H77" i="1"/>
  <c r="AD62" i="1" s="1"/>
  <c r="G77" i="1"/>
  <c r="I77" i="1" s="1"/>
  <c r="F77" i="1"/>
  <c r="N77" i="1" s="1"/>
  <c r="E77" i="1"/>
  <c r="AP76" i="1"/>
  <c r="AM76" i="1"/>
  <c r="AK76" i="1"/>
  <c r="AF76" i="1"/>
  <c r="Z76" i="1"/>
  <c r="T76" i="1"/>
  <c r="AP61" i="1" s="1"/>
  <c r="K76" i="1"/>
  <c r="AG61" i="1" s="1"/>
  <c r="J76" i="1"/>
  <c r="L76" i="1" s="1"/>
  <c r="AH61" i="1" s="1"/>
  <c r="H76" i="1"/>
  <c r="G76" i="1"/>
  <c r="I76" i="1" s="1"/>
  <c r="AE61" i="1" s="1"/>
  <c r="F76" i="1"/>
  <c r="E76" i="1"/>
  <c r="AM75" i="1"/>
  <c r="AK75" i="1"/>
  <c r="AK81" i="1" s="1"/>
  <c r="AC75" i="1"/>
  <c r="AA75" i="1"/>
  <c r="Z75" i="1"/>
  <c r="K75" i="1"/>
  <c r="J75" i="1"/>
  <c r="L75" i="1" s="1"/>
  <c r="H75" i="1"/>
  <c r="AD71" i="1" s="1"/>
  <c r="G75" i="1"/>
  <c r="F75" i="1"/>
  <c r="N75" i="1" s="1"/>
  <c r="E75" i="1"/>
  <c r="AA71" i="1" s="1"/>
  <c r="K74" i="1"/>
  <c r="AG70" i="1" s="1"/>
  <c r="J74" i="1"/>
  <c r="L74" i="1" s="1"/>
  <c r="AH70" i="1" s="1"/>
  <c r="H74" i="1"/>
  <c r="AD70" i="1" s="1"/>
  <c r="G74" i="1"/>
  <c r="I74" i="1" s="1"/>
  <c r="F74" i="1"/>
  <c r="AB70" i="1" s="1"/>
  <c r="AJ70" i="1" s="1"/>
  <c r="E74" i="1"/>
  <c r="K73" i="1"/>
  <c r="J73" i="1"/>
  <c r="L73" i="1" s="1"/>
  <c r="AH60" i="1" s="1"/>
  <c r="H73" i="1"/>
  <c r="AD60" i="1" s="1"/>
  <c r="G73" i="1"/>
  <c r="I73" i="1" s="1"/>
  <c r="F73" i="1"/>
  <c r="N73" i="1" s="1"/>
  <c r="AJ60" i="1" s="1"/>
  <c r="E73" i="1"/>
  <c r="T72" i="1"/>
  <c r="K72" i="1"/>
  <c r="J72" i="1"/>
  <c r="H72" i="1"/>
  <c r="AD69" i="1" s="1"/>
  <c r="G72" i="1"/>
  <c r="I72" i="1" s="1"/>
  <c r="F72" i="1"/>
  <c r="N72" i="1" s="1"/>
  <c r="E72" i="1"/>
  <c r="AA69" i="1" s="1"/>
  <c r="AM71" i="1"/>
  <c r="AK71" i="1"/>
  <c r="AH71" i="1"/>
  <c r="AG71" i="1"/>
  <c r="AF71" i="1"/>
  <c r="AC71" i="1"/>
  <c r="Z71" i="1"/>
  <c r="T71" i="1"/>
  <c r="K71" i="1"/>
  <c r="AG80" i="1" s="1"/>
  <c r="J71" i="1"/>
  <c r="L71" i="1" s="1"/>
  <c r="AH80" i="1" s="1"/>
  <c r="H71" i="1"/>
  <c r="AD80" i="1" s="1"/>
  <c r="G71" i="1"/>
  <c r="I71" i="1" s="1"/>
  <c r="AE80" i="1" s="1"/>
  <c r="F71" i="1"/>
  <c r="E71" i="1"/>
  <c r="AM70" i="1"/>
  <c r="AK70" i="1"/>
  <c r="AF70" i="1"/>
  <c r="AC70" i="1"/>
  <c r="AA70" i="1"/>
  <c r="Z70" i="1"/>
  <c r="K70" i="1"/>
  <c r="AG79" i="1" s="1"/>
  <c r="J70" i="1"/>
  <c r="L70" i="1" s="1"/>
  <c r="AH79" i="1" s="1"/>
  <c r="H70" i="1"/>
  <c r="AD79" i="1" s="1"/>
  <c r="G70" i="1"/>
  <c r="F70" i="1"/>
  <c r="N70" i="1" s="1"/>
  <c r="E70" i="1"/>
  <c r="AA79" i="1" s="1"/>
  <c r="AM69" i="1"/>
  <c r="AG69" i="1"/>
  <c r="AC69" i="1"/>
  <c r="AB69" i="1"/>
  <c r="AJ69" i="1" s="1"/>
  <c r="Z69" i="1"/>
  <c r="T69" i="1"/>
  <c r="U69" i="1" s="1"/>
  <c r="AQ78" i="1" s="1"/>
  <c r="K69" i="1"/>
  <c r="AG78" i="1" s="1"/>
  <c r="J69" i="1"/>
  <c r="H69" i="1"/>
  <c r="AD78" i="1" s="1"/>
  <c r="G69" i="1"/>
  <c r="I69" i="1" s="1"/>
  <c r="F69" i="1"/>
  <c r="N69" i="1" s="1"/>
  <c r="E69" i="1"/>
  <c r="AA78" i="1" s="1"/>
  <c r="AM68" i="1"/>
  <c r="AK68" i="1"/>
  <c r="AF68" i="1"/>
  <c r="AC68" i="1"/>
  <c r="Z68" i="1"/>
  <c r="T68" i="1"/>
  <c r="AP77" i="1" s="1"/>
  <c r="K68" i="1"/>
  <c r="AG77" i="1" s="1"/>
  <c r="J68" i="1"/>
  <c r="L68" i="1" s="1"/>
  <c r="AH77" i="1" s="1"/>
  <c r="H68" i="1"/>
  <c r="AD77" i="1" s="1"/>
  <c r="G68" i="1"/>
  <c r="I68" i="1" s="1"/>
  <c r="AE77" i="1" s="1"/>
  <c r="F68" i="1"/>
  <c r="E68" i="1"/>
  <c r="AM67" i="1"/>
  <c r="AK67" i="1"/>
  <c r="AK72" i="1" s="1"/>
  <c r="AC67" i="1"/>
  <c r="AC72" i="1" s="1"/>
  <c r="AA67" i="1"/>
  <c r="Z67" i="1"/>
  <c r="K67" i="1"/>
  <c r="J67" i="1"/>
  <c r="L67" i="1" s="1"/>
  <c r="AH59" i="1" s="1"/>
  <c r="H67" i="1"/>
  <c r="G67" i="1"/>
  <c r="I67" i="1" s="1"/>
  <c r="F67" i="1"/>
  <c r="N67" i="1" s="1"/>
  <c r="E67" i="1"/>
  <c r="AM66" i="1"/>
  <c r="AK66" i="1"/>
  <c r="AF66" i="1"/>
  <c r="AD66" i="1"/>
  <c r="AC66" i="1"/>
  <c r="Z66" i="1"/>
  <c r="Z72" i="1" s="1"/>
  <c r="U66" i="1"/>
  <c r="AQ58" i="1" s="1"/>
  <c r="K66" i="1"/>
  <c r="AG58" i="1" s="1"/>
  <c r="J66" i="1"/>
  <c r="I66" i="1"/>
  <c r="AE58" i="1" s="1"/>
  <c r="H66" i="1"/>
  <c r="G66" i="1"/>
  <c r="F66" i="1"/>
  <c r="T66" i="1" s="1"/>
  <c r="AP58" i="1" s="1"/>
  <c r="E66" i="1"/>
  <c r="U65" i="1"/>
  <c r="AQ57" i="1" s="1"/>
  <c r="K65" i="1"/>
  <c r="AG57" i="1" s="1"/>
  <c r="AG63" i="1" s="1"/>
  <c r="J65" i="1"/>
  <c r="I65" i="1"/>
  <c r="AE57" i="1" s="1"/>
  <c r="H65" i="1"/>
  <c r="AD57" i="1" s="1"/>
  <c r="G65" i="1"/>
  <c r="F65" i="1"/>
  <c r="T65" i="1" s="1"/>
  <c r="AP57" i="1" s="1"/>
  <c r="E65" i="1"/>
  <c r="U64" i="1"/>
  <c r="AQ68" i="1" s="1"/>
  <c r="K64" i="1"/>
  <c r="AG68" i="1" s="1"/>
  <c r="J64" i="1"/>
  <c r="I64" i="1"/>
  <c r="AE68" i="1" s="1"/>
  <c r="H64" i="1"/>
  <c r="AD68" i="1" s="1"/>
  <c r="G64" i="1"/>
  <c r="F64" i="1"/>
  <c r="T64" i="1" s="1"/>
  <c r="AP68" i="1" s="1"/>
  <c r="E64" i="1"/>
  <c r="AA68" i="1" s="1"/>
  <c r="Z63" i="1"/>
  <c r="T63" i="1"/>
  <c r="K63" i="1"/>
  <c r="AG76" i="1" s="1"/>
  <c r="J63" i="1"/>
  <c r="L63" i="1" s="1"/>
  <c r="AH76" i="1" s="1"/>
  <c r="H63" i="1"/>
  <c r="AD76" i="1" s="1"/>
  <c r="G63" i="1"/>
  <c r="I63" i="1" s="1"/>
  <c r="AE76" i="1" s="1"/>
  <c r="F63" i="1"/>
  <c r="AB76" i="1" s="1"/>
  <c r="E63" i="1"/>
  <c r="AM62" i="1"/>
  <c r="AK62" i="1"/>
  <c r="AG62" i="1"/>
  <c r="AC62" i="1"/>
  <c r="AB62" i="1"/>
  <c r="AJ62" i="1" s="1"/>
  <c r="AA62" i="1"/>
  <c r="Z62" i="1"/>
  <c r="K62" i="1"/>
  <c r="AG67" i="1" s="1"/>
  <c r="J62" i="1"/>
  <c r="L62" i="1" s="1"/>
  <c r="AH67" i="1" s="1"/>
  <c r="H62" i="1"/>
  <c r="AD67" i="1" s="1"/>
  <c r="G62" i="1"/>
  <c r="I62" i="1" s="1"/>
  <c r="F62" i="1"/>
  <c r="AB67" i="1" s="1"/>
  <c r="AJ67" i="1" s="1"/>
  <c r="E62" i="1"/>
  <c r="AM61" i="1"/>
  <c r="AK61" i="1"/>
  <c r="AF61" i="1"/>
  <c r="AD61" i="1"/>
  <c r="AC61" i="1"/>
  <c r="AB61" i="1"/>
  <c r="Z61" i="1"/>
  <c r="U61" i="1"/>
  <c r="AQ66" i="1" s="1"/>
  <c r="K61" i="1"/>
  <c r="AG66" i="1" s="1"/>
  <c r="J61" i="1"/>
  <c r="L61" i="1" s="1"/>
  <c r="AH66" i="1" s="1"/>
  <c r="I61" i="1"/>
  <c r="AE66" i="1" s="1"/>
  <c r="H61" i="1"/>
  <c r="G61" i="1"/>
  <c r="F61" i="1"/>
  <c r="T61" i="1" s="1"/>
  <c r="AP66" i="1" s="1"/>
  <c r="E61" i="1"/>
  <c r="AA66" i="1" s="1"/>
  <c r="AA72" i="1" s="1"/>
  <c r="AM60" i="1"/>
  <c r="AK60" i="1"/>
  <c r="AG60" i="1"/>
  <c r="AF60" i="1"/>
  <c r="AC60" i="1"/>
  <c r="AA60" i="1"/>
  <c r="Z60" i="1"/>
  <c r="L60" i="1"/>
  <c r="K60" i="1"/>
  <c r="K78" i="1" s="1"/>
  <c r="J60" i="1"/>
  <c r="J78" i="1" s="1"/>
  <c r="H60" i="1"/>
  <c r="I60" i="1" s="1"/>
  <c r="G60" i="1"/>
  <c r="G78" i="1" s="1"/>
  <c r="F60" i="1"/>
  <c r="F78" i="1" s="1"/>
  <c r="N78" i="1" s="1"/>
  <c r="E60" i="1"/>
  <c r="E78" i="1" s="1"/>
  <c r="AM59" i="1"/>
  <c r="AK59" i="1"/>
  <c r="AG59" i="1"/>
  <c r="AF59" i="1"/>
  <c r="AD59" i="1"/>
  <c r="AC59" i="1"/>
  <c r="AB59" i="1"/>
  <c r="AJ59" i="1" s="1"/>
  <c r="AA59" i="1"/>
  <c r="Z59" i="1"/>
  <c r="AM58" i="1"/>
  <c r="AF58" i="1"/>
  <c r="AD58" i="1"/>
  <c r="AC58" i="1"/>
  <c r="AB58" i="1"/>
  <c r="AJ58" i="1" s="1"/>
  <c r="AA58" i="1"/>
  <c r="Z58" i="1"/>
  <c r="AM57" i="1"/>
  <c r="AK57" i="1"/>
  <c r="AK63" i="1" s="1"/>
  <c r="AF57" i="1"/>
  <c r="AC57" i="1"/>
  <c r="AC63" i="1" s="1"/>
  <c r="AB57" i="1"/>
  <c r="AA57" i="1"/>
  <c r="Z57" i="1"/>
  <c r="AK54" i="1"/>
  <c r="Z54" i="1"/>
  <c r="AM53" i="1"/>
  <c r="AK53" i="1"/>
  <c r="AF53" i="1"/>
  <c r="AD53" i="1"/>
  <c r="Z53" i="1"/>
  <c r="AM52" i="1"/>
  <c r="AK52" i="1"/>
  <c r="AG52" i="1"/>
  <c r="AA52" i="1"/>
  <c r="Z52" i="1"/>
  <c r="AM51" i="1"/>
  <c r="AK51" i="1"/>
  <c r="AD51" i="1"/>
  <c r="AA51" i="1"/>
  <c r="Z51" i="1"/>
  <c r="O51" i="1"/>
  <c r="D51" i="1"/>
  <c r="AM50" i="1"/>
  <c r="AK50" i="1"/>
  <c r="AG50" i="1"/>
  <c r="AF50" i="1"/>
  <c r="AA50" i="1"/>
  <c r="Z50" i="1"/>
  <c r="N50" i="1"/>
  <c r="L50" i="1"/>
  <c r="AH35" i="1" s="1"/>
  <c r="K50" i="1"/>
  <c r="J50" i="1"/>
  <c r="H50" i="1"/>
  <c r="I50" i="1" s="1"/>
  <c r="G50" i="1"/>
  <c r="F50" i="1"/>
  <c r="E50" i="1"/>
  <c r="AM49" i="1"/>
  <c r="AK49" i="1"/>
  <c r="AD49" i="1"/>
  <c r="AB49" i="1"/>
  <c r="AJ49" i="1" s="1"/>
  <c r="AA49" i="1"/>
  <c r="Z49" i="1"/>
  <c r="K49" i="1"/>
  <c r="L49" i="1" s="1"/>
  <c r="AH34" i="1" s="1"/>
  <c r="J49" i="1"/>
  <c r="I49" i="1"/>
  <c r="H49" i="1"/>
  <c r="G49" i="1"/>
  <c r="AC34" i="1" s="1"/>
  <c r="F49" i="1"/>
  <c r="N49" i="1" s="1"/>
  <c r="E49" i="1"/>
  <c r="AM48" i="1"/>
  <c r="AK48" i="1"/>
  <c r="AG48" i="1"/>
  <c r="Z48" i="1"/>
  <c r="T48" i="1"/>
  <c r="U48" i="1" s="1"/>
  <c r="AQ44" i="1" s="1"/>
  <c r="L48" i="1"/>
  <c r="AH44" i="1" s="1"/>
  <c r="K48" i="1"/>
  <c r="J48" i="1"/>
  <c r="AF44" i="1" s="1"/>
  <c r="I48" i="1"/>
  <c r="M48" i="1" s="1"/>
  <c r="H48" i="1"/>
  <c r="G48" i="1"/>
  <c r="F48" i="1"/>
  <c r="N48" i="1" s="1"/>
  <c r="E48" i="1"/>
  <c r="T47" i="1"/>
  <c r="U47" i="1" s="1"/>
  <c r="AQ43" i="1" s="1"/>
  <c r="L47" i="1"/>
  <c r="AH43" i="1" s="1"/>
  <c r="K47" i="1"/>
  <c r="J47" i="1"/>
  <c r="AF43" i="1" s="1"/>
  <c r="I47" i="1"/>
  <c r="H47" i="1"/>
  <c r="G47" i="1"/>
  <c r="AC43" i="1" s="1"/>
  <c r="F47" i="1"/>
  <c r="AB43" i="1" s="1"/>
  <c r="AJ43" i="1" s="1"/>
  <c r="E47" i="1"/>
  <c r="T46" i="1"/>
  <c r="U46" i="1" s="1"/>
  <c r="AQ33" i="1" s="1"/>
  <c r="L46" i="1"/>
  <c r="AH33" i="1" s="1"/>
  <c r="K46" i="1"/>
  <c r="J46" i="1"/>
  <c r="AF33" i="1" s="1"/>
  <c r="I46" i="1"/>
  <c r="H46" i="1"/>
  <c r="G46" i="1"/>
  <c r="F46" i="1"/>
  <c r="N46" i="1" s="1"/>
  <c r="AJ33" i="1" s="1"/>
  <c r="E46" i="1"/>
  <c r="N45" i="1"/>
  <c r="L45" i="1"/>
  <c r="AH42" i="1" s="1"/>
  <c r="K45" i="1"/>
  <c r="J45" i="1"/>
  <c r="H45" i="1"/>
  <c r="I45" i="1" s="1"/>
  <c r="G45" i="1"/>
  <c r="F45" i="1"/>
  <c r="E45" i="1"/>
  <c r="AM44" i="1"/>
  <c r="AK44" i="1"/>
  <c r="AG44" i="1"/>
  <c r="AD44" i="1"/>
  <c r="AC44" i="1"/>
  <c r="AB44" i="1"/>
  <c r="AJ44" i="1" s="1"/>
  <c r="AA44" i="1"/>
  <c r="Z44" i="1"/>
  <c r="K44" i="1"/>
  <c r="L44" i="1" s="1"/>
  <c r="AH53" i="1" s="1"/>
  <c r="J44" i="1"/>
  <c r="I44" i="1"/>
  <c r="H44" i="1"/>
  <c r="G44" i="1"/>
  <c r="AC53" i="1" s="1"/>
  <c r="F44" i="1"/>
  <c r="N44" i="1" s="1"/>
  <c r="E44" i="1"/>
  <c r="AA53" i="1" s="1"/>
  <c r="AM43" i="1"/>
  <c r="AK43" i="1"/>
  <c r="AG43" i="1"/>
  <c r="AE43" i="1"/>
  <c r="AD43" i="1"/>
  <c r="AA43" i="1"/>
  <c r="Z43" i="1"/>
  <c r="T43" i="1"/>
  <c r="AP52" i="1" s="1"/>
  <c r="L43" i="1"/>
  <c r="AH52" i="1" s="1"/>
  <c r="K43" i="1"/>
  <c r="J43" i="1"/>
  <c r="AF52" i="1" s="1"/>
  <c r="I43" i="1"/>
  <c r="AE52" i="1" s="1"/>
  <c r="H43" i="1"/>
  <c r="AD52" i="1" s="1"/>
  <c r="G43" i="1"/>
  <c r="AC52" i="1" s="1"/>
  <c r="F43" i="1"/>
  <c r="N43" i="1" s="1"/>
  <c r="E43" i="1"/>
  <c r="AM42" i="1"/>
  <c r="AG42" i="1"/>
  <c r="AF42" i="1"/>
  <c r="AC42" i="1"/>
  <c r="AA42" i="1"/>
  <c r="Z42" i="1"/>
  <c r="N42" i="1"/>
  <c r="L42" i="1"/>
  <c r="AH51" i="1" s="1"/>
  <c r="K42" i="1"/>
  <c r="AG51" i="1" s="1"/>
  <c r="J42" i="1"/>
  <c r="AF51" i="1" s="1"/>
  <c r="H42" i="1"/>
  <c r="I42" i="1" s="1"/>
  <c r="G42" i="1"/>
  <c r="AC51" i="1" s="1"/>
  <c r="F42" i="1"/>
  <c r="E42" i="1"/>
  <c r="AM41" i="1"/>
  <c r="AK41" i="1"/>
  <c r="AF41" i="1"/>
  <c r="AD41" i="1"/>
  <c r="AB41" i="1"/>
  <c r="Z41" i="1"/>
  <c r="K41" i="1"/>
  <c r="L41" i="1" s="1"/>
  <c r="AH50" i="1" s="1"/>
  <c r="J41" i="1"/>
  <c r="I41" i="1"/>
  <c r="H41" i="1"/>
  <c r="AD50" i="1" s="1"/>
  <c r="G41" i="1"/>
  <c r="AC50" i="1" s="1"/>
  <c r="F41" i="1"/>
  <c r="N41" i="1" s="1"/>
  <c r="E41" i="1"/>
  <c r="AM40" i="1"/>
  <c r="AK40" i="1"/>
  <c r="AG40" i="1"/>
  <c r="AE40" i="1"/>
  <c r="AD40" i="1"/>
  <c r="AA40" i="1"/>
  <c r="Z40" i="1"/>
  <c r="T40" i="1"/>
  <c r="U40" i="1" s="1"/>
  <c r="AQ32" i="1" s="1"/>
  <c r="L40" i="1"/>
  <c r="AH32" i="1" s="1"/>
  <c r="K40" i="1"/>
  <c r="J40" i="1"/>
  <c r="I40" i="1"/>
  <c r="H40" i="1"/>
  <c r="G40" i="1"/>
  <c r="F40" i="1"/>
  <c r="N40" i="1" s="1"/>
  <c r="E40" i="1"/>
  <c r="AM39" i="1"/>
  <c r="AK39" i="1"/>
  <c r="AK45" i="1" s="1"/>
  <c r="AH39" i="1"/>
  <c r="AG39" i="1"/>
  <c r="AD39" i="1"/>
  <c r="AB39" i="1"/>
  <c r="Z39" i="1"/>
  <c r="Z45" i="1" s="1"/>
  <c r="L39" i="1"/>
  <c r="K39" i="1"/>
  <c r="J39" i="1"/>
  <c r="H39" i="1"/>
  <c r="G39" i="1"/>
  <c r="F39" i="1"/>
  <c r="N39" i="1" s="1"/>
  <c r="E39" i="1"/>
  <c r="AA31" i="1" s="1"/>
  <c r="AJ31" i="1" s="1"/>
  <c r="L38" i="1"/>
  <c r="AH30" i="1" s="1"/>
  <c r="K38" i="1"/>
  <c r="J38" i="1"/>
  <c r="H38" i="1"/>
  <c r="G38" i="1"/>
  <c r="F38" i="1"/>
  <c r="N38" i="1" s="1"/>
  <c r="E38" i="1"/>
  <c r="AA30" i="1" s="1"/>
  <c r="AA36" i="1" s="1"/>
  <c r="L37" i="1"/>
  <c r="AH41" i="1" s="1"/>
  <c r="K37" i="1"/>
  <c r="AG41" i="1" s="1"/>
  <c r="J37" i="1"/>
  <c r="H37" i="1"/>
  <c r="G37" i="1"/>
  <c r="F37" i="1"/>
  <c r="N37" i="1" s="1"/>
  <c r="E37" i="1"/>
  <c r="AA41" i="1" s="1"/>
  <c r="AD36" i="1"/>
  <c r="K36" i="1"/>
  <c r="AG49" i="1" s="1"/>
  <c r="J36" i="1"/>
  <c r="AF49" i="1" s="1"/>
  <c r="I36" i="1"/>
  <c r="H36" i="1"/>
  <c r="G36" i="1"/>
  <c r="AC49" i="1" s="1"/>
  <c r="F36" i="1"/>
  <c r="N36" i="1" s="1"/>
  <c r="E36" i="1"/>
  <c r="AM35" i="1"/>
  <c r="AK35" i="1"/>
  <c r="AG35" i="1"/>
  <c r="AF35" i="1"/>
  <c r="AD35" i="1"/>
  <c r="AC35" i="1"/>
  <c r="AA35" i="1"/>
  <c r="Z35" i="1"/>
  <c r="T35" i="1"/>
  <c r="U35" i="1" s="1"/>
  <c r="AQ40" i="1" s="1"/>
  <c r="L35" i="1"/>
  <c r="AH40" i="1" s="1"/>
  <c r="K35" i="1"/>
  <c r="J35" i="1"/>
  <c r="AF40" i="1" s="1"/>
  <c r="I35" i="1"/>
  <c r="H35" i="1"/>
  <c r="G35" i="1"/>
  <c r="AC40" i="1" s="1"/>
  <c r="F35" i="1"/>
  <c r="AB40" i="1" s="1"/>
  <c r="AJ40" i="1" s="1"/>
  <c r="E35" i="1"/>
  <c r="AM34" i="1"/>
  <c r="AK34" i="1"/>
  <c r="AJ34" i="1"/>
  <c r="AG34" i="1"/>
  <c r="AF34" i="1"/>
  <c r="AD34" i="1"/>
  <c r="AB34" i="1"/>
  <c r="AA34" i="1"/>
  <c r="Z34" i="1"/>
  <c r="L34" i="1"/>
  <c r="K34" i="1"/>
  <c r="J34" i="1"/>
  <c r="AF39" i="1" s="1"/>
  <c r="H34" i="1"/>
  <c r="G34" i="1"/>
  <c r="F34" i="1"/>
  <c r="N34" i="1" s="1"/>
  <c r="E34" i="1"/>
  <c r="AA39" i="1" s="1"/>
  <c r="AA45" i="1" s="1"/>
  <c r="AM33" i="1"/>
  <c r="AK33" i="1"/>
  <c r="AG33" i="1"/>
  <c r="AE33" i="1"/>
  <c r="AD33" i="1"/>
  <c r="AC33" i="1"/>
  <c r="AB33" i="1"/>
  <c r="AA33" i="1"/>
  <c r="Z33" i="1"/>
  <c r="T33" i="1"/>
  <c r="K33" i="1"/>
  <c r="K51" i="1" s="1"/>
  <c r="J33" i="1"/>
  <c r="J51" i="1" s="1"/>
  <c r="H33" i="1"/>
  <c r="H51" i="1" s="1"/>
  <c r="G33" i="1"/>
  <c r="I33" i="1" s="1"/>
  <c r="F33" i="1"/>
  <c r="F51" i="1" s="1"/>
  <c r="N51" i="1" s="1"/>
  <c r="E33" i="1"/>
  <c r="E51" i="1" s="1"/>
  <c r="AP32" i="1"/>
  <c r="AM32" i="1"/>
  <c r="AK32" i="1"/>
  <c r="AG32" i="1"/>
  <c r="AF32" i="1"/>
  <c r="AF36" i="1" s="1"/>
  <c r="AE32" i="1"/>
  <c r="AD32" i="1"/>
  <c r="AC32" i="1"/>
  <c r="AB32" i="1"/>
  <c r="AJ32" i="1" s="1"/>
  <c r="AA32" i="1"/>
  <c r="Z32" i="1"/>
  <c r="AM31" i="1"/>
  <c r="AH31" i="1"/>
  <c r="AG31" i="1"/>
  <c r="AF31" i="1"/>
  <c r="AD31" i="1"/>
  <c r="AB31" i="1"/>
  <c r="Z31" i="1"/>
  <c r="AM30" i="1"/>
  <c r="AK30" i="1"/>
  <c r="AK36" i="1" s="1"/>
  <c r="AG30" i="1"/>
  <c r="AG36" i="1" s="1"/>
  <c r="AF30" i="1"/>
  <c r="AD30" i="1"/>
  <c r="AB30" i="1"/>
  <c r="Z30" i="1"/>
  <c r="Z36" i="1" s="1"/>
  <c r="AP26" i="1"/>
  <c r="AM26" i="1"/>
  <c r="AK26" i="1"/>
  <c r="AB26" i="1"/>
  <c r="Z26" i="1"/>
  <c r="AM25" i="1"/>
  <c r="AK25" i="1"/>
  <c r="AC25" i="1"/>
  <c r="Z25" i="1"/>
  <c r="AM24" i="1"/>
  <c r="AK24" i="1"/>
  <c r="Z24" i="1"/>
  <c r="O24" i="1"/>
  <c r="D24" i="1"/>
  <c r="AM23" i="1"/>
  <c r="AK23" i="1"/>
  <c r="AC23" i="1"/>
  <c r="AB23" i="1"/>
  <c r="Z23" i="1"/>
  <c r="T23" i="1"/>
  <c r="K23" i="1"/>
  <c r="J23" i="1"/>
  <c r="H23" i="1"/>
  <c r="H860" i="1" s="1"/>
  <c r="AD845" i="1" s="1"/>
  <c r="G23" i="1"/>
  <c r="F23" i="1"/>
  <c r="E23" i="1"/>
  <c r="E860" i="1" s="1"/>
  <c r="AA845" i="1" s="1"/>
  <c r="AP22" i="1"/>
  <c r="AM22" i="1"/>
  <c r="AK22" i="1"/>
  <c r="Z22" i="1"/>
  <c r="T22" i="1"/>
  <c r="AP7" i="1" s="1"/>
  <c r="K22" i="1"/>
  <c r="AG7" i="1" s="1"/>
  <c r="J22" i="1"/>
  <c r="H22" i="1"/>
  <c r="H859" i="1" s="1"/>
  <c r="AD844" i="1" s="1"/>
  <c r="G22" i="1"/>
  <c r="F22" i="1"/>
  <c r="E22" i="1"/>
  <c r="AM21" i="1"/>
  <c r="AK21" i="1"/>
  <c r="AK27" i="1" s="1"/>
  <c r="AC21" i="1"/>
  <c r="AA21" i="1"/>
  <c r="Z21" i="1"/>
  <c r="K21" i="1"/>
  <c r="J21" i="1"/>
  <c r="H21" i="1"/>
  <c r="G21" i="1"/>
  <c r="I21" i="1" s="1"/>
  <c r="F21" i="1"/>
  <c r="F858" i="1" s="1"/>
  <c r="E21" i="1"/>
  <c r="AA17" i="1" s="1"/>
  <c r="K20" i="1"/>
  <c r="K857" i="1" s="1"/>
  <c r="AG853" i="1" s="1"/>
  <c r="J20" i="1"/>
  <c r="H20" i="1"/>
  <c r="G20" i="1"/>
  <c r="F20" i="1"/>
  <c r="F857" i="1" s="1"/>
  <c r="E20" i="1"/>
  <c r="E857" i="1" s="1"/>
  <c r="AA853" i="1" s="1"/>
  <c r="K19" i="1"/>
  <c r="K856" i="1" s="1"/>
  <c r="AG843" i="1" s="1"/>
  <c r="J19" i="1"/>
  <c r="H19" i="1"/>
  <c r="G19" i="1"/>
  <c r="I19" i="1" s="1"/>
  <c r="F19" i="1"/>
  <c r="F856" i="1" s="1"/>
  <c r="E19" i="1"/>
  <c r="E856" i="1" s="1"/>
  <c r="AA843" i="1" s="1"/>
  <c r="T18" i="1"/>
  <c r="K18" i="1"/>
  <c r="J18" i="1"/>
  <c r="H18" i="1"/>
  <c r="H855" i="1" s="1"/>
  <c r="AD852" i="1" s="1"/>
  <c r="G18" i="1"/>
  <c r="F18" i="1"/>
  <c r="E18" i="1"/>
  <c r="AM17" i="1"/>
  <c r="AK17" i="1"/>
  <c r="AF17" i="1"/>
  <c r="AC17" i="1"/>
  <c r="Z17" i="1"/>
  <c r="T17" i="1"/>
  <c r="K17" i="1"/>
  <c r="K854" i="1" s="1"/>
  <c r="AG863" i="1" s="1"/>
  <c r="J17" i="1"/>
  <c r="J854" i="1" s="1"/>
  <c r="H17" i="1"/>
  <c r="AD26" i="1" s="1"/>
  <c r="G17" i="1"/>
  <c r="AC26" i="1" s="1"/>
  <c r="F17" i="1"/>
  <c r="E17" i="1"/>
  <c r="AM16" i="1"/>
  <c r="AK16" i="1"/>
  <c r="AF16" i="1"/>
  <c r="AC16" i="1"/>
  <c r="AA16" i="1"/>
  <c r="Z16" i="1"/>
  <c r="K16" i="1"/>
  <c r="K853" i="1" s="1"/>
  <c r="AG862" i="1" s="1"/>
  <c r="J16" i="1"/>
  <c r="AF25" i="1" s="1"/>
  <c r="H16" i="1"/>
  <c r="G16" i="1"/>
  <c r="F16" i="1"/>
  <c r="F853" i="1" s="1"/>
  <c r="E16" i="1"/>
  <c r="E853" i="1" s="1"/>
  <c r="AA862" i="1" s="1"/>
  <c r="AM15" i="1"/>
  <c r="AG15" i="1"/>
  <c r="AC15" i="1"/>
  <c r="AB15" i="1"/>
  <c r="Z15" i="1"/>
  <c r="T15" i="1"/>
  <c r="U15" i="1" s="1"/>
  <c r="AQ24" i="1" s="1"/>
  <c r="K15" i="1"/>
  <c r="J15" i="1"/>
  <c r="H15" i="1"/>
  <c r="H852" i="1" s="1"/>
  <c r="AD861" i="1" s="1"/>
  <c r="G15" i="1"/>
  <c r="G852" i="1" s="1"/>
  <c r="F15" i="1"/>
  <c r="AB24" i="1" s="1"/>
  <c r="E15" i="1"/>
  <c r="E852" i="1" s="1"/>
  <c r="AA861" i="1" s="1"/>
  <c r="AM14" i="1"/>
  <c r="AK14" i="1"/>
  <c r="AF14" i="1"/>
  <c r="AC14" i="1"/>
  <c r="Z14" i="1"/>
  <c r="T14" i="1"/>
  <c r="AP23" i="1" s="1"/>
  <c r="K14" i="1"/>
  <c r="K851" i="1" s="1"/>
  <c r="AG860" i="1" s="1"/>
  <c r="J14" i="1"/>
  <c r="AF23" i="1" s="1"/>
  <c r="H14" i="1"/>
  <c r="H851" i="1" s="1"/>
  <c r="AD860" i="1" s="1"/>
  <c r="G14" i="1"/>
  <c r="F14" i="1"/>
  <c r="E14" i="1"/>
  <c r="AM13" i="1"/>
  <c r="AK13" i="1"/>
  <c r="AF13" i="1"/>
  <c r="AC13" i="1"/>
  <c r="AC18" i="1" s="1"/>
  <c r="AA13" i="1"/>
  <c r="Z13" i="1"/>
  <c r="K13" i="1"/>
  <c r="K850" i="1" s="1"/>
  <c r="AG842" i="1" s="1"/>
  <c r="J13" i="1"/>
  <c r="H13" i="1"/>
  <c r="H850" i="1" s="1"/>
  <c r="AD842" i="1" s="1"/>
  <c r="G13" i="1"/>
  <c r="I13" i="1" s="1"/>
  <c r="F13" i="1"/>
  <c r="F850" i="1" s="1"/>
  <c r="E13" i="1"/>
  <c r="E850" i="1" s="1"/>
  <c r="AA842" i="1" s="1"/>
  <c r="AM12" i="1"/>
  <c r="AK12" i="1"/>
  <c r="AF12" i="1"/>
  <c r="AD12" i="1"/>
  <c r="AC12" i="1"/>
  <c r="AA12" i="1"/>
  <c r="Z12" i="1"/>
  <c r="K12" i="1"/>
  <c r="J12" i="1"/>
  <c r="L12" i="1" s="1"/>
  <c r="AH4" i="1" s="1"/>
  <c r="I12" i="1"/>
  <c r="AE4" i="1" s="1"/>
  <c r="H12" i="1"/>
  <c r="G12" i="1"/>
  <c r="F12" i="1"/>
  <c r="F849" i="1" s="1"/>
  <c r="E12" i="1"/>
  <c r="K11" i="1"/>
  <c r="K848" i="1" s="1"/>
  <c r="AG840" i="1" s="1"/>
  <c r="J11" i="1"/>
  <c r="J848" i="1" s="1"/>
  <c r="I11" i="1"/>
  <c r="AE3" i="1" s="1"/>
  <c r="H11" i="1"/>
  <c r="AD3" i="1" s="1"/>
  <c r="G11" i="1"/>
  <c r="F11" i="1"/>
  <c r="AB3" i="1" s="1"/>
  <c r="E11" i="1"/>
  <c r="K10" i="1"/>
  <c r="J10" i="1"/>
  <c r="J847" i="1" s="1"/>
  <c r="I10" i="1"/>
  <c r="AE14" i="1" s="1"/>
  <c r="H10" i="1"/>
  <c r="AD14" i="1" s="1"/>
  <c r="G10" i="1"/>
  <c r="F10" i="1"/>
  <c r="F847" i="1" s="1"/>
  <c r="E10" i="1"/>
  <c r="AA14" i="1" s="1"/>
  <c r="Z9" i="1"/>
  <c r="T9" i="1"/>
  <c r="K9" i="1"/>
  <c r="J9" i="1"/>
  <c r="H9" i="1"/>
  <c r="H846" i="1" s="1"/>
  <c r="AD859" i="1" s="1"/>
  <c r="G9" i="1"/>
  <c r="F9" i="1"/>
  <c r="E9" i="1"/>
  <c r="AM8" i="1"/>
  <c r="AK8" i="1"/>
  <c r="AG8" i="1"/>
  <c r="AC8" i="1"/>
  <c r="AB8" i="1"/>
  <c r="AJ8" i="1" s="1"/>
  <c r="AA8" i="1"/>
  <c r="Z8" i="1"/>
  <c r="K8" i="1"/>
  <c r="J8" i="1"/>
  <c r="H8" i="1"/>
  <c r="G8" i="1"/>
  <c r="I8" i="1" s="1"/>
  <c r="F8" i="1"/>
  <c r="N8" i="1" s="1"/>
  <c r="E8" i="1"/>
  <c r="E845" i="1" s="1"/>
  <c r="AA850" i="1" s="1"/>
  <c r="AM7" i="1"/>
  <c r="AK7" i="1"/>
  <c r="AF7" i="1"/>
  <c r="AD7" i="1"/>
  <c r="AC7" i="1"/>
  <c r="AB7" i="1"/>
  <c r="Z7" i="1"/>
  <c r="K7" i="1"/>
  <c r="J7" i="1"/>
  <c r="L7" i="1" s="1"/>
  <c r="AH12" i="1" s="1"/>
  <c r="I7" i="1"/>
  <c r="H7" i="1"/>
  <c r="G7" i="1"/>
  <c r="F7" i="1"/>
  <c r="N7" i="1" s="1"/>
  <c r="E7" i="1"/>
  <c r="AM6" i="1"/>
  <c r="AK6" i="1"/>
  <c r="AG6" i="1"/>
  <c r="AF6" i="1"/>
  <c r="AC6" i="1"/>
  <c r="AA6" i="1"/>
  <c r="Z6" i="1"/>
  <c r="N6" i="1"/>
  <c r="L6" i="1"/>
  <c r="K6" i="1"/>
  <c r="K843" i="1" s="1"/>
  <c r="J6" i="1"/>
  <c r="AF21" i="1" s="1"/>
  <c r="I6" i="1"/>
  <c r="H6" i="1"/>
  <c r="AD21" i="1" s="1"/>
  <c r="G6" i="1"/>
  <c r="F6" i="1"/>
  <c r="E6" i="1"/>
  <c r="E843" i="1" s="1"/>
  <c r="AM5" i="1"/>
  <c r="AK5" i="1"/>
  <c r="AG5" i="1"/>
  <c r="AF5" i="1"/>
  <c r="AD5" i="1"/>
  <c r="AC5" i="1"/>
  <c r="AB5" i="1"/>
  <c r="AJ5" i="1" s="1"/>
  <c r="AA5" i="1"/>
  <c r="Z5" i="1"/>
  <c r="AM4" i="1"/>
  <c r="AF4" i="1"/>
  <c r="AD4" i="1"/>
  <c r="AC4" i="1"/>
  <c r="AA4" i="1"/>
  <c r="Z4" i="1"/>
  <c r="AM3" i="1"/>
  <c r="AK3" i="1"/>
  <c r="AG3" i="1"/>
  <c r="AF3" i="1"/>
  <c r="AC3" i="1"/>
  <c r="AA3" i="1"/>
  <c r="Z3" i="1"/>
  <c r="V117" i="1" l="1"/>
  <c r="S117" i="1"/>
  <c r="R117" i="1" s="1"/>
  <c r="P117" i="1"/>
  <c r="AI130" i="1"/>
  <c r="AE12" i="1"/>
  <c r="M7" i="1"/>
  <c r="E851" i="1"/>
  <c r="AA860" i="1" s="1"/>
  <c r="U14" i="1"/>
  <c r="AQ23" i="1" s="1"/>
  <c r="AA23" i="1"/>
  <c r="AJ23" i="1" s="1"/>
  <c r="AE53" i="1"/>
  <c r="M44" i="1"/>
  <c r="M183" i="1"/>
  <c r="AE179" i="1"/>
  <c r="AB219" i="1"/>
  <c r="T227" i="1"/>
  <c r="N227" i="1"/>
  <c r="AB266" i="1"/>
  <c r="AJ266" i="1" s="1"/>
  <c r="T257" i="1"/>
  <c r="N257" i="1"/>
  <c r="M310" i="1"/>
  <c r="AE302" i="1"/>
  <c r="AC332" i="1"/>
  <c r="AC333" i="1" s="1"/>
  <c r="I347" i="1"/>
  <c r="K849" i="1"/>
  <c r="AG841" i="1" s="1"/>
  <c r="AG846" i="1" s="1"/>
  <c r="AG4" i="1"/>
  <c r="AJ61" i="1"/>
  <c r="M73" i="1"/>
  <c r="AE60" i="1"/>
  <c r="U76" i="1"/>
  <c r="AQ61" i="1" s="1"/>
  <c r="AA61" i="1"/>
  <c r="AE62" i="1"/>
  <c r="AE102" i="1"/>
  <c r="AE108" i="1" s="1"/>
  <c r="I88" i="1"/>
  <c r="AC93" i="1"/>
  <c r="AB105" i="1"/>
  <c r="AJ105" i="1" s="1"/>
  <c r="T96" i="1"/>
  <c r="J132" i="1"/>
  <c r="AD126" i="1"/>
  <c r="I124" i="1"/>
  <c r="AH130" i="1"/>
  <c r="AF116" i="1"/>
  <c r="L131" i="1"/>
  <c r="AH116" i="1" s="1"/>
  <c r="AC138" i="1"/>
  <c r="I146" i="1"/>
  <c r="AE158" i="1"/>
  <c r="M149" i="1"/>
  <c r="M155" i="1"/>
  <c r="M158" i="1"/>
  <c r="AE143" i="1"/>
  <c r="AG189" i="1"/>
  <c r="M170" i="1"/>
  <c r="AE175" i="1"/>
  <c r="N171" i="1"/>
  <c r="AF186" i="1"/>
  <c r="L177" i="1"/>
  <c r="AH186" i="1" s="1"/>
  <c r="I182" i="1"/>
  <c r="AB212" i="1"/>
  <c r="AJ212" i="1" s="1"/>
  <c r="T203" i="1"/>
  <c r="N203" i="1"/>
  <c r="AE197" i="1"/>
  <c r="AG234" i="1"/>
  <c r="AC303" i="1"/>
  <c r="I316" i="1"/>
  <c r="AE330" i="1"/>
  <c r="M343" i="1"/>
  <c r="G375" i="1"/>
  <c r="M506" i="1"/>
  <c r="AE502" i="1"/>
  <c r="S48" i="1"/>
  <c r="R48" i="1" s="1"/>
  <c r="AI44" i="1"/>
  <c r="P48" i="1"/>
  <c r="AC84" i="1"/>
  <c r="I92" i="1"/>
  <c r="AE157" i="1"/>
  <c r="AE347" i="1"/>
  <c r="M338" i="1"/>
  <c r="AE482" i="2"/>
  <c r="M473" i="2"/>
  <c r="K844" i="1"/>
  <c r="AG849" i="1" s="1"/>
  <c r="AG12" i="1"/>
  <c r="AK9" i="1"/>
  <c r="E854" i="1"/>
  <c r="AA863" i="1" s="1"/>
  <c r="AA26" i="1"/>
  <c r="AJ26" i="1" s="1"/>
  <c r="U17" i="1"/>
  <c r="AQ26" i="1" s="1"/>
  <c r="AE17" i="1"/>
  <c r="AE49" i="1"/>
  <c r="AC41" i="1"/>
  <c r="I37" i="1"/>
  <c r="AC30" i="1"/>
  <c r="AC36" i="1" s="1"/>
  <c r="I38" i="1"/>
  <c r="I39" i="1"/>
  <c r="AC31" i="1"/>
  <c r="M60" i="1"/>
  <c r="AE75" i="1"/>
  <c r="M62" i="1"/>
  <c r="AE67" i="1"/>
  <c r="M67" i="1"/>
  <c r="AE59" i="1"/>
  <c r="M68" i="1"/>
  <c r="L72" i="1"/>
  <c r="AH69" i="1" s="1"/>
  <c r="AF69" i="1"/>
  <c r="N76" i="1"/>
  <c r="AH99" i="1"/>
  <c r="T104" i="1"/>
  <c r="AB89" i="1"/>
  <c r="AJ89" i="1" s="1"/>
  <c r="AD117" i="1"/>
  <c r="U122" i="1"/>
  <c r="AQ131" i="1" s="1"/>
  <c r="AA131" i="1"/>
  <c r="AA135" i="1" s="1"/>
  <c r="M125" i="1"/>
  <c r="AP123" i="1"/>
  <c r="U126" i="1"/>
  <c r="AQ123" i="1" s="1"/>
  <c r="AF156" i="1"/>
  <c r="AF162" i="1" s="1"/>
  <c r="L141" i="1"/>
  <c r="I147" i="1"/>
  <c r="AC139" i="1"/>
  <c r="AB153" i="1"/>
  <c r="AJ153" i="1" s="1"/>
  <c r="M153" i="1"/>
  <c r="AE150" i="1"/>
  <c r="M157" i="1"/>
  <c r="AE142" i="1"/>
  <c r="U172" i="1"/>
  <c r="AQ176" i="1" s="1"/>
  <c r="U173" i="1"/>
  <c r="AQ165" i="1" s="1"/>
  <c r="U174" i="1"/>
  <c r="AQ166" i="1" s="1"/>
  <c r="M181" i="1"/>
  <c r="AE168" i="1"/>
  <c r="S185" i="1"/>
  <c r="R185" i="1" s="1"/>
  <c r="AI170" i="1"/>
  <c r="V185" i="1"/>
  <c r="P185" i="1"/>
  <c r="J213" i="1"/>
  <c r="M209" i="1"/>
  <c r="AE205" i="1"/>
  <c r="AE283" i="1"/>
  <c r="M278" i="1"/>
  <c r="AD284" i="1"/>
  <c r="I280" i="1"/>
  <c r="AE345" i="1"/>
  <c r="AE327" i="1"/>
  <c r="M335" i="1"/>
  <c r="H402" i="1"/>
  <c r="AE13" i="1"/>
  <c r="M72" i="1"/>
  <c r="AF117" i="1"/>
  <c r="AP122" i="1"/>
  <c r="I281" i="1"/>
  <c r="AD273" i="1"/>
  <c r="AF9" i="1"/>
  <c r="K847" i="1"/>
  <c r="AG851" i="1" s="1"/>
  <c r="AG14" i="1"/>
  <c r="Z18" i="1"/>
  <c r="J852" i="1"/>
  <c r="AF24" i="1"/>
  <c r="L15" i="1"/>
  <c r="AH24" i="1" s="1"/>
  <c r="I20" i="1"/>
  <c r="H858" i="1"/>
  <c r="AD854" i="1" s="1"/>
  <c r="AD17" i="1"/>
  <c r="I51" i="1"/>
  <c r="AE48" i="1"/>
  <c r="I34" i="1"/>
  <c r="AC39" i="1"/>
  <c r="AC45" i="1" s="1"/>
  <c r="AB51" i="1"/>
  <c r="AJ51" i="1" s="1"/>
  <c r="T42" i="1"/>
  <c r="T50" i="1"/>
  <c r="AB35" i="1"/>
  <c r="AJ35" i="1" s="1"/>
  <c r="AD72" i="1"/>
  <c r="I70" i="1"/>
  <c r="AF62" i="1"/>
  <c r="AF63" i="1" s="1"/>
  <c r="L77" i="1"/>
  <c r="AH62" i="1" s="1"/>
  <c r="AF102" i="1"/>
  <c r="AF108" i="1" s="1"/>
  <c r="L87" i="1"/>
  <c r="AF99" i="1"/>
  <c r="S94" i="1"/>
  <c r="R94" i="1" s="1"/>
  <c r="P94" i="1"/>
  <c r="AI86" i="1"/>
  <c r="M96" i="1"/>
  <c r="AE105" i="1"/>
  <c r="M100" i="1"/>
  <c r="L115" i="1"/>
  <c r="AH120" i="1" s="1"/>
  <c r="N122" i="1"/>
  <c r="AE132" i="1"/>
  <c r="AP116" i="1"/>
  <c r="U131" i="1"/>
  <c r="AQ116" i="1" s="1"/>
  <c r="AP132" i="1"/>
  <c r="AF144" i="1"/>
  <c r="AE161" i="1"/>
  <c r="M152" i="1"/>
  <c r="M156" i="1"/>
  <c r="AG180" i="1"/>
  <c r="AP186" i="1"/>
  <c r="U177" i="1"/>
  <c r="AQ186" i="1" s="1"/>
  <c r="L180" i="1"/>
  <c r="AH177" i="1" s="1"/>
  <c r="AH180" i="1" s="1"/>
  <c r="AF177" i="1"/>
  <c r="AF201" i="1"/>
  <c r="L196" i="1"/>
  <c r="AH201" i="1" s="1"/>
  <c r="AE215" i="1"/>
  <c r="AE237" i="1"/>
  <c r="AE230" i="1"/>
  <c r="M226" i="1"/>
  <c r="AP257" i="1"/>
  <c r="U253" i="1"/>
  <c r="AQ257" i="1" s="1"/>
  <c r="AP258" i="1"/>
  <c r="U261" i="1"/>
  <c r="AQ258" i="1" s="1"/>
  <c r="AC259" i="1"/>
  <c r="I263" i="1"/>
  <c r="M314" i="1"/>
  <c r="AE323" i="1"/>
  <c r="AD333" i="1"/>
  <c r="AC356" i="1"/>
  <c r="AC360" i="1" s="1"/>
  <c r="I364" i="1"/>
  <c r="AP385" i="1"/>
  <c r="U400" i="1"/>
  <c r="AQ385" i="1" s="1"/>
  <c r="M791" i="1"/>
  <c r="AE796" i="1"/>
  <c r="M74" i="1"/>
  <c r="AE70" i="1"/>
  <c r="M121" i="1"/>
  <c r="AE113" i="1"/>
  <c r="L126" i="1"/>
  <c r="AH123" i="1" s="1"/>
  <c r="AF123" i="1"/>
  <c r="I142" i="1"/>
  <c r="AC147" i="1"/>
  <c r="AA184" i="1"/>
  <c r="AJ184" i="1" s="1"/>
  <c r="U171" i="1"/>
  <c r="AQ184" i="1" s="1"/>
  <c r="S184" i="1"/>
  <c r="R184" i="1" s="1"/>
  <c r="V184" i="1"/>
  <c r="AI169" i="1"/>
  <c r="P184" i="1"/>
  <c r="S255" i="1"/>
  <c r="R255" i="1" s="1"/>
  <c r="P255" i="1"/>
  <c r="AI247" i="1"/>
  <c r="V255" i="1"/>
  <c r="H845" i="1"/>
  <c r="AD850" i="1" s="1"/>
  <c r="AD13" i="1"/>
  <c r="M6" i="1"/>
  <c r="K846" i="1"/>
  <c r="AG859" i="1" s="1"/>
  <c r="AG22" i="1"/>
  <c r="AJ3" i="1"/>
  <c r="AE6" i="1"/>
  <c r="H857" i="1"/>
  <c r="AD853" i="1" s="1"/>
  <c r="AD16" i="1"/>
  <c r="E859" i="1"/>
  <c r="AA844" i="1" s="1"/>
  <c r="U22" i="1"/>
  <c r="AQ7" i="1" s="1"/>
  <c r="AA7" i="1"/>
  <c r="AH45" i="1"/>
  <c r="AJ41" i="1"/>
  <c r="M46" i="1"/>
  <c r="M63" i="1"/>
  <c r="AD63" i="1"/>
  <c r="U68" i="1"/>
  <c r="AQ77" i="1" s="1"/>
  <c r="AA77" i="1"/>
  <c r="M71" i="1"/>
  <c r="AP69" i="1"/>
  <c r="U72" i="1"/>
  <c r="AQ69" i="1" s="1"/>
  <c r="Z81" i="1"/>
  <c r="AP78" i="1"/>
  <c r="AB90" i="1"/>
  <c r="AJ90" i="1" s="1"/>
  <c r="AH90" i="1"/>
  <c r="M104" i="1"/>
  <c r="AE89" i="1"/>
  <c r="U117" i="1"/>
  <c r="AQ130" i="1" s="1"/>
  <c r="AA130" i="1"/>
  <c r="L118" i="1"/>
  <c r="AH122" i="1" s="1"/>
  <c r="L119" i="1"/>
  <c r="AH111" i="1" s="1"/>
  <c r="AH117" i="1" s="1"/>
  <c r="L120" i="1"/>
  <c r="AH112" i="1" s="1"/>
  <c r="AA134" i="1"/>
  <c r="AJ134" i="1" s="1"/>
  <c r="U125" i="1"/>
  <c r="AQ134" i="1" s="1"/>
  <c r="AP156" i="1"/>
  <c r="U141" i="1"/>
  <c r="AQ156" i="1" s="1"/>
  <c r="M175" i="1"/>
  <c r="AE167" i="1"/>
  <c r="U201" i="1"/>
  <c r="AQ193" i="1" s="1"/>
  <c r="AP193" i="1"/>
  <c r="AC214" i="1"/>
  <c r="I205" i="1"/>
  <c r="U212" i="1"/>
  <c r="AQ197" i="1" s="1"/>
  <c r="AF301" i="1"/>
  <c r="L309" i="1"/>
  <c r="AH301" i="1" s="1"/>
  <c r="P334" i="1"/>
  <c r="AI338" i="1"/>
  <c r="V334" i="1"/>
  <c r="S334" i="1"/>
  <c r="R334" i="1" s="1"/>
  <c r="AJ339" i="1"/>
  <c r="AC364" i="1"/>
  <c r="I359" i="1"/>
  <c r="M368" i="1"/>
  <c r="AE377" i="1"/>
  <c r="M399" i="1"/>
  <c r="AD642" i="1"/>
  <c r="AD648" i="1" s="1"/>
  <c r="H645" i="1"/>
  <c r="H853" i="1"/>
  <c r="AD862" i="1" s="1"/>
  <c r="AD25" i="1"/>
  <c r="AC95" i="1"/>
  <c r="I91" i="1"/>
  <c r="I105" i="1" s="1"/>
  <c r="AP241" i="1"/>
  <c r="U232" i="1"/>
  <c r="AQ241" i="1" s="1"/>
  <c r="M336" i="1"/>
  <c r="AE328" i="1"/>
  <c r="AP365" i="1"/>
  <c r="U361" i="1"/>
  <c r="AQ365" i="1" s="1"/>
  <c r="F843" i="1"/>
  <c r="AB21" i="1"/>
  <c r="T6" i="1"/>
  <c r="AA9" i="1"/>
  <c r="AE5" i="1"/>
  <c r="J855" i="1"/>
  <c r="L18" i="1"/>
  <c r="AH15" i="1" s="1"/>
  <c r="AF15" i="1"/>
  <c r="H856" i="1"/>
  <c r="AD843" i="1" s="1"/>
  <c r="AD6" i="1"/>
  <c r="AD9" i="1" s="1"/>
  <c r="J860" i="1"/>
  <c r="AF8" i="1"/>
  <c r="L23" i="1"/>
  <c r="AH8" i="1" s="1"/>
  <c r="AF48" i="1"/>
  <c r="AF54" i="1" s="1"/>
  <c r="L33" i="1"/>
  <c r="AF45" i="1"/>
  <c r="AJ39" i="1"/>
  <c r="M40" i="1"/>
  <c r="M42" i="1"/>
  <c r="AE51" i="1"/>
  <c r="V48" i="1"/>
  <c r="M50" i="1"/>
  <c r="AE35" i="1"/>
  <c r="AA63" i="1"/>
  <c r="AH72" i="1"/>
  <c r="AE63" i="1"/>
  <c r="N68" i="1"/>
  <c r="AE78" i="1"/>
  <c r="M69" i="1"/>
  <c r="AE69" i="1"/>
  <c r="AP62" i="1"/>
  <c r="U77" i="1"/>
  <c r="AQ62" i="1" s="1"/>
  <c r="AP102" i="1"/>
  <c r="U87" i="1"/>
  <c r="AQ102" i="1" s="1"/>
  <c r="M89" i="1"/>
  <c r="AE104" i="1"/>
  <c r="M95" i="1"/>
  <c r="T99" i="1"/>
  <c r="AB96" i="1"/>
  <c r="AJ96" i="1" s="1"/>
  <c r="M101" i="1"/>
  <c r="AJ130" i="1"/>
  <c r="AF132" i="1"/>
  <c r="L123" i="1"/>
  <c r="AH132" i="1" s="1"/>
  <c r="N125" i="1"/>
  <c r="M129" i="1"/>
  <c r="AE125" i="1"/>
  <c r="M130" i="1"/>
  <c r="M143" i="1"/>
  <c r="AH144" i="1"/>
  <c r="AH153" i="1"/>
  <c r="AB159" i="1"/>
  <c r="AJ159" i="1" s="1"/>
  <c r="T150" i="1"/>
  <c r="AC171" i="1"/>
  <c r="F186" i="1"/>
  <c r="AB183" i="1"/>
  <c r="T168" i="1"/>
  <c r="AD180" i="1"/>
  <c r="AP177" i="1"/>
  <c r="U180" i="1"/>
  <c r="AQ177" i="1" s="1"/>
  <c r="AB228" i="1"/>
  <c r="T223" i="1"/>
  <c r="N223" i="1"/>
  <c r="N228" i="1"/>
  <c r="AA220" i="1"/>
  <c r="V236" i="1"/>
  <c r="S236" i="1"/>
  <c r="R236" i="1" s="1"/>
  <c r="P236" i="1"/>
  <c r="AI232" i="1"/>
  <c r="AI248" i="1"/>
  <c r="V256" i="1"/>
  <c r="S256" i="1"/>
  <c r="R256" i="1" s="1"/>
  <c r="P256" i="1"/>
  <c r="V285" i="1"/>
  <c r="AI294" i="1"/>
  <c r="S285" i="1"/>
  <c r="R285" i="1" s="1"/>
  <c r="P285" i="1"/>
  <c r="AH306" i="1"/>
  <c r="V339" i="1"/>
  <c r="AI348" i="1"/>
  <c r="S339" i="1"/>
  <c r="R339" i="1" s="1"/>
  <c r="P339" i="1"/>
  <c r="U345" i="1"/>
  <c r="AQ341" i="1" s="1"/>
  <c r="S363" i="1"/>
  <c r="R363" i="1" s="1"/>
  <c r="P363" i="1"/>
  <c r="AI355" i="1"/>
  <c r="V363" i="1"/>
  <c r="L387" i="1"/>
  <c r="AH400" i="1" s="1"/>
  <c r="AF400" i="1"/>
  <c r="AO383" i="1"/>
  <c r="AN383" i="1" s="1"/>
  <c r="AL383" i="1"/>
  <c r="AR383" i="1"/>
  <c r="M45" i="1"/>
  <c r="AE42" i="1"/>
  <c r="AB75" i="1"/>
  <c r="T60" i="1"/>
  <c r="AE103" i="1"/>
  <c r="M116" i="1"/>
  <c r="AE121" i="1"/>
  <c r="V122" i="1"/>
  <c r="AI131" i="1"/>
  <c r="S122" i="1"/>
  <c r="R122" i="1" s="1"/>
  <c r="P122" i="1"/>
  <c r="AE156" i="1"/>
  <c r="M141" i="1"/>
  <c r="AF189" i="1"/>
  <c r="AJ471" i="2"/>
  <c r="AJ7" i="1"/>
  <c r="AK18" i="1"/>
  <c r="AP24" i="1"/>
  <c r="AJ30" i="1"/>
  <c r="AB36" i="1"/>
  <c r="AJ36" i="1" s="1"/>
  <c r="AH36" i="1"/>
  <c r="T45" i="1"/>
  <c r="AB42" i="1"/>
  <c r="AJ42" i="1" s="1"/>
  <c r="M47" i="1"/>
  <c r="AJ57" i="1"/>
  <c r="N60" i="1"/>
  <c r="AG72" i="1"/>
  <c r="U63" i="1"/>
  <c r="AQ76" i="1" s="1"/>
  <c r="AA76" i="1"/>
  <c r="AA81" i="1" s="1"/>
  <c r="L64" i="1"/>
  <c r="AH68" i="1" s="1"/>
  <c r="L65" i="1"/>
  <c r="AH57" i="1" s="1"/>
  <c r="AH63" i="1" s="1"/>
  <c r="L66" i="1"/>
  <c r="AH58" i="1" s="1"/>
  <c r="AA80" i="1"/>
  <c r="AJ80" i="1" s="1"/>
  <c r="U71" i="1"/>
  <c r="AQ80" i="1" s="1"/>
  <c r="M103" i="1"/>
  <c r="AE88" i="1"/>
  <c r="AC117" i="1"/>
  <c r="AB129" i="1"/>
  <c r="T114" i="1"/>
  <c r="AA126" i="1"/>
  <c r="U119" i="1"/>
  <c r="AQ111" i="1" s="1"/>
  <c r="U120" i="1"/>
  <c r="AQ112" i="1" s="1"/>
  <c r="I128" i="1"/>
  <c r="AG144" i="1"/>
  <c r="AJ147" i="1"/>
  <c r="AJ149" i="1"/>
  <c r="AD171" i="1"/>
  <c r="AA185" i="1"/>
  <c r="AJ185" i="1" s="1"/>
  <c r="U176" i="1"/>
  <c r="AQ185" i="1" s="1"/>
  <c r="AA216" i="1"/>
  <c r="AJ210" i="1"/>
  <c r="AG196" i="1"/>
  <c r="L211" i="1"/>
  <c r="AH196" i="1" s="1"/>
  <c r="AP222" i="1"/>
  <c r="U235" i="1"/>
  <c r="AQ222" i="1" s="1"/>
  <c r="AF223" i="1"/>
  <c r="L238" i="1"/>
  <c r="AH223" i="1" s="1"/>
  <c r="AD282" i="1"/>
  <c r="AD288" i="1" s="1"/>
  <c r="I277" i="1"/>
  <c r="AP292" i="1"/>
  <c r="U279" i="1"/>
  <c r="AQ292" i="1" s="1"/>
  <c r="I282" i="1"/>
  <c r="AD274" i="1"/>
  <c r="I288" i="1"/>
  <c r="AC285" i="1"/>
  <c r="AE286" i="1"/>
  <c r="M290" i="1"/>
  <c r="M331" i="1"/>
  <c r="AE336" i="1"/>
  <c r="I93" i="1"/>
  <c r="AC85" i="1"/>
  <c r="M114" i="1"/>
  <c r="AE129" i="1"/>
  <c r="AC149" i="1"/>
  <c r="I145" i="1"/>
  <c r="T153" i="1"/>
  <c r="AB150" i="1"/>
  <c r="AJ150" i="1" s="1"/>
  <c r="AG9" i="1"/>
  <c r="AC9" i="1"/>
  <c r="AH21" i="1"/>
  <c r="F845" i="1"/>
  <c r="AB13" i="1"/>
  <c r="AJ13" i="1" s="1"/>
  <c r="T8" i="1"/>
  <c r="E846" i="1"/>
  <c r="AA859" i="1" s="1"/>
  <c r="AA22" i="1"/>
  <c r="U9" i="1"/>
  <c r="AQ22" i="1" s="1"/>
  <c r="AF18" i="1"/>
  <c r="I16" i="1"/>
  <c r="AP15" i="1"/>
  <c r="U18" i="1"/>
  <c r="AQ15" i="1" s="1"/>
  <c r="Z27" i="1"/>
  <c r="AP8" i="1"/>
  <c r="U23" i="1"/>
  <c r="AQ8" i="1" s="1"/>
  <c r="F24" i="1"/>
  <c r="N24" i="1" s="1"/>
  <c r="AP48" i="1"/>
  <c r="U33" i="1"/>
  <c r="AQ48" i="1" s="1"/>
  <c r="M35" i="1"/>
  <c r="AG45" i="1"/>
  <c r="AE50" i="1"/>
  <c r="M41" i="1"/>
  <c r="AG54" i="1"/>
  <c r="M49" i="1"/>
  <c r="AE34" i="1"/>
  <c r="AJ76" i="1"/>
  <c r="AF78" i="1"/>
  <c r="L69" i="1"/>
  <c r="AH78" i="1" s="1"/>
  <c r="N71" i="1"/>
  <c r="I75" i="1"/>
  <c r="M76" i="1"/>
  <c r="AJ77" i="1"/>
  <c r="AE107" i="1"/>
  <c r="M98" i="1"/>
  <c r="M99" i="1"/>
  <c r="AE96" i="1"/>
  <c r="M102" i="1"/>
  <c r="AJ115" i="1"/>
  <c r="AC126" i="1"/>
  <c r="I127" i="1"/>
  <c r="U130" i="1"/>
  <c r="AQ115" i="1" s="1"/>
  <c r="AA115" i="1"/>
  <c r="AA117" i="1" s="1"/>
  <c r="M131" i="1"/>
  <c r="AE116" i="1"/>
  <c r="AJ132" i="1"/>
  <c r="F159" i="1"/>
  <c r="N159" i="1" s="1"/>
  <c r="AA144" i="1"/>
  <c r="M148" i="1"/>
  <c r="M150" i="1"/>
  <c r="AE159" i="1"/>
  <c r="M154" i="1"/>
  <c r="T158" i="1"/>
  <c r="AB143" i="1"/>
  <c r="AJ143" i="1" s="1"/>
  <c r="J159" i="1"/>
  <c r="AF171" i="1"/>
  <c r="M168" i="1"/>
  <c r="AE183" i="1"/>
  <c r="AE186" i="1"/>
  <c r="M177" i="1"/>
  <c r="AA188" i="1"/>
  <c r="AJ188" i="1" s="1"/>
  <c r="U179" i="1"/>
  <c r="AQ188" i="1" s="1"/>
  <c r="AG198" i="1"/>
  <c r="AE192" i="1"/>
  <c r="M200" i="1"/>
  <c r="AC206" i="1"/>
  <c r="AC207" i="1" s="1"/>
  <c r="I210" i="1"/>
  <c r="V229" i="1"/>
  <c r="S229" i="1"/>
  <c r="R229" i="1" s="1"/>
  <c r="P229" i="1"/>
  <c r="AI221" i="1"/>
  <c r="AC256" i="1"/>
  <c r="G267" i="1"/>
  <c r="I251" i="1"/>
  <c r="AF293" i="1"/>
  <c r="L284" i="1"/>
  <c r="AH293" i="1" s="1"/>
  <c r="AP350" i="1"/>
  <c r="U341" i="1"/>
  <c r="AQ350" i="1" s="1"/>
  <c r="AJ354" i="1"/>
  <c r="AE401" i="1"/>
  <c r="AJ408" i="1"/>
  <c r="G843" i="1"/>
  <c r="AB6" i="1"/>
  <c r="AD8" i="1"/>
  <c r="F846" i="1"/>
  <c r="N9" i="1"/>
  <c r="L10" i="1"/>
  <c r="AH14" i="1" s="1"/>
  <c r="L11" i="1"/>
  <c r="AH3" i="1" s="1"/>
  <c r="F851" i="1"/>
  <c r="N14" i="1"/>
  <c r="K852" i="1"/>
  <c r="AG861" i="1" s="1"/>
  <c r="F854" i="1"/>
  <c r="N17" i="1"/>
  <c r="K855" i="1"/>
  <c r="AG852" i="1" s="1"/>
  <c r="F859" i="1"/>
  <c r="N22" i="1"/>
  <c r="K860" i="1"/>
  <c r="AG845" i="1" s="1"/>
  <c r="G24" i="1"/>
  <c r="AA24" i="1"/>
  <c r="AA27" i="1" s="1"/>
  <c r="T36" i="1"/>
  <c r="AP40" i="1"/>
  <c r="T41" i="1"/>
  <c r="M43" i="1"/>
  <c r="AP43" i="1"/>
  <c r="T44" i="1"/>
  <c r="AE44" i="1"/>
  <c r="T49" i="1"/>
  <c r="AB50" i="1"/>
  <c r="AJ50" i="1" s="1"/>
  <c r="AB52" i="1"/>
  <c r="AJ52" i="1" s="1"/>
  <c r="AG53" i="1"/>
  <c r="AB60" i="1"/>
  <c r="N63" i="1"/>
  <c r="AD75" i="1"/>
  <c r="AD81" i="1" s="1"/>
  <c r="AF77" i="1"/>
  <c r="AF79" i="1"/>
  <c r="AC80" i="1"/>
  <c r="AC81" i="1" s="1"/>
  <c r="T90" i="1"/>
  <c r="AP94" i="1"/>
  <c r="T95" i="1"/>
  <c r="M97" i="1"/>
  <c r="AP97" i="1"/>
  <c r="T98" i="1"/>
  <c r="AE98" i="1"/>
  <c r="T103" i="1"/>
  <c r="AB104" i="1"/>
  <c r="AJ104" i="1" s="1"/>
  <c r="AB106" i="1"/>
  <c r="AJ106" i="1" s="1"/>
  <c r="AG107" i="1"/>
  <c r="AG108" i="1" s="1"/>
  <c r="AB111" i="1"/>
  <c r="AB114" i="1"/>
  <c r="N117" i="1"/>
  <c r="AD129" i="1"/>
  <c r="AD135" i="1" s="1"/>
  <c r="AF131" i="1"/>
  <c r="AF133" i="1"/>
  <c r="AC134" i="1"/>
  <c r="T144" i="1"/>
  <c r="T159" i="1" s="1"/>
  <c r="U159" i="1" s="1"/>
  <c r="AP148" i="1"/>
  <c r="T149" i="1"/>
  <c r="M151" i="1"/>
  <c r="AP151" i="1"/>
  <c r="T152" i="1"/>
  <c r="AE152" i="1"/>
  <c r="T157" i="1"/>
  <c r="AB158" i="1"/>
  <c r="AJ158" i="1" s="1"/>
  <c r="AB160" i="1"/>
  <c r="AJ160" i="1" s="1"/>
  <c r="AG161" i="1"/>
  <c r="AG162" i="1" s="1"/>
  <c r="AB165" i="1"/>
  <c r="G186" i="1"/>
  <c r="AB168" i="1"/>
  <c r="I178" i="1"/>
  <c r="N179" i="1"/>
  <c r="AD183" i="1"/>
  <c r="AD189" i="1" s="1"/>
  <c r="N184" i="1"/>
  <c r="H186" i="1"/>
  <c r="AB186" i="1"/>
  <c r="AJ186" i="1" s="1"/>
  <c r="AB187" i="1"/>
  <c r="AJ187" i="1" s="1"/>
  <c r="Z198" i="1"/>
  <c r="K213" i="1"/>
  <c r="AP195" i="1"/>
  <c r="T198" i="1"/>
  <c r="AB211" i="1"/>
  <c r="AJ211" i="1" s="1"/>
  <c r="N202" i="1"/>
  <c r="N208" i="1"/>
  <c r="AJ195" i="1" s="1"/>
  <c r="AJ221" i="1"/>
  <c r="J240" i="1"/>
  <c r="I223" i="1"/>
  <c r="I225" i="1"/>
  <c r="I227" i="1"/>
  <c r="AB220" i="1"/>
  <c r="AJ220" i="1" s="1"/>
  <c r="T228" i="1"/>
  <c r="AF242" i="1"/>
  <c r="AF243" i="1" s="1"/>
  <c r="L233" i="1"/>
  <c r="AH242" i="1" s="1"/>
  <c r="I234" i="1"/>
  <c r="AC231" i="1"/>
  <c r="AD252" i="1"/>
  <c r="J267" i="1"/>
  <c r="L250" i="1"/>
  <c r="AH255" i="1" s="1"/>
  <c r="L254" i="1"/>
  <c r="AH246" i="1" s="1"/>
  <c r="AE266" i="1"/>
  <c r="M257" i="1"/>
  <c r="U258" i="1"/>
  <c r="AQ267" i="1" s="1"/>
  <c r="I262" i="1"/>
  <c r="T265" i="1"/>
  <c r="AB250" i="1"/>
  <c r="AJ250" i="1" s="1"/>
  <c r="AG279" i="1"/>
  <c r="AJ275" i="1"/>
  <c r="AG291" i="1"/>
  <c r="AG297" i="1" s="1"/>
  <c r="L276" i="1"/>
  <c r="AK288" i="1"/>
  <c r="L286" i="1"/>
  <c r="AH295" i="1" s="1"/>
  <c r="I287" i="1"/>
  <c r="L289" i="1"/>
  <c r="AH276" i="1" s="1"/>
  <c r="AH279" i="1" s="1"/>
  <c r="I292" i="1"/>
  <c r="K294" i="1"/>
  <c r="AD306" i="1"/>
  <c r="AP301" i="1"/>
  <c r="K321" i="1"/>
  <c r="U304" i="1"/>
  <c r="AQ309" i="1" s="1"/>
  <c r="AP309" i="1"/>
  <c r="I305" i="1"/>
  <c r="AB320" i="1"/>
  <c r="AJ320" i="1" s="1"/>
  <c r="T311" i="1"/>
  <c r="AA329" i="1"/>
  <c r="AJ329" i="1" s="1"/>
  <c r="J348" i="1"/>
  <c r="AD342" i="1"/>
  <c r="AJ332" i="1"/>
  <c r="AP346" i="1"/>
  <c r="AP351" i="1" s="1"/>
  <c r="AQ351" i="1" s="1"/>
  <c r="U333" i="1"/>
  <c r="AQ346" i="1" s="1"/>
  <c r="L337" i="1"/>
  <c r="AH329" i="1" s="1"/>
  <c r="AJ340" i="1"/>
  <c r="N342" i="1"/>
  <c r="N345" i="1"/>
  <c r="Z351" i="1"/>
  <c r="AJ346" i="1"/>
  <c r="AE348" i="1"/>
  <c r="J375" i="1"/>
  <c r="L358" i="1"/>
  <c r="AH363" i="1" s="1"/>
  <c r="L362" i="1"/>
  <c r="AH354" i="1" s="1"/>
  <c r="AK378" i="1"/>
  <c r="L374" i="1"/>
  <c r="AH359" i="1" s="1"/>
  <c r="AH396" i="1"/>
  <c r="M386" i="1"/>
  <c r="AP404" i="1"/>
  <c r="U395" i="1"/>
  <c r="AQ404" i="1" s="1"/>
  <c r="AP399" i="1"/>
  <c r="AC386" i="1"/>
  <c r="AC387" i="1" s="1"/>
  <c r="I401" i="1"/>
  <c r="M412" i="1"/>
  <c r="L428" i="1"/>
  <c r="AH413" i="1" s="1"/>
  <c r="AE616" i="1"/>
  <c r="M603" i="1"/>
  <c r="M612" i="1"/>
  <c r="AE609" i="1"/>
  <c r="T669" i="1"/>
  <c r="AB665" i="1"/>
  <c r="AJ665" i="1" s="1"/>
  <c r="N669" i="1"/>
  <c r="H843" i="1"/>
  <c r="E844" i="1"/>
  <c r="AA849" i="1" s="1"/>
  <c r="J845" i="1"/>
  <c r="G846" i="1"/>
  <c r="E847" i="1"/>
  <c r="AA851" i="1" s="1"/>
  <c r="M10" i="1"/>
  <c r="E848" i="1"/>
  <c r="AA840" i="1" s="1"/>
  <c r="M11" i="1"/>
  <c r="E849" i="1"/>
  <c r="AA841" i="1" s="1"/>
  <c r="M12" i="1"/>
  <c r="J850" i="1"/>
  <c r="T13" i="1"/>
  <c r="G851" i="1"/>
  <c r="AB14" i="1"/>
  <c r="AJ14" i="1" s="1"/>
  <c r="J853" i="1"/>
  <c r="T16" i="1"/>
  <c r="G854" i="1"/>
  <c r="AB17" i="1"/>
  <c r="AJ17" i="1" s="1"/>
  <c r="J856" i="1"/>
  <c r="T19" i="1"/>
  <c r="J857" i="1"/>
  <c r="T20" i="1"/>
  <c r="J858" i="1"/>
  <c r="T21" i="1"/>
  <c r="AE21" i="1"/>
  <c r="G859" i="1"/>
  <c r="AB22" i="1"/>
  <c r="AJ22" i="1" s="1"/>
  <c r="AG23" i="1"/>
  <c r="H24" i="1"/>
  <c r="AG25" i="1"/>
  <c r="N35" i="1"/>
  <c r="N47" i="1"/>
  <c r="AA48" i="1"/>
  <c r="AA54" i="1" s="1"/>
  <c r="M61" i="1"/>
  <c r="T62" i="1"/>
  <c r="AB63" i="1"/>
  <c r="AJ63" i="1" s="1"/>
  <c r="M64" i="1"/>
  <c r="M65" i="1"/>
  <c r="M66" i="1"/>
  <c r="T67" i="1"/>
  <c r="AB68" i="1"/>
  <c r="AJ68" i="1" s="1"/>
  <c r="T70" i="1"/>
  <c r="AB71" i="1"/>
  <c r="AJ71" i="1" s="1"/>
  <c r="T73" i="1"/>
  <c r="T74" i="1"/>
  <c r="T75" i="1"/>
  <c r="H78" i="1"/>
  <c r="AB78" i="1"/>
  <c r="AJ78" i="1" s="1"/>
  <c r="N89" i="1"/>
  <c r="AA102" i="1"/>
  <c r="AA108" i="1" s="1"/>
  <c r="M115" i="1"/>
  <c r="T116" i="1"/>
  <c r="M118" i="1"/>
  <c r="M120" i="1"/>
  <c r="T121" i="1"/>
  <c r="AB122" i="1"/>
  <c r="AJ122" i="1" s="1"/>
  <c r="T124" i="1"/>
  <c r="AB125" i="1"/>
  <c r="AJ125" i="1" s="1"/>
  <c r="T127" i="1"/>
  <c r="T128" i="1"/>
  <c r="T129" i="1"/>
  <c r="H132" i="1"/>
  <c r="N143" i="1"/>
  <c r="AA156" i="1"/>
  <c r="AA162" i="1" s="1"/>
  <c r="M169" i="1"/>
  <c r="T170" i="1"/>
  <c r="AE170" i="1"/>
  <c r="AE171" i="1" s="1"/>
  <c r="M172" i="1"/>
  <c r="M173" i="1"/>
  <c r="M174" i="1"/>
  <c r="T175" i="1"/>
  <c r="AB176" i="1"/>
  <c r="AJ176" i="1" s="1"/>
  <c r="T178" i="1"/>
  <c r="AB179" i="1"/>
  <c r="AJ179" i="1" s="1"/>
  <c r="T181" i="1"/>
  <c r="T182" i="1"/>
  <c r="T183" i="1"/>
  <c r="AC186" i="1"/>
  <c r="AC189" i="1" s="1"/>
  <c r="AP202" i="1"/>
  <c r="U197" i="1"/>
  <c r="AQ202" i="1" s="1"/>
  <c r="M198" i="1"/>
  <c r="AE211" i="1"/>
  <c r="AP203" i="1"/>
  <c r="U199" i="1"/>
  <c r="AQ203" i="1" s="1"/>
  <c r="AE212" i="1"/>
  <c r="M203" i="1"/>
  <c r="AB205" i="1"/>
  <c r="AJ205" i="1" s="1"/>
  <c r="AG243" i="1"/>
  <c r="AD234" i="1"/>
  <c r="AP229" i="1"/>
  <c r="U236" i="1"/>
  <c r="AQ232" i="1" s="1"/>
  <c r="H240" i="1"/>
  <c r="K267" i="1"/>
  <c r="AA261" i="1"/>
  <c r="U250" i="1"/>
  <c r="AQ255" i="1" s="1"/>
  <c r="AP255" i="1"/>
  <c r="M283" i="1"/>
  <c r="AJ309" i="1"/>
  <c r="T306" i="1"/>
  <c r="AB319" i="1"/>
  <c r="AJ319" i="1" s="1"/>
  <c r="T319" i="1"/>
  <c r="AB304" i="1"/>
  <c r="AJ304" i="1" s="1"/>
  <c r="AG351" i="1"/>
  <c r="AH333" i="1"/>
  <c r="AK342" i="1"/>
  <c r="AF347" i="1"/>
  <c r="L338" i="1"/>
  <c r="AH347" i="1" s="1"/>
  <c r="AJ341" i="1"/>
  <c r="I342" i="1"/>
  <c r="AC339" i="1"/>
  <c r="M346" i="1"/>
  <c r="AE331" i="1"/>
  <c r="K348" i="1"/>
  <c r="K375" i="1"/>
  <c r="U358" i="1"/>
  <c r="AQ363" i="1" s="1"/>
  <c r="AP363" i="1"/>
  <c r="AB374" i="1"/>
  <c r="AJ374" i="1" s="1"/>
  <c r="T365" i="1"/>
  <c r="M370" i="1"/>
  <c r="AE357" i="1"/>
  <c r="M371" i="1"/>
  <c r="AE367" i="1"/>
  <c r="M372" i="1"/>
  <c r="AE368" i="1"/>
  <c r="J402" i="1"/>
  <c r="AG396" i="1"/>
  <c r="AP400" i="1"/>
  <c r="U387" i="1"/>
  <c r="AQ400" i="1" s="1"/>
  <c r="AF401" i="1"/>
  <c r="L392" i="1"/>
  <c r="AH401" i="1" s="1"/>
  <c r="M394" i="1"/>
  <c r="M397" i="1"/>
  <c r="M398" i="1"/>
  <c r="AJ400" i="1"/>
  <c r="T414" i="1"/>
  <c r="AB427" i="1"/>
  <c r="AJ427" i="1" s="1"/>
  <c r="M424" i="1"/>
  <c r="AE411" i="1"/>
  <c r="M425" i="1"/>
  <c r="AE421" i="1"/>
  <c r="M426" i="1"/>
  <c r="AE422" i="1"/>
  <c r="AE439" i="1"/>
  <c r="AH462" i="1"/>
  <c r="M470" i="1"/>
  <c r="AH507" i="1"/>
  <c r="AF519" i="1"/>
  <c r="L532" i="1"/>
  <c r="AH519" i="1" s="1"/>
  <c r="AP530" i="1"/>
  <c r="U534" i="1"/>
  <c r="AQ530" i="1" s="1"/>
  <c r="AD588" i="1"/>
  <c r="I573" i="1"/>
  <c r="H591" i="1"/>
  <c r="K845" i="1"/>
  <c r="AG850" i="1" s="1"/>
  <c r="AB851" i="1"/>
  <c r="AJ851" i="1" s="1"/>
  <c r="N847" i="1"/>
  <c r="T847" i="1"/>
  <c r="N10" i="1"/>
  <c r="N849" i="1"/>
  <c r="T849" i="1"/>
  <c r="AB841" i="1"/>
  <c r="N12" i="1"/>
  <c r="H854" i="1"/>
  <c r="AD863" i="1" s="1"/>
  <c r="E855" i="1"/>
  <c r="AA852" i="1" s="1"/>
  <c r="K858" i="1"/>
  <c r="AG854" i="1" s="1"/>
  <c r="AC22" i="1"/>
  <c r="AC27" i="1" s="1"/>
  <c r="AC24" i="1"/>
  <c r="AP33" i="1"/>
  <c r="T34" i="1"/>
  <c r="T51" i="1" s="1"/>
  <c r="U51" i="1" s="1"/>
  <c r="L36" i="1"/>
  <c r="AH49" i="1" s="1"/>
  <c r="T37" i="1"/>
  <c r="T38" i="1"/>
  <c r="T39" i="1"/>
  <c r="AD42" i="1"/>
  <c r="AD45" i="1" s="1"/>
  <c r="AB48" i="1"/>
  <c r="N61" i="1"/>
  <c r="N64" i="1"/>
  <c r="N65" i="1"/>
  <c r="N66" i="1"/>
  <c r="AF67" i="1"/>
  <c r="AF72" i="1" s="1"/>
  <c r="AF75" i="1"/>
  <c r="AF81" i="1" s="1"/>
  <c r="AC76" i="1"/>
  <c r="AC78" i="1"/>
  <c r="AP87" i="1"/>
  <c r="T88" i="1"/>
  <c r="T105" i="1" s="1"/>
  <c r="U105" i="1" s="1"/>
  <c r="L90" i="1"/>
  <c r="AH103" i="1" s="1"/>
  <c r="T91" i="1"/>
  <c r="T92" i="1"/>
  <c r="T93" i="1"/>
  <c r="AD96" i="1"/>
  <c r="AD99" i="1" s="1"/>
  <c r="AB102" i="1"/>
  <c r="N115" i="1"/>
  <c r="N118" i="1"/>
  <c r="N119" i="1"/>
  <c r="N120" i="1"/>
  <c r="AF121" i="1"/>
  <c r="AF126" i="1" s="1"/>
  <c r="AF129" i="1"/>
  <c r="AC130" i="1"/>
  <c r="AC135" i="1" s="1"/>
  <c r="AC132" i="1"/>
  <c r="AP141" i="1"/>
  <c r="L144" i="1"/>
  <c r="AH157" i="1" s="1"/>
  <c r="AD150" i="1"/>
  <c r="AD153" i="1" s="1"/>
  <c r="AB156" i="1"/>
  <c r="N169" i="1"/>
  <c r="N172" i="1"/>
  <c r="N173" i="1"/>
  <c r="N174" i="1"/>
  <c r="AF175" i="1"/>
  <c r="AF180" i="1" s="1"/>
  <c r="AF178" i="1"/>
  <c r="U184" i="1"/>
  <c r="AQ169" i="1" s="1"/>
  <c r="K186" i="1"/>
  <c r="AA207" i="1"/>
  <c r="M201" i="1"/>
  <c r="AP194" i="1"/>
  <c r="U202" i="1"/>
  <c r="AQ194" i="1" s="1"/>
  <c r="L206" i="1"/>
  <c r="AH215" i="1" s="1"/>
  <c r="AH216" i="1" s="1"/>
  <c r="U207" i="1"/>
  <c r="AQ204" i="1" s="1"/>
  <c r="N209" i="1"/>
  <c r="Z225" i="1"/>
  <c r="AC223" i="1"/>
  <c r="AC225" i="1" s="1"/>
  <c r="L225" i="1"/>
  <c r="AH238" i="1" s="1"/>
  <c r="AF238" i="1"/>
  <c r="I228" i="1"/>
  <c r="AD220" i="1"/>
  <c r="N229" i="1"/>
  <c r="M231" i="1"/>
  <c r="AJ232" i="1"/>
  <c r="N236" i="1"/>
  <c r="U237" i="1"/>
  <c r="AQ233" i="1" s="1"/>
  <c r="AP237" i="1"/>
  <c r="AC240" i="1"/>
  <c r="AJ255" i="1"/>
  <c r="T252" i="1"/>
  <c r="AB265" i="1"/>
  <c r="AJ265" i="1" s="1"/>
  <c r="AE258" i="1"/>
  <c r="M261" i="1"/>
  <c r="M264" i="1"/>
  <c r="AE260" i="1"/>
  <c r="AJ264" i="1"/>
  <c r="M265" i="1"/>
  <c r="E294" i="1"/>
  <c r="M286" i="1"/>
  <c r="AF296" i="1"/>
  <c r="L287" i="1"/>
  <c r="AH296" i="1" s="1"/>
  <c r="M289" i="1"/>
  <c r="AF277" i="1"/>
  <c r="AF279" i="1" s="1"/>
  <c r="L292" i="1"/>
  <c r="AH277" i="1" s="1"/>
  <c r="AE320" i="1"/>
  <c r="M311" i="1"/>
  <c r="M317" i="1"/>
  <c r="AE313" i="1"/>
  <c r="AG342" i="1"/>
  <c r="M337" i="1"/>
  <c r="AJ363" i="1"/>
  <c r="T360" i="1"/>
  <c r="AB373" i="1"/>
  <c r="AJ373" i="1" s="1"/>
  <c r="U374" i="1"/>
  <c r="AQ359" i="1" s="1"/>
  <c r="AG405" i="1"/>
  <c r="U386" i="1"/>
  <c r="AQ391" i="1" s="1"/>
  <c r="AA391" i="1"/>
  <c r="AJ391" i="1" s="1"/>
  <c r="AJ395" i="1"/>
  <c r="I396" i="1"/>
  <c r="AC393" i="1"/>
  <c r="AJ402" i="1"/>
  <c r="AF414" i="1"/>
  <c r="AB428" i="1"/>
  <c r="AJ428" i="1" s="1"/>
  <c r="T419" i="1"/>
  <c r="AB431" i="1"/>
  <c r="AJ431" i="1" s="1"/>
  <c r="T422" i="1"/>
  <c r="U428" i="1"/>
  <c r="AQ413" i="1" s="1"/>
  <c r="AE473" i="1"/>
  <c r="M469" i="1"/>
  <c r="AE592" i="1"/>
  <c r="AF817" i="1"/>
  <c r="L832" i="1"/>
  <c r="AH817" i="1" s="1"/>
  <c r="F844" i="1"/>
  <c r="F848" i="1"/>
  <c r="N11" i="1"/>
  <c r="AB4" i="1"/>
  <c r="AJ4" i="1" s="1"/>
  <c r="J843" i="1"/>
  <c r="G844" i="1"/>
  <c r="L8" i="1"/>
  <c r="AH13" i="1" s="1"/>
  <c r="AH18" i="1" s="1"/>
  <c r="I9" i="1"/>
  <c r="G847" i="1"/>
  <c r="G848" i="1"/>
  <c r="G849" i="1"/>
  <c r="AB12" i="1"/>
  <c r="L13" i="1"/>
  <c r="AH5" i="1" s="1"/>
  <c r="AG13" i="1"/>
  <c r="I14" i="1"/>
  <c r="F852" i="1"/>
  <c r="N15" i="1"/>
  <c r="AA15" i="1"/>
  <c r="AA18" i="1" s="1"/>
  <c r="L16" i="1"/>
  <c r="AH25" i="1" s="1"/>
  <c r="AG16" i="1"/>
  <c r="I17" i="1"/>
  <c r="F855" i="1"/>
  <c r="N18" i="1"/>
  <c r="L19" i="1"/>
  <c r="AH6" i="1" s="1"/>
  <c r="L20" i="1"/>
  <c r="AH16" i="1" s="1"/>
  <c r="L21" i="1"/>
  <c r="AH17" i="1" s="1"/>
  <c r="AG21" i="1"/>
  <c r="I22" i="1"/>
  <c r="AD22" i="1"/>
  <c r="AD27" i="1" s="1"/>
  <c r="F860" i="1"/>
  <c r="N23" i="1"/>
  <c r="J24" i="1"/>
  <c r="AD24" i="1"/>
  <c r="AA25" i="1"/>
  <c r="AF26" i="1"/>
  <c r="N33" i="1"/>
  <c r="AP44" i="1"/>
  <c r="AC48" i="1"/>
  <c r="AC54" i="1" s="1"/>
  <c r="AB53" i="1"/>
  <c r="AJ53" i="1" s="1"/>
  <c r="AB66" i="1"/>
  <c r="AG75" i="1"/>
  <c r="AG81" i="1" s="1"/>
  <c r="AF80" i="1"/>
  <c r="N87" i="1"/>
  <c r="AP98" i="1"/>
  <c r="AC102" i="1"/>
  <c r="AC108" i="1" s="1"/>
  <c r="AB107" i="1"/>
  <c r="AJ107" i="1" s="1"/>
  <c r="AB112" i="1"/>
  <c r="AJ112" i="1" s="1"/>
  <c r="AB120" i="1"/>
  <c r="AG129" i="1"/>
  <c r="AG135" i="1" s="1"/>
  <c r="AF134" i="1"/>
  <c r="N141" i="1"/>
  <c r="U145" i="1"/>
  <c r="AQ149" i="1" s="1"/>
  <c r="AP152" i="1"/>
  <c r="AC156" i="1"/>
  <c r="AC162" i="1" s="1"/>
  <c r="AB161" i="1"/>
  <c r="AJ161" i="1" s="1"/>
  <c r="AB166" i="1"/>
  <c r="AJ166" i="1" s="1"/>
  <c r="J186" i="1"/>
  <c r="AB174" i="1"/>
  <c r="I176" i="1"/>
  <c r="I186" i="1" s="1"/>
  <c r="L178" i="1"/>
  <c r="AH187" i="1" s="1"/>
  <c r="I179" i="1"/>
  <c r="AC198" i="1"/>
  <c r="AP192" i="1"/>
  <c r="AB207" i="1"/>
  <c r="AJ207" i="1" s="1"/>
  <c r="AJ201" i="1"/>
  <c r="U196" i="1"/>
  <c r="AQ201" i="1" s="1"/>
  <c r="AP201" i="1"/>
  <c r="U204" i="1"/>
  <c r="AQ213" i="1" s="1"/>
  <c r="T211" i="1"/>
  <c r="AB196" i="1"/>
  <c r="AJ196" i="1" s="1"/>
  <c r="L212" i="1"/>
  <c r="AH197" i="1" s="1"/>
  <c r="L213" i="1"/>
  <c r="AF221" i="1"/>
  <c r="E240" i="1"/>
  <c r="AJ229" i="1"/>
  <c r="N237" i="1"/>
  <c r="Z243" i="1"/>
  <c r="K240" i="1"/>
  <c r="AC261" i="1"/>
  <c r="M252" i="1"/>
  <c r="AE265" i="1"/>
  <c r="L261" i="1"/>
  <c r="AH258" i="1" s="1"/>
  <c r="AK270" i="1"/>
  <c r="E267" i="1"/>
  <c r="AA324" i="1"/>
  <c r="AJ312" i="1"/>
  <c r="AE312" i="1"/>
  <c r="M315" i="1"/>
  <c r="I318" i="1"/>
  <c r="AJ318" i="1"/>
  <c r="M319" i="1"/>
  <c r="E348" i="1"/>
  <c r="U330" i="1"/>
  <c r="AQ345" i="1" s="1"/>
  <c r="I333" i="1"/>
  <c r="L345" i="1"/>
  <c r="AK351" i="1"/>
  <c r="AF331" i="1"/>
  <c r="AF333" i="1" s="1"/>
  <c r="L346" i="1"/>
  <c r="AH331" i="1" s="1"/>
  <c r="AC369" i="1"/>
  <c r="AE374" i="1"/>
  <c r="M365" i="1"/>
  <c r="AE366" i="1"/>
  <c r="Z387" i="1"/>
  <c r="AJ383" i="1"/>
  <c r="N386" i="1"/>
  <c r="AA387" i="1"/>
  <c r="AP401" i="1"/>
  <c r="U392" i="1"/>
  <c r="AQ401" i="1" s="1"/>
  <c r="AA403" i="1"/>
  <c r="AJ403" i="1" s="1"/>
  <c r="U394" i="1"/>
  <c r="AQ403" i="1" s="1"/>
  <c r="U397" i="1"/>
  <c r="AQ384" i="1" s="1"/>
  <c r="AA384" i="1"/>
  <c r="U398" i="1"/>
  <c r="AQ394" i="1" s="1"/>
  <c r="AA394" i="1"/>
  <c r="AA396" i="1" s="1"/>
  <c r="U399" i="1"/>
  <c r="AQ395" i="1" s="1"/>
  <c r="AA395" i="1"/>
  <c r="AE385" i="1"/>
  <c r="AC414" i="1"/>
  <c r="F429" i="1"/>
  <c r="N429" i="1" s="1"/>
  <c r="AE418" i="1"/>
  <c r="M417" i="1"/>
  <c r="AA459" i="1"/>
  <c r="U474" i="1"/>
  <c r="AQ483" i="1" s="1"/>
  <c r="AP483" i="1"/>
  <c r="M562" i="1"/>
  <c r="AE547" i="1"/>
  <c r="U578" i="1"/>
  <c r="AQ570" i="1" s="1"/>
  <c r="AP570" i="1"/>
  <c r="M607" i="1"/>
  <c r="AE599" i="1"/>
  <c r="K861" i="1"/>
  <c r="AG858" i="1"/>
  <c r="AG864" i="1" s="1"/>
  <c r="H844" i="1"/>
  <c r="AD849" i="1" s="1"/>
  <c r="J846" i="1"/>
  <c r="H847" i="1"/>
  <c r="AD851" i="1" s="1"/>
  <c r="H848" i="1"/>
  <c r="AD840" i="1" s="1"/>
  <c r="H849" i="1"/>
  <c r="AD841" i="1" s="1"/>
  <c r="J851" i="1"/>
  <c r="I852" i="1"/>
  <c r="AC861" i="1"/>
  <c r="AF863" i="1"/>
  <c r="L854" i="1"/>
  <c r="AH863" i="1" s="1"/>
  <c r="G855" i="1"/>
  <c r="E858" i="1"/>
  <c r="AA854" i="1" s="1"/>
  <c r="J859" i="1"/>
  <c r="G860" i="1"/>
  <c r="K24" i="1"/>
  <c r="AB25" i="1"/>
  <c r="AJ25" i="1" s="1"/>
  <c r="AG26" i="1"/>
  <c r="AD48" i="1"/>
  <c r="AD54" i="1" s="1"/>
  <c r="G51" i="1"/>
  <c r="AH75" i="1"/>
  <c r="AH81" i="1" s="1"/>
  <c r="AB79" i="1"/>
  <c r="AJ79" i="1" s="1"/>
  <c r="AD102" i="1"/>
  <c r="AD108" i="1" s="1"/>
  <c r="G105" i="1"/>
  <c r="AH129" i="1"/>
  <c r="AH135" i="1" s="1"/>
  <c r="AB133" i="1"/>
  <c r="AJ133" i="1" s="1"/>
  <c r="AD156" i="1"/>
  <c r="AD162" i="1" s="1"/>
  <c r="G159" i="1"/>
  <c r="Z189" i="1"/>
  <c r="F213" i="1"/>
  <c r="N213" i="1" s="1"/>
  <c r="M197" i="1"/>
  <c r="AE202" i="1"/>
  <c r="AE203" i="1"/>
  <c r="M199" i="1"/>
  <c r="AG207" i="1"/>
  <c r="AP205" i="1"/>
  <c r="U209" i="1"/>
  <c r="AQ205" i="1" s="1"/>
  <c r="AD225" i="1"/>
  <c r="N226" i="1"/>
  <c r="I230" i="1"/>
  <c r="AC239" i="1"/>
  <c r="L232" i="1"/>
  <c r="AF241" i="1"/>
  <c r="AP242" i="1"/>
  <c r="U233" i="1"/>
  <c r="AQ242" i="1" s="1"/>
  <c r="L235" i="1"/>
  <c r="Z252" i="1"/>
  <c r="AE267" i="1"/>
  <c r="M258" i="1"/>
  <c r="AE268" i="1"/>
  <c r="M259" i="1"/>
  <c r="AB269" i="1"/>
  <c r="AJ269" i="1" s="1"/>
  <c r="T260" i="1"/>
  <c r="G294" i="1"/>
  <c r="L279" i="1"/>
  <c r="AH292" i="1" s="1"/>
  <c r="AF292" i="1"/>
  <c r="AF297" i="1" s="1"/>
  <c r="AA279" i="1"/>
  <c r="U286" i="1"/>
  <c r="AQ295" i="1" s="1"/>
  <c r="U289" i="1"/>
  <c r="AQ276" i="1" s="1"/>
  <c r="V291" i="1"/>
  <c r="S291" i="1"/>
  <c r="R291" i="1" s="1"/>
  <c r="AI287" i="1"/>
  <c r="P291" i="1"/>
  <c r="AC306" i="1"/>
  <c r="F321" i="1"/>
  <c r="N321" i="1" s="1"/>
  <c r="M304" i="1"/>
  <c r="L315" i="1"/>
  <c r="AH312" i="1" s="1"/>
  <c r="AH315" i="1" s="1"/>
  <c r="AK324" i="1"/>
  <c r="V332" i="1"/>
  <c r="S332" i="1"/>
  <c r="R332" i="1" s="1"/>
  <c r="P332" i="1"/>
  <c r="AI337" i="1"/>
  <c r="AI349" i="1"/>
  <c r="V340" i="1"/>
  <c r="S340" i="1"/>
  <c r="R340" i="1" s="1"/>
  <c r="P340" i="1"/>
  <c r="AF350" i="1"/>
  <c r="L341" i="1"/>
  <c r="AH350" i="1" s="1"/>
  <c r="V344" i="1"/>
  <c r="S344" i="1"/>
  <c r="R344" i="1" s="1"/>
  <c r="P344" i="1"/>
  <c r="AI340" i="1"/>
  <c r="E375" i="1"/>
  <c r="AA372" i="1"/>
  <c r="AA378" i="1" s="1"/>
  <c r="L369" i="1"/>
  <c r="AH366" i="1" s="1"/>
  <c r="T373" i="1"/>
  <c r="AB358" i="1"/>
  <c r="AJ358" i="1" s="1"/>
  <c r="I390" i="1"/>
  <c r="V391" i="1"/>
  <c r="S391" i="1"/>
  <c r="R391" i="1" s="1"/>
  <c r="P391" i="1"/>
  <c r="AC402" i="1"/>
  <c r="I393" i="1"/>
  <c r="AJ394" i="1"/>
  <c r="AE404" i="1"/>
  <c r="AC426" i="1"/>
  <c r="AC432" i="1" s="1"/>
  <c r="I411" i="1"/>
  <c r="AH414" i="1"/>
  <c r="AE423" i="1"/>
  <c r="AE428" i="1"/>
  <c r="M419" i="1"/>
  <c r="AE431" i="1"/>
  <c r="M422" i="1"/>
  <c r="T427" i="1"/>
  <c r="AB412" i="1"/>
  <c r="AJ412" i="1" s="1"/>
  <c r="H699" i="1"/>
  <c r="AD696" i="1"/>
  <c r="N850" i="1"/>
  <c r="T850" i="1"/>
  <c r="AB842" i="1"/>
  <c r="AJ842" i="1" s="1"/>
  <c r="N853" i="1"/>
  <c r="AJ862" i="1" s="1"/>
  <c r="AB862" i="1"/>
  <c r="T853" i="1"/>
  <c r="N16" i="1"/>
  <c r="AB843" i="1"/>
  <c r="AJ843" i="1" s="1"/>
  <c r="T856" i="1"/>
  <c r="N856" i="1"/>
  <c r="N19" i="1"/>
  <c r="AJ6" i="1" s="1"/>
  <c r="AB854" i="1"/>
  <c r="AJ854" i="1" s="1"/>
  <c r="N858" i="1"/>
  <c r="T858" i="1"/>
  <c r="N21" i="1"/>
  <c r="K859" i="1"/>
  <c r="AG844" i="1" s="1"/>
  <c r="AF22" i="1"/>
  <c r="AF27" i="1" s="1"/>
  <c r="N128" i="1"/>
  <c r="L186" i="1"/>
  <c r="N170" i="1"/>
  <c r="N182" i="1"/>
  <c r="AC210" i="1"/>
  <c r="I195" i="1"/>
  <c r="M202" i="1"/>
  <c r="AB215" i="1"/>
  <c r="AJ215" i="1" s="1"/>
  <c r="T206" i="1"/>
  <c r="AE204" i="1"/>
  <c r="M208" i="1"/>
  <c r="AE195" i="1"/>
  <c r="AK216" i="1"/>
  <c r="AF225" i="1"/>
  <c r="M238" i="1"/>
  <c r="AE223" i="1"/>
  <c r="F267" i="1"/>
  <c r="M250" i="1"/>
  <c r="AE251" i="1"/>
  <c r="H294" i="1"/>
  <c r="AB282" i="1"/>
  <c r="T277" i="1"/>
  <c r="U278" i="1"/>
  <c r="AQ283" i="1" s="1"/>
  <c r="AB284" i="1"/>
  <c r="AJ284" i="1" s="1"/>
  <c r="T280" i="1"/>
  <c r="AB273" i="1"/>
  <c r="T281" i="1"/>
  <c r="AB274" i="1"/>
  <c r="AJ274" i="1" s="1"/>
  <c r="T282" i="1"/>
  <c r="AA288" i="1"/>
  <c r="AE293" i="1"/>
  <c r="M284" i="1"/>
  <c r="AP296" i="1"/>
  <c r="U287" i="1"/>
  <c r="AQ296" i="1" s="1"/>
  <c r="U290" i="1"/>
  <c r="AQ286" i="1" s="1"/>
  <c r="AP277" i="1"/>
  <c r="U292" i="1"/>
  <c r="AQ277" i="1" s="1"/>
  <c r="AC318" i="1"/>
  <c r="AC324" i="1" s="1"/>
  <c r="I303" i="1"/>
  <c r="AF306" i="1"/>
  <c r="AA315" i="1"/>
  <c r="AE321" i="1"/>
  <c r="AE322" i="1"/>
  <c r="M313" i="1"/>
  <c r="AB323" i="1"/>
  <c r="AJ323" i="1" s="1"/>
  <c r="T314" i="1"/>
  <c r="G321" i="1"/>
  <c r="Z333" i="1"/>
  <c r="G348" i="1"/>
  <c r="L333" i="1"/>
  <c r="AH346" i="1" s="1"/>
  <c r="AF346" i="1"/>
  <c r="AF351" i="1" s="1"/>
  <c r="AA333" i="1"/>
  <c r="U343" i="1"/>
  <c r="AQ330" i="1" s="1"/>
  <c r="N375" i="1"/>
  <c r="M358" i="1"/>
  <c r="AE376" i="1"/>
  <c r="M367" i="1"/>
  <c r="AB377" i="1"/>
  <c r="AJ377" i="1" s="1"/>
  <c r="T368" i="1"/>
  <c r="M387" i="1"/>
  <c r="AE381" i="1"/>
  <c r="M389" i="1"/>
  <c r="AF385" i="1"/>
  <c r="AF387" i="1" s="1"/>
  <c r="L400" i="1"/>
  <c r="AH385" i="1" s="1"/>
  <c r="AH387" i="1" s="1"/>
  <c r="AB423" i="1"/>
  <c r="AJ423" i="1" s="1"/>
  <c r="AJ417" i="1"/>
  <c r="M418" i="1"/>
  <c r="AE430" i="1"/>
  <c r="M421" i="1"/>
  <c r="T445" i="1"/>
  <c r="N445" i="1"/>
  <c r="AB437" i="1"/>
  <c r="AJ437" i="1" s="1"/>
  <c r="AH517" i="1"/>
  <c r="M525" i="1"/>
  <c r="M548" i="1"/>
  <c r="AE553" i="1"/>
  <c r="I576" i="1"/>
  <c r="AC589" i="1"/>
  <c r="AH615" i="1"/>
  <c r="M610" i="1"/>
  <c r="AE619" i="1"/>
  <c r="AP646" i="1"/>
  <c r="U637" i="1"/>
  <c r="AQ646" i="1" s="1"/>
  <c r="U644" i="1"/>
  <c r="AQ629" i="1" s="1"/>
  <c r="AP629" i="1"/>
  <c r="N13" i="1"/>
  <c r="T857" i="1"/>
  <c r="N857" i="1"/>
  <c r="AB853" i="1"/>
  <c r="AJ853" i="1" s="1"/>
  <c r="N20" i="1"/>
  <c r="N62" i="1"/>
  <c r="N74" i="1"/>
  <c r="N116" i="1"/>
  <c r="E861" i="1"/>
  <c r="AA858" i="1"/>
  <c r="AA864" i="1" s="1"/>
  <c r="J844" i="1"/>
  <c r="T7" i="1"/>
  <c r="G845" i="1"/>
  <c r="L9" i="1"/>
  <c r="AH22" i="1" s="1"/>
  <c r="AF851" i="1"/>
  <c r="L847" i="1"/>
  <c r="AH851" i="1" s="1"/>
  <c r="T10" i="1"/>
  <c r="AF840" i="1"/>
  <c r="L848" i="1"/>
  <c r="AH840" i="1" s="1"/>
  <c r="T11" i="1"/>
  <c r="J849" i="1"/>
  <c r="T12" i="1"/>
  <c r="G850" i="1"/>
  <c r="L14" i="1"/>
  <c r="AH23" i="1" s="1"/>
  <c r="I15" i="1"/>
  <c r="AD15" i="1"/>
  <c r="AD18" i="1" s="1"/>
  <c r="G853" i="1"/>
  <c r="AB16" i="1"/>
  <c r="AJ16" i="1" s="1"/>
  <c r="L17" i="1"/>
  <c r="AH26" i="1" s="1"/>
  <c r="AG17" i="1"/>
  <c r="I18" i="1"/>
  <c r="G856" i="1"/>
  <c r="G857" i="1"/>
  <c r="G858" i="1"/>
  <c r="L22" i="1"/>
  <c r="AH7" i="1" s="1"/>
  <c r="I23" i="1"/>
  <c r="AD23" i="1"/>
  <c r="E24" i="1"/>
  <c r="AG24" i="1"/>
  <c r="U43" i="1"/>
  <c r="AQ52" i="1" s="1"/>
  <c r="U97" i="1"/>
  <c r="AQ106" i="1" s="1"/>
  <c r="U151" i="1"/>
  <c r="AQ160" i="1" s="1"/>
  <c r="E186" i="1"/>
  <c r="L171" i="1"/>
  <c r="L176" i="1"/>
  <c r="AH185" i="1" s="1"/>
  <c r="L179" i="1"/>
  <c r="AH188" i="1" s="1"/>
  <c r="AH198" i="1"/>
  <c r="H213" i="1"/>
  <c r="M196" i="1"/>
  <c r="I204" i="1"/>
  <c r="AB214" i="1"/>
  <c r="AJ214" i="1" s="1"/>
  <c r="T205" i="1"/>
  <c r="L207" i="1"/>
  <c r="AH204" i="1" s="1"/>
  <c r="T210" i="1"/>
  <c r="AB206" i="1"/>
  <c r="AJ206" i="1" s="1"/>
  <c r="AG225" i="1"/>
  <c r="L224" i="1"/>
  <c r="AH229" i="1" s="1"/>
  <c r="AH234" i="1" s="1"/>
  <c r="AP238" i="1"/>
  <c r="U225" i="1"/>
  <c r="AQ238" i="1" s="1"/>
  <c r="AP230" i="1"/>
  <c r="U226" i="1"/>
  <c r="AQ230" i="1" s="1"/>
  <c r="AA225" i="1"/>
  <c r="AF239" i="1"/>
  <c r="L230" i="1"/>
  <c r="AH239" i="1" s="1"/>
  <c r="AF232" i="1"/>
  <c r="I233" i="1"/>
  <c r="AC242" i="1"/>
  <c r="L237" i="1"/>
  <c r="AH233" i="1" s="1"/>
  <c r="AF233" i="1"/>
  <c r="AC238" i="1"/>
  <c r="AC224" i="1"/>
  <c r="I239" i="1"/>
  <c r="AP239" i="1"/>
  <c r="AB252" i="1"/>
  <c r="AJ252" i="1" s="1"/>
  <c r="AC264" i="1"/>
  <c r="I249" i="1"/>
  <c r="L253" i="1"/>
  <c r="AH257" i="1" s="1"/>
  <c r="M260" i="1"/>
  <c r="AE269" i="1"/>
  <c r="L266" i="1"/>
  <c r="AH251" i="1" s="1"/>
  <c r="AE291" i="1"/>
  <c r="M276" i="1"/>
  <c r="AJ277" i="1"/>
  <c r="AJ283" i="1"/>
  <c r="AJ286" i="1"/>
  <c r="N288" i="1"/>
  <c r="U288" i="1"/>
  <c r="AQ285" i="1" s="1"/>
  <c r="N290" i="1"/>
  <c r="U291" i="1"/>
  <c r="AQ287" i="1" s="1"/>
  <c r="AC278" i="1"/>
  <c r="AC279" i="1" s="1"/>
  <c r="I293" i="1"/>
  <c r="AC294" i="1"/>
  <c r="AB306" i="1"/>
  <c r="AJ306" i="1" s="1"/>
  <c r="AP311" i="1"/>
  <c r="U307" i="1"/>
  <c r="AQ311" i="1" s="1"/>
  <c r="M309" i="1"/>
  <c r="L312" i="1"/>
  <c r="AH321" i="1" s="1"/>
  <c r="M320" i="1"/>
  <c r="AE305" i="1"/>
  <c r="H348" i="1"/>
  <c r="AB336" i="1"/>
  <c r="T331" i="1"/>
  <c r="U332" i="1"/>
  <c r="AQ337" i="1" s="1"/>
  <c r="AB338" i="1"/>
  <c r="AJ338" i="1" s="1"/>
  <c r="T334" i="1"/>
  <c r="AB327" i="1"/>
  <c r="T335" i="1"/>
  <c r="AB328" i="1"/>
  <c r="AJ328" i="1" s="1"/>
  <c r="T336" i="1"/>
  <c r="AA342" i="1"/>
  <c r="AJ337" i="1"/>
  <c r="U340" i="1"/>
  <c r="AQ349" i="1" s="1"/>
  <c r="N343" i="1"/>
  <c r="AJ330" i="1" s="1"/>
  <c r="U344" i="1"/>
  <c r="AQ340" i="1" s="1"/>
  <c r="AP331" i="1"/>
  <c r="U346" i="1"/>
  <c r="AQ331" i="1" s="1"/>
  <c r="N347" i="1"/>
  <c r="AJ348" i="1"/>
  <c r="AC372" i="1"/>
  <c r="AC378" i="1" s="1"/>
  <c r="I357" i="1"/>
  <c r="L361" i="1"/>
  <c r="AH365" i="1" s="1"/>
  <c r="AA369" i="1"/>
  <c r="AE375" i="1"/>
  <c r="M366" i="1"/>
  <c r="AJ372" i="1"/>
  <c r="V373" i="1"/>
  <c r="S373" i="1"/>
  <c r="R373" i="1" s="1"/>
  <c r="AI358" i="1"/>
  <c r="P373" i="1"/>
  <c r="G402" i="1"/>
  <c r="I385" i="1"/>
  <c r="I402" i="1" s="1"/>
  <c r="I388" i="1"/>
  <c r="AD387" i="1"/>
  <c r="AF404" i="1"/>
  <c r="L395" i="1"/>
  <c r="AH404" i="1" s="1"/>
  <c r="K402" i="1"/>
  <c r="AC423" i="1"/>
  <c r="M427" i="1"/>
  <c r="AE412" i="1"/>
  <c r="AE414" i="1" s="1"/>
  <c r="AJ444" i="1"/>
  <c r="AP475" i="1"/>
  <c r="U479" i="1"/>
  <c r="AQ475" i="1" s="1"/>
  <c r="AH516" i="1"/>
  <c r="AH522" i="1" s="1"/>
  <c r="M524" i="1"/>
  <c r="AC590" i="1"/>
  <c r="I581" i="1"/>
  <c r="U585" i="1"/>
  <c r="AQ582" i="1" s="1"/>
  <c r="AP582" i="1"/>
  <c r="T614" i="1"/>
  <c r="AB610" i="1"/>
  <c r="AJ610" i="1" s="1"/>
  <c r="N614" i="1"/>
  <c r="AE633" i="1"/>
  <c r="M628" i="1"/>
  <c r="T661" i="1"/>
  <c r="AB653" i="1"/>
  <c r="AJ653" i="1" s="1"/>
  <c r="N661" i="1"/>
  <c r="AE808" i="1"/>
  <c r="M799" i="1"/>
  <c r="AP25" i="2"/>
  <c r="U16" i="2"/>
  <c r="AQ25" i="2" s="1"/>
  <c r="AB203" i="1"/>
  <c r="AJ203" i="1" s="1"/>
  <c r="AB213" i="1"/>
  <c r="AJ213" i="1" s="1"/>
  <c r="AG214" i="1"/>
  <c r="AD215" i="1"/>
  <c r="AD216" i="1" s="1"/>
  <c r="L222" i="1"/>
  <c r="N224" i="1"/>
  <c r="AF230" i="1"/>
  <c r="AA237" i="1"/>
  <c r="AA243" i="1" s="1"/>
  <c r="AC241" i="1"/>
  <c r="T251" i="1"/>
  <c r="M253" i="1"/>
  <c r="M254" i="1"/>
  <c r="T256" i="1"/>
  <c r="AB257" i="1"/>
  <c r="AJ257" i="1" s="1"/>
  <c r="T259" i="1"/>
  <c r="AB260" i="1"/>
  <c r="AJ260" i="1" s="1"/>
  <c r="T262" i="1"/>
  <c r="T263" i="1"/>
  <c r="T264" i="1"/>
  <c r="AB267" i="1"/>
  <c r="AJ267" i="1" s="1"/>
  <c r="AD269" i="1"/>
  <c r="AD270" i="1" s="1"/>
  <c r="N278" i="1"/>
  <c r="AF284" i="1"/>
  <c r="AF287" i="1"/>
  <c r="AA291" i="1"/>
  <c r="AA297" i="1" s="1"/>
  <c r="AC293" i="1"/>
  <c r="AC295" i="1"/>
  <c r="T305" i="1"/>
  <c r="M307" i="1"/>
  <c r="M308" i="1"/>
  <c r="T310" i="1"/>
  <c r="AB311" i="1"/>
  <c r="AJ311" i="1" s="1"/>
  <c r="T313" i="1"/>
  <c r="AB314" i="1"/>
  <c r="AJ314" i="1" s="1"/>
  <c r="T316" i="1"/>
  <c r="T317" i="1"/>
  <c r="T318" i="1"/>
  <c r="AB321" i="1"/>
  <c r="AJ321" i="1" s="1"/>
  <c r="AG322" i="1"/>
  <c r="AD323" i="1"/>
  <c r="AD324" i="1" s="1"/>
  <c r="L330" i="1"/>
  <c r="AF338" i="1"/>
  <c r="AF341" i="1"/>
  <c r="AA345" i="1"/>
  <c r="AA351" i="1" s="1"/>
  <c r="AC347" i="1"/>
  <c r="AC349" i="1"/>
  <c r="T359" i="1"/>
  <c r="AE359" i="1"/>
  <c r="M362" i="1"/>
  <c r="T364" i="1"/>
  <c r="AB365" i="1"/>
  <c r="AJ365" i="1" s="1"/>
  <c r="T367" i="1"/>
  <c r="AB368" i="1"/>
  <c r="AJ368" i="1" s="1"/>
  <c r="T370" i="1"/>
  <c r="T371" i="1"/>
  <c r="T372" i="1"/>
  <c r="AB375" i="1"/>
  <c r="AJ375" i="1" s="1"/>
  <c r="AG376" i="1"/>
  <c r="AD377" i="1"/>
  <c r="AD378" i="1" s="1"/>
  <c r="L384" i="1"/>
  <c r="AF392" i="1"/>
  <c r="AF395" i="1"/>
  <c r="AA399" i="1"/>
  <c r="AA405" i="1" s="1"/>
  <c r="AC401" i="1"/>
  <c r="AC403" i="1"/>
  <c r="T413" i="1"/>
  <c r="AE413" i="1"/>
  <c r="M415" i="1"/>
  <c r="M416" i="1"/>
  <c r="AP417" i="1"/>
  <c r="T418" i="1"/>
  <c r="AB419" i="1"/>
  <c r="AJ419" i="1" s="1"/>
  <c r="L420" i="1"/>
  <c r="AH429" i="1" s="1"/>
  <c r="T421" i="1"/>
  <c r="AB422" i="1"/>
  <c r="AJ422" i="1" s="1"/>
  <c r="T424" i="1"/>
  <c r="T425" i="1"/>
  <c r="T426" i="1"/>
  <c r="AB429" i="1"/>
  <c r="AJ429" i="1" s="1"/>
  <c r="AG430" i="1"/>
  <c r="AA441" i="1"/>
  <c r="T440" i="1"/>
  <c r="AB445" i="1"/>
  <c r="AJ445" i="1" s="1"/>
  <c r="AJ440" i="1"/>
  <c r="AB457" i="1"/>
  <c r="AJ457" i="1" s="1"/>
  <c r="T448" i="1"/>
  <c r="T453" i="1"/>
  <c r="AB449" i="1"/>
  <c r="AJ449" i="1" s="1"/>
  <c r="L454" i="1"/>
  <c r="AH439" i="1" s="1"/>
  <c r="AH441" i="1" s="1"/>
  <c r="AJ463" i="1"/>
  <c r="AP472" i="1"/>
  <c r="U467" i="1"/>
  <c r="AQ472" i="1" s="1"/>
  <c r="M471" i="1"/>
  <c r="AE483" i="1"/>
  <c r="M474" i="1"/>
  <c r="AP465" i="1"/>
  <c r="U478" i="1"/>
  <c r="AQ465" i="1" s="1"/>
  <c r="AD495" i="1"/>
  <c r="L495" i="1"/>
  <c r="AH508" i="1" s="1"/>
  <c r="N499" i="1"/>
  <c r="AJ509" i="1"/>
  <c r="M505" i="1"/>
  <c r="AE492" i="1"/>
  <c r="AP512" i="1"/>
  <c r="AF522" i="1"/>
  <c r="E537" i="1"/>
  <c r="U520" i="1"/>
  <c r="AQ525" i="1" s="1"/>
  <c r="U528" i="1"/>
  <c r="AQ537" i="1" s="1"/>
  <c r="AP537" i="1"/>
  <c r="AP529" i="1"/>
  <c r="U533" i="1"/>
  <c r="AQ529" i="1" s="1"/>
  <c r="K564" i="1"/>
  <c r="M547" i="1"/>
  <c r="AE552" i="1"/>
  <c r="AE562" i="1"/>
  <c r="M549" i="1"/>
  <c r="M553" i="1"/>
  <c r="AE545" i="1"/>
  <c r="AB565" i="1"/>
  <c r="AJ565" i="1" s="1"/>
  <c r="T556" i="1"/>
  <c r="AA567" i="1"/>
  <c r="Z576" i="1"/>
  <c r="AH588" i="1"/>
  <c r="L575" i="1"/>
  <c r="AH580" i="1" s="1"/>
  <c r="AH585" i="1" s="1"/>
  <c r="AF580" i="1"/>
  <c r="AE575" i="1"/>
  <c r="AP581" i="1"/>
  <c r="U577" i="1"/>
  <c r="AQ581" i="1" s="1"/>
  <c r="AP579" i="1"/>
  <c r="AP572" i="1"/>
  <c r="U580" i="1"/>
  <c r="AQ572" i="1" s="1"/>
  <c r="AF592" i="1"/>
  <c r="L583" i="1"/>
  <c r="AH592" i="1" s="1"/>
  <c r="AE582" i="1"/>
  <c r="M585" i="1"/>
  <c r="U590" i="1"/>
  <c r="AQ575" i="1" s="1"/>
  <c r="AP575" i="1"/>
  <c r="AG612" i="1"/>
  <c r="AD612" i="1"/>
  <c r="AE620" i="1"/>
  <c r="T613" i="1"/>
  <c r="AB600" i="1"/>
  <c r="AB603" i="1" s="1"/>
  <c r="AJ603" i="1" s="1"/>
  <c r="M615" i="1"/>
  <c r="AE611" i="1"/>
  <c r="I617" i="1"/>
  <c r="AJ625" i="1"/>
  <c r="AH642" i="1"/>
  <c r="AD639" i="1"/>
  <c r="AJ634" i="1"/>
  <c r="M631" i="1"/>
  <c r="M632" i="1"/>
  <c r="M633" i="1"/>
  <c r="M642" i="1"/>
  <c r="AP669" i="1"/>
  <c r="U654" i="1"/>
  <c r="AQ669" i="1" s="1"/>
  <c r="L657" i="1"/>
  <c r="AH670" i="1" s="1"/>
  <c r="AA666" i="1"/>
  <c r="AE671" i="1"/>
  <c r="I666" i="1"/>
  <c r="T668" i="1"/>
  <c r="AB664" i="1"/>
  <c r="AJ664" i="1" s="1"/>
  <c r="AK675" i="1"/>
  <c r="V723" i="1"/>
  <c r="S723" i="1"/>
  <c r="R723" i="1" s="1"/>
  <c r="AI719" i="1"/>
  <c r="P723" i="1"/>
  <c r="U775" i="1"/>
  <c r="AQ762" i="1" s="1"/>
  <c r="AP762" i="1"/>
  <c r="AC834" i="1"/>
  <c r="I825" i="1"/>
  <c r="V66" i="2"/>
  <c r="S66" i="2"/>
  <c r="R66" i="2" s="1"/>
  <c r="P66" i="2"/>
  <c r="AI58" i="2"/>
  <c r="AP69" i="2"/>
  <c r="U72" i="2"/>
  <c r="AQ69" i="2" s="1"/>
  <c r="N196" i="1"/>
  <c r="AF202" i="1"/>
  <c r="AF210" i="1"/>
  <c r="AF216" i="1" s="1"/>
  <c r="AC211" i="1"/>
  <c r="AB237" i="1"/>
  <c r="N250" i="1"/>
  <c r="AF256" i="1"/>
  <c r="AF261" i="1" s="1"/>
  <c r="AF264" i="1"/>
  <c r="AF270" i="1" s="1"/>
  <c r="AC265" i="1"/>
  <c r="AB291" i="1"/>
  <c r="N304" i="1"/>
  <c r="N309" i="1"/>
  <c r="AF318" i="1"/>
  <c r="AF324" i="1" s="1"/>
  <c r="AB345" i="1"/>
  <c r="N358" i="1"/>
  <c r="N363" i="1"/>
  <c r="AF372" i="1"/>
  <c r="AF378" i="1" s="1"/>
  <c r="M384" i="1"/>
  <c r="T385" i="1"/>
  <c r="T402" i="1" s="1"/>
  <c r="U402" i="1" s="1"/>
  <c r="T388" i="1"/>
  <c r="T389" i="1"/>
  <c r="T390" i="1"/>
  <c r="AB399" i="1"/>
  <c r="N412" i="1"/>
  <c r="N417" i="1"/>
  <c r="M423" i="1"/>
  <c r="AF426" i="1"/>
  <c r="AF432" i="1" s="1"/>
  <c r="M445" i="1"/>
  <c r="AE437" i="1"/>
  <c r="T452" i="1"/>
  <c r="AB448" i="1"/>
  <c r="AJ448" i="1" s="1"/>
  <c r="AA477" i="1"/>
  <c r="AE464" i="1"/>
  <c r="M472" i="1"/>
  <c r="AE484" i="1"/>
  <c r="AC485" i="1"/>
  <c r="I476" i="1"/>
  <c r="U482" i="1"/>
  <c r="AQ467" i="1" s="1"/>
  <c r="AP467" i="1"/>
  <c r="AE500" i="1"/>
  <c r="M496" i="1"/>
  <c r="AE489" i="1"/>
  <c r="M497" i="1"/>
  <c r="M498" i="1"/>
  <c r="AE490" i="1"/>
  <c r="AE509" i="1"/>
  <c r="N537" i="1"/>
  <c r="M523" i="1"/>
  <c r="AE537" i="1"/>
  <c r="M528" i="1"/>
  <c r="AP519" i="1"/>
  <c r="U532" i="1"/>
  <c r="AQ519" i="1" s="1"/>
  <c r="T561" i="1"/>
  <c r="AB557" i="1"/>
  <c r="AJ557" i="1" s="1"/>
  <c r="S590" i="1"/>
  <c r="R590" i="1" s="1"/>
  <c r="AI575" i="1"/>
  <c r="P590" i="1"/>
  <c r="AG603" i="1"/>
  <c r="AP615" i="1"/>
  <c r="U600" i="1"/>
  <c r="AQ615" i="1" s="1"/>
  <c r="M614" i="1"/>
  <c r="AE610" i="1"/>
  <c r="U636" i="1"/>
  <c r="AQ645" i="1" s="1"/>
  <c r="AP645" i="1"/>
  <c r="AF627" i="1"/>
  <c r="L640" i="1"/>
  <c r="AH627" i="1" s="1"/>
  <c r="L641" i="1"/>
  <c r="AH637" i="1" s="1"/>
  <c r="AF637" i="1"/>
  <c r="AF638" i="1"/>
  <c r="L642" i="1"/>
  <c r="AH638" i="1" s="1"/>
  <c r="M661" i="1"/>
  <c r="AE653" i="1"/>
  <c r="AB673" i="1"/>
  <c r="AJ673" i="1" s="1"/>
  <c r="T664" i="1"/>
  <c r="T667" i="1"/>
  <c r="AB654" i="1"/>
  <c r="M671" i="1"/>
  <c r="AE656" i="1"/>
  <c r="M688" i="1"/>
  <c r="AE680" i="1"/>
  <c r="U762" i="1"/>
  <c r="AQ777" i="1" s="1"/>
  <c r="M831" i="1"/>
  <c r="AE827" i="1"/>
  <c r="AE53" i="2"/>
  <c r="T185" i="1"/>
  <c r="T195" i="1"/>
  <c r="N204" i="1"/>
  <c r="N207" i="1"/>
  <c r="AG210" i="1"/>
  <c r="N212" i="1"/>
  <c r="N222" i="1"/>
  <c r="AF228" i="1"/>
  <c r="AC229" i="1"/>
  <c r="AC234" i="1" s="1"/>
  <c r="AC237" i="1"/>
  <c r="AC243" i="1" s="1"/>
  <c r="T239" i="1"/>
  <c r="F240" i="1"/>
  <c r="N240" i="1" s="1"/>
  <c r="AP240" i="1"/>
  <c r="AB242" i="1"/>
  <c r="AJ242" i="1" s="1"/>
  <c r="T249" i="1"/>
  <c r="N258" i="1"/>
  <c r="AG259" i="1"/>
  <c r="AG261" i="1" s="1"/>
  <c r="N261" i="1"/>
  <c r="AG264" i="1"/>
  <c r="AG270" i="1" s="1"/>
  <c r="N266" i="1"/>
  <c r="N276" i="1"/>
  <c r="AF282" i="1"/>
  <c r="AF288" i="1" s="1"/>
  <c r="AC283" i="1"/>
  <c r="AC288" i="1" s="1"/>
  <c r="AC286" i="1"/>
  <c r="AC291" i="1"/>
  <c r="T293" i="1"/>
  <c r="F294" i="1"/>
  <c r="N294" i="1" s="1"/>
  <c r="AP294" i="1"/>
  <c r="AP297" i="1" s="1"/>
  <c r="AQ297" i="1" s="1"/>
  <c r="AB296" i="1"/>
  <c r="AJ296" i="1" s="1"/>
  <c r="T303" i="1"/>
  <c r="I306" i="1"/>
  <c r="N312" i="1"/>
  <c r="AG313" i="1"/>
  <c r="AG315" i="1" s="1"/>
  <c r="N315" i="1"/>
  <c r="AG318" i="1"/>
  <c r="AG324" i="1" s="1"/>
  <c r="N320" i="1"/>
  <c r="N330" i="1"/>
  <c r="AF336" i="1"/>
  <c r="AC337" i="1"/>
  <c r="AC342" i="1" s="1"/>
  <c r="AC340" i="1"/>
  <c r="T342" i="1"/>
  <c r="AC345" i="1"/>
  <c r="AC351" i="1" s="1"/>
  <c r="T347" i="1"/>
  <c r="F348" i="1"/>
  <c r="N348" i="1" s="1"/>
  <c r="AP348" i="1"/>
  <c r="AB350" i="1"/>
  <c r="AJ350" i="1" s="1"/>
  <c r="T357" i="1"/>
  <c r="L359" i="1"/>
  <c r="AH364" i="1" s="1"/>
  <c r="I360" i="1"/>
  <c r="N366" i="1"/>
  <c r="AG367" i="1"/>
  <c r="AG369" i="1" s="1"/>
  <c r="N369" i="1"/>
  <c r="AG372" i="1"/>
  <c r="N374" i="1"/>
  <c r="N384" i="1"/>
  <c r="AF390" i="1"/>
  <c r="AF396" i="1" s="1"/>
  <c r="AC391" i="1"/>
  <c r="AC396" i="1" s="1"/>
  <c r="AC394" i="1"/>
  <c r="AC399" i="1"/>
  <c r="AC405" i="1" s="1"/>
  <c r="T401" i="1"/>
  <c r="F402" i="1"/>
  <c r="N402" i="1" s="1"/>
  <c r="AP402" i="1"/>
  <c r="AB404" i="1"/>
  <c r="AJ404" i="1" s="1"/>
  <c r="T411" i="1"/>
  <c r="L413" i="1"/>
  <c r="AH418" i="1" s="1"/>
  <c r="AH423" i="1" s="1"/>
  <c r="I414" i="1"/>
  <c r="AG421" i="1"/>
  <c r="AG423" i="1" s="1"/>
  <c r="N423" i="1"/>
  <c r="AG426" i="1"/>
  <c r="AG432" i="1" s="1"/>
  <c r="N428" i="1"/>
  <c r="K456" i="1"/>
  <c r="AE444" i="1"/>
  <c r="AD450" i="1"/>
  <c r="M448" i="1"/>
  <c r="AE457" i="1"/>
  <c r="M450" i="1"/>
  <c r="AE447" i="1"/>
  <c r="T451" i="1"/>
  <c r="AB438" i="1"/>
  <c r="M453" i="1"/>
  <c r="AE449" i="1"/>
  <c r="U454" i="1"/>
  <c r="AQ439" i="1" s="1"/>
  <c r="M455" i="1"/>
  <c r="AE440" i="1"/>
  <c r="E483" i="1"/>
  <c r="U466" i="1"/>
  <c r="AQ471" i="1" s="1"/>
  <c r="AE474" i="1"/>
  <c r="M477" i="1"/>
  <c r="S482" i="1"/>
  <c r="R482" i="1" s="1"/>
  <c r="AI467" i="1"/>
  <c r="P482" i="1"/>
  <c r="AG495" i="1"/>
  <c r="AP507" i="1"/>
  <c r="U492" i="1"/>
  <c r="AQ507" i="1" s="1"/>
  <c r="AA504" i="1"/>
  <c r="U495" i="1"/>
  <c r="AQ508" i="1" s="1"/>
  <c r="AK522" i="1"/>
  <c r="AE518" i="1"/>
  <c r="M526" i="1"/>
  <c r="AE538" i="1"/>
  <c r="AC539" i="1"/>
  <c r="I530" i="1"/>
  <c r="U536" i="1"/>
  <c r="AQ521" i="1" s="1"/>
  <c r="AP521" i="1"/>
  <c r="M556" i="1"/>
  <c r="AE565" i="1"/>
  <c r="AE566" i="1"/>
  <c r="M558" i="1"/>
  <c r="AE555" i="1"/>
  <c r="T560" i="1"/>
  <c r="AB556" i="1"/>
  <c r="AJ556" i="1" s="1"/>
  <c r="AK567" i="1"/>
  <c r="AC576" i="1"/>
  <c r="AP580" i="1"/>
  <c r="U575" i="1"/>
  <c r="AQ580" i="1" s="1"/>
  <c r="AP592" i="1"/>
  <c r="U583" i="1"/>
  <c r="AQ592" i="1" s="1"/>
  <c r="AA612" i="1"/>
  <c r="N607" i="1"/>
  <c r="AJ617" i="1"/>
  <c r="M613" i="1"/>
  <c r="AE600" i="1"/>
  <c r="AF630" i="1"/>
  <c r="I630" i="1"/>
  <c r="AC643" i="1"/>
  <c r="AE645" i="1"/>
  <c r="M636" i="1"/>
  <c r="AC628" i="1"/>
  <c r="AC630" i="1" s="1"/>
  <c r="I643" i="1"/>
  <c r="M644" i="1"/>
  <c r="AJ660" i="1"/>
  <c r="M668" i="1"/>
  <c r="AE664" i="1"/>
  <c r="AC684" i="1"/>
  <c r="T684" i="1"/>
  <c r="AB697" i="1"/>
  <c r="AJ697" i="1" s="1"/>
  <c r="N684" i="1"/>
  <c r="AH707" i="1"/>
  <c r="M715" i="1"/>
  <c r="AH708" i="1"/>
  <c r="M721" i="1"/>
  <c r="AC804" i="1"/>
  <c r="I789" i="1"/>
  <c r="G807" i="1"/>
  <c r="AH264" i="1"/>
  <c r="AH270" i="1" s="1"/>
  <c r="AB268" i="1"/>
  <c r="AJ268" i="1" s="1"/>
  <c r="AD291" i="1"/>
  <c r="AD297" i="1" s="1"/>
  <c r="AF295" i="1"/>
  <c r="AC296" i="1"/>
  <c r="AH318" i="1"/>
  <c r="AH324" i="1" s="1"/>
  <c r="AB322" i="1"/>
  <c r="AJ322" i="1" s="1"/>
  <c r="AD345" i="1"/>
  <c r="AD351" i="1" s="1"/>
  <c r="AF349" i="1"/>
  <c r="AC350" i="1"/>
  <c r="AB366" i="1"/>
  <c r="AJ366" i="1" s="1"/>
  <c r="AH372" i="1"/>
  <c r="AH378" i="1" s="1"/>
  <c r="AB376" i="1"/>
  <c r="AJ376" i="1" s="1"/>
  <c r="AB381" i="1"/>
  <c r="AD399" i="1"/>
  <c r="AD405" i="1" s="1"/>
  <c r="AF403" i="1"/>
  <c r="AF405" i="1" s="1"/>
  <c r="AC404" i="1"/>
  <c r="AB420" i="1"/>
  <c r="AJ420" i="1" s="1"/>
  <c r="Z432" i="1"/>
  <c r="AH426" i="1"/>
  <c r="AH432" i="1" s="1"/>
  <c r="AD441" i="1"/>
  <c r="AE458" i="1"/>
  <c r="M452" i="1"/>
  <c r="AE448" i="1"/>
  <c r="N483" i="1"/>
  <c r="AJ472" i="1"/>
  <c r="AA468" i="1"/>
  <c r="AJ468" i="1" s="1"/>
  <c r="AP463" i="1"/>
  <c r="U471" i="1"/>
  <c r="AQ463" i="1" s="1"/>
  <c r="AC482" i="1"/>
  <c r="I473" i="1"/>
  <c r="AF484" i="1"/>
  <c r="L475" i="1"/>
  <c r="AH484" i="1" s="1"/>
  <c r="AE476" i="1"/>
  <c r="AJ498" i="1"/>
  <c r="AH495" i="1"/>
  <c r="AP491" i="1"/>
  <c r="U499" i="1"/>
  <c r="AQ491" i="1" s="1"/>
  <c r="AA513" i="1"/>
  <c r="AE493" i="1"/>
  <c r="Z522" i="1"/>
  <c r="AD534" i="1"/>
  <c r="AD540" i="1" s="1"/>
  <c r="I519" i="1"/>
  <c r="I522" i="1"/>
  <c r="AC535" i="1"/>
  <c r="U524" i="1"/>
  <c r="AQ516" i="1" s="1"/>
  <c r="AP516" i="1"/>
  <c r="AP517" i="1"/>
  <c r="U525" i="1"/>
  <c r="AQ517" i="1" s="1"/>
  <c r="AE528" i="1"/>
  <c r="M531" i="1"/>
  <c r="M536" i="1"/>
  <c r="AG549" i="1"/>
  <c r="AP561" i="1"/>
  <c r="U546" i="1"/>
  <c r="AQ561" i="1" s="1"/>
  <c r="N553" i="1"/>
  <c r="AJ563" i="1"/>
  <c r="T559" i="1"/>
  <c r="AB546" i="1"/>
  <c r="AB549" i="1" s="1"/>
  <c r="AJ549" i="1" s="1"/>
  <c r="M561" i="1"/>
  <c r="AE557" i="1"/>
  <c r="U562" i="1"/>
  <c r="AQ547" i="1" s="1"/>
  <c r="I563" i="1"/>
  <c r="AA585" i="1"/>
  <c r="M579" i="1"/>
  <c r="AE573" i="1"/>
  <c r="L587" i="1"/>
  <c r="AH583" i="1" s="1"/>
  <c r="AF583" i="1"/>
  <c r="AF584" i="1"/>
  <c r="L588" i="1"/>
  <c r="AH584" i="1" s="1"/>
  <c r="H618" i="1"/>
  <c r="AJ606" i="1"/>
  <c r="AE608" i="1"/>
  <c r="M604" i="1"/>
  <c r="AE597" i="1"/>
  <c r="M605" i="1"/>
  <c r="M606" i="1"/>
  <c r="AE598" i="1"/>
  <c r="U611" i="1"/>
  <c r="AQ620" i="1" s="1"/>
  <c r="L629" i="1"/>
  <c r="AH634" i="1" s="1"/>
  <c r="AH639" i="1" s="1"/>
  <c r="AF634" i="1"/>
  <c r="N631" i="1"/>
  <c r="N632" i="1"/>
  <c r="N633" i="1"/>
  <c r="M634" i="1"/>
  <c r="AC647" i="1"/>
  <c r="I638" i="1"/>
  <c r="AP627" i="1"/>
  <c r="U640" i="1"/>
  <c r="AQ627" i="1" s="1"/>
  <c r="AP637" i="1"/>
  <c r="U641" i="1"/>
  <c r="AQ637" i="1" s="1"/>
  <c r="AP638" i="1"/>
  <c r="U642" i="1"/>
  <c r="AQ638" i="1" s="1"/>
  <c r="T656" i="1"/>
  <c r="AB661" i="1"/>
  <c r="AJ661" i="1" s="1"/>
  <c r="AJ656" i="1"/>
  <c r="AE662" i="1"/>
  <c r="M658" i="1"/>
  <c r="AE651" i="1"/>
  <c r="M659" i="1"/>
  <c r="M660" i="1"/>
  <c r="AE652" i="1"/>
  <c r="M664" i="1"/>
  <c r="AE673" i="1"/>
  <c r="AE674" i="1"/>
  <c r="M667" i="1"/>
  <c r="AE654" i="1"/>
  <c r="AP13" i="2"/>
  <c r="U8" i="2"/>
  <c r="AQ13" i="2" s="1"/>
  <c r="AE122" i="2"/>
  <c r="AP123" i="2"/>
  <c r="U126" i="2"/>
  <c r="AQ123" i="2" s="1"/>
  <c r="AB392" i="1"/>
  <c r="AJ392" i="1" s="1"/>
  <c r="AE399" i="1"/>
  <c r="AJ430" i="1"/>
  <c r="N421" i="1"/>
  <c r="AA426" i="1"/>
  <c r="AA432" i="1" s="1"/>
  <c r="L441" i="1"/>
  <c r="AH454" i="1" s="1"/>
  <c r="M451" i="1"/>
  <c r="AE438" i="1"/>
  <c r="G483" i="1"/>
  <c r="U470" i="1"/>
  <c r="AQ462" i="1" s="1"/>
  <c r="AP462" i="1"/>
  <c r="AP464" i="1"/>
  <c r="U472" i="1"/>
  <c r="AQ464" i="1" s="1"/>
  <c r="M478" i="1"/>
  <c r="AE465" i="1"/>
  <c r="AF476" i="1"/>
  <c r="L480" i="1"/>
  <c r="AH476" i="1" s="1"/>
  <c r="AE507" i="1"/>
  <c r="M492" i="1"/>
  <c r="T494" i="1"/>
  <c r="AB499" i="1"/>
  <c r="AJ499" i="1" s="1"/>
  <c r="AB511" i="1"/>
  <c r="AJ511" i="1" s="1"/>
  <c r="T502" i="1"/>
  <c r="T507" i="1"/>
  <c r="AB503" i="1"/>
  <c r="AJ503" i="1" s="1"/>
  <c r="L508" i="1"/>
  <c r="AH493" i="1" s="1"/>
  <c r="AH534" i="1"/>
  <c r="L521" i="1"/>
  <c r="AH526" i="1" s="1"/>
  <c r="AH531" i="1" s="1"/>
  <c r="AF526" i="1"/>
  <c r="AP527" i="1"/>
  <c r="U523" i="1"/>
  <c r="AQ527" i="1" s="1"/>
  <c r="AC536" i="1"/>
  <c r="I527" i="1"/>
  <c r="AF538" i="1"/>
  <c r="L529" i="1"/>
  <c r="AH538" i="1" s="1"/>
  <c r="M533" i="1"/>
  <c r="AE530" i="1"/>
  <c r="AA558" i="1"/>
  <c r="AE554" i="1"/>
  <c r="M550" i="1"/>
  <c r="AE543" i="1"/>
  <c r="M551" i="1"/>
  <c r="M552" i="1"/>
  <c r="AE544" i="1"/>
  <c r="AE563" i="1"/>
  <c r="M560" i="1"/>
  <c r="AE556" i="1"/>
  <c r="E591" i="1"/>
  <c r="M578" i="1"/>
  <c r="U582" i="1"/>
  <c r="AQ591" i="1" s="1"/>
  <c r="AP591" i="1"/>
  <c r="AF573" i="1"/>
  <c r="AF576" i="1" s="1"/>
  <c r="L586" i="1"/>
  <c r="AH573" i="1" s="1"/>
  <c r="AC574" i="1"/>
  <c r="I589" i="1"/>
  <c r="T602" i="1"/>
  <c r="AB607" i="1"/>
  <c r="AJ607" i="1" s="1"/>
  <c r="AE617" i="1"/>
  <c r="Z621" i="1"/>
  <c r="E645" i="1"/>
  <c r="U628" i="1"/>
  <c r="AQ633" i="1" s="1"/>
  <c r="AE636" i="1"/>
  <c r="M639" i="1"/>
  <c r="AP674" i="1"/>
  <c r="I828" i="1"/>
  <c r="AC825" i="1"/>
  <c r="M43" i="2"/>
  <c r="AE52" i="2"/>
  <c r="M47" i="2"/>
  <c r="AE43" i="2"/>
  <c r="N385" i="1"/>
  <c r="N390" i="1"/>
  <c r="AB432" i="1"/>
  <c r="AJ426" i="1"/>
  <c r="AP453" i="1"/>
  <c r="U438" i="1"/>
  <c r="AQ453" i="1" s="1"/>
  <c r="AE446" i="1"/>
  <c r="M442" i="1"/>
  <c r="AE435" i="1"/>
  <c r="M443" i="1"/>
  <c r="M444" i="1"/>
  <c r="AE436" i="1"/>
  <c r="AK468" i="1"/>
  <c r="AD480" i="1"/>
  <c r="AD486" i="1" s="1"/>
  <c r="I465" i="1"/>
  <c r="I468" i="1"/>
  <c r="AC481" i="1"/>
  <c r="AP473" i="1"/>
  <c r="U469" i="1"/>
  <c r="AQ473" i="1" s="1"/>
  <c r="AP484" i="1"/>
  <c r="U475" i="1"/>
  <c r="AQ484" i="1" s="1"/>
  <c r="L479" i="1"/>
  <c r="AH475" i="1" s="1"/>
  <c r="AF475" i="1"/>
  <c r="AC466" i="1"/>
  <c r="AC468" i="1" s="1"/>
  <c r="I481" i="1"/>
  <c r="M494" i="1"/>
  <c r="AE499" i="1"/>
  <c r="M499" i="1"/>
  <c r="AE491" i="1"/>
  <c r="T506" i="1"/>
  <c r="AB502" i="1"/>
  <c r="AJ502" i="1" s="1"/>
  <c r="AC522" i="1"/>
  <c r="AP518" i="1"/>
  <c r="U526" i="1"/>
  <c r="AQ518" i="1" s="1"/>
  <c r="M532" i="1"/>
  <c r="AE519" i="1"/>
  <c r="AF530" i="1"/>
  <c r="L534" i="1"/>
  <c r="AH530" i="1" s="1"/>
  <c r="AJ552" i="1"/>
  <c r="AH549" i="1"/>
  <c r="M559" i="1"/>
  <c r="AE546" i="1"/>
  <c r="AP566" i="1"/>
  <c r="N591" i="1"/>
  <c r="AI581" i="1"/>
  <c r="V577" i="1"/>
  <c r="S577" i="1"/>
  <c r="R577" i="1" s="1"/>
  <c r="P577" i="1"/>
  <c r="AE591" i="1"/>
  <c r="M582" i="1"/>
  <c r="AP583" i="1"/>
  <c r="U587" i="1"/>
  <c r="AQ583" i="1" s="1"/>
  <c r="AP584" i="1"/>
  <c r="U588" i="1"/>
  <c r="AQ584" i="1" s="1"/>
  <c r="M602" i="1"/>
  <c r="AE607" i="1"/>
  <c r="AH603" i="1"/>
  <c r="AP599" i="1"/>
  <c r="U607" i="1"/>
  <c r="AQ599" i="1" s="1"/>
  <c r="AB619" i="1"/>
  <c r="AJ619" i="1" s="1"/>
  <c r="T610" i="1"/>
  <c r="AA621" i="1"/>
  <c r="AE601" i="1"/>
  <c r="N645" i="1"/>
  <c r="AA639" i="1"/>
  <c r="AP634" i="1"/>
  <c r="AP639" i="1" s="1"/>
  <c r="AQ639" i="1" s="1"/>
  <c r="U629" i="1"/>
  <c r="AQ634" i="1" s="1"/>
  <c r="AC644" i="1"/>
  <c r="I635" i="1"/>
  <c r="AF646" i="1"/>
  <c r="L637" i="1"/>
  <c r="AH646" i="1" s="1"/>
  <c r="K672" i="1"/>
  <c r="AE660" i="1"/>
  <c r="AH657" i="1"/>
  <c r="AO679" i="1"/>
  <c r="AN679" i="1" s="1"/>
  <c r="AL679" i="1"/>
  <c r="AR679" i="1"/>
  <c r="AB752" i="1"/>
  <c r="AJ752" i="1" s="1"/>
  <c r="T743" i="1"/>
  <c r="N743" i="1"/>
  <c r="AP777" i="1"/>
  <c r="T792" i="1"/>
  <c r="AB805" i="1"/>
  <c r="AJ805" i="1" s="1"/>
  <c r="N792" i="1"/>
  <c r="AP826" i="1"/>
  <c r="T46" i="2"/>
  <c r="AB33" i="2"/>
  <c r="N46" i="2"/>
  <c r="AJ33" i="2" s="1"/>
  <c r="N195" i="1"/>
  <c r="N249" i="1"/>
  <c r="N303" i="1"/>
  <c r="N357" i="1"/>
  <c r="N411" i="1"/>
  <c r="U415" i="1"/>
  <c r="AQ419" i="1" s="1"/>
  <c r="AK432" i="1"/>
  <c r="AA450" i="1"/>
  <c r="U441" i="1"/>
  <c r="AQ454" i="1" s="1"/>
  <c r="AE455" i="1"/>
  <c r="M446" i="1"/>
  <c r="N452" i="1"/>
  <c r="AH480" i="1"/>
  <c r="L467" i="1"/>
  <c r="AH472" i="1" s="1"/>
  <c r="AH477" i="1" s="1"/>
  <c r="AF472" i="1"/>
  <c r="AE472" i="1"/>
  <c r="AP474" i="1"/>
  <c r="AP477" i="1" s="1"/>
  <c r="AQ477" i="1" s="1"/>
  <c r="AF465" i="1"/>
  <c r="AF468" i="1" s="1"/>
  <c r="L478" i="1"/>
  <c r="AH465" i="1" s="1"/>
  <c r="AP476" i="1"/>
  <c r="U480" i="1"/>
  <c r="AQ476" i="1" s="1"/>
  <c r="H483" i="1"/>
  <c r="K510" i="1"/>
  <c r="M493" i="1"/>
  <c r="AE498" i="1"/>
  <c r="AE508" i="1"/>
  <c r="M495" i="1"/>
  <c r="AD504" i="1"/>
  <c r="M502" i="1"/>
  <c r="AE511" i="1"/>
  <c r="AE512" i="1"/>
  <c r="I504" i="1"/>
  <c r="T505" i="1"/>
  <c r="AB492" i="1"/>
  <c r="AB495" i="1" s="1"/>
  <c r="AJ495" i="1" s="1"/>
  <c r="M507" i="1"/>
  <c r="AE503" i="1"/>
  <c r="U508" i="1"/>
  <c r="AQ493" i="1" s="1"/>
  <c r="I509" i="1"/>
  <c r="AP526" i="1"/>
  <c r="AP531" i="1" s="1"/>
  <c r="AQ531" i="1" s="1"/>
  <c r="U521" i="1"/>
  <c r="AQ526" i="1" s="1"/>
  <c r="AP538" i="1"/>
  <c r="U529" i="1"/>
  <c r="AQ538" i="1" s="1"/>
  <c r="L533" i="1"/>
  <c r="AH529" i="1" s="1"/>
  <c r="AF529" i="1"/>
  <c r="AC520" i="1"/>
  <c r="I535" i="1"/>
  <c r="AA549" i="1"/>
  <c r="I564" i="1"/>
  <c r="T548" i="1"/>
  <c r="AB553" i="1"/>
  <c r="AJ553" i="1" s="1"/>
  <c r="AJ548" i="1"/>
  <c r="AP545" i="1"/>
  <c r="U553" i="1"/>
  <c r="AQ545" i="1" s="1"/>
  <c r="N561" i="1"/>
  <c r="AK576" i="1"/>
  <c r="G591" i="1"/>
  <c r="AD585" i="1"/>
  <c r="M575" i="1"/>
  <c r="AA576" i="1"/>
  <c r="AJ576" i="1" s="1"/>
  <c r="AP571" i="1"/>
  <c r="U579" i="1"/>
  <c r="AQ571" i="1" s="1"/>
  <c r="M580" i="1"/>
  <c r="AH572" i="1"/>
  <c r="AH576" i="1" s="1"/>
  <c r="AC593" i="1"/>
  <c r="I584" i="1"/>
  <c r="AP573" i="1"/>
  <c r="U586" i="1"/>
  <c r="AQ573" i="1" s="1"/>
  <c r="V590" i="1"/>
  <c r="K618" i="1"/>
  <c r="M601" i="1"/>
  <c r="AE606" i="1"/>
  <c r="AE612" i="1" s="1"/>
  <c r="AJ616" i="1"/>
  <c r="T615" i="1"/>
  <c r="AB611" i="1"/>
  <c r="AJ611" i="1" s="1"/>
  <c r="L616" i="1"/>
  <c r="AH601" i="1" s="1"/>
  <c r="Z630" i="1"/>
  <c r="AJ633" i="1"/>
  <c r="AH630" i="1"/>
  <c r="AP626" i="1"/>
  <c r="U634" i="1"/>
  <c r="AQ626" i="1" s="1"/>
  <c r="AB657" i="1"/>
  <c r="AJ657" i="1" s="1"/>
  <c r="AJ671" i="1"/>
  <c r="N664" i="1"/>
  <c r="N667" i="1"/>
  <c r="AJ654" i="1" s="1"/>
  <c r="AA675" i="1"/>
  <c r="M670" i="1"/>
  <c r="AE655" i="1"/>
  <c r="AR682" i="1"/>
  <c r="AL682" i="1"/>
  <c r="AP724" i="1"/>
  <c r="U711" i="1"/>
  <c r="AQ724" i="1" s="1"/>
  <c r="AI727" i="1"/>
  <c r="V718" i="1"/>
  <c r="S718" i="1"/>
  <c r="R718" i="1" s="1"/>
  <c r="P718" i="1"/>
  <c r="P796" i="1"/>
  <c r="AI788" i="1"/>
  <c r="V796" i="1"/>
  <c r="S796" i="1"/>
  <c r="R796" i="1" s="1"/>
  <c r="AE49" i="2"/>
  <c r="U231" i="2"/>
  <c r="AQ240" i="2" s="1"/>
  <c r="AP240" i="2"/>
  <c r="M438" i="1"/>
  <c r="T439" i="1"/>
  <c r="T442" i="1"/>
  <c r="T443" i="1"/>
  <c r="T444" i="1"/>
  <c r="L446" i="1"/>
  <c r="AH455" i="1" s="1"/>
  <c r="AH459" i="1" s="1"/>
  <c r="AG446" i="1"/>
  <c r="AG450" i="1" s="1"/>
  <c r="I447" i="1"/>
  <c r="L449" i="1"/>
  <c r="AH458" i="1" s="1"/>
  <c r="AB453" i="1"/>
  <c r="AD455" i="1"/>
  <c r="AD457" i="1"/>
  <c r="N466" i="1"/>
  <c r="N469" i="1"/>
  <c r="N470" i="1"/>
  <c r="N471" i="1"/>
  <c r="AF480" i="1"/>
  <c r="AC483" i="1"/>
  <c r="T493" i="1"/>
  <c r="T496" i="1"/>
  <c r="T497" i="1"/>
  <c r="T498" i="1"/>
  <c r="L500" i="1"/>
  <c r="AH509" i="1" s="1"/>
  <c r="AG500" i="1"/>
  <c r="AG504" i="1" s="1"/>
  <c r="I501" i="1"/>
  <c r="L503" i="1"/>
  <c r="AH512" i="1" s="1"/>
  <c r="AB507" i="1"/>
  <c r="AD511" i="1"/>
  <c r="N520" i="1"/>
  <c r="N523" i="1"/>
  <c r="N524" i="1"/>
  <c r="N525" i="1"/>
  <c r="AC527" i="1"/>
  <c r="AF534" i="1"/>
  <c r="AC537" i="1"/>
  <c r="M546" i="1"/>
  <c r="T547" i="1"/>
  <c r="T550" i="1"/>
  <c r="T551" i="1"/>
  <c r="T552" i="1"/>
  <c r="L554" i="1"/>
  <c r="AH563" i="1" s="1"/>
  <c r="AH567" i="1" s="1"/>
  <c r="I555" i="1"/>
  <c r="L557" i="1"/>
  <c r="AH566" i="1" s="1"/>
  <c r="AB561" i="1"/>
  <c r="AD565" i="1"/>
  <c r="N574" i="1"/>
  <c r="N577" i="1"/>
  <c r="N578" i="1"/>
  <c r="N579" i="1"/>
  <c r="AF588" i="1"/>
  <c r="AP590" i="1"/>
  <c r="AC591" i="1"/>
  <c r="M600" i="1"/>
  <c r="T601" i="1"/>
  <c r="T618" i="1" s="1"/>
  <c r="U618" i="1" s="1"/>
  <c r="T604" i="1"/>
  <c r="T605" i="1"/>
  <c r="T606" i="1"/>
  <c r="L608" i="1"/>
  <c r="AH617" i="1" s="1"/>
  <c r="I609" i="1"/>
  <c r="L611" i="1"/>
  <c r="AH620" i="1" s="1"/>
  <c r="AB615" i="1"/>
  <c r="AD617" i="1"/>
  <c r="AD619" i="1"/>
  <c r="I627" i="1"/>
  <c r="N628" i="1"/>
  <c r="AC635" i="1"/>
  <c r="AF642" i="1"/>
  <c r="AF648" i="1" s="1"/>
  <c r="AC645" i="1"/>
  <c r="M654" i="1"/>
  <c r="T655" i="1"/>
  <c r="T672" i="1" s="1"/>
  <c r="U672" i="1" s="1"/>
  <c r="T658" i="1"/>
  <c r="T659" i="1"/>
  <c r="T660" i="1"/>
  <c r="L662" i="1"/>
  <c r="AH671" i="1" s="1"/>
  <c r="AH675" i="1" s="1"/>
  <c r="AG662" i="1"/>
  <c r="AG666" i="1" s="1"/>
  <c r="I663" i="1"/>
  <c r="L665" i="1"/>
  <c r="AH674" i="1" s="1"/>
  <c r="AG665" i="1"/>
  <c r="AB669" i="1"/>
  <c r="AD671" i="1"/>
  <c r="AD673" i="1"/>
  <c r="AD684" i="1"/>
  <c r="AL678" i="1"/>
  <c r="I681" i="1"/>
  <c r="AJ687" i="1"/>
  <c r="N682" i="1"/>
  <c r="AJ688" i="1"/>
  <c r="I684" i="1"/>
  <c r="AC697" i="1"/>
  <c r="S686" i="1"/>
  <c r="R686" i="1" s="1"/>
  <c r="P686" i="1"/>
  <c r="AE699" i="1"/>
  <c r="AE700" i="1"/>
  <c r="M691" i="1"/>
  <c r="AB701" i="1"/>
  <c r="AJ701" i="1" s="1"/>
  <c r="T692" i="1"/>
  <c r="AJ692" i="1"/>
  <c r="T697" i="1"/>
  <c r="AB682" i="1"/>
  <c r="AO682" i="1" s="1"/>
  <c r="AN682" i="1" s="1"/>
  <c r="AJ707" i="1"/>
  <c r="AP728" i="1"/>
  <c r="U719" i="1"/>
  <c r="AQ728" i="1" s="1"/>
  <c r="M722" i="1"/>
  <c r="AE709" i="1"/>
  <c r="AD747" i="1"/>
  <c r="AG753" i="1"/>
  <c r="L744" i="1"/>
  <c r="AH753" i="1" s="1"/>
  <c r="L747" i="1"/>
  <c r="AH744" i="1" s="1"/>
  <c r="AG744" i="1"/>
  <c r="M748" i="1"/>
  <c r="AE735" i="1"/>
  <c r="AD756" i="1"/>
  <c r="AK765" i="1"/>
  <c r="G780" i="1"/>
  <c r="AJ768" i="1"/>
  <c r="U764" i="1"/>
  <c r="AQ769" i="1" s="1"/>
  <c r="M769" i="1"/>
  <c r="AA801" i="1"/>
  <c r="M792" i="1"/>
  <c r="AE805" i="1"/>
  <c r="T805" i="1"/>
  <c r="AB790" i="1"/>
  <c r="AJ790" i="1" s="1"/>
  <c r="AA819" i="1"/>
  <c r="E834" i="1"/>
  <c r="I822" i="1"/>
  <c r="AD814" i="1"/>
  <c r="M823" i="1"/>
  <c r="M826" i="1"/>
  <c r="U829" i="1"/>
  <c r="AQ816" i="1" s="1"/>
  <c r="AP816" i="1"/>
  <c r="AC818" i="1"/>
  <c r="I833" i="1"/>
  <c r="E844" i="2"/>
  <c r="AA849" i="2" s="1"/>
  <c r="AA12" i="2"/>
  <c r="J858" i="2"/>
  <c r="AF17" i="2"/>
  <c r="L21" i="2"/>
  <c r="AH17" i="2" s="1"/>
  <c r="AP48" i="2"/>
  <c r="U33" i="2"/>
  <c r="AQ48" i="2" s="1"/>
  <c r="AD51" i="2"/>
  <c r="I42" i="2"/>
  <c r="I45" i="2"/>
  <c r="AD42" i="2"/>
  <c r="M46" i="2"/>
  <c r="AE33" i="2"/>
  <c r="AG34" i="2"/>
  <c r="L49" i="2"/>
  <c r="AH34" i="2" s="1"/>
  <c r="AJ67" i="2"/>
  <c r="M65" i="2"/>
  <c r="AE59" i="2"/>
  <c r="M67" i="2"/>
  <c r="N71" i="2"/>
  <c r="AE174" i="2"/>
  <c r="N438" i="1"/>
  <c r="T450" i="1"/>
  <c r="AC453" i="1"/>
  <c r="AC459" i="1" s="1"/>
  <c r="T455" i="1"/>
  <c r="F456" i="1"/>
  <c r="N456" i="1" s="1"/>
  <c r="AP456" i="1"/>
  <c r="AB458" i="1"/>
  <c r="AJ458" i="1" s="1"/>
  <c r="T465" i="1"/>
  <c r="AB471" i="1"/>
  <c r="AD473" i="1"/>
  <c r="AD477" i="1" s="1"/>
  <c r="N474" i="1"/>
  <c r="N477" i="1"/>
  <c r="AG480" i="1"/>
  <c r="AG486" i="1" s="1"/>
  <c r="N482" i="1"/>
  <c r="J483" i="1"/>
  <c r="AF485" i="1"/>
  <c r="N492" i="1"/>
  <c r="AF498" i="1"/>
  <c r="AF504" i="1" s="1"/>
  <c r="AC499" i="1"/>
  <c r="AC504" i="1" s="1"/>
  <c r="T504" i="1"/>
  <c r="AC507" i="1"/>
  <c r="T509" i="1"/>
  <c r="F510" i="1"/>
  <c r="N510" i="1" s="1"/>
  <c r="AP510" i="1"/>
  <c r="AB512" i="1"/>
  <c r="AJ512" i="1" s="1"/>
  <c r="T519" i="1"/>
  <c r="AB525" i="1"/>
  <c r="N528" i="1"/>
  <c r="N531" i="1"/>
  <c r="AG534" i="1"/>
  <c r="AG540" i="1" s="1"/>
  <c r="N536" i="1"/>
  <c r="J537" i="1"/>
  <c r="AF539" i="1"/>
  <c r="N546" i="1"/>
  <c r="AF552" i="1"/>
  <c r="AC553" i="1"/>
  <c r="AC558" i="1" s="1"/>
  <c r="AC561" i="1"/>
  <c r="T563" i="1"/>
  <c r="F564" i="1"/>
  <c r="N564" i="1" s="1"/>
  <c r="AP564" i="1"/>
  <c r="AB566" i="1"/>
  <c r="AJ566" i="1" s="1"/>
  <c r="T573" i="1"/>
  <c r="AB579" i="1"/>
  <c r="AD581" i="1"/>
  <c r="N582" i="1"/>
  <c r="N585" i="1"/>
  <c r="AG588" i="1"/>
  <c r="AG594" i="1" s="1"/>
  <c r="N590" i="1"/>
  <c r="J591" i="1"/>
  <c r="AF593" i="1"/>
  <c r="N600" i="1"/>
  <c r="AF606" i="1"/>
  <c r="AC607" i="1"/>
  <c r="AC612" i="1" s="1"/>
  <c r="AC615" i="1"/>
  <c r="F618" i="1"/>
  <c r="N618" i="1" s="1"/>
  <c r="AP618" i="1"/>
  <c r="AB620" i="1"/>
  <c r="AJ620" i="1" s="1"/>
  <c r="N636" i="1"/>
  <c r="N639" i="1"/>
  <c r="AG642" i="1"/>
  <c r="AG648" i="1" s="1"/>
  <c r="N644" i="1"/>
  <c r="J645" i="1"/>
  <c r="AF647" i="1"/>
  <c r="N654" i="1"/>
  <c r="AC669" i="1"/>
  <c r="AC675" i="1" s="1"/>
  <c r="F672" i="1"/>
  <c r="N672" i="1" s="1"/>
  <c r="AP672" i="1"/>
  <c r="AB674" i="1"/>
  <c r="AJ674" i="1" s="1"/>
  <c r="J699" i="1"/>
  <c r="AF696" i="1"/>
  <c r="AP696" i="1"/>
  <c r="S687" i="1"/>
  <c r="R687" i="1" s="1"/>
  <c r="P687" i="1"/>
  <c r="AB698" i="1"/>
  <c r="AJ698" i="1" s="1"/>
  <c r="T689" i="1"/>
  <c r="M692" i="1"/>
  <c r="AE701" i="1"/>
  <c r="V697" i="1"/>
  <c r="S697" i="1"/>
  <c r="R697" i="1" s="1"/>
  <c r="P697" i="1"/>
  <c r="AG683" i="1"/>
  <c r="L698" i="1"/>
  <c r="AH683" i="1" s="1"/>
  <c r="G699" i="1"/>
  <c r="AE725" i="1"/>
  <c r="AF709" i="1"/>
  <c r="AF711" i="1" s="1"/>
  <c r="L724" i="1"/>
  <c r="AH709" i="1" s="1"/>
  <c r="AH711" i="1" s="1"/>
  <c r="T738" i="1"/>
  <c r="AB751" i="1"/>
  <c r="AJ751" i="1" s="1"/>
  <c r="U744" i="1"/>
  <c r="AQ753" i="1" s="1"/>
  <c r="U747" i="1"/>
  <c r="AQ744" i="1" s="1"/>
  <c r="M749" i="1"/>
  <c r="AE745" i="1"/>
  <c r="AK756" i="1"/>
  <c r="H780" i="1"/>
  <c r="AE779" i="1"/>
  <c r="AP781" i="1"/>
  <c r="U772" i="1"/>
  <c r="AQ781" i="1" s="1"/>
  <c r="AE782" i="1"/>
  <c r="AB792" i="1"/>
  <c r="AJ792" i="1" s="1"/>
  <c r="AH804" i="1"/>
  <c r="AH810" i="1" s="1"/>
  <c r="M805" i="1"/>
  <c r="AE790" i="1"/>
  <c r="AC819" i="1"/>
  <c r="AD813" i="1"/>
  <c r="AD819" i="1" s="1"/>
  <c r="I821" i="1"/>
  <c r="AP817" i="1"/>
  <c r="U832" i="1"/>
  <c r="AQ817" i="1" s="1"/>
  <c r="Z9" i="2"/>
  <c r="J857" i="2"/>
  <c r="L20" i="2"/>
  <c r="AH16" i="2" s="1"/>
  <c r="AF16" i="2"/>
  <c r="G859" i="2"/>
  <c r="AC7" i="2"/>
  <c r="I22" i="2"/>
  <c r="AE48" i="2"/>
  <c r="M33" i="2"/>
  <c r="AJ39" i="2"/>
  <c r="U123" i="2"/>
  <c r="AQ132" i="2" s="1"/>
  <c r="AP132" i="2"/>
  <c r="AA212" i="2"/>
  <c r="N203" i="2"/>
  <c r="P210" i="2"/>
  <c r="AI206" i="2"/>
  <c r="V210" i="2"/>
  <c r="S210" i="2"/>
  <c r="R210" i="2" s="1"/>
  <c r="AG411" i="2"/>
  <c r="L424" i="2"/>
  <c r="AH411" i="2" s="1"/>
  <c r="AJ435" i="1"/>
  <c r="L439" i="1"/>
  <c r="I440" i="1"/>
  <c r="I456" i="1" s="1"/>
  <c r="N441" i="1"/>
  <c r="N446" i="1"/>
  <c r="N449" i="1"/>
  <c r="AD453" i="1"/>
  <c r="N454" i="1"/>
  <c r="AF457" i="1"/>
  <c r="T468" i="1"/>
  <c r="T473" i="1"/>
  <c r="T476" i="1"/>
  <c r="T481" i="1"/>
  <c r="AB482" i="1"/>
  <c r="AJ482" i="1" s="1"/>
  <c r="AB484" i="1"/>
  <c r="AJ484" i="1" s="1"/>
  <c r="AJ489" i="1"/>
  <c r="N495" i="1"/>
  <c r="N500" i="1"/>
  <c r="N503" i="1"/>
  <c r="AD507" i="1"/>
  <c r="AD513" i="1" s="1"/>
  <c r="N508" i="1"/>
  <c r="AF511" i="1"/>
  <c r="AC512" i="1"/>
  <c r="T527" i="1"/>
  <c r="T530" i="1"/>
  <c r="T535" i="1"/>
  <c r="AB536" i="1"/>
  <c r="AJ536" i="1" s="1"/>
  <c r="AB538" i="1"/>
  <c r="AJ538" i="1" s="1"/>
  <c r="AJ543" i="1"/>
  <c r="N549" i="1"/>
  <c r="N554" i="1"/>
  <c r="N557" i="1"/>
  <c r="AD561" i="1"/>
  <c r="AD567" i="1" s="1"/>
  <c r="N562" i="1"/>
  <c r="AF565" i="1"/>
  <c r="AC566" i="1"/>
  <c r="T584" i="1"/>
  <c r="T589" i="1"/>
  <c r="AB590" i="1"/>
  <c r="AJ590" i="1" s="1"/>
  <c r="AB592" i="1"/>
  <c r="AJ592" i="1" s="1"/>
  <c r="AJ597" i="1"/>
  <c r="N603" i="1"/>
  <c r="N608" i="1"/>
  <c r="AF609" i="1"/>
  <c r="N611" i="1"/>
  <c r="U612" i="1"/>
  <c r="AQ609" i="1" s="1"/>
  <c r="AD615" i="1"/>
  <c r="N616" i="1"/>
  <c r="U627" i="1"/>
  <c r="AQ642" i="1" s="1"/>
  <c r="T630" i="1"/>
  <c r="T645" i="1" s="1"/>
  <c r="U645" i="1" s="1"/>
  <c r="AC633" i="1"/>
  <c r="T635" i="1"/>
  <c r="AB636" i="1"/>
  <c r="AJ636" i="1" s="1"/>
  <c r="M637" i="1"/>
  <c r="T638" i="1"/>
  <c r="AP642" i="1"/>
  <c r="T643" i="1"/>
  <c r="AB644" i="1"/>
  <c r="AJ644" i="1" s="1"/>
  <c r="AB646" i="1"/>
  <c r="AJ646" i="1" s="1"/>
  <c r="AJ651" i="1"/>
  <c r="AG652" i="1"/>
  <c r="AG657" i="1" s="1"/>
  <c r="L655" i="1"/>
  <c r="AH660" i="1" s="1"/>
  <c r="I656" i="1"/>
  <c r="N657" i="1"/>
  <c r="N662" i="1"/>
  <c r="AF663" i="1"/>
  <c r="AF666" i="1" s="1"/>
  <c r="AD664" i="1"/>
  <c r="AD666" i="1" s="1"/>
  <c r="N665" i="1"/>
  <c r="U666" i="1"/>
  <c r="AQ663" i="1" s="1"/>
  <c r="I669" i="1"/>
  <c r="AD669" i="1"/>
  <c r="N670" i="1"/>
  <c r="AF684" i="1"/>
  <c r="K699" i="1"/>
  <c r="AG696" i="1"/>
  <c r="U681" i="1"/>
  <c r="AQ696" i="1" s="1"/>
  <c r="AD693" i="1"/>
  <c r="U683" i="1"/>
  <c r="AQ688" i="1" s="1"/>
  <c r="AH689" i="1"/>
  <c r="M685" i="1"/>
  <c r="U698" i="1"/>
  <c r="AQ683" i="1" s="1"/>
  <c r="AJ714" i="1"/>
  <c r="AJ724" i="1"/>
  <c r="AP727" i="1"/>
  <c r="U718" i="1"/>
  <c r="AQ727" i="1" s="1"/>
  <c r="AJ719" i="1"/>
  <c r="U723" i="1"/>
  <c r="AQ719" i="1" s="1"/>
  <c r="AP719" i="1"/>
  <c r="AC710" i="1"/>
  <c r="AC711" i="1" s="1"/>
  <c r="I725" i="1"/>
  <c r="F753" i="1"/>
  <c r="N753" i="1" s="1"/>
  <c r="M737" i="1"/>
  <c r="AE742" i="1"/>
  <c r="M738" i="1"/>
  <c r="AE751" i="1"/>
  <c r="AE746" i="1"/>
  <c r="AD768" i="1"/>
  <c r="I763" i="1"/>
  <c r="M765" i="1"/>
  <c r="I768" i="1"/>
  <c r="AD760" i="1"/>
  <c r="AF779" i="1"/>
  <c r="L770" i="1"/>
  <c r="AH779" i="1" s="1"/>
  <c r="AE795" i="1"/>
  <c r="M790" i="1"/>
  <c r="AQ801" i="1"/>
  <c r="AG807" i="1"/>
  <c r="L798" i="1"/>
  <c r="AH807" i="1" s="1"/>
  <c r="AF819" i="1"/>
  <c r="G834" i="1"/>
  <c r="L819" i="1"/>
  <c r="AH832" i="1" s="1"/>
  <c r="AF832" i="1"/>
  <c r="AD824" i="1"/>
  <c r="I820" i="1"/>
  <c r="AH819" i="1"/>
  <c r="AE833" i="1"/>
  <c r="AE836" i="1"/>
  <c r="AC9" i="2"/>
  <c r="E849" i="2"/>
  <c r="AA841" i="2" s="1"/>
  <c r="AA4" i="2"/>
  <c r="AJ4" i="2" s="1"/>
  <c r="J856" i="2"/>
  <c r="AF6" i="2"/>
  <c r="L19" i="2"/>
  <c r="AH6" i="2" s="1"/>
  <c r="AP17" i="2"/>
  <c r="U21" i="2"/>
  <c r="AQ17" i="2" s="1"/>
  <c r="AB36" i="2"/>
  <c r="AJ36" i="2" s="1"/>
  <c r="AG49" i="2"/>
  <c r="L36" i="2"/>
  <c r="AH49" i="2" s="1"/>
  <c r="AE41" i="2"/>
  <c r="M37" i="2"/>
  <c r="AE50" i="2"/>
  <c r="AG53" i="2"/>
  <c r="L44" i="2"/>
  <c r="AH53" i="2" s="1"/>
  <c r="AD35" i="2"/>
  <c r="I50" i="2"/>
  <c r="AF63" i="2"/>
  <c r="AA63" i="2"/>
  <c r="AJ63" i="2" s="1"/>
  <c r="AP58" i="2"/>
  <c r="U66" i="2"/>
  <c r="AQ58" i="2" s="1"/>
  <c r="M75" i="2"/>
  <c r="AE71" i="2"/>
  <c r="I88" i="2"/>
  <c r="AC93" i="2"/>
  <c r="AP120" i="2"/>
  <c r="U115" i="2"/>
  <c r="AQ120" i="2" s="1"/>
  <c r="U130" i="2"/>
  <c r="AQ115" i="2" s="1"/>
  <c r="AP115" i="2"/>
  <c r="AP160" i="2"/>
  <c r="U151" i="2"/>
  <c r="AQ160" i="2" s="1"/>
  <c r="AB446" i="1"/>
  <c r="AJ446" i="1" s="1"/>
  <c r="AE453" i="1"/>
  <c r="AB454" i="1"/>
  <c r="AJ454" i="1" s="1"/>
  <c r="AB456" i="1"/>
  <c r="AJ456" i="1" s="1"/>
  <c r="AD458" i="1"/>
  <c r="I466" i="1"/>
  <c r="N467" i="1"/>
  <c r="AF473" i="1"/>
  <c r="AA480" i="1"/>
  <c r="AA486" i="1" s="1"/>
  <c r="AF481" i="1"/>
  <c r="AC484" i="1"/>
  <c r="AB500" i="1"/>
  <c r="AJ500" i="1" s="1"/>
  <c r="AB508" i="1"/>
  <c r="AJ508" i="1" s="1"/>
  <c r="H510" i="1"/>
  <c r="AB510" i="1"/>
  <c r="AJ510" i="1" s="1"/>
  <c r="I520" i="1"/>
  <c r="N521" i="1"/>
  <c r="U522" i="1"/>
  <c r="AQ535" i="1" s="1"/>
  <c r="AF527" i="1"/>
  <c r="AA534" i="1"/>
  <c r="AA540" i="1" s="1"/>
  <c r="AF535" i="1"/>
  <c r="AC538" i="1"/>
  <c r="AB554" i="1"/>
  <c r="AJ554" i="1" s="1"/>
  <c r="AE561" i="1"/>
  <c r="AB564" i="1"/>
  <c r="AJ564" i="1" s="1"/>
  <c r="I574" i="1"/>
  <c r="N575" i="1"/>
  <c r="U576" i="1"/>
  <c r="AQ589" i="1" s="1"/>
  <c r="AF581" i="1"/>
  <c r="AA588" i="1"/>
  <c r="AA594" i="1" s="1"/>
  <c r="AF589" i="1"/>
  <c r="AB608" i="1"/>
  <c r="AJ608" i="1" s="1"/>
  <c r="AE615" i="1"/>
  <c r="AB618" i="1"/>
  <c r="AJ618" i="1" s="1"/>
  <c r="AG619" i="1"/>
  <c r="AD620" i="1"/>
  <c r="N629" i="1"/>
  <c r="AF635" i="1"/>
  <c r="AA642" i="1"/>
  <c r="AA648" i="1" s="1"/>
  <c r="AB662" i="1"/>
  <c r="AJ662" i="1" s="1"/>
  <c r="AE669" i="1"/>
  <c r="AB672" i="1"/>
  <c r="AJ672" i="1" s="1"/>
  <c r="AG673" i="1"/>
  <c r="AD674" i="1"/>
  <c r="AG684" i="1"/>
  <c r="AO678" i="1"/>
  <c r="AN678" i="1" s="1"/>
  <c r="L681" i="1"/>
  <c r="I682" i="1"/>
  <c r="AE682" i="1"/>
  <c r="AE684" i="1" s="1"/>
  <c r="I683" i="1"/>
  <c r="U690" i="1"/>
  <c r="AQ699" i="1" s="1"/>
  <c r="AK711" i="1"/>
  <c r="I726" i="1"/>
  <c r="AE723" i="1"/>
  <c r="I714" i="1"/>
  <c r="AD706" i="1"/>
  <c r="AF725" i="1"/>
  <c r="L716" i="1"/>
  <c r="AH725" i="1" s="1"/>
  <c r="U722" i="1"/>
  <c r="AQ718" i="1" s="1"/>
  <c r="AP709" i="1"/>
  <c r="U724" i="1"/>
  <c r="AQ709" i="1" s="1"/>
  <c r="AE734" i="1"/>
  <c r="AC750" i="1"/>
  <c r="I735" i="1"/>
  <c r="AE737" i="1"/>
  <c r="AA765" i="1"/>
  <c r="J780" i="1"/>
  <c r="AH774" i="1"/>
  <c r="AD759" i="1"/>
  <c r="AD765" i="1" s="1"/>
  <c r="I767" i="1"/>
  <c r="AP761" i="1"/>
  <c r="U769" i="1"/>
  <c r="AQ761" i="1" s="1"/>
  <c r="AF782" i="1"/>
  <c r="L773" i="1"/>
  <c r="AH782" i="1" s="1"/>
  <c r="M776" i="1"/>
  <c r="AE763" i="1"/>
  <c r="AD801" i="1"/>
  <c r="AE797" i="1"/>
  <c r="M793" i="1"/>
  <c r="U798" i="1"/>
  <c r="AQ807" i="1" s="1"/>
  <c r="L801" i="1"/>
  <c r="AH798" i="1" s="1"/>
  <c r="AG798" i="1"/>
  <c r="AE789" i="1"/>
  <c r="AD810" i="1"/>
  <c r="AG791" i="1"/>
  <c r="AG792" i="1" s="1"/>
  <c r="L806" i="1"/>
  <c r="AH791" i="1" s="1"/>
  <c r="AG819" i="1"/>
  <c r="H834" i="1"/>
  <c r="AD822" i="1"/>
  <c r="I817" i="1"/>
  <c r="AP815" i="1"/>
  <c r="U823" i="1"/>
  <c r="AQ815" i="1" s="1"/>
  <c r="AP835" i="1"/>
  <c r="U826" i="1"/>
  <c r="AQ835" i="1" s="1"/>
  <c r="AE832" i="1"/>
  <c r="E848" i="2"/>
  <c r="AA840" i="2" s="1"/>
  <c r="AA3" i="2"/>
  <c r="J850" i="2"/>
  <c r="L13" i="2"/>
  <c r="AH5" i="2" s="1"/>
  <c r="G854" i="2"/>
  <c r="AC26" i="2"/>
  <c r="I17" i="2"/>
  <c r="AP16" i="2"/>
  <c r="U20" i="2"/>
  <c r="AQ16" i="2" s="1"/>
  <c r="U36" i="2"/>
  <c r="AQ49" i="2" s="1"/>
  <c r="AP32" i="2"/>
  <c r="U40" i="2"/>
  <c r="AQ32" i="2" s="1"/>
  <c r="U44" i="2"/>
  <c r="AQ53" i="2" s="1"/>
  <c r="L62" i="2"/>
  <c r="AH67" i="2" s="1"/>
  <c r="AF67" i="2"/>
  <c r="AF72" i="2" s="1"/>
  <c r="U65" i="2"/>
  <c r="AQ57" i="2" s="1"/>
  <c r="AP57" i="2"/>
  <c r="AP59" i="2"/>
  <c r="U67" i="2"/>
  <c r="AQ59" i="2" s="1"/>
  <c r="AL96" i="2"/>
  <c r="AR96" i="2"/>
  <c r="AP311" i="2"/>
  <c r="U307" i="2"/>
  <c r="AQ311" i="2" s="1"/>
  <c r="I335" i="2"/>
  <c r="AC327" i="2"/>
  <c r="AG414" i="2"/>
  <c r="N439" i="1"/>
  <c r="AF453" i="1"/>
  <c r="AF459" i="1" s="1"/>
  <c r="L473" i="1"/>
  <c r="AH482" i="1" s="1"/>
  <c r="AB480" i="1"/>
  <c r="N493" i="1"/>
  <c r="AF499" i="1"/>
  <c r="AF507" i="1"/>
  <c r="AF513" i="1" s="1"/>
  <c r="AC508" i="1"/>
  <c r="L527" i="1"/>
  <c r="AH536" i="1" s="1"/>
  <c r="AB534" i="1"/>
  <c r="N547" i="1"/>
  <c r="AF553" i="1"/>
  <c r="AF561" i="1"/>
  <c r="AF567" i="1" s="1"/>
  <c r="AC562" i="1"/>
  <c r="L581" i="1"/>
  <c r="AH590" i="1" s="1"/>
  <c r="AB588" i="1"/>
  <c r="AD592" i="1"/>
  <c r="N601" i="1"/>
  <c r="AF607" i="1"/>
  <c r="AF615" i="1"/>
  <c r="AF621" i="1" s="1"/>
  <c r="AC616" i="1"/>
  <c r="L635" i="1"/>
  <c r="AH644" i="1" s="1"/>
  <c r="AB642" i="1"/>
  <c r="N655" i="1"/>
  <c r="AF669" i="1"/>
  <c r="AF675" i="1" s="1"/>
  <c r="Z684" i="1"/>
  <c r="AH684" i="1"/>
  <c r="E699" i="1"/>
  <c r="AA696" i="1"/>
  <c r="AA702" i="1" s="1"/>
  <c r="L683" i="1"/>
  <c r="AH688" i="1" s="1"/>
  <c r="AF688" i="1"/>
  <c r="AF693" i="1" s="1"/>
  <c r="AP689" i="1"/>
  <c r="U685" i="1"/>
  <c r="AQ689" i="1" s="1"/>
  <c r="AE690" i="1"/>
  <c r="AD714" i="1"/>
  <c r="I709" i="1"/>
  <c r="AD705" i="1"/>
  <c r="AD711" i="1" s="1"/>
  <c r="I713" i="1"/>
  <c r="AP707" i="1"/>
  <c r="U715" i="1"/>
  <c r="AQ707" i="1" s="1"/>
  <c r="AC726" i="1"/>
  <c r="I717" i="1"/>
  <c r="AE728" i="1"/>
  <c r="I720" i="1"/>
  <c r="AC717" i="1"/>
  <c r="U721" i="1"/>
  <c r="AQ708" i="1" s="1"/>
  <c r="AP708" i="1"/>
  <c r="AP743" i="1"/>
  <c r="U739" i="1"/>
  <c r="AQ743" i="1" s="1"/>
  <c r="U740" i="1"/>
  <c r="AQ732" i="1" s="1"/>
  <c r="AP732" i="1"/>
  <c r="AG747" i="1"/>
  <c r="P742" i="1"/>
  <c r="AI734" i="1"/>
  <c r="V742" i="1"/>
  <c r="AB755" i="1"/>
  <c r="AJ755" i="1" s="1"/>
  <c r="T746" i="1"/>
  <c r="AJ765" i="1"/>
  <c r="AG777" i="1"/>
  <c r="AG783" i="1" s="1"/>
  <c r="L762" i="1"/>
  <c r="L765" i="1"/>
  <c r="AH778" i="1" s="1"/>
  <c r="AF778" i="1"/>
  <c r="AD770" i="1"/>
  <c r="I766" i="1"/>
  <c r="AP779" i="1"/>
  <c r="U770" i="1"/>
  <c r="AQ779" i="1" s="1"/>
  <c r="AC780" i="1"/>
  <c r="I771" i="1"/>
  <c r="V775" i="1"/>
  <c r="S775" i="1"/>
  <c r="R775" i="1" s="1"/>
  <c r="AI762" i="1"/>
  <c r="P775" i="1"/>
  <c r="AF763" i="1"/>
  <c r="L778" i="1"/>
  <c r="AH763" i="1" s="1"/>
  <c r="AE786" i="1"/>
  <c r="AE792" i="1" s="1"/>
  <c r="M794" i="1"/>
  <c r="AB806" i="1"/>
  <c r="AJ806" i="1" s="1"/>
  <c r="T797" i="1"/>
  <c r="M803" i="1"/>
  <c r="AE799" i="1"/>
  <c r="AH828" i="1"/>
  <c r="V818" i="1"/>
  <c r="S818" i="1"/>
  <c r="R818" i="1" s="1"/>
  <c r="P818" i="1"/>
  <c r="AI823" i="1"/>
  <c r="AP832" i="1"/>
  <c r="AP837" i="1" s="1"/>
  <c r="AQ837" i="1" s="1"/>
  <c r="U819" i="1"/>
  <c r="AQ832" i="1" s="1"/>
  <c r="AF833" i="1"/>
  <c r="L824" i="1"/>
  <c r="AH833" i="1" s="1"/>
  <c r="AF836" i="1"/>
  <c r="L827" i="1"/>
  <c r="AH836" i="1" s="1"/>
  <c r="V830" i="1"/>
  <c r="S830" i="1"/>
  <c r="R830" i="1" s="1"/>
  <c r="P830" i="1"/>
  <c r="AI826" i="1"/>
  <c r="D861" i="1"/>
  <c r="AF9" i="2"/>
  <c r="H843" i="2"/>
  <c r="AD21" i="2"/>
  <c r="I6" i="2"/>
  <c r="G846" i="2"/>
  <c r="I9" i="2"/>
  <c r="AC22" i="2"/>
  <c r="E847" i="2"/>
  <c r="AA851" i="2" s="1"/>
  <c r="AA14" i="2"/>
  <c r="AJ14" i="2" s="1"/>
  <c r="G851" i="2"/>
  <c r="AC23" i="2"/>
  <c r="I14" i="2"/>
  <c r="AP6" i="2"/>
  <c r="U19" i="2"/>
  <c r="AQ6" i="2" s="1"/>
  <c r="AD36" i="2"/>
  <c r="M34" i="2"/>
  <c r="AE39" i="2"/>
  <c r="AE30" i="2"/>
  <c r="M38" i="2"/>
  <c r="M40" i="2"/>
  <c r="AE32" i="2"/>
  <c r="Z54" i="2"/>
  <c r="H78" i="2"/>
  <c r="AD75" i="2"/>
  <c r="AD81" i="2" s="1"/>
  <c r="I60" i="2"/>
  <c r="AA72" i="2"/>
  <c r="I63" i="2"/>
  <c r="AC76" i="2"/>
  <c r="AC81" i="2" s="1"/>
  <c r="AP66" i="2"/>
  <c r="AD79" i="2"/>
  <c r="I70" i="2"/>
  <c r="AI129" i="2"/>
  <c r="V114" i="2"/>
  <c r="S114" i="2"/>
  <c r="R114" i="2" s="1"/>
  <c r="P114" i="2"/>
  <c r="AP223" i="2"/>
  <c r="U238" i="2"/>
  <c r="AQ223" i="2" s="1"/>
  <c r="AJ282" i="2"/>
  <c r="I306" i="2"/>
  <c r="AD319" i="2"/>
  <c r="L440" i="1"/>
  <c r="AH445" i="1" s="1"/>
  <c r="I441" i="1"/>
  <c r="AG453" i="1"/>
  <c r="AG459" i="1" s="1"/>
  <c r="N465" i="1"/>
  <c r="AF471" i="1"/>
  <c r="AF477" i="1" s="1"/>
  <c r="AC472" i="1"/>
  <c r="AC477" i="1" s="1"/>
  <c r="AC480" i="1"/>
  <c r="AC486" i="1" s="1"/>
  <c r="AB485" i="1"/>
  <c r="AJ485" i="1" s="1"/>
  <c r="AG507" i="1"/>
  <c r="AG513" i="1" s="1"/>
  <c r="N519" i="1"/>
  <c r="AF525" i="1"/>
  <c r="AF531" i="1" s="1"/>
  <c r="AC526" i="1"/>
  <c r="AC531" i="1" s="1"/>
  <c r="AC534" i="1"/>
  <c r="AC540" i="1" s="1"/>
  <c r="AB539" i="1"/>
  <c r="AJ539" i="1" s="1"/>
  <c r="AG561" i="1"/>
  <c r="AG567" i="1" s="1"/>
  <c r="N573" i="1"/>
  <c r="AF579" i="1"/>
  <c r="AC580" i="1"/>
  <c r="AC585" i="1" s="1"/>
  <c r="AC588" i="1"/>
  <c r="AC594" i="1" s="1"/>
  <c r="AB593" i="1"/>
  <c r="AJ593" i="1" s="1"/>
  <c r="AG615" i="1"/>
  <c r="AG621" i="1" s="1"/>
  <c r="N627" i="1"/>
  <c r="U631" i="1"/>
  <c r="AQ635" i="1" s="1"/>
  <c r="AF633" i="1"/>
  <c r="AF639" i="1" s="1"/>
  <c r="AC634" i="1"/>
  <c r="AC642" i="1"/>
  <c r="AC648" i="1" s="1"/>
  <c r="AB647" i="1"/>
  <c r="AJ647" i="1" s="1"/>
  <c r="L656" i="1"/>
  <c r="AH661" i="1" s="1"/>
  <c r="I657" i="1"/>
  <c r="AG669" i="1"/>
  <c r="AG675" i="1" s="1"/>
  <c r="F699" i="1"/>
  <c r="N699" i="1" s="1"/>
  <c r="AB696" i="1"/>
  <c r="N681" i="1"/>
  <c r="U682" i="1"/>
  <c r="AQ687" i="1" s="1"/>
  <c r="V687" i="1"/>
  <c r="Z711" i="1"/>
  <c r="AH720" i="1"/>
  <c r="L711" i="1"/>
  <c r="AH724" i="1" s="1"/>
  <c r="AF724" i="1"/>
  <c r="AD716" i="1"/>
  <c r="I712" i="1"/>
  <c r="AP725" i="1"/>
  <c r="U716" i="1"/>
  <c r="AQ725" i="1" s="1"/>
  <c r="AE743" i="1"/>
  <c r="M739" i="1"/>
  <c r="AE732" i="1"/>
  <c r="M740" i="1"/>
  <c r="AE733" i="1"/>
  <c r="M741" i="1"/>
  <c r="AE753" i="1"/>
  <c r="M744" i="1"/>
  <c r="AE754" i="1"/>
  <c r="M745" i="1"/>
  <c r="M746" i="1"/>
  <c r="AE755" i="1"/>
  <c r="AE744" i="1"/>
  <c r="M747" i="1"/>
  <c r="T751" i="1"/>
  <c r="AB736" i="1"/>
  <c r="AJ736" i="1" s="1"/>
  <c r="AJ761" i="1"/>
  <c r="V764" i="1"/>
  <c r="S764" i="1"/>
  <c r="R764" i="1" s="1"/>
  <c r="P764" i="1"/>
  <c r="AI769" i="1"/>
  <c r="AH765" i="1"/>
  <c r="AP782" i="1"/>
  <c r="U773" i="1"/>
  <c r="AQ782" i="1" s="1"/>
  <c r="U777" i="1"/>
  <c r="AQ773" i="1" s="1"/>
  <c r="AP773" i="1"/>
  <c r="AC764" i="1"/>
  <c r="AC765" i="1" s="1"/>
  <c r="I779" i="1"/>
  <c r="AE787" i="1"/>
  <c r="M795" i="1"/>
  <c r="AB809" i="1"/>
  <c r="AJ809" i="1" s="1"/>
  <c r="T800" i="1"/>
  <c r="AE800" i="1"/>
  <c r="J834" i="1"/>
  <c r="AA828" i="1"/>
  <c r="V829" i="1"/>
  <c r="S829" i="1"/>
  <c r="R829" i="1" s="1"/>
  <c r="AI816" i="1"/>
  <c r="P829" i="1"/>
  <c r="AA837" i="1"/>
  <c r="M832" i="1"/>
  <c r="AE817" i="1"/>
  <c r="Z855" i="1"/>
  <c r="J845" i="2"/>
  <c r="L8" i="2"/>
  <c r="AH13" i="2" s="1"/>
  <c r="AF13" i="2"/>
  <c r="AP5" i="2"/>
  <c r="U13" i="2"/>
  <c r="AQ5" i="2" s="1"/>
  <c r="J853" i="2"/>
  <c r="AF25" i="2"/>
  <c r="L16" i="2"/>
  <c r="AH25" i="2" s="1"/>
  <c r="AH54" i="2"/>
  <c r="T35" i="2"/>
  <c r="AB40" i="2"/>
  <c r="AJ40" i="2" s="1"/>
  <c r="AJ35" i="2"/>
  <c r="AH36" i="2"/>
  <c r="AD45" i="2"/>
  <c r="AG50" i="2"/>
  <c r="L41" i="2"/>
  <c r="AH50" i="2" s="1"/>
  <c r="T48" i="2"/>
  <c r="AB44" i="2"/>
  <c r="AJ44" i="2" s="1"/>
  <c r="AA54" i="2"/>
  <c r="AP67" i="2"/>
  <c r="U62" i="2"/>
  <c r="AQ67" i="2" s="1"/>
  <c r="AE63" i="2"/>
  <c r="S72" i="2"/>
  <c r="R72" i="2" s="1"/>
  <c r="P72" i="2"/>
  <c r="V72" i="2"/>
  <c r="AI69" i="2"/>
  <c r="AC95" i="2"/>
  <c r="I91" i="2"/>
  <c r="U143" i="2"/>
  <c r="AQ148" i="2" s="1"/>
  <c r="AP148" i="2"/>
  <c r="V171" i="2"/>
  <c r="S171" i="2"/>
  <c r="R171" i="2" s="1"/>
  <c r="P171" i="2"/>
  <c r="AI184" i="2"/>
  <c r="T446" i="1"/>
  <c r="T500" i="1"/>
  <c r="T554" i="1"/>
  <c r="T608" i="1"/>
  <c r="T662" i="1"/>
  <c r="AC702" i="1"/>
  <c r="L682" i="1"/>
  <c r="AH687" i="1" s="1"/>
  <c r="AH693" i="1" s="1"/>
  <c r="N689" i="1"/>
  <c r="L693" i="1"/>
  <c r="AH690" i="1" s="1"/>
  <c r="AG690" i="1"/>
  <c r="AG693" i="1" s="1"/>
  <c r="M694" i="1"/>
  <c r="M695" i="1"/>
  <c r="AE691" i="1"/>
  <c r="M696" i="1"/>
  <c r="AE692" i="1"/>
  <c r="M698" i="1"/>
  <c r="AA711" i="1"/>
  <c r="AJ711" i="1" s="1"/>
  <c r="AG729" i="1"/>
  <c r="AG720" i="1"/>
  <c r="M710" i="1"/>
  <c r="AP715" i="1"/>
  <c r="AF728" i="1"/>
  <c r="L719" i="1"/>
  <c r="AH728" i="1" s="1"/>
  <c r="K726" i="1"/>
  <c r="U736" i="1"/>
  <c r="AQ741" i="1" s="1"/>
  <c r="AP741" i="1"/>
  <c r="AP747" i="1" s="1"/>
  <c r="AQ747" i="1" s="1"/>
  <c r="M751" i="1"/>
  <c r="AE736" i="1"/>
  <c r="AG737" i="1"/>
  <c r="AG738" i="1" s="1"/>
  <c r="L752" i="1"/>
  <c r="AH737" i="1" s="1"/>
  <c r="AH738" i="1" s="1"/>
  <c r="AF765" i="1"/>
  <c r="E780" i="1"/>
  <c r="AP778" i="1"/>
  <c r="U765" i="1"/>
  <c r="AQ778" i="1" s="1"/>
  <c r="Z774" i="1"/>
  <c r="M772" i="1"/>
  <c r="I774" i="1"/>
  <c r="AC771" i="1"/>
  <c r="U776" i="1"/>
  <c r="AQ772" i="1" s="1"/>
  <c r="AP763" i="1"/>
  <c r="U778" i="1"/>
  <c r="AQ763" i="1" s="1"/>
  <c r="AJ786" i="1"/>
  <c r="F807" i="1"/>
  <c r="N807" i="1" s="1"/>
  <c r="AG801" i="1"/>
  <c r="M800" i="1"/>
  <c r="AE809" i="1"/>
  <c r="AJ800" i="1"/>
  <c r="AG831" i="1"/>
  <c r="AG837" i="1" s="1"/>
  <c r="L816" i="1"/>
  <c r="AC828" i="1"/>
  <c r="AP833" i="1"/>
  <c r="U824" i="1"/>
  <c r="AQ833" i="1" s="1"/>
  <c r="AP836" i="1"/>
  <c r="U827" i="1"/>
  <c r="AQ836" i="1" s="1"/>
  <c r="U831" i="1"/>
  <c r="AQ827" i="1" s="1"/>
  <c r="AP827" i="1"/>
  <c r="K834" i="1"/>
  <c r="O861" i="1"/>
  <c r="AG36" i="2"/>
  <c r="M35" i="2"/>
  <c r="AE40" i="2"/>
  <c r="M39" i="2"/>
  <c r="AE31" i="2"/>
  <c r="AB52" i="2"/>
  <c r="AJ52" i="2" s="1"/>
  <c r="T43" i="2"/>
  <c r="T47" i="2"/>
  <c r="AB43" i="2"/>
  <c r="AJ43" i="2" s="1"/>
  <c r="M49" i="2"/>
  <c r="AE78" i="2"/>
  <c r="V76" i="2"/>
  <c r="S76" i="2"/>
  <c r="R76" i="2" s="1"/>
  <c r="P76" i="2"/>
  <c r="AI61" i="2"/>
  <c r="S77" i="2"/>
  <c r="R77" i="2" s="1"/>
  <c r="P77" i="2"/>
  <c r="V77" i="2"/>
  <c r="AI62" i="2"/>
  <c r="M205" i="2"/>
  <c r="AE214" i="2"/>
  <c r="U258" i="2"/>
  <c r="AQ267" i="2" s="1"/>
  <c r="AP267" i="2"/>
  <c r="T688" i="1"/>
  <c r="AB689" i="1"/>
  <c r="AJ689" i="1" s="1"/>
  <c r="L690" i="1"/>
  <c r="AH699" i="1" s="1"/>
  <c r="T694" i="1"/>
  <c r="T695" i="1"/>
  <c r="T696" i="1"/>
  <c r="AB699" i="1"/>
  <c r="AJ699" i="1" s="1"/>
  <c r="L708" i="1"/>
  <c r="M708" i="1" s="1"/>
  <c r="N710" i="1"/>
  <c r="N715" i="1"/>
  <c r="AF716" i="1"/>
  <c r="N718" i="1"/>
  <c r="N721" i="1"/>
  <c r="AJ708" i="1" s="1"/>
  <c r="N722" i="1"/>
  <c r="N723" i="1"/>
  <c r="AA723" i="1"/>
  <c r="AA729" i="1" s="1"/>
  <c r="AC725" i="1"/>
  <c r="AF726" i="1"/>
  <c r="AC727" i="1"/>
  <c r="AB743" i="1"/>
  <c r="AJ743" i="1" s="1"/>
  <c r="AB753" i="1"/>
  <c r="AJ753" i="1" s="1"/>
  <c r="N764" i="1"/>
  <c r="N769" i="1"/>
  <c r="N772" i="1"/>
  <c r="N775" i="1"/>
  <c r="AJ762" i="1" s="1"/>
  <c r="N776" i="1"/>
  <c r="N777" i="1"/>
  <c r="AA777" i="1"/>
  <c r="AA783" i="1" s="1"/>
  <c r="AF780" i="1"/>
  <c r="AB807" i="1"/>
  <c r="AJ807" i="1" s="1"/>
  <c r="N818" i="1"/>
  <c r="N823" i="1"/>
  <c r="N826" i="1"/>
  <c r="N829" i="1"/>
  <c r="AJ816" i="1" s="1"/>
  <c r="N830" i="1"/>
  <c r="N831" i="1"/>
  <c r="AF834" i="1"/>
  <c r="N844" i="2"/>
  <c r="AB849" i="2"/>
  <c r="T844" i="2"/>
  <c r="N7" i="2"/>
  <c r="H846" i="2"/>
  <c r="AD859" i="2" s="1"/>
  <c r="AB851" i="2"/>
  <c r="AJ851" i="2" s="1"/>
  <c r="N847" i="2"/>
  <c r="T847" i="2"/>
  <c r="N10" i="2"/>
  <c r="N848" i="2"/>
  <c r="T848" i="2"/>
  <c r="AB840" i="2"/>
  <c r="N11" i="2"/>
  <c r="T849" i="2"/>
  <c r="AB841" i="2"/>
  <c r="AJ841" i="2" s="1"/>
  <c r="N849" i="2"/>
  <c r="N12" i="2"/>
  <c r="E855" i="2"/>
  <c r="AA852" i="2" s="1"/>
  <c r="K856" i="2"/>
  <c r="AG843" i="2" s="1"/>
  <c r="K857" i="2"/>
  <c r="AG853" i="2" s="1"/>
  <c r="AF21" i="2"/>
  <c r="AP23" i="2"/>
  <c r="AC24" i="2"/>
  <c r="AB48" i="2"/>
  <c r="N61" i="2"/>
  <c r="AJ68" i="2"/>
  <c r="N64" i="2"/>
  <c r="N65" i="2"/>
  <c r="N66" i="2"/>
  <c r="AG68" i="2"/>
  <c r="AG72" i="2" s="1"/>
  <c r="AF102" i="2"/>
  <c r="L87" i="2"/>
  <c r="AH90" i="2"/>
  <c r="AE107" i="2"/>
  <c r="M98" i="2"/>
  <c r="T99" i="2"/>
  <c r="AB96" i="2"/>
  <c r="AJ96" i="2" s="1"/>
  <c r="AK117" i="2"/>
  <c r="AH129" i="2"/>
  <c r="AE120" i="2"/>
  <c r="M115" i="2"/>
  <c r="V122" i="2"/>
  <c r="AI131" i="2"/>
  <c r="S122" i="2"/>
  <c r="R122" i="2" s="1"/>
  <c r="P122" i="2"/>
  <c r="AP156" i="2"/>
  <c r="U141" i="2"/>
  <c r="AQ156" i="2" s="1"/>
  <c r="AG153" i="2"/>
  <c r="AE148" i="2"/>
  <c r="M143" i="2"/>
  <c r="AB159" i="2"/>
  <c r="AJ159" i="2" s="1"/>
  <c r="T150" i="2"/>
  <c r="AE160" i="2"/>
  <c r="M151" i="2"/>
  <c r="T158" i="2"/>
  <c r="AB143" i="2"/>
  <c r="AJ143" i="2" s="1"/>
  <c r="M170" i="2"/>
  <c r="AE175" i="2"/>
  <c r="AJ175" i="2"/>
  <c r="AE168" i="2"/>
  <c r="M181" i="2"/>
  <c r="I183" i="2"/>
  <c r="AD179" i="2"/>
  <c r="AD180" i="2" s="1"/>
  <c r="AB210" i="2"/>
  <c r="F213" i="2"/>
  <c r="N195" i="2"/>
  <c r="AH198" i="2"/>
  <c r="U204" i="2"/>
  <c r="AQ213" i="2" s="1"/>
  <c r="AP213" i="2"/>
  <c r="N207" i="2"/>
  <c r="AB204" i="2"/>
  <c r="AJ204" i="2" s="1"/>
  <c r="T222" i="2"/>
  <c r="AB238" i="2"/>
  <c r="AJ238" i="2" s="1"/>
  <c r="N225" i="2"/>
  <c r="T225" i="2"/>
  <c r="AG233" i="2"/>
  <c r="L237" i="2"/>
  <c r="AH233" i="2" s="1"/>
  <c r="AG256" i="2"/>
  <c r="L251" i="2"/>
  <c r="AH256" i="2" s="1"/>
  <c r="AJ363" i="2"/>
  <c r="AG357" i="2"/>
  <c r="L370" i="2"/>
  <c r="AH357" i="2" s="1"/>
  <c r="L415" i="2"/>
  <c r="AH419" i="2" s="1"/>
  <c r="AF419" i="2"/>
  <c r="J429" i="2"/>
  <c r="N685" i="1"/>
  <c r="N686" i="1"/>
  <c r="N687" i="1"/>
  <c r="U691" i="1"/>
  <c r="AQ700" i="1" s="1"/>
  <c r="T709" i="1"/>
  <c r="T712" i="1"/>
  <c r="T713" i="1"/>
  <c r="T714" i="1"/>
  <c r="AB715" i="1"/>
  <c r="AJ715" i="1" s="1"/>
  <c r="AB723" i="1"/>
  <c r="N736" i="1"/>
  <c r="U737" i="1"/>
  <c r="AQ742" i="1" s="1"/>
  <c r="N739" i="1"/>
  <c r="N740" i="1"/>
  <c r="N741" i="1"/>
  <c r="AF742" i="1"/>
  <c r="AF747" i="1" s="1"/>
  <c r="AC743" i="1"/>
  <c r="AC747" i="1" s="1"/>
  <c r="U745" i="1"/>
  <c r="AQ754" i="1" s="1"/>
  <c r="U749" i="1"/>
  <c r="AQ745" i="1" s="1"/>
  <c r="U750" i="1"/>
  <c r="AQ746" i="1" s="1"/>
  <c r="AF750" i="1"/>
  <c r="AC751" i="1"/>
  <c r="AC753" i="1"/>
  <c r="T766" i="1"/>
  <c r="T767" i="1"/>
  <c r="T768" i="1"/>
  <c r="AB769" i="1"/>
  <c r="AB772" i="1"/>
  <c r="AJ772" i="1" s="1"/>
  <c r="AB777" i="1"/>
  <c r="AD779" i="1"/>
  <c r="U791" i="1"/>
  <c r="AQ796" i="1" s="1"/>
  <c r="AF796" i="1"/>
  <c r="AF801" i="1" s="1"/>
  <c r="AC797" i="1"/>
  <c r="M798" i="1"/>
  <c r="U799" i="1"/>
  <c r="AQ808" i="1" s="1"/>
  <c r="AF799" i="1"/>
  <c r="M801" i="1"/>
  <c r="U803" i="1"/>
  <c r="AQ799" i="1" s="1"/>
  <c r="U804" i="1"/>
  <c r="AQ800" i="1" s="1"/>
  <c r="AF804" i="1"/>
  <c r="AF810" i="1" s="1"/>
  <c r="AC805" i="1"/>
  <c r="M816" i="1"/>
  <c r="T817" i="1"/>
  <c r="T820" i="1"/>
  <c r="T821" i="1"/>
  <c r="T822" i="1"/>
  <c r="AB823" i="1"/>
  <c r="AJ823" i="1" s="1"/>
  <c r="AB826" i="1"/>
  <c r="AJ826" i="1" s="1"/>
  <c r="AB831" i="1"/>
  <c r="J861" i="2"/>
  <c r="AF858" i="2"/>
  <c r="L843" i="2"/>
  <c r="T6" i="2"/>
  <c r="G844" i="2"/>
  <c r="G847" i="2"/>
  <c r="G848" i="2"/>
  <c r="AC841" i="2"/>
  <c r="I849" i="2"/>
  <c r="AB12" i="2"/>
  <c r="AG13" i="2"/>
  <c r="AD14" i="2"/>
  <c r="N852" i="2"/>
  <c r="AJ861" i="2" s="1"/>
  <c r="AB861" i="2"/>
  <c r="T852" i="2"/>
  <c r="N15" i="2"/>
  <c r="AB852" i="2"/>
  <c r="T855" i="2"/>
  <c r="N18" i="2"/>
  <c r="AG21" i="2"/>
  <c r="AD22" i="2"/>
  <c r="T860" i="2"/>
  <c r="AB845" i="2"/>
  <c r="AJ845" i="2" s="1"/>
  <c r="N860" i="2"/>
  <c r="N23" i="2"/>
  <c r="J24" i="2"/>
  <c r="AA25" i="2"/>
  <c r="AJ25" i="2" s="1"/>
  <c r="AF26" i="2"/>
  <c r="N33" i="2"/>
  <c r="AC43" i="2"/>
  <c r="AC45" i="2" s="1"/>
  <c r="T45" i="2"/>
  <c r="AC48" i="2"/>
  <c r="T50" i="2"/>
  <c r="F51" i="2"/>
  <c r="N51" i="2" s="1"/>
  <c r="AP51" i="2"/>
  <c r="AB53" i="2"/>
  <c r="AJ53" i="2" s="1"/>
  <c r="J78" i="2"/>
  <c r="T60" i="2"/>
  <c r="AB66" i="2"/>
  <c r="I68" i="2"/>
  <c r="T68" i="2"/>
  <c r="N69" i="2"/>
  <c r="AH99" i="2"/>
  <c r="U89" i="2"/>
  <c r="AQ94" i="2" s="1"/>
  <c r="AP94" i="2"/>
  <c r="AG90" i="2"/>
  <c r="AJ94" i="2"/>
  <c r="M96" i="2"/>
  <c r="M104" i="2"/>
  <c r="K132" i="2"/>
  <c r="AD126" i="2"/>
  <c r="V117" i="2"/>
  <c r="S117" i="2"/>
  <c r="R117" i="2" s="1"/>
  <c r="P117" i="2"/>
  <c r="AI130" i="2"/>
  <c r="AG117" i="2"/>
  <c r="U120" i="2"/>
  <c r="AQ112" i="2" s="1"/>
  <c r="Z126" i="2"/>
  <c r="AJ131" i="2"/>
  <c r="AF116" i="2"/>
  <c r="L131" i="2"/>
  <c r="AH116" i="2" s="1"/>
  <c r="AH117" i="2" s="1"/>
  <c r="AJ157" i="2"/>
  <c r="AJ148" i="2"/>
  <c r="L169" i="2"/>
  <c r="AH174" i="2" s="1"/>
  <c r="U172" i="2"/>
  <c r="AQ176" i="2" s="1"/>
  <c r="I175" i="2"/>
  <c r="AJ211" i="2"/>
  <c r="AP230" i="2"/>
  <c r="U226" i="2"/>
  <c r="AQ230" i="2" s="1"/>
  <c r="P232" i="2"/>
  <c r="AI241" i="2"/>
  <c r="V232" i="2"/>
  <c r="S232" i="2"/>
  <c r="R232" i="2" s="1"/>
  <c r="AE251" i="2"/>
  <c r="M266" i="2"/>
  <c r="AE292" i="2"/>
  <c r="M279" i="2"/>
  <c r="AE277" i="2"/>
  <c r="M292" i="2"/>
  <c r="P314" i="2"/>
  <c r="AI323" i="2"/>
  <c r="V314" i="2"/>
  <c r="S314" i="2"/>
  <c r="R314" i="2" s="1"/>
  <c r="AC349" i="2"/>
  <c r="AC351" i="2" s="1"/>
  <c r="I340" i="2"/>
  <c r="AP372" i="2"/>
  <c r="U357" i="2"/>
  <c r="AQ372" i="2" s="1"/>
  <c r="I689" i="1"/>
  <c r="N690" i="1"/>
  <c r="N693" i="1"/>
  <c r="N698" i="1"/>
  <c r="AD699" i="1"/>
  <c r="N708" i="1"/>
  <c r="AF714" i="1"/>
  <c r="AC715" i="1"/>
  <c r="AC720" i="1" s="1"/>
  <c r="T717" i="1"/>
  <c r="T720" i="1"/>
  <c r="AC723" i="1"/>
  <c r="T725" i="1"/>
  <c r="F726" i="1"/>
  <c r="N726" i="1" s="1"/>
  <c r="AB728" i="1"/>
  <c r="AJ728" i="1" s="1"/>
  <c r="T735" i="1"/>
  <c r="AB741" i="1"/>
  <c r="I743" i="1"/>
  <c r="N744" i="1"/>
  <c r="N747" i="1"/>
  <c r="L750" i="1"/>
  <c r="AH746" i="1" s="1"/>
  <c r="AH747" i="1" s="1"/>
  <c r="AG750" i="1"/>
  <c r="AG756" i="1" s="1"/>
  <c r="N752" i="1"/>
  <c r="AF755" i="1"/>
  <c r="N762" i="1"/>
  <c r="U763" i="1"/>
  <c r="AQ768" i="1" s="1"/>
  <c r="AF768" i="1"/>
  <c r="AC769" i="1"/>
  <c r="AC774" i="1" s="1"/>
  <c r="AC777" i="1"/>
  <c r="F780" i="1"/>
  <c r="N780" i="1" s="1"/>
  <c r="AP780" i="1"/>
  <c r="AB782" i="1"/>
  <c r="AJ782" i="1" s="1"/>
  <c r="AJ795" i="1"/>
  <c r="I797" i="1"/>
  <c r="N798" i="1"/>
  <c r="N801" i="1"/>
  <c r="L802" i="1"/>
  <c r="AH789" i="1" s="1"/>
  <c r="AH792" i="1" s="1"/>
  <c r="L804" i="1"/>
  <c r="AH800" i="1" s="1"/>
  <c r="AH801" i="1" s="1"/>
  <c r="AG804" i="1"/>
  <c r="AG810" i="1" s="1"/>
  <c r="N806" i="1"/>
  <c r="J807" i="1"/>
  <c r="N816" i="1"/>
  <c r="F834" i="1"/>
  <c r="N834" i="1" s="1"/>
  <c r="AP834" i="1"/>
  <c r="AG858" i="2"/>
  <c r="AF859" i="2"/>
  <c r="L851" i="2"/>
  <c r="AH860" i="2" s="1"/>
  <c r="AF860" i="2"/>
  <c r="AC861" i="2"/>
  <c r="AF863" i="2"/>
  <c r="AC852" i="2"/>
  <c r="E858" i="2"/>
  <c r="AA854" i="2" s="1"/>
  <c r="AF844" i="2"/>
  <c r="T22" i="2"/>
  <c r="AC845" i="2"/>
  <c r="AB23" i="2"/>
  <c r="AJ23" i="2" s="1"/>
  <c r="K24" i="2"/>
  <c r="AJ30" i="2"/>
  <c r="N36" i="2"/>
  <c r="N41" i="2"/>
  <c r="N44" i="2"/>
  <c r="I48" i="2"/>
  <c r="AD48" i="2"/>
  <c r="AD54" i="2" s="1"/>
  <c r="N49" i="2"/>
  <c r="G51" i="2"/>
  <c r="AF52" i="2"/>
  <c r="AC53" i="2"/>
  <c r="K78" i="2"/>
  <c r="T63" i="2"/>
  <c r="T71" i="2"/>
  <c r="AC78" i="2"/>
  <c r="AP102" i="2"/>
  <c r="U87" i="2"/>
  <c r="AQ102" i="2" s="1"/>
  <c r="AE94" i="2"/>
  <c r="M89" i="2"/>
  <c r="AE86" i="2"/>
  <c r="M94" i="2"/>
  <c r="M116" i="2"/>
  <c r="AE121" i="2"/>
  <c r="U119" i="2"/>
  <c r="AQ111" i="2" s="1"/>
  <c r="AJ121" i="2"/>
  <c r="Z135" i="2"/>
  <c r="AB144" i="2"/>
  <c r="AJ144" i="2" s="1"/>
  <c r="AE140" i="2"/>
  <c r="M148" i="2"/>
  <c r="AE161" i="2"/>
  <c r="M152" i="2"/>
  <c r="T153" i="2"/>
  <c r="AB150" i="2"/>
  <c r="AJ150" i="2" s="1"/>
  <c r="AB183" i="2"/>
  <c r="T168" i="2"/>
  <c r="F186" i="2"/>
  <c r="AG180" i="2"/>
  <c r="AP187" i="2"/>
  <c r="U178" i="2"/>
  <c r="AQ187" i="2" s="1"/>
  <c r="N184" i="2"/>
  <c r="AB169" i="2"/>
  <c r="AJ169" i="2" s="1"/>
  <c r="T184" i="2"/>
  <c r="AJ192" i="2"/>
  <c r="AA198" i="2"/>
  <c r="AE215" i="2"/>
  <c r="M206" i="2"/>
  <c r="AE228" i="2"/>
  <c r="M223" i="2"/>
  <c r="AP282" i="2"/>
  <c r="U277" i="2"/>
  <c r="AQ282" i="2" s="1"/>
  <c r="L307" i="2"/>
  <c r="AH311" i="2" s="1"/>
  <c r="AF311" i="2"/>
  <c r="U318" i="2"/>
  <c r="AQ314" i="2" s="1"/>
  <c r="AP314" i="2"/>
  <c r="AA345" i="2"/>
  <c r="AA351" i="2" s="1"/>
  <c r="E348" i="2"/>
  <c r="N330" i="2"/>
  <c r="AO358" i="2"/>
  <c r="AN358" i="2" s="1"/>
  <c r="AL358" i="2"/>
  <c r="AR358" i="2"/>
  <c r="AB700" i="1"/>
  <c r="AJ700" i="1" s="1"/>
  <c r="AG701" i="1"/>
  <c r="AJ705" i="1"/>
  <c r="N711" i="1"/>
  <c r="AD723" i="1"/>
  <c r="AD729" i="1" s="1"/>
  <c r="G726" i="1"/>
  <c r="AF727" i="1"/>
  <c r="AC728" i="1"/>
  <c r="AH750" i="1"/>
  <c r="AH756" i="1" s="1"/>
  <c r="AB754" i="1"/>
  <c r="AJ754" i="1" s="1"/>
  <c r="AJ759" i="1"/>
  <c r="N765" i="1"/>
  <c r="AF771" i="1"/>
  <c r="AD772" i="1"/>
  <c r="U774" i="1"/>
  <c r="AQ771" i="1" s="1"/>
  <c r="I777" i="1"/>
  <c r="AD777" i="1"/>
  <c r="AF781" i="1"/>
  <c r="AC782" i="1"/>
  <c r="AC787" i="1"/>
  <c r="AC792" i="1" s="1"/>
  <c r="U789" i="1"/>
  <c r="AQ804" i="1" s="1"/>
  <c r="AC795" i="1"/>
  <c r="AC801" i="1" s="1"/>
  <c r="AB798" i="1"/>
  <c r="AJ798" i="1" s="1"/>
  <c r="AP804" i="1"/>
  <c r="AB808" i="1"/>
  <c r="AJ808" i="1" s="1"/>
  <c r="AB813" i="1"/>
  <c r="AB816" i="1"/>
  <c r="N819" i="1"/>
  <c r="AF825" i="1"/>
  <c r="AF828" i="1" s="1"/>
  <c r="U828" i="1"/>
  <c r="AQ825" i="1" s="1"/>
  <c r="AD831" i="1"/>
  <c r="AD837" i="1" s="1"/>
  <c r="AF835" i="1"/>
  <c r="AC836" i="1"/>
  <c r="Z858" i="1"/>
  <c r="Z864" i="1" s="1"/>
  <c r="AD4" i="2"/>
  <c r="AD9" i="2" s="1"/>
  <c r="L6" i="2"/>
  <c r="I7" i="2"/>
  <c r="F845" i="2"/>
  <c r="N8" i="2"/>
  <c r="K846" i="2"/>
  <c r="AG859" i="2" s="1"/>
  <c r="U9" i="2"/>
  <c r="AQ22" i="2" s="1"/>
  <c r="I10" i="2"/>
  <c r="I11" i="2"/>
  <c r="I12" i="2"/>
  <c r="AD12" i="2"/>
  <c r="F850" i="2"/>
  <c r="N13" i="2"/>
  <c r="AA13" i="2"/>
  <c r="K851" i="2"/>
  <c r="AG860" i="2" s="1"/>
  <c r="AF14" i="2"/>
  <c r="H852" i="2"/>
  <c r="AD861" i="2" s="1"/>
  <c r="AC15" i="2"/>
  <c r="F853" i="2"/>
  <c r="N16" i="2"/>
  <c r="K854" i="2"/>
  <c r="AG863" i="2" s="1"/>
  <c r="U17" i="2"/>
  <c r="AQ26" i="2" s="1"/>
  <c r="H855" i="2"/>
  <c r="AD852" i="2" s="1"/>
  <c r="F856" i="2"/>
  <c r="N19" i="2"/>
  <c r="AJ6" i="2" s="1"/>
  <c r="F857" i="2"/>
  <c r="N20" i="2"/>
  <c r="F858" i="2"/>
  <c r="N21" i="2"/>
  <c r="AA21" i="2"/>
  <c r="K859" i="2"/>
  <c r="AG844" i="2" s="1"/>
  <c r="AF22" i="2"/>
  <c r="H860" i="2"/>
  <c r="AD845" i="2" s="1"/>
  <c r="AF24" i="2"/>
  <c r="AC25" i="2"/>
  <c r="AB41" i="2"/>
  <c r="AJ41" i="2" s="1"/>
  <c r="AB49" i="2"/>
  <c r="AJ49" i="2" s="1"/>
  <c r="AB51" i="2"/>
  <c r="AJ51" i="2" s="1"/>
  <c r="L60" i="2"/>
  <c r="I61" i="2"/>
  <c r="N62" i="2"/>
  <c r="I64" i="2"/>
  <c r="M73" i="2"/>
  <c r="AE104" i="2"/>
  <c r="V99" i="2"/>
  <c r="S99" i="2"/>
  <c r="R99" i="2" s="1"/>
  <c r="P99" i="2"/>
  <c r="U100" i="2"/>
  <c r="AQ87" i="2" s="1"/>
  <c r="AP87" i="2"/>
  <c r="U101" i="2"/>
  <c r="AQ97" i="2" s="1"/>
  <c r="AP97" i="2"/>
  <c r="U102" i="2"/>
  <c r="AQ98" i="2" s="1"/>
  <c r="AP98" i="2"/>
  <c r="AG108" i="2"/>
  <c r="M103" i="2"/>
  <c r="AE88" i="2"/>
  <c r="AJ117" i="2"/>
  <c r="M121" i="2"/>
  <c r="AE113" i="2"/>
  <c r="AC135" i="2"/>
  <c r="AP130" i="2"/>
  <c r="AP116" i="2"/>
  <c r="U131" i="2"/>
  <c r="AQ116" i="2" s="1"/>
  <c r="G159" i="2"/>
  <c r="I147" i="2"/>
  <c r="AC139" i="2"/>
  <c r="V150" i="2"/>
  <c r="AI159" i="2"/>
  <c r="S150" i="2"/>
  <c r="R150" i="2" s="1"/>
  <c r="P150" i="2"/>
  <c r="V158" i="2"/>
  <c r="S158" i="2"/>
  <c r="R158" i="2" s="1"/>
  <c r="AI143" i="2"/>
  <c r="P158" i="2"/>
  <c r="U169" i="2"/>
  <c r="AQ174" i="2" s="1"/>
  <c r="AE166" i="2"/>
  <c r="M174" i="2"/>
  <c r="AA188" i="2"/>
  <c r="AA189" i="2" s="1"/>
  <c r="U179" i="2"/>
  <c r="AQ188" i="2" s="1"/>
  <c r="AO194" i="2"/>
  <c r="AN194" i="2" s="1"/>
  <c r="AR194" i="2"/>
  <c r="AL194" i="2"/>
  <c r="V203" i="2"/>
  <c r="AI212" i="2"/>
  <c r="S203" i="2"/>
  <c r="R203" i="2" s="1"/>
  <c r="P203" i="2"/>
  <c r="AB237" i="2"/>
  <c r="N222" i="2"/>
  <c r="AD225" i="2"/>
  <c r="AP264" i="2"/>
  <c r="AP270" i="2" s="1"/>
  <c r="U249" i="2"/>
  <c r="AQ264" i="2" s="1"/>
  <c r="AF697" i="1"/>
  <c r="AB716" i="1"/>
  <c r="AJ716" i="1" s="1"/>
  <c r="AB726" i="1"/>
  <c r="AJ726" i="1" s="1"/>
  <c r="I736" i="1"/>
  <c r="N737" i="1"/>
  <c r="AA750" i="1"/>
  <c r="AA756" i="1" s="1"/>
  <c r="AB770" i="1"/>
  <c r="AJ770" i="1" s="1"/>
  <c r="AB773" i="1"/>
  <c r="AJ773" i="1" s="1"/>
  <c r="AE777" i="1"/>
  <c r="AB780" i="1"/>
  <c r="AJ780" i="1" s="1"/>
  <c r="AA804" i="1"/>
  <c r="AA810" i="1" s="1"/>
  <c r="AB824" i="1"/>
  <c r="AJ824" i="1" s="1"/>
  <c r="AB827" i="1"/>
  <c r="AJ827" i="1" s="1"/>
  <c r="AE831" i="1"/>
  <c r="AB834" i="1"/>
  <c r="AJ834" i="1" s="1"/>
  <c r="AA858" i="2"/>
  <c r="AF849" i="2"/>
  <c r="L844" i="2"/>
  <c r="AH849" i="2" s="1"/>
  <c r="T7" i="2"/>
  <c r="I845" i="2"/>
  <c r="AC850" i="2"/>
  <c r="L9" i="2"/>
  <c r="AH22" i="2" s="1"/>
  <c r="AF851" i="2"/>
  <c r="L847" i="2"/>
  <c r="AH851" i="2" s="1"/>
  <c r="T10" i="2"/>
  <c r="AF840" i="2"/>
  <c r="T11" i="2"/>
  <c r="L849" i="2"/>
  <c r="AH841" i="2" s="1"/>
  <c r="AF841" i="2"/>
  <c r="T12" i="2"/>
  <c r="AC842" i="2"/>
  <c r="I850" i="2"/>
  <c r="AB13" i="2"/>
  <c r="L14" i="2"/>
  <c r="AH23" i="2" s="1"/>
  <c r="AG14" i="2"/>
  <c r="I15" i="2"/>
  <c r="AC862" i="2"/>
  <c r="L17" i="2"/>
  <c r="AH26" i="2" s="1"/>
  <c r="I18" i="2"/>
  <c r="AC843" i="2"/>
  <c r="I857" i="2"/>
  <c r="AC853" i="2"/>
  <c r="AC854" i="2"/>
  <c r="AB21" i="2"/>
  <c r="L22" i="2"/>
  <c r="AH7" i="2" s="1"/>
  <c r="AG22" i="2"/>
  <c r="I23" i="2"/>
  <c r="AD23" i="2"/>
  <c r="E24" i="2"/>
  <c r="N34" i="2"/>
  <c r="AF40" i="2"/>
  <c r="AF45" i="2" s="1"/>
  <c r="AF48" i="2"/>
  <c r="AF54" i="2" s="1"/>
  <c r="AC49" i="2"/>
  <c r="E78" i="2"/>
  <c r="AA75" i="2"/>
  <c r="AA81" i="2" s="1"/>
  <c r="L63" i="2"/>
  <c r="AH76" i="2" s="1"/>
  <c r="T64" i="2"/>
  <c r="L68" i="2"/>
  <c r="AH77" i="2" s="1"/>
  <c r="T69" i="2"/>
  <c r="AH69" i="2"/>
  <c r="L71" i="2"/>
  <c r="AH80" i="2" s="1"/>
  <c r="AF80" i="2"/>
  <c r="U77" i="2"/>
  <c r="AQ62" i="2" s="1"/>
  <c r="F78" i="2"/>
  <c r="N78" i="2" s="1"/>
  <c r="F105" i="2"/>
  <c r="N105" i="2" s="1"/>
  <c r="AJ93" i="2"/>
  <c r="M100" i="2"/>
  <c r="AE97" i="2"/>
  <c r="M101" i="2"/>
  <c r="M102" i="2"/>
  <c r="AE98" i="2"/>
  <c r="J105" i="2"/>
  <c r="AB129" i="2"/>
  <c r="T114" i="2"/>
  <c r="I127" i="2"/>
  <c r="I128" i="2"/>
  <c r="I129" i="2"/>
  <c r="M144" i="2"/>
  <c r="AE157" i="2"/>
  <c r="AC138" i="2"/>
  <c r="AC144" i="2" s="1"/>
  <c r="I146" i="2"/>
  <c r="AJ147" i="2"/>
  <c r="AE158" i="2"/>
  <c r="M149" i="2"/>
  <c r="AE165" i="2"/>
  <c r="AD171" i="2"/>
  <c r="AJ188" i="2"/>
  <c r="AF205" i="2"/>
  <c r="L209" i="2"/>
  <c r="AJ214" i="2"/>
  <c r="S227" i="2"/>
  <c r="R227" i="2" s="1"/>
  <c r="P227" i="2"/>
  <c r="AI219" i="2"/>
  <c r="AE220" i="2"/>
  <c r="M228" i="2"/>
  <c r="AJ233" i="2"/>
  <c r="AB267" i="2"/>
  <c r="AJ267" i="2" s="1"/>
  <c r="N258" i="2"/>
  <c r="F267" i="2"/>
  <c r="N267" i="2" s="1"/>
  <c r="AD279" i="2"/>
  <c r="AD288" i="2"/>
  <c r="U333" i="2"/>
  <c r="AQ346" i="2" s="1"/>
  <c r="AP346" i="2"/>
  <c r="U361" i="2"/>
  <c r="AQ365" i="2" s="1"/>
  <c r="AP365" i="2"/>
  <c r="AB366" i="2"/>
  <c r="AJ366" i="2" s="1"/>
  <c r="N369" i="2"/>
  <c r="T369" i="2"/>
  <c r="AJ399" i="2"/>
  <c r="N709" i="1"/>
  <c r="AF715" i="1"/>
  <c r="AF723" i="1"/>
  <c r="AF729" i="1" s="1"/>
  <c r="AC724" i="1"/>
  <c r="AB750" i="1"/>
  <c r="N763" i="1"/>
  <c r="AF769" i="1"/>
  <c r="AF777" i="1"/>
  <c r="AF783" i="1" s="1"/>
  <c r="AC778" i="1"/>
  <c r="AB804" i="1"/>
  <c r="N817" i="1"/>
  <c r="N822" i="1"/>
  <c r="AF831" i="1"/>
  <c r="AF837" i="1" s="1"/>
  <c r="AC832" i="1"/>
  <c r="AC837" i="1" s="1"/>
  <c r="N843" i="2"/>
  <c r="T843" i="2"/>
  <c r="AB858" i="2"/>
  <c r="N6" i="2"/>
  <c r="AG855" i="2"/>
  <c r="E846" i="2"/>
  <c r="AA859" i="2" s="1"/>
  <c r="K848" i="2"/>
  <c r="AG840" i="2" s="1"/>
  <c r="AG846" i="2" s="1"/>
  <c r="AF12" i="2"/>
  <c r="AF18" i="2" s="1"/>
  <c r="AC13" i="2"/>
  <c r="AC18" i="2" s="1"/>
  <c r="E851" i="2"/>
  <c r="AA860" i="2" s="1"/>
  <c r="AF861" i="2"/>
  <c r="H853" i="2"/>
  <c r="AD862" i="2" s="1"/>
  <c r="E854" i="2"/>
  <c r="AA863" i="2" s="1"/>
  <c r="L855" i="2"/>
  <c r="AH852" i="2" s="1"/>
  <c r="AF852" i="2"/>
  <c r="H856" i="2"/>
  <c r="AD843" i="2" s="1"/>
  <c r="AD846" i="2" s="1"/>
  <c r="H858" i="2"/>
  <c r="AD854" i="2" s="1"/>
  <c r="AD855" i="2" s="1"/>
  <c r="AC21" i="2"/>
  <c r="AC27" i="2" s="1"/>
  <c r="L860" i="2"/>
  <c r="AH845" i="2" s="1"/>
  <c r="AF845" i="2"/>
  <c r="T23" i="2"/>
  <c r="F24" i="2"/>
  <c r="N24" i="2" s="1"/>
  <c r="AP24" i="2"/>
  <c r="AB26" i="2"/>
  <c r="AJ26" i="2" s="1"/>
  <c r="AG48" i="2"/>
  <c r="AG54" i="2" s="1"/>
  <c r="AJ75" i="2"/>
  <c r="N60" i="2"/>
  <c r="M74" i="2"/>
  <c r="AE70" i="2"/>
  <c r="G105" i="2"/>
  <c r="I93" i="2"/>
  <c r="AC85" i="2"/>
  <c r="AP106" i="2"/>
  <c r="U97" i="2"/>
  <c r="AQ106" i="2" s="1"/>
  <c r="AF117" i="2"/>
  <c r="AE112" i="2"/>
  <c r="M120" i="2"/>
  <c r="AF132" i="2"/>
  <c r="L123" i="2"/>
  <c r="AI134" i="2"/>
  <c r="V125" i="2"/>
  <c r="S125" i="2"/>
  <c r="R125" i="2" s="1"/>
  <c r="P125" i="2"/>
  <c r="L126" i="2"/>
  <c r="AF123" i="2"/>
  <c r="AF126" i="2" s="1"/>
  <c r="I142" i="2"/>
  <c r="I159" i="2" s="1"/>
  <c r="AC147" i="2"/>
  <c r="AC153" i="2" s="1"/>
  <c r="AC149" i="2"/>
  <c r="I145" i="2"/>
  <c r="M153" i="2"/>
  <c r="U154" i="2"/>
  <c r="AQ141" i="2" s="1"/>
  <c r="AP141" i="2"/>
  <c r="U155" i="2"/>
  <c r="AQ151" i="2" s="1"/>
  <c r="AP151" i="2"/>
  <c r="U156" i="2"/>
  <c r="AQ152" i="2" s="1"/>
  <c r="AP152" i="2"/>
  <c r="AG162" i="2"/>
  <c r="M157" i="2"/>
  <c r="AE142" i="2"/>
  <c r="L174" i="2"/>
  <c r="AH166" i="2" s="1"/>
  <c r="AB177" i="2"/>
  <c r="AJ177" i="2" s="1"/>
  <c r="N180" i="2"/>
  <c r="T180" i="2"/>
  <c r="V184" i="2"/>
  <c r="P184" i="2"/>
  <c r="AI169" i="2"/>
  <c r="AB198" i="2"/>
  <c r="AJ198" i="2" s="1"/>
  <c r="T195" i="2"/>
  <c r="AF202" i="2"/>
  <c r="AF207" i="2" s="1"/>
  <c r="L197" i="2"/>
  <c r="P202" i="2"/>
  <c r="V202" i="2"/>
  <c r="S202" i="2"/>
  <c r="R202" i="2" s="1"/>
  <c r="AP204" i="2"/>
  <c r="AP207" i="2" s="1"/>
  <c r="AQ207" i="2" s="1"/>
  <c r="U207" i="2"/>
  <c r="AQ204" i="2" s="1"/>
  <c r="AJ212" i="2"/>
  <c r="AG234" i="2"/>
  <c r="AB240" i="2"/>
  <c r="AJ240" i="2" s="1"/>
  <c r="N231" i="2"/>
  <c r="AE231" i="2"/>
  <c r="M234" i="2"/>
  <c r="T235" i="2"/>
  <c r="N235" i="2"/>
  <c r="AJ222" i="2" s="1"/>
  <c r="AB222" i="2"/>
  <c r="AE258" i="2"/>
  <c r="H321" i="2"/>
  <c r="I398" i="2"/>
  <c r="AC394" i="2"/>
  <c r="I412" i="2"/>
  <c r="AC417" i="2"/>
  <c r="N735" i="1"/>
  <c r="N789" i="1"/>
  <c r="U793" i="1"/>
  <c r="AQ797" i="1" s="1"/>
  <c r="AK858" i="1"/>
  <c r="AK864" i="1" s="1"/>
  <c r="AB3" i="2"/>
  <c r="G861" i="2"/>
  <c r="AC858" i="2"/>
  <c r="I843" i="2"/>
  <c r="L7" i="2"/>
  <c r="AH12" i="2" s="1"/>
  <c r="AH18" i="2" s="1"/>
  <c r="I8" i="2"/>
  <c r="AB859" i="2"/>
  <c r="T846" i="2"/>
  <c r="N846" i="2"/>
  <c r="N9" i="2"/>
  <c r="L10" i="2"/>
  <c r="AH14" i="2" s="1"/>
  <c r="L11" i="2"/>
  <c r="AH3" i="2" s="1"/>
  <c r="L12" i="2"/>
  <c r="AH4" i="2" s="1"/>
  <c r="AG12" i="2"/>
  <c r="AG18" i="2" s="1"/>
  <c r="I13" i="2"/>
  <c r="AD13" i="2"/>
  <c r="N851" i="2"/>
  <c r="AJ860" i="2" s="1"/>
  <c r="AB860" i="2"/>
  <c r="T851" i="2"/>
  <c r="N14" i="2"/>
  <c r="K852" i="2"/>
  <c r="AG861" i="2" s="1"/>
  <c r="I16" i="2"/>
  <c r="T854" i="2"/>
  <c r="AB863" i="2"/>
  <c r="N17" i="2"/>
  <c r="I19" i="2"/>
  <c r="I20" i="2"/>
  <c r="I21" i="2"/>
  <c r="AB844" i="2"/>
  <c r="AJ844" i="2" s="1"/>
  <c r="N859" i="2"/>
  <c r="T859" i="2"/>
  <c r="N22" i="2"/>
  <c r="AA22" i="2"/>
  <c r="AJ22" i="2" s="1"/>
  <c r="AF23" i="2"/>
  <c r="G24" i="2"/>
  <c r="AA24" i="2"/>
  <c r="AJ24" i="2" s="1"/>
  <c r="T41" i="2"/>
  <c r="G78" i="2"/>
  <c r="L61" i="2"/>
  <c r="AH66" i="2" s="1"/>
  <c r="AH72" i="2" s="1"/>
  <c r="I62" i="2"/>
  <c r="AJ76" i="2"/>
  <c r="N63" i="2"/>
  <c r="N68" i="2"/>
  <c r="AF78" i="2"/>
  <c r="AF81" i="2" s="1"/>
  <c r="L69" i="2"/>
  <c r="AH78" i="2" s="1"/>
  <c r="Z81" i="2"/>
  <c r="M90" i="2"/>
  <c r="AE103" i="2"/>
  <c r="AC84" i="2"/>
  <c r="AC90" i="2" s="1"/>
  <c r="I92" i="2"/>
  <c r="AB105" i="2"/>
  <c r="AJ105" i="2" s="1"/>
  <c r="T96" i="2"/>
  <c r="AE106" i="2"/>
  <c r="M97" i="2"/>
  <c r="N99" i="2"/>
  <c r="T104" i="2"/>
  <c r="AB89" i="2"/>
  <c r="AJ89" i="2" s="1"/>
  <c r="AE111" i="2"/>
  <c r="M119" i="2"/>
  <c r="AD117" i="2"/>
  <c r="AP134" i="2"/>
  <c r="U125" i="2"/>
  <c r="AQ134" i="2" s="1"/>
  <c r="V130" i="2"/>
  <c r="S130" i="2"/>
  <c r="R130" i="2" s="1"/>
  <c r="AI115" i="2"/>
  <c r="P130" i="2"/>
  <c r="AF156" i="2"/>
  <c r="L141" i="2"/>
  <c r="M141" i="2" s="1"/>
  <c r="AD153" i="2"/>
  <c r="AH144" i="2"/>
  <c r="N150" i="2"/>
  <c r="S154" i="2"/>
  <c r="R154" i="2" s="1"/>
  <c r="AI141" i="2"/>
  <c r="P154" i="2"/>
  <c r="AE151" i="2"/>
  <c r="M155" i="2"/>
  <c r="M156" i="2"/>
  <c r="AE152" i="2"/>
  <c r="N158" i="2"/>
  <c r="J159" i="2"/>
  <c r="AJ161" i="2"/>
  <c r="L173" i="2"/>
  <c r="AH165" i="2" s="1"/>
  <c r="AH171" i="2" s="1"/>
  <c r="V176" i="2"/>
  <c r="S176" i="2"/>
  <c r="R176" i="2" s="1"/>
  <c r="P176" i="2"/>
  <c r="AI185" i="2"/>
  <c r="AE187" i="2"/>
  <c r="M178" i="2"/>
  <c r="AB178" i="2"/>
  <c r="AJ178" i="2" s="1"/>
  <c r="T182" i="2"/>
  <c r="AA201" i="2"/>
  <c r="AA207" i="2" s="1"/>
  <c r="U196" i="2"/>
  <c r="AQ201" i="2" s="1"/>
  <c r="I201" i="2"/>
  <c r="I213" i="2" s="1"/>
  <c r="AC193" i="2"/>
  <c r="AC198" i="2" s="1"/>
  <c r="AB207" i="2"/>
  <c r="U256" i="2"/>
  <c r="AQ248" i="2" s="1"/>
  <c r="AP248" i="2"/>
  <c r="AB315" i="2"/>
  <c r="AJ315" i="2" s="1"/>
  <c r="AJ309" i="2"/>
  <c r="N348" i="2"/>
  <c r="P365" i="2"/>
  <c r="V365" i="2"/>
  <c r="AI374" i="2"/>
  <c r="S365" i="2"/>
  <c r="R365" i="2" s="1"/>
  <c r="AB396" i="2"/>
  <c r="AJ396" i="2" s="1"/>
  <c r="AJ390" i="2"/>
  <c r="N76" i="2"/>
  <c r="T95" i="2"/>
  <c r="T98" i="2"/>
  <c r="T103" i="2"/>
  <c r="AB104" i="2"/>
  <c r="AJ104" i="2" s="1"/>
  <c r="AE105" i="2"/>
  <c r="AB106" i="2"/>
  <c r="AJ106" i="2" s="1"/>
  <c r="AJ111" i="2"/>
  <c r="N117" i="2"/>
  <c r="L118" i="2"/>
  <c r="AH122" i="2" s="1"/>
  <c r="N122" i="2"/>
  <c r="I124" i="2"/>
  <c r="I132" i="2" s="1"/>
  <c r="N125" i="2"/>
  <c r="AD129" i="2"/>
  <c r="AD135" i="2" s="1"/>
  <c r="N130" i="2"/>
  <c r="T144" i="2"/>
  <c r="T149" i="2"/>
  <c r="T152" i="2"/>
  <c r="T157" i="2"/>
  <c r="AB158" i="2"/>
  <c r="AJ158" i="2" s="1"/>
  <c r="AE159" i="2"/>
  <c r="AB160" i="2"/>
  <c r="AJ160" i="2" s="1"/>
  <c r="AJ165" i="2"/>
  <c r="AJ184" i="2"/>
  <c r="N171" i="2"/>
  <c r="L172" i="2"/>
  <c r="AH176" i="2" s="1"/>
  <c r="N176" i="2"/>
  <c r="AJ186" i="2"/>
  <c r="M180" i="2"/>
  <c r="T185" i="2"/>
  <c r="AJ194" i="2"/>
  <c r="N196" i="2"/>
  <c r="L198" i="2"/>
  <c r="AH211" i="2" s="1"/>
  <c r="AF211" i="2"/>
  <c r="AJ201" i="2"/>
  <c r="N202" i="2"/>
  <c r="L204" i="2"/>
  <c r="AH213" i="2" s="1"/>
  <c r="I207" i="2"/>
  <c r="AC204" i="2"/>
  <c r="U208" i="2"/>
  <c r="AQ195" i="2" s="1"/>
  <c r="AP195" i="2"/>
  <c r="N210" i="2"/>
  <c r="AG210" i="2"/>
  <c r="AG216" i="2" s="1"/>
  <c r="N212" i="2"/>
  <c r="AE212" i="2"/>
  <c r="AB213" i="2"/>
  <c r="AJ213" i="2" s="1"/>
  <c r="G240" i="2"/>
  <c r="I222" i="2"/>
  <c r="AC237" i="2"/>
  <c r="AC243" i="2" s="1"/>
  <c r="AE240" i="2"/>
  <c r="AB241" i="2"/>
  <c r="AJ241" i="2" s="1"/>
  <c r="T232" i="2"/>
  <c r="N232" i="2"/>
  <c r="AG242" i="2"/>
  <c r="AG243" i="2" s="1"/>
  <c r="L233" i="2"/>
  <c r="AH242" i="2" s="1"/>
  <c r="I235" i="2"/>
  <c r="AC222" i="2"/>
  <c r="AC225" i="2" s="1"/>
  <c r="L276" i="2"/>
  <c r="J294" i="2"/>
  <c r="AF284" i="2"/>
  <c r="AF288" i="2" s="1"/>
  <c r="L280" i="2"/>
  <c r="AH284" i="2" s="1"/>
  <c r="L282" i="2"/>
  <c r="AH274" i="2" s="1"/>
  <c r="AF274" i="2"/>
  <c r="AB285" i="2"/>
  <c r="AJ285" i="2" s="1"/>
  <c r="N288" i="2"/>
  <c r="T288" i="2"/>
  <c r="AC276" i="2"/>
  <c r="I289" i="2"/>
  <c r="T293" i="2"/>
  <c r="I305" i="2"/>
  <c r="AC310" i="2"/>
  <c r="L309" i="2"/>
  <c r="AH301" i="2" s="1"/>
  <c r="AF301" i="2"/>
  <c r="I318" i="2"/>
  <c r="AC314" i="2"/>
  <c r="AE305" i="2"/>
  <c r="M320" i="2"/>
  <c r="AF338" i="2"/>
  <c r="L334" i="2"/>
  <c r="AH338" i="2" s="1"/>
  <c r="J348" i="2"/>
  <c r="I337" i="2"/>
  <c r="AC329" i="2"/>
  <c r="AJ350" i="2"/>
  <c r="I360" i="2"/>
  <c r="AD373" i="2"/>
  <c r="AA369" i="2"/>
  <c r="I364" i="2"/>
  <c r="AC356" i="2"/>
  <c r="P373" i="2"/>
  <c r="S373" i="2"/>
  <c r="R373" i="2" s="1"/>
  <c r="V373" i="2"/>
  <c r="J375" i="2"/>
  <c r="L384" i="2"/>
  <c r="J402" i="2"/>
  <c r="AF399" i="2"/>
  <c r="L390" i="2"/>
  <c r="AH382" i="2" s="1"/>
  <c r="AF382" i="2"/>
  <c r="AB413" i="2"/>
  <c r="AJ413" i="2" s="1"/>
  <c r="T70" i="2"/>
  <c r="T73" i="2"/>
  <c r="T74" i="2"/>
  <c r="T75" i="2"/>
  <c r="N89" i="2"/>
  <c r="U90" i="2"/>
  <c r="AQ103" i="2" s="1"/>
  <c r="N94" i="2"/>
  <c r="AF95" i="2"/>
  <c r="N97" i="2"/>
  <c r="N100" i="2"/>
  <c r="AJ87" i="2" s="1"/>
  <c r="N101" i="2"/>
  <c r="N102" i="2"/>
  <c r="AA102" i="2"/>
  <c r="AA108" i="2" s="1"/>
  <c r="AF103" i="2"/>
  <c r="AF105" i="2"/>
  <c r="AC106" i="2"/>
  <c r="AC111" i="2"/>
  <c r="T116" i="2"/>
  <c r="T121" i="2"/>
  <c r="AB122" i="2"/>
  <c r="AJ122" i="2" s="1"/>
  <c r="T124" i="2"/>
  <c r="T127" i="2"/>
  <c r="T128" i="2"/>
  <c r="T129" i="2"/>
  <c r="AE129" i="2"/>
  <c r="AB130" i="2"/>
  <c r="AJ130" i="2" s="1"/>
  <c r="AB132" i="2"/>
  <c r="AJ132" i="2" s="1"/>
  <c r="N143" i="2"/>
  <c r="N148" i="2"/>
  <c r="AF149" i="2"/>
  <c r="AF153" i="2" s="1"/>
  <c r="N151" i="2"/>
  <c r="N154" i="2"/>
  <c r="AJ141" i="2" s="1"/>
  <c r="N155" i="2"/>
  <c r="N156" i="2"/>
  <c r="AA156" i="2"/>
  <c r="AA162" i="2" s="1"/>
  <c r="AF159" i="2"/>
  <c r="AC160" i="2"/>
  <c r="AC165" i="2"/>
  <c r="H186" i="2"/>
  <c r="T170" i="2"/>
  <c r="Z180" i="2"/>
  <c r="T175" i="2"/>
  <c r="AB176" i="2"/>
  <c r="AJ176" i="2" s="1"/>
  <c r="I177" i="2"/>
  <c r="AC186" i="2"/>
  <c r="AC189" i="2" s="1"/>
  <c r="T177" i="2"/>
  <c r="AF177" i="2"/>
  <c r="AF180" i="2" s="1"/>
  <c r="I185" i="2"/>
  <c r="I186" i="2" s="1"/>
  <c r="G186" i="2"/>
  <c r="AB187" i="2"/>
  <c r="AJ187" i="2" s="1"/>
  <c r="AF198" i="2"/>
  <c r="I196" i="2"/>
  <c r="AC197" i="2"/>
  <c r="L199" i="2"/>
  <c r="AH203" i="2" s="1"/>
  <c r="N200" i="2"/>
  <c r="AK207" i="2"/>
  <c r="N204" i="2"/>
  <c r="I208" i="2"/>
  <c r="AF212" i="2"/>
  <c r="AG225" i="2"/>
  <c r="AL221" i="2"/>
  <c r="AJ224" i="2"/>
  <c r="AF234" i="2"/>
  <c r="AF239" i="2"/>
  <c r="L230" i="2"/>
  <c r="T236" i="2"/>
  <c r="AB232" i="2"/>
  <c r="AJ232" i="2" s="1"/>
  <c r="M239" i="2"/>
  <c r="AG261" i="2"/>
  <c r="N255" i="2"/>
  <c r="M257" i="2"/>
  <c r="AA258" i="2"/>
  <c r="AA261" i="2" s="1"/>
  <c r="I263" i="2"/>
  <c r="K294" i="2"/>
  <c r="I277" i="2"/>
  <c r="AC282" i="2"/>
  <c r="AG279" i="2"/>
  <c r="M283" i="2"/>
  <c r="AE275" i="2"/>
  <c r="AF294" i="2"/>
  <c r="L285" i="2"/>
  <c r="M290" i="2"/>
  <c r="AE286" i="2"/>
  <c r="AP309" i="2"/>
  <c r="U304" i="2"/>
  <c r="AQ309" i="2" s="1"/>
  <c r="AF315" i="2"/>
  <c r="I310" i="2"/>
  <c r="P311" i="2"/>
  <c r="V311" i="2"/>
  <c r="L315" i="2"/>
  <c r="AF312" i="2"/>
  <c r="AI320" i="2"/>
  <c r="AD333" i="2"/>
  <c r="I338" i="2"/>
  <c r="AF348" i="2"/>
  <c r="AF351" i="2" s="1"/>
  <c r="L339" i="2"/>
  <c r="AH348" i="2" s="1"/>
  <c r="AC340" i="2"/>
  <c r="Z351" i="2"/>
  <c r="AG364" i="2"/>
  <c r="AG369" i="2" s="1"/>
  <c r="L359" i="2"/>
  <c r="AH364" i="2" s="1"/>
  <c r="N373" i="2"/>
  <c r="U374" i="2"/>
  <c r="AQ359" i="2" s="1"/>
  <c r="AP359" i="2"/>
  <c r="K402" i="2"/>
  <c r="AG387" i="2"/>
  <c r="AP404" i="2"/>
  <c r="U395" i="2"/>
  <c r="AQ404" i="2" s="1"/>
  <c r="E402" i="2"/>
  <c r="Z414" i="2"/>
  <c r="K429" i="2"/>
  <c r="T88" i="2"/>
  <c r="T91" i="2"/>
  <c r="T92" i="2"/>
  <c r="T93" i="2"/>
  <c r="L95" i="2"/>
  <c r="AH104" i="2" s="1"/>
  <c r="AB102" i="2"/>
  <c r="N115" i="2"/>
  <c r="N118" i="2"/>
  <c r="N119" i="2"/>
  <c r="N120" i="2"/>
  <c r="AC122" i="2"/>
  <c r="AF129" i="2"/>
  <c r="AF135" i="2" s="1"/>
  <c r="T142" i="2"/>
  <c r="T145" i="2"/>
  <c r="T146" i="2"/>
  <c r="T147" i="2"/>
  <c r="AB156" i="2"/>
  <c r="AE183" i="2"/>
  <c r="N169" i="2"/>
  <c r="N172" i="2"/>
  <c r="N173" i="2"/>
  <c r="N174" i="2"/>
  <c r="J186" i="2"/>
  <c r="AF210" i="2"/>
  <c r="AF216" i="2" s="1"/>
  <c r="L195" i="2"/>
  <c r="M195" i="2" s="1"/>
  <c r="AD207" i="2"/>
  <c r="I200" i="2"/>
  <c r="Z207" i="2"/>
  <c r="U202" i="2"/>
  <c r="AQ194" i="2" s="1"/>
  <c r="AP212" i="2"/>
  <c r="U203" i="2"/>
  <c r="AQ212" i="2" s="1"/>
  <c r="U210" i="2"/>
  <c r="AQ206" i="2" s="1"/>
  <c r="U211" i="2"/>
  <c r="AQ196" i="2" s="1"/>
  <c r="T212" i="2"/>
  <c r="AF237" i="2"/>
  <c r="J240" i="2"/>
  <c r="M226" i="2"/>
  <c r="L231" i="2"/>
  <c r="AH240" i="2" s="1"/>
  <c r="AA231" i="2"/>
  <c r="AJ231" i="2" s="1"/>
  <c r="N233" i="2"/>
  <c r="M236" i="2"/>
  <c r="AE232" i="2"/>
  <c r="AK243" i="2"/>
  <c r="AB242" i="2"/>
  <c r="AJ242" i="2" s="1"/>
  <c r="AP242" i="2"/>
  <c r="AB264" i="2"/>
  <c r="N249" i="2"/>
  <c r="AB246" i="2"/>
  <c r="N254" i="2"/>
  <c r="T255" i="2"/>
  <c r="AC256" i="2"/>
  <c r="AJ277" i="2"/>
  <c r="AP336" i="2"/>
  <c r="U331" i="2"/>
  <c r="AQ336" i="2" s="1"/>
  <c r="AD350" i="2"/>
  <c r="I341" i="2"/>
  <c r="AC330" i="2"/>
  <c r="I343" i="2"/>
  <c r="M344" i="2"/>
  <c r="AE340" i="2"/>
  <c r="AJ345" i="2"/>
  <c r="AI332" i="2"/>
  <c r="P347" i="2"/>
  <c r="V347" i="2"/>
  <c r="S347" i="2"/>
  <c r="R347" i="2" s="1"/>
  <c r="N357" i="2"/>
  <c r="F375" i="2"/>
  <c r="AB372" i="2"/>
  <c r="AC354" i="2"/>
  <c r="I362" i="2"/>
  <c r="M369" i="2"/>
  <c r="AE401" i="2"/>
  <c r="M392" i="2"/>
  <c r="P411" i="2"/>
  <c r="AI426" i="2"/>
  <c r="V411" i="2"/>
  <c r="S411" i="2"/>
  <c r="R411" i="2" s="1"/>
  <c r="AJ427" i="2"/>
  <c r="I421" i="2"/>
  <c r="AC430" i="2"/>
  <c r="M422" i="2"/>
  <c r="AE431" i="2"/>
  <c r="AF432" i="2"/>
  <c r="AA477" i="2"/>
  <c r="N87" i="2"/>
  <c r="AF93" i="2"/>
  <c r="AC94" i="2"/>
  <c r="AC102" i="2"/>
  <c r="AB107" i="2"/>
  <c r="AJ107" i="2" s="1"/>
  <c r="AJ120" i="2"/>
  <c r="N126" i="2"/>
  <c r="AG129" i="2"/>
  <c r="AG135" i="2" s="1"/>
  <c r="J132" i="2"/>
  <c r="N141" i="2"/>
  <c r="AC156" i="2"/>
  <c r="AF189" i="2"/>
  <c r="AJ174" i="2"/>
  <c r="K186" i="2"/>
  <c r="N198" i="2"/>
  <c r="N206" i="2"/>
  <c r="M212" i="2"/>
  <c r="K240" i="2"/>
  <c r="AB229" i="2"/>
  <c r="AJ229" i="2" s="1"/>
  <c r="T224" i="2"/>
  <c r="N224" i="2"/>
  <c r="N229" i="2"/>
  <c r="T237" i="2"/>
  <c r="N237" i="2"/>
  <c r="AE246" i="2"/>
  <c r="AF267" i="2"/>
  <c r="AF270" i="2" s="1"/>
  <c r="L258" i="2"/>
  <c r="N266" i="2"/>
  <c r="AP284" i="2"/>
  <c r="AG276" i="2"/>
  <c r="L289" i="2"/>
  <c r="AH276" i="2" s="1"/>
  <c r="M291" i="2"/>
  <c r="AE287" i="2"/>
  <c r="AB291" i="2"/>
  <c r="F294" i="2"/>
  <c r="P303" i="2"/>
  <c r="AI318" i="2"/>
  <c r="V303" i="2"/>
  <c r="S303" i="2"/>
  <c r="R303" i="2" s="1"/>
  <c r="I304" i="2"/>
  <c r="AC309" i="2"/>
  <c r="U308" i="2"/>
  <c r="AQ300" i="2" s="1"/>
  <c r="AP300" i="2"/>
  <c r="L318" i="2"/>
  <c r="AH314" i="2" s="1"/>
  <c r="AG314" i="2"/>
  <c r="AG329" i="2"/>
  <c r="AG333" i="2" s="1"/>
  <c r="L337" i="2"/>
  <c r="AH329" i="2" s="1"/>
  <c r="U346" i="2"/>
  <c r="AQ331" i="2" s="1"/>
  <c r="AP331" i="2"/>
  <c r="N347" i="2"/>
  <c r="L363" i="2"/>
  <c r="AH355" i="2" s="1"/>
  <c r="AF355" i="2"/>
  <c r="L369" i="2"/>
  <c r="AH366" i="2" s="1"/>
  <c r="AF366" i="2"/>
  <c r="I371" i="2"/>
  <c r="AC367" i="2"/>
  <c r="I372" i="2"/>
  <c r="AC368" i="2"/>
  <c r="AP409" i="2"/>
  <c r="U417" i="2"/>
  <c r="AQ409" i="2" s="1"/>
  <c r="AJ417" i="2"/>
  <c r="I425" i="2"/>
  <c r="AC421" i="2"/>
  <c r="P427" i="2"/>
  <c r="AI412" i="2"/>
  <c r="V427" i="2"/>
  <c r="S427" i="2"/>
  <c r="R427" i="2" s="1"/>
  <c r="AG441" i="2"/>
  <c r="AB79" i="2"/>
  <c r="AJ79" i="2" s="1"/>
  <c r="AJ84" i="2"/>
  <c r="N90" i="2"/>
  <c r="AF96" i="2"/>
  <c r="AD102" i="2"/>
  <c r="AD108" i="2" s="1"/>
  <c r="AC112" i="2"/>
  <c r="AC120" i="2"/>
  <c r="T122" i="2"/>
  <c r="AB133" i="2"/>
  <c r="AJ133" i="2" s="1"/>
  <c r="AJ138" i="2"/>
  <c r="N144" i="2"/>
  <c r="AF150" i="2"/>
  <c r="AD156" i="2"/>
  <c r="AD162" i="2" s="1"/>
  <c r="AC166" i="2"/>
  <c r="T171" i="2"/>
  <c r="AC174" i="2"/>
  <c r="AC180" i="2" s="1"/>
  <c r="T176" i="2"/>
  <c r="U181" i="2"/>
  <c r="AQ168" i="2" s="1"/>
  <c r="AD183" i="2"/>
  <c r="AD189" i="2" s="1"/>
  <c r="AK198" i="2"/>
  <c r="N199" i="2"/>
  <c r="AC207" i="2"/>
  <c r="AA203" i="2"/>
  <c r="AJ203" i="2" s="1"/>
  <c r="AC213" i="2"/>
  <c r="I204" i="2"/>
  <c r="N205" i="2"/>
  <c r="L222" i="2"/>
  <c r="N230" i="2"/>
  <c r="AE230" i="2"/>
  <c r="N234" i="2"/>
  <c r="I237" i="2"/>
  <c r="AC233" i="2"/>
  <c r="AC234" i="2" s="1"/>
  <c r="AF238" i="2"/>
  <c r="U239" i="2"/>
  <c r="AQ224" i="2" s="1"/>
  <c r="AC246" i="2"/>
  <c r="H267" i="2"/>
  <c r="AD264" i="2"/>
  <c r="AD270" i="2" s="1"/>
  <c r="I249" i="2"/>
  <c r="U250" i="2"/>
  <c r="AQ255" i="2" s="1"/>
  <c r="M251" i="2"/>
  <c r="AE256" i="2"/>
  <c r="I255" i="2"/>
  <c r="AC247" i="2"/>
  <c r="AB258" i="2"/>
  <c r="AJ258" i="2" s="1"/>
  <c r="T261" i="2"/>
  <c r="U266" i="2"/>
  <c r="AQ251" i="2" s="1"/>
  <c r="AP251" i="2"/>
  <c r="T276" i="2"/>
  <c r="U282" i="2"/>
  <c r="AQ274" i="2" s="1"/>
  <c r="AJ293" i="2"/>
  <c r="N285" i="2"/>
  <c r="L286" i="2"/>
  <c r="AH295" i="2" s="1"/>
  <c r="AP296" i="2"/>
  <c r="U287" i="2"/>
  <c r="AQ296" i="2" s="1"/>
  <c r="L288" i="2"/>
  <c r="AF285" i="2"/>
  <c r="U292" i="2"/>
  <c r="AQ277" i="2" s="1"/>
  <c r="AP277" i="2"/>
  <c r="L293" i="2"/>
  <c r="AF278" i="2"/>
  <c r="AE293" i="2"/>
  <c r="AA318" i="2"/>
  <c r="AA324" i="2" s="1"/>
  <c r="E321" i="2"/>
  <c r="N321" i="2" s="1"/>
  <c r="N303" i="2"/>
  <c r="AB311" i="2"/>
  <c r="AJ311" i="2" s="1"/>
  <c r="N307" i="2"/>
  <c r="U309" i="2"/>
  <c r="AQ301" i="2" s="1"/>
  <c r="AG313" i="2"/>
  <c r="AG315" i="2" s="1"/>
  <c r="AJ318" i="2"/>
  <c r="AP328" i="2"/>
  <c r="U336" i="2"/>
  <c r="AQ328" i="2" s="1"/>
  <c r="AP339" i="2"/>
  <c r="U342" i="2"/>
  <c r="AQ339" i="2" s="1"/>
  <c r="T358" i="2"/>
  <c r="N358" i="2"/>
  <c r="AF372" i="2"/>
  <c r="AL377" i="2"/>
  <c r="AO377" i="2"/>
  <c r="AN377" i="2" s="1"/>
  <c r="AR377" i="2"/>
  <c r="AD387" i="2"/>
  <c r="F402" i="2"/>
  <c r="T384" i="2"/>
  <c r="N384" i="2"/>
  <c r="U385" i="2"/>
  <c r="AQ390" i="2" s="1"/>
  <c r="I417" i="2"/>
  <c r="AC409" i="2"/>
  <c r="N428" i="2"/>
  <c r="AC69" i="2"/>
  <c r="AC72" i="2" s="1"/>
  <c r="AB95" i="2"/>
  <c r="AJ95" i="2" s="1"/>
  <c r="AE102" i="2"/>
  <c r="AE108" i="2" s="1"/>
  <c r="AA129" i="2"/>
  <c r="AA135" i="2" s="1"/>
  <c r="AB149" i="2"/>
  <c r="AJ149" i="2" s="1"/>
  <c r="AE156" i="2"/>
  <c r="L168" i="2"/>
  <c r="M168" i="2" s="1"/>
  <c r="I172" i="2"/>
  <c r="L177" i="2"/>
  <c r="AH186" i="2" s="1"/>
  <c r="AE178" i="2"/>
  <c r="L182" i="2"/>
  <c r="AH178" i="2" s="1"/>
  <c r="U183" i="2"/>
  <c r="AQ179" i="2" s="1"/>
  <c r="N183" i="2"/>
  <c r="L196" i="2"/>
  <c r="AH201" i="2" s="1"/>
  <c r="U197" i="2"/>
  <c r="AQ202" i="2" s="1"/>
  <c r="AC203" i="2"/>
  <c r="I199" i="2"/>
  <c r="AG198" i="2"/>
  <c r="U209" i="2"/>
  <c r="AQ205" i="2" s="1"/>
  <c r="AC210" i="2"/>
  <c r="G213" i="2"/>
  <c r="S224" i="2"/>
  <c r="R224" i="2" s="1"/>
  <c r="M225" i="2"/>
  <c r="L226" i="2"/>
  <c r="AH230" i="2" s="1"/>
  <c r="AH234" i="2" s="1"/>
  <c r="Z234" i="2"/>
  <c r="S229" i="2"/>
  <c r="R229" i="2" s="1"/>
  <c r="AI229" i="2"/>
  <c r="AJ239" i="2"/>
  <c r="AA243" i="2"/>
  <c r="L249" i="2"/>
  <c r="J267" i="2"/>
  <c r="N250" i="2"/>
  <c r="AD261" i="2"/>
  <c r="AJ251" i="2"/>
  <c r="L253" i="2"/>
  <c r="AH257" i="2" s="1"/>
  <c r="AF257" i="2"/>
  <c r="AF261" i="2" s="1"/>
  <c r="L254" i="2"/>
  <c r="AH246" i="2" s="1"/>
  <c r="AF246" i="2"/>
  <c r="AF252" i="2" s="1"/>
  <c r="AB255" i="2"/>
  <c r="L256" i="2"/>
  <c r="AH248" i="2" s="1"/>
  <c r="I264" i="2"/>
  <c r="AA266" i="2"/>
  <c r="AA270" i="2" s="1"/>
  <c r="AG275" i="2"/>
  <c r="G294" i="2"/>
  <c r="AJ292" i="2"/>
  <c r="AB273" i="2"/>
  <c r="T281" i="2"/>
  <c r="AF291" i="2"/>
  <c r="AF297" i="2" s="1"/>
  <c r="AI293" i="2"/>
  <c r="AP318" i="2"/>
  <c r="U303" i="2"/>
  <c r="AQ318" i="2" s="1"/>
  <c r="U306" i="2"/>
  <c r="AQ319" i="2" s="1"/>
  <c r="M307" i="2"/>
  <c r="AE311" i="2"/>
  <c r="AC300" i="2"/>
  <c r="I308" i="2"/>
  <c r="AJ310" i="2"/>
  <c r="AC311" i="2"/>
  <c r="U312" i="2"/>
  <c r="AQ321" i="2" s="1"/>
  <c r="AP321" i="2"/>
  <c r="AG322" i="2"/>
  <c r="AG324" i="2" s="1"/>
  <c r="L313" i="2"/>
  <c r="AH322" i="2" s="1"/>
  <c r="AK324" i="2"/>
  <c r="I319" i="2"/>
  <c r="AB305" i="2"/>
  <c r="AJ305" i="2" s="1"/>
  <c r="T320" i="2"/>
  <c r="AD342" i="2"/>
  <c r="AB348" i="2"/>
  <c r="AJ348" i="2" s="1"/>
  <c r="T339" i="2"/>
  <c r="N339" i="2"/>
  <c r="AG330" i="2"/>
  <c r="L343" i="2"/>
  <c r="AH330" i="2" s="1"/>
  <c r="I358" i="2"/>
  <c r="I375" i="2" s="1"/>
  <c r="AC363" i="2"/>
  <c r="L361" i="2"/>
  <c r="AH365" i="2" s="1"/>
  <c r="AF365" i="2"/>
  <c r="AG360" i="2"/>
  <c r="T363" i="2"/>
  <c r="AB381" i="2"/>
  <c r="T389" i="2"/>
  <c r="AP392" i="2"/>
  <c r="AP396" i="2" s="1"/>
  <c r="AQ396" i="2" s="1"/>
  <c r="L396" i="2"/>
  <c r="AH393" i="2" s="1"/>
  <c r="AF393" i="2"/>
  <c r="G429" i="2"/>
  <c r="E186" i="2"/>
  <c r="M179" i="2"/>
  <c r="E213" i="2"/>
  <c r="U198" i="2"/>
  <c r="AQ211" i="2" s="1"/>
  <c r="AP214" i="2"/>
  <c r="U205" i="2"/>
  <c r="AQ214" i="2" s="1"/>
  <c r="AP215" i="2"/>
  <c r="U206" i="2"/>
  <c r="AQ215" i="2" s="1"/>
  <c r="M211" i="2"/>
  <c r="AP211" i="2"/>
  <c r="H213" i="2"/>
  <c r="AB225" i="2"/>
  <c r="AJ225" i="2" s="1"/>
  <c r="AO221" i="2"/>
  <c r="AN221" i="2" s="1"/>
  <c r="E240" i="2"/>
  <c r="N240" i="2" s="1"/>
  <c r="V224" i="2"/>
  <c r="AB234" i="2"/>
  <c r="V229" i="2"/>
  <c r="P238" i="2"/>
  <c r="S238" i="2"/>
  <c r="R238" i="2" s="1"/>
  <c r="AI223" i="2"/>
  <c r="K267" i="2"/>
  <c r="I250" i="2"/>
  <c r="AC255" i="2"/>
  <c r="AC261" i="2" s="1"/>
  <c r="AA265" i="2"/>
  <c r="U252" i="2"/>
  <c r="AQ265" i="2" s="1"/>
  <c r="AI265" i="2"/>
  <c r="S252" i="2"/>
  <c r="R252" i="2" s="1"/>
  <c r="AG252" i="2"/>
  <c r="M260" i="2"/>
  <c r="I262" i="2"/>
  <c r="AC249" i="2"/>
  <c r="Z270" i="2"/>
  <c r="M265" i="2"/>
  <c r="E267" i="2"/>
  <c r="AA279" i="2"/>
  <c r="I281" i="2"/>
  <c r="AC273" i="2"/>
  <c r="AA288" i="2"/>
  <c r="AC287" i="2"/>
  <c r="AC297" i="2"/>
  <c r="G321" i="2"/>
  <c r="AC303" i="2"/>
  <c r="I316" i="2"/>
  <c r="AI345" i="2"/>
  <c r="V330" i="2"/>
  <c r="P330" i="2"/>
  <c r="S330" i="2"/>
  <c r="R330" i="2" s="1"/>
  <c r="M333" i="2"/>
  <c r="AB327" i="2"/>
  <c r="T335" i="2"/>
  <c r="N335" i="2"/>
  <c r="AH372" i="2"/>
  <c r="I359" i="2"/>
  <c r="AC364" i="2"/>
  <c r="AA396" i="2"/>
  <c r="N393" i="2"/>
  <c r="T412" i="2"/>
  <c r="T429" i="2" s="1"/>
  <c r="U429" i="2" s="1"/>
  <c r="N412" i="2"/>
  <c r="L416" i="2"/>
  <c r="AH408" i="2" s="1"/>
  <c r="AF408" i="2"/>
  <c r="V423" i="2"/>
  <c r="P423" i="2"/>
  <c r="S423" i="2"/>
  <c r="R423" i="2" s="1"/>
  <c r="AI420" i="2"/>
  <c r="U428" i="2"/>
  <c r="AQ413" i="2" s="1"/>
  <c r="AP413" i="2"/>
  <c r="AJ458" i="2"/>
  <c r="G348" i="2"/>
  <c r="AP345" i="2"/>
  <c r="U330" i="2"/>
  <c r="AQ345" i="2" s="1"/>
  <c r="I331" i="2"/>
  <c r="I348" i="2" s="1"/>
  <c r="AC336" i="2"/>
  <c r="AC342" i="2" s="1"/>
  <c r="I332" i="2"/>
  <c r="AF327" i="2"/>
  <c r="AF333" i="2" s="1"/>
  <c r="L335" i="2"/>
  <c r="AH327" i="2" s="1"/>
  <c r="AH333" i="2" s="1"/>
  <c r="I336" i="2"/>
  <c r="AC328" i="2"/>
  <c r="AJ339" i="2"/>
  <c r="AP332" i="2"/>
  <c r="U347" i="2"/>
  <c r="AQ332" i="2" s="1"/>
  <c r="L358" i="2"/>
  <c r="AH363" i="2" s="1"/>
  <c r="AH369" i="2" s="1"/>
  <c r="U372" i="2"/>
  <c r="AQ368" i="2" s="1"/>
  <c r="AA405" i="2"/>
  <c r="P387" i="2"/>
  <c r="AI400" i="2"/>
  <c r="AE392" i="2"/>
  <c r="U393" i="2"/>
  <c r="AQ402" i="2" s="1"/>
  <c r="I395" i="2"/>
  <c r="AD404" i="2"/>
  <c r="L398" i="2"/>
  <c r="AH394" i="2" s="1"/>
  <c r="I399" i="2"/>
  <c r="Z405" i="2"/>
  <c r="F429" i="2"/>
  <c r="AP426" i="2"/>
  <c r="U411" i="2"/>
  <c r="AQ426" i="2" s="1"/>
  <c r="L412" i="2"/>
  <c r="AH417" i="2" s="1"/>
  <c r="AH423" i="2" s="1"/>
  <c r="AF417" i="2"/>
  <c r="AF423" i="2" s="1"/>
  <c r="AG423" i="2"/>
  <c r="AE428" i="2"/>
  <c r="M419" i="2"/>
  <c r="T423" i="2"/>
  <c r="AB420" i="2"/>
  <c r="AJ420" i="2" s="1"/>
  <c r="AA441" i="2"/>
  <c r="AP453" i="2"/>
  <c r="U438" i="2"/>
  <c r="AQ453" i="2" s="1"/>
  <c r="L445" i="2"/>
  <c r="AH437" i="2" s="1"/>
  <c r="L448" i="2"/>
  <c r="AH457" i="2" s="1"/>
  <c r="AC448" i="2"/>
  <c r="AG464" i="2"/>
  <c r="AG468" i="2" s="1"/>
  <c r="G483" i="2"/>
  <c r="M468" i="2"/>
  <c r="AE481" i="2"/>
  <c r="M469" i="2"/>
  <c r="AE473" i="2"/>
  <c r="AB468" i="2"/>
  <c r="AJ468" i="2" s="1"/>
  <c r="AJ462" i="2"/>
  <c r="T471" i="2"/>
  <c r="AK477" i="2"/>
  <c r="AA474" i="2"/>
  <c r="AC465" i="2"/>
  <c r="I478" i="2"/>
  <c r="U479" i="2"/>
  <c r="AQ475" i="2" s="1"/>
  <c r="AD482" i="2"/>
  <c r="N492" i="2"/>
  <c r="AB507" i="2"/>
  <c r="AP501" i="2"/>
  <c r="U504" i="2"/>
  <c r="AQ501" i="2" s="1"/>
  <c r="AP516" i="2"/>
  <c r="U524" i="2"/>
  <c r="AQ516" i="2" s="1"/>
  <c r="T530" i="2"/>
  <c r="AB539" i="2"/>
  <c r="AJ539" i="2" s="1"/>
  <c r="AF561" i="2"/>
  <c r="L546" i="2"/>
  <c r="I563" i="2"/>
  <c r="AC548" i="2"/>
  <c r="AE610" i="2"/>
  <c r="M614" i="2"/>
  <c r="S615" i="2"/>
  <c r="R615" i="2" s="1"/>
  <c r="AI611" i="2"/>
  <c r="P615" i="2"/>
  <c r="AP629" i="2"/>
  <c r="U644" i="2"/>
  <c r="AQ629" i="2" s="1"/>
  <c r="AP787" i="2"/>
  <c r="U795" i="2"/>
  <c r="AQ787" i="2" s="1"/>
  <c r="P805" i="3"/>
  <c r="V805" i="3"/>
  <c r="S805" i="3"/>
  <c r="R805" i="3" s="1"/>
  <c r="AI790" i="3"/>
  <c r="AP419" i="2"/>
  <c r="U415" i="2"/>
  <c r="AQ419" i="2" s="1"/>
  <c r="AE410" i="2"/>
  <c r="M418" i="2"/>
  <c r="AB429" i="2"/>
  <c r="AJ429" i="2" s="1"/>
  <c r="T420" i="2"/>
  <c r="AE446" i="2"/>
  <c r="M442" i="2"/>
  <c r="AJ435" i="2"/>
  <c r="AP458" i="2"/>
  <c r="U449" i="2"/>
  <c r="AQ458" i="2" s="1"/>
  <c r="L450" i="2"/>
  <c r="AH447" i="2" s="1"/>
  <c r="AF447" i="2"/>
  <c r="M452" i="2"/>
  <c r="AE448" i="2"/>
  <c r="AO466" i="2"/>
  <c r="AN466" i="2" s="1"/>
  <c r="AL466" i="2"/>
  <c r="I467" i="2"/>
  <c r="AC472" i="2"/>
  <c r="AC462" i="2"/>
  <c r="I470" i="2"/>
  <c r="U495" i="2"/>
  <c r="AQ508" i="2" s="1"/>
  <c r="AP508" i="2"/>
  <c r="L501" i="2"/>
  <c r="AH510" i="2" s="1"/>
  <c r="AF510" i="2"/>
  <c r="AH535" i="2"/>
  <c r="M522" i="2"/>
  <c r="I524" i="2"/>
  <c r="AC516" i="2"/>
  <c r="AD518" i="2"/>
  <c r="AD522" i="2" s="1"/>
  <c r="I526" i="2"/>
  <c r="M534" i="2"/>
  <c r="AE530" i="2"/>
  <c r="S553" i="2"/>
  <c r="R553" i="2" s="1"/>
  <c r="P553" i="2"/>
  <c r="AI545" i="2"/>
  <c r="V553" i="2"/>
  <c r="AC588" i="2"/>
  <c r="G591" i="2"/>
  <c r="I573" i="2"/>
  <c r="L585" i="2"/>
  <c r="AH582" i="2" s="1"/>
  <c r="AF582" i="2"/>
  <c r="AF585" i="2" s="1"/>
  <c r="AD573" i="2"/>
  <c r="AD576" i="2" s="1"/>
  <c r="I586" i="2"/>
  <c r="AE674" i="2"/>
  <c r="M665" i="2"/>
  <c r="AF708" i="2"/>
  <c r="L721" i="2"/>
  <c r="AH708" i="2" s="1"/>
  <c r="N197" i="2"/>
  <c r="N209" i="2"/>
  <c r="AA210" i="2"/>
  <c r="AA216" i="2" s="1"/>
  <c r="H240" i="2"/>
  <c r="AD237" i="2"/>
  <c r="AD243" i="2" s="1"/>
  <c r="T253" i="2"/>
  <c r="AK261" i="2"/>
  <c r="AE248" i="2"/>
  <c r="M256" i="2"/>
  <c r="L261" i="2"/>
  <c r="AH258" i="2" s="1"/>
  <c r="AF258" i="2"/>
  <c r="N265" i="2"/>
  <c r="H294" i="2"/>
  <c r="AJ284" i="2"/>
  <c r="AJ294" i="2"/>
  <c r="AC295" i="2"/>
  <c r="I286" i="2"/>
  <c r="L308" i="2"/>
  <c r="AH300" i="2" s="1"/>
  <c r="AH306" i="2" s="1"/>
  <c r="AF300" i="2"/>
  <c r="I309" i="2"/>
  <c r="AC301" i="2"/>
  <c r="N312" i="2"/>
  <c r="AJ312" i="2"/>
  <c r="U317" i="2"/>
  <c r="AQ313" i="2" s="1"/>
  <c r="J321" i="2"/>
  <c r="AB342" i="2"/>
  <c r="AJ342" i="2" s="1"/>
  <c r="S346" i="2"/>
  <c r="R346" i="2" s="1"/>
  <c r="K375" i="2"/>
  <c r="AJ365" i="2"/>
  <c r="N365" i="2"/>
  <c r="Z378" i="2"/>
  <c r="M374" i="2"/>
  <c r="E375" i="2"/>
  <c r="G402" i="2"/>
  <c r="I385" i="2"/>
  <c r="AC390" i="2"/>
  <c r="AC396" i="2" s="1"/>
  <c r="M386" i="2"/>
  <c r="AE391" i="2"/>
  <c r="S387" i="2"/>
  <c r="R387" i="2" s="1"/>
  <c r="AF392" i="2"/>
  <c r="AF396" i="2" s="1"/>
  <c r="L388" i="2"/>
  <c r="AH392" i="2" s="1"/>
  <c r="I389" i="2"/>
  <c r="AC381" i="2"/>
  <c r="M391" i="2"/>
  <c r="AE383" i="2"/>
  <c r="AC395" i="2"/>
  <c r="N396" i="2"/>
  <c r="AP393" i="2"/>
  <c r="U396" i="2"/>
  <c r="AQ393" i="2" s="1"/>
  <c r="U400" i="2"/>
  <c r="AQ385" i="2" s="1"/>
  <c r="AP385" i="2"/>
  <c r="M401" i="2"/>
  <c r="AB409" i="2"/>
  <c r="AJ409" i="2" s="1"/>
  <c r="H429" i="2"/>
  <c r="L421" i="2"/>
  <c r="AH430" i="2" s="1"/>
  <c r="AG432" i="2"/>
  <c r="AD441" i="2"/>
  <c r="H456" i="2"/>
  <c r="AG450" i="2"/>
  <c r="AE435" i="2"/>
  <c r="N447" i="2"/>
  <c r="U447" i="2"/>
  <c r="AQ456" i="2" s="1"/>
  <c r="E456" i="2"/>
  <c r="AP456" i="2"/>
  <c r="T466" i="2"/>
  <c r="AB467" i="2"/>
  <c r="AJ467" i="2" s="1"/>
  <c r="L469" i="2"/>
  <c r="AH473" i="2" s="1"/>
  <c r="AF473" i="2"/>
  <c r="I471" i="2"/>
  <c r="AC463" i="2"/>
  <c r="AG472" i="2"/>
  <c r="I479" i="2"/>
  <c r="AC475" i="2"/>
  <c r="U480" i="2"/>
  <c r="AQ476" i="2" s="1"/>
  <c r="M482" i="2"/>
  <c r="AI485" i="2"/>
  <c r="I498" i="2"/>
  <c r="AC490" i="2"/>
  <c r="AB528" i="2"/>
  <c r="AJ528" i="2" s="1"/>
  <c r="T531" i="2"/>
  <c r="N531" i="2"/>
  <c r="AP521" i="2"/>
  <c r="U536" i="2"/>
  <c r="AQ521" i="2" s="1"/>
  <c r="G537" i="2"/>
  <c r="Z549" i="2"/>
  <c r="AE553" i="2"/>
  <c r="M548" i="2"/>
  <c r="AG561" i="2"/>
  <c r="AG567" i="2" s="1"/>
  <c r="I575" i="2"/>
  <c r="L579" i="2"/>
  <c r="AH571" i="2" s="1"/>
  <c r="AH576" i="2" s="1"/>
  <c r="AO599" i="2"/>
  <c r="AN599" i="2" s="1"/>
  <c r="AR599" i="2"/>
  <c r="AL599" i="2"/>
  <c r="S610" i="2"/>
  <c r="R610" i="2" s="1"/>
  <c r="P610" i="2"/>
  <c r="AI619" i="2"/>
  <c r="V610" i="2"/>
  <c r="I633" i="2"/>
  <c r="AC625" i="2"/>
  <c r="AA768" i="2"/>
  <c r="AA774" i="2" s="1"/>
  <c r="N763" i="2"/>
  <c r="N223" i="2"/>
  <c r="N226" i="2"/>
  <c r="N227" i="2"/>
  <c r="N228" i="2"/>
  <c r="L255" i="2"/>
  <c r="AH247" i="2" s="1"/>
  <c r="L259" i="2"/>
  <c r="AH268" i="2" s="1"/>
  <c r="AJ260" i="2"/>
  <c r="AG288" i="2"/>
  <c r="U279" i="2"/>
  <c r="AQ292" i="2" s="1"/>
  <c r="AA292" i="2"/>
  <c r="AE284" i="2"/>
  <c r="M280" i="2"/>
  <c r="T285" i="2"/>
  <c r="I287" i="2"/>
  <c r="AA306" i="2"/>
  <c r="AH318" i="2"/>
  <c r="AJ321" i="2"/>
  <c r="I313" i="2"/>
  <c r="AC322" i="2"/>
  <c r="AC324" i="2" s="1"/>
  <c r="T315" i="2"/>
  <c r="I317" i="2"/>
  <c r="N319" i="2"/>
  <c r="AA333" i="2"/>
  <c r="AH345" i="2"/>
  <c r="AH351" i="2" s="1"/>
  <c r="AG342" i="2"/>
  <c r="AJ338" i="2"/>
  <c r="U334" i="2"/>
  <c r="AQ338" i="2" s="1"/>
  <c r="AJ347" i="2"/>
  <c r="V346" i="2"/>
  <c r="AP356" i="2"/>
  <c r="M357" i="2"/>
  <c r="AF359" i="2"/>
  <c r="AE365" i="2"/>
  <c r="T362" i="2"/>
  <c r="AF363" i="2"/>
  <c r="AF369" i="2" s="1"/>
  <c r="L367" i="2"/>
  <c r="AH376" i="2" s="1"/>
  <c r="AC357" i="2"/>
  <c r="I370" i="2"/>
  <c r="H402" i="2"/>
  <c r="U387" i="2"/>
  <c r="AQ400" i="2" s="1"/>
  <c r="U390" i="2"/>
  <c r="AQ382" i="2" s="1"/>
  <c r="AK396" i="2"/>
  <c r="AF402" i="2"/>
  <c r="L393" i="2"/>
  <c r="AJ393" i="2"/>
  <c r="L394" i="2"/>
  <c r="AH403" i="2" s="1"/>
  <c r="I400" i="2"/>
  <c r="M415" i="2"/>
  <c r="AE419" i="2"/>
  <c r="AB414" i="2"/>
  <c r="AJ414" i="2" s="1"/>
  <c r="AJ408" i="2"/>
  <c r="AK423" i="2"/>
  <c r="AC411" i="2"/>
  <c r="I424" i="2"/>
  <c r="U425" i="2"/>
  <c r="AQ421" i="2" s="1"/>
  <c r="E429" i="2"/>
  <c r="N439" i="2"/>
  <c r="I440" i="2"/>
  <c r="AF446" i="2"/>
  <c r="L442" i="2"/>
  <c r="AH446" i="2" s="1"/>
  <c r="AH450" i="2" s="1"/>
  <c r="M444" i="2"/>
  <c r="AA450" i="2"/>
  <c r="M450" i="2"/>
  <c r="L452" i="2"/>
  <c r="AH448" i="2" s="1"/>
  <c r="I453" i="2"/>
  <c r="Z459" i="2"/>
  <c r="S454" i="2"/>
  <c r="R454" i="2" s="1"/>
  <c r="P454" i="2"/>
  <c r="F456" i="2"/>
  <c r="AJ456" i="2"/>
  <c r="AH480" i="2"/>
  <c r="L470" i="2"/>
  <c r="AH462" i="2" s="1"/>
  <c r="AH468" i="2" s="1"/>
  <c r="AF462" i="2"/>
  <c r="I475" i="2"/>
  <c r="AC484" i="2"/>
  <c r="M477" i="2"/>
  <c r="N482" i="2"/>
  <c r="J483" i="2"/>
  <c r="AF507" i="2"/>
  <c r="AF513" i="2" s="1"/>
  <c r="L492" i="2"/>
  <c r="J510" i="2"/>
  <c r="AD504" i="2"/>
  <c r="I494" i="2"/>
  <c r="L497" i="2"/>
  <c r="AH489" i="2" s="1"/>
  <c r="AF489" i="2"/>
  <c r="AF495" i="2" s="1"/>
  <c r="M504" i="2"/>
  <c r="AE501" i="2"/>
  <c r="T509" i="2"/>
  <c r="AB494" i="2"/>
  <c r="AJ494" i="2" s="1"/>
  <c r="N509" i="2"/>
  <c r="F510" i="2"/>
  <c r="AH531" i="2"/>
  <c r="AE539" i="2"/>
  <c r="M530" i="2"/>
  <c r="M531" i="2"/>
  <c r="AE528" i="2"/>
  <c r="S607" i="2"/>
  <c r="R607" i="2" s="1"/>
  <c r="P607" i="2"/>
  <c r="V607" i="2"/>
  <c r="AI601" i="2"/>
  <c r="P616" i="2"/>
  <c r="V616" i="2"/>
  <c r="S616" i="2"/>
  <c r="R616" i="2" s="1"/>
  <c r="AC651" i="2"/>
  <c r="I659" i="2"/>
  <c r="K348" i="2"/>
  <c r="AE338" i="2"/>
  <c r="M334" i="2"/>
  <c r="AF342" i="2"/>
  <c r="L342" i="2"/>
  <c r="AF339" i="2"/>
  <c r="I345" i="2"/>
  <c r="AA378" i="2"/>
  <c r="AB360" i="2"/>
  <c r="AJ360" i="2" s="1"/>
  <c r="AJ354" i="2"/>
  <c r="L366" i="2"/>
  <c r="AF375" i="2"/>
  <c r="L385" i="2"/>
  <c r="AH390" i="2" s="1"/>
  <c r="V387" i="2"/>
  <c r="AF381" i="2"/>
  <c r="AF387" i="2" s="1"/>
  <c r="L389" i="2"/>
  <c r="AH381" i="2" s="1"/>
  <c r="AH387" i="2" s="1"/>
  <c r="I390" i="2"/>
  <c r="AC382" i="2"/>
  <c r="AC384" i="2"/>
  <c r="I397" i="2"/>
  <c r="AP386" i="2"/>
  <c r="U401" i="2"/>
  <c r="AQ386" i="2" s="1"/>
  <c r="AH426" i="2"/>
  <c r="AH432" i="2" s="1"/>
  <c r="I413" i="2"/>
  <c r="AC418" i="2"/>
  <c r="M414" i="2"/>
  <c r="AE427" i="2"/>
  <c r="AC408" i="2"/>
  <c r="I416" i="2"/>
  <c r="M428" i="2"/>
  <c r="L456" i="2"/>
  <c r="AH453" i="2"/>
  <c r="AL439" i="2"/>
  <c r="AR439" i="2"/>
  <c r="AF435" i="2"/>
  <c r="AF441" i="2" s="1"/>
  <c r="L443" i="2"/>
  <c r="AH435" i="2" s="1"/>
  <c r="AH441" i="2" s="1"/>
  <c r="AC450" i="2"/>
  <c r="AB453" i="2"/>
  <c r="AJ457" i="2"/>
  <c r="K483" i="2"/>
  <c r="I466" i="2"/>
  <c r="I483" i="2" s="1"/>
  <c r="AC471" i="2"/>
  <c r="L471" i="2"/>
  <c r="AH463" i="2" s="1"/>
  <c r="AF463" i="2"/>
  <c r="M474" i="2"/>
  <c r="M480" i="2"/>
  <c r="AE476" i="2"/>
  <c r="U482" i="2"/>
  <c r="AQ467" i="2" s="1"/>
  <c r="AP467" i="2"/>
  <c r="AG513" i="2"/>
  <c r="L493" i="2"/>
  <c r="AH498" i="2" s="1"/>
  <c r="AF498" i="2"/>
  <c r="U501" i="2"/>
  <c r="AQ510" i="2" s="1"/>
  <c r="AP510" i="2"/>
  <c r="M509" i="2"/>
  <c r="AE494" i="2"/>
  <c r="AG516" i="2"/>
  <c r="AG522" i="2" s="1"/>
  <c r="L524" i="2"/>
  <c r="AH516" i="2" s="1"/>
  <c r="V527" i="2"/>
  <c r="P527" i="2"/>
  <c r="S527" i="2"/>
  <c r="R527" i="2" s="1"/>
  <c r="AI536" i="2"/>
  <c r="T535" i="2"/>
  <c r="AB520" i="2"/>
  <c r="AJ520" i="2" s="1"/>
  <c r="AC543" i="2"/>
  <c r="AC549" i="2" s="1"/>
  <c r="I551" i="2"/>
  <c r="J564" i="2"/>
  <c r="AE579" i="2"/>
  <c r="M574" i="2"/>
  <c r="AL592" i="2"/>
  <c r="AR592" i="2"/>
  <c r="AC597" i="2"/>
  <c r="AC603" i="2" s="1"/>
  <c r="I605" i="2"/>
  <c r="N450" i="2"/>
  <c r="AP447" i="2"/>
  <c r="U450" i="2"/>
  <c r="AQ447" i="2" s="1"/>
  <c r="AC459" i="2"/>
  <c r="U454" i="2"/>
  <c r="AQ439" i="2" s="1"/>
  <c r="AP439" i="2"/>
  <c r="V454" i="2"/>
  <c r="M455" i="2"/>
  <c r="Z468" i="2"/>
  <c r="M465" i="2"/>
  <c r="N470" i="2"/>
  <c r="AG477" i="2"/>
  <c r="T477" i="2"/>
  <c r="AB474" i="2"/>
  <c r="AJ474" i="2" s="1"/>
  <c r="Z495" i="2"/>
  <c r="M500" i="2"/>
  <c r="T522" i="2"/>
  <c r="AB535" i="2"/>
  <c r="AJ535" i="2" s="1"/>
  <c r="N522" i="2"/>
  <c r="L549" i="2"/>
  <c r="AF562" i="2"/>
  <c r="AP566" i="2"/>
  <c r="U557" i="2"/>
  <c r="AQ566" i="2" s="1"/>
  <c r="U559" i="2"/>
  <c r="AQ546" i="2" s="1"/>
  <c r="AD585" i="2"/>
  <c r="AP571" i="2"/>
  <c r="U579" i="2"/>
  <c r="AQ571" i="2" s="1"/>
  <c r="AP575" i="2"/>
  <c r="U590" i="2"/>
  <c r="AQ575" i="2" s="1"/>
  <c r="V615" i="2"/>
  <c r="M629" i="2"/>
  <c r="AE634" i="2"/>
  <c r="AB644" i="2"/>
  <c r="AJ644" i="2" s="1"/>
  <c r="T635" i="2"/>
  <c r="N635" i="2"/>
  <c r="S635" i="2"/>
  <c r="R635" i="2" s="1"/>
  <c r="AB672" i="2"/>
  <c r="AJ672" i="2" s="1"/>
  <c r="T663" i="2"/>
  <c r="N663" i="2"/>
  <c r="F672" i="2"/>
  <c r="M438" i="2"/>
  <c r="AB450" i="2"/>
  <c r="AJ450" i="2" s="1"/>
  <c r="AJ444" i="2"/>
  <c r="AJ454" i="2"/>
  <c r="U441" i="2"/>
  <c r="AQ454" i="2" s="1"/>
  <c r="T442" i="2"/>
  <c r="T456" i="2" s="1"/>
  <c r="U456" i="2" s="1"/>
  <c r="N443" i="2"/>
  <c r="AF444" i="2"/>
  <c r="M445" i="2"/>
  <c r="AE437" i="2"/>
  <c r="AF456" i="2"/>
  <c r="AF459" i="2" s="1"/>
  <c r="L447" i="2"/>
  <c r="AC457" i="2"/>
  <c r="I448" i="2"/>
  <c r="L466" i="2"/>
  <c r="AH471" i="2" s="1"/>
  <c r="AH477" i="2" s="1"/>
  <c r="AF471" i="2"/>
  <c r="AF477" i="2" s="1"/>
  <c r="AR466" i="2"/>
  <c r="AP473" i="2"/>
  <c r="U469" i="2"/>
  <c r="AQ473" i="2" s="1"/>
  <c r="AE464" i="2"/>
  <c r="M472" i="2"/>
  <c r="AC473" i="2"/>
  <c r="AB483" i="2"/>
  <c r="AJ483" i="2" s="1"/>
  <c r="T474" i="2"/>
  <c r="AD486" i="2"/>
  <c r="AA495" i="2"/>
  <c r="T492" i="2"/>
  <c r="AB510" i="2"/>
  <c r="AJ510" i="2" s="1"/>
  <c r="N501" i="2"/>
  <c r="AE512" i="2"/>
  <c r="M503" i="2"/>
  <c r="AC503" i="2"/>
  <c r="I507" i="2"/>
  <c r="AE493" i="2"/>
  <c r="M508" i="2"/>
  <c r="AF494" i="2"/>
  <c r="L509" i="2"/>
  <c r="AH494" i="2" s="1"/>
  <c r="M519" i="2"/>
  <c r="AE534" i="2"/>
  <c r="AE540" i="2" s="1"/>
  <c r="AP525" i="2"/>
  <c r="U520" i="2"/>
  <c r="AQ525" i="2" s="1"/>
  <c r="AE537" i="2"/>
  <c r="M528" i="2"/>
  <c r="N530" i="2"/>
  <c r="AC534" i="2"/>
  <c r="AC540" i="2" s="1"/>
  <c r="AA558" i="2"/>
  <c r="L550" i="2"/>
  <c r="AH554" i="2" s="1"/>
  <c r="M560" i="2"/>
  <c r="AE570" i="2"/>
  <c r="M578" i="2"/>
  <c r="V589" i="2"/>
  <c r="P589" i="2"/>
  <c r="S589" i="2"/>
  <c r="R589" i="2" s="1"/>
  <c r="AI574" i="2"/>
  <c r="AF602" i="2"/>
  <c r="L617" i="2"/>
  <c r="AH602" i="2" s="1"/>
  <c r="S639" i="2"/>
  <c r="R639" i="2" s="1"/>
  <c r="P639" i="2"/>
  <c r="V639" i="2"/>
  <c r="AI636" i="2"/>
  <c r="AF762" i="2"/>
  <c r="L775" i="2"/>
  <c r="AH762" i="2" s="1"/>
  <c r="L776" i="2"/>
  <c r="AH772" i="2" s="1"/>
  <c r="AF772" i="2"/>
  <c r="S779" i="2"/>
  <c r="R779" i="2" s="1"/>
  <c r="AI764" i="2"/>
  <c r="P779" i="2"/>
  <c r="V779" i="2"/>
  <c r="Z243" i="2"/>
  <c r="M253" i="2"/>
  <c r="I259" i="2"/>
  <c r="AC268" i="2"/>
  <c r="AC270" i="2" s="1"/>
  <c r="AJ265" i="2"/>
  <c r="AA297" i="2"/>
  <c r="I278" i="2"/>
  <c r="N280" i="2"/>
  <c r="AF273" i="2"/>
  <c r="L281" i="2"/>
  <c r="AH273" i="2" s="1"/>
  <c r="I282" i="2"/>
  <c r="AC274" i="2"/>
  <c r="E294" i="2"/>
  <c r="AJ319" i="2"/>
  <c r="AB306" i="2"/>
  <c r="AJ300" i="2"/>
  <c r="L312" i="2"/>
  <c r="AF321" i="2"/>
  <c r="AF324" i="2" s="1"/>
  <c r="AC313" i="2"/>
  <c r="Z324" i="2"/>
  <c r="AI331" i="2"/>
  <c r="AK342" i="2"/>
  <c r="AC338" i="2"/>
  <c r="M339" i="2"/>
  <c r="AP350" i="2"/>
  <c r="U341" i="2"/>
  <c r="AQ350" i="2" s="1"/>
  <c r="N342" i="2"/>
  <c r="H375" i="2"/>
  <c r="N361" i="2"/>
  <c r="L362" i="2"/>
  <c r="AH354" i="2" s="1"/>
  <c r="AH360" i="2" s="1"/>
  <c r="AF354" i="2"/>
  <c r="AF360" i="2" s="1"/>
  <c r="I363" i="2"/>
  <c r="AC355" i="2"/>
  <c r="N366" i="2"/>
  <c r="I367" i="2"/>
  <c r="AC376" i="2"/>
  <c r="AC378" i="2" s="1"/>
  <c r="V368" i="2"/>
  <c r="M384" i="2"/>
  <c r="AJ392" i="2"/>
  <c r="AJ402" i="2"/>
  <c r="AC403" i="2"/>
  <c r="AC405" i="2" s="1"/>
  <c r="I394" i="2"/>
  <c r="AP408" i="2"/>
  <c r="AA432" i="2"/>
  <c r="N415" i="2"/>
  <c r="L417" i="2"/>
  <c r="AH409" i="2" s="1"/>
  <c r="AF409" i="2"/>
  <c r="M420" i="2"/>
  <c r="N423" i="2"/>
  <c r="M426" i="2"/>
  <c r="AE422" i="2"/>
  <c r="Z432" i="2"/>
  <c r="AA459" i="2"/>
  <c r="N438" i="2"/>
  <c r="M439" i="2"/>
  <c r="I441" i="2"/>
  <c r="T443" i="2"/>
  <c r="N444" i="2"/>
  <c r="M449" i="2"/>
  <c r="AC438" i="2"/>
  <c r="AC441" i="2" s="1"/>
  <c r="I451" i="2"/>
  <c r="N455" i="2"/>
  <c r="AP440" i="2"/>
  <c r="U455" i="2"/>
  <c r="AQ440" i="2" s="1"/>
  <c r="F483" i="2"/>
  <c r="N483" i="2" s="1"/>
  <c r="AP480" i="2"/>
  <c r="U465" i="2"/>
  <c r="AQ480" i="2" s="1"/>
  <c r="U467" i="2"/>
  <c r="AQ472" i="2" s="1"/>
  <c r="T470" i="2"/>
  <c r="T483" i="2" s="1"/>
  <c r="U483" i="2" s="1"/>
  <c r="L475" i="2"/>
  <c r="AH484" i="2" s="1"/>
  <c r="AF480" i="2"/>
  <c r="AF486" i="2" s="1"/>
  <c r="AA507" i="2"/>
  <c r="AA513" i="2" s="1"/>
  <c r="E510" i="2"/>
  <c r="U493" i="2"/>
  <c r="AQ498" i="2" s="1"/>
  <c r="U499" i="2"/>
  <c r="AQ491" i="2" s="1"/>
  <c r="AP491" i="2"/>
  <c r="AC510" i="2"/>
  <c r="AC513" i="2" s="1"/>
  <c r="I501" i="2"/>
  <c r="AA504" i="2"/>
  <c r="H537" i="2"/>
  <c r="M521" i="2"/>
  <c r="AE526" i="2"/>
  <c r="AE520" i="2"/>
  <c r="M535" i="2"/>
  <c r="AF521" i="2"/>
  <c r="AF522" i="2" s="1"/>
  <c r="L536" i="2"/>
  <c r="AH521" i="2" s="1"/>
  <c r="AP562" i="2"/>
  <c r="U549" i="2"/>
  <c r="AQ562" i="2" s="1"/>
  <c r="AE563" i="2"/>
  <c r="M554" i="2"/>
  <c r="AE565" i="2"/>
  <c r="M556" i="2"/>
  <c r="T558" i="2"/>
  <c r="AB555" i="2"/>
  <c r="AJ555" i="2" s="1"/>
  <c r="N559" i="2"/>
  <c r="AJ546" i="2" s="1"/>
  <c r="U561" i="2"/>
  <c r="AQ557" i="2" s="1"/>
  <c r="AB576" i="2"/>
  <c r="AJ576" i="2" s="1"/>
  <c r="I580" i="2"/>
  <c r="AG594" i="2"/>
  <c r="AC618" i="2"/>
  <c r="AC621" i="2" s="1"/>
  <c r="I609" i="2"/>
  <c r="AB700" i="2"/>
  <c r="AJ700" i="2" s="1"/>
  <c r="T691" i="2"/>
  <c r="N691" i="2"/>
  <c r="N238" i="2"/>
  <c r="AB266" i="2"/>
  <c r="AB268" i="2"/>
  <c r="AJ268" i="2" s="1"/>
  <c r="AB276" i="2"/>
  <c r="N279" i="2"/>
  <c r="N284" i="2"/>
  <c r="N287" i="2"/>
  <c r="AD291" i="2"/>
  <c r="AD297" i="2" s="1"/>
  <c r="N292" i="2"/>
  <c r="T311" i="2"/>
  <c r="T314" i="2"/>
  <c r="T319" i="2"/>
  <c r="T321" i="2" s="1"/>
  <c r="U321" i="2" s="1"/>
  <c r="AB320" i="2"/>
  <c r="AJ320" i="2" s="1"/>
  <c r="AB322" i="2"/>
  <c r="AJ322" i="2" s="1"/>
  <c r="N333" i="2"/>
  <c r="N338" i="2"/>
  <c r="N341" i="2"/>
  <c r="AD345" i="2"/>
  <c r="N346" i="2"/>
  <c r="T365" i="2"/>
  <c r="T368" i="2"/>
  <c r="T373" i="2"/>
  <c r="AB374" i="2"/>
  <c r="AJ374" i="2" s="1"/>
  <c r="AB376" i="2"/>
  <c r="AJ376" i="2" s="1"/>
  <c r="N387" i="2"/>
  <c r="N392" i="2"/>
  <c r="N395" i="2"/>
  <c r="AD399" i="2"/>
  <c r="AD405" i="2" s="1"/>
  <c r="N400" i="2"/>
  <c r="T414" i="2"/>
  <c r="T419" i="2"/>
  <c r="T422" i="2"/>
  <c r="T427" i="2"/>
  <c r="AB428" i="2"/>
  <c r="AJ428" i="2" s="1"/>
  <c r="AB430" i="2"/>
  <c r="AJ430" i="2" s="1"/>
  <c r="N441" i="2"/>
  <c r="N446" i="2"/>
  <c r="N449" i="2"/>
  <c r="AD453" i="2"/>
  <c r="AD459" i="2" s="1"/>
  <c r="N454" i="2"/>
  <c r="AF457" i="2"/>
  <c r="AC458" i="2"/>
  <c r="T473" i="2"/>
  <c r="T476" i="2"/>
  <c r="T481" i="2"/>
  <c r="AB482" i="2"/>
  <c r="AJ482" i="2" s="1"/>
  <c r="AB484" i="2"/>
  <c r="AJ484" i="2" s="1"/>
  <c r="AB495" i="2"/>
  <c r="AJ495" i="2" s="1"/>
  <c r="AJ489" i="2"/>
  <c r="I492" i="2"/>
  <c r="G510" i="2"/>
  <c r="I493" i="2"/>
  <c r="N500" i="2"/>
  <c r="L504" i="2"/>
  <c r="AH501" i="2" s="1"/>
  <c r="AF501" i="2"/>
  <c r="U505" i="2"/>
  <c r="AQ492" i="2" s="1"/>
  <c r="Z513" i="2"/>
  <c r="L519" i="2"/>
  <c r="AF534" i="2"/>
  <c r="AF537" i="2"/>
  <c r="L528" i="2"/>
  <c r="AH537" i="2" s="1"/>
  <c r="AD540" i="2"/>
  <c r="J537" i="2"/>
  <c r="M552" i="2"/>
  <c r="AE544" i="2"/>
  <c r="Z558" i="2"/>
  <c r="U553" i="2"/>
  <c r="AQ545" i="2" s="1"/>
  <c r="AF563" i="2"/>
  <c r="L554" i="2"/>
  <c r="AH563" i="2" s="1"/>
  <c r="U560" i="2"/>
  <c r="AQ556" i="2" s="1"/>
  <c r="M562" i="2"/>
  <c r="AE547" i="2"/>
  <c r="AE590" i="2"/>
  <c r="AE616" i="2"/>
  <c r="M603" i="2"/>
  <c r="AC608" i="2"/>
  <c r="I604" i="2"/>
  <c r="U615" i="2"/>
  <c r="AQ611" i="2" s="1"/>
  <c r="AP611" i="2"/>
  <c r="N638" i="2"/>
  <c r="S669" i="2"/>
  <c r="R669" i="2" s="1"/>
  <c r="AI665" i="2"/>
  <c r="P669" i="2"/>
  <c r="V669" i="2"/>
  <c r="AP696" i="2"/>
  <c r="U681" i="2"/>
  <c r="AQ696" i="2" s="1"/>
  <c r="AB697" i="2"/>
  <c r="AJ697" i="2" s="1"/>
  <c r="T684" i="2"/>
  <c r="N684" i="2"/>
  <c r="T278" i="2"/>
  <c r="T283" i="2"/>
  <c r="T286" i="2"/>
  <c r="AB287" i="2"/>
  <c r="AJ287" i="2" s="1"/>
  <c r="T289" i="2"/>
  <c r="T290" i="2"/>
  <c r="T291" i="2"/>
  <c r="N310" i="2"/>
  <c r="N313" i="2"/>
  <c r="N316" i="2"/>
  <c r="AJ303" i="2" s="1"/>
  <c r="N317" i="2"/>
  <c r="N318" i="2"/>
  <c r="T332" i="2"/>
  <c r="T337" i="2"/>
  <c r="T340" i="2"/>
  <c r="T343" i="2"/>
  <c r="T344" i="2"/>
  <c r="T345" i="2"/>
  <c r="AB346" i="2"/>
  <c r="AJ346" i="2" s="1"/>
  <c r="N359" i="2"/>
  <c r="N364" i="2"/>
  <c r="N367" i="2"/>
  <c r="N370" i="2"/>
  <c r="AJ357" i="2" s="1"/>
  <c r="N371" i="2"/>
  <c r="N372" i="2"/>
  <c r="N413" i="2"/>
  <c r="N418" i="2"/>
  <c r="N421" i="2"/>
  <c r="N424" i="2"/>
  <c r="AJ411" i="2" s="1"/>
  <c r="N425" i="2"/>
  <c r="N426" i="2"/>
  <c r="N467" i="2"/>
  <c r="U468" i="2"/>
  <c r="AQ481" i="2" s="1"/>
  <c r="N472" i="2"/>
  <c r="N475" i="2"/>
  <c r="N478" i="2"/>
  <c r="AJ465" i="2" s="1"/>
  <c r="N479" i="2"/>
  <c r="N480" i="2"/>
  <c r="AK495" i="2"/>
  <c r="H510" i="2"/>
  <c r="AD507" i="2"/>
  <c r="AD513" i="2" s="1"/>
  <c r="L498" i="2"/>
  <c r="AH490" i="2" s="1"/>
  <c r="AC498" i="2"/>
  <c r="AP509" i="2"/>
  <c r="U500" i="2"/>
  <c r="AQ509" i="2" s="1"/>
  <c r="AC492" i="2"/>
  <c r="AC495" i="2" s="1"/>
  <c r="I505" i="2"/>
  <c r="M506" i="2"/>
  <c r="K537" i="2"/>
  <c r="I525" i="2"/>
  <c r="AC517" i="2"/>
  <c r="AB536" i="2"/>
  <c r="AJ536" i="2" s="1"/>
  <c r="T527" i="2"/>
  <c r="L531" i="2"/>
  <c r="AH528" i="2" s="1"/>
  <c r="AA549" i="2"/>
  <c r="I547" i="2"/>
  <c r="N553" i="2"/>
  <c r="AJ557" i="2"/>
  <c r="AB588" i="2"/>
  <c r="F591" i="2"/>
  <c r="T573" i="2"/>
  <c r="AB589" i="2"/>
  <c r="AJ589" i="2" s="1"/>
  <c r="T576" i="2"/>
  <c r="L581" i="2"/>
  <c r="AH590" i="2" s="1"/>
  <c r="AF590" i="2"/>
  <c r="AF594" i="2" s="1"/>
  <c r="AO653" i="2"/>
  <c r="AN653" i="2" s="1"/>
  <c r="AR653" i="2"/>
  <c r="AL653" i="2"/>
  <c r="S661" i="2"/>
  <c r="R661" i="2" s="1"/>
  <c r="P661" i="2"/>
  <c r="V661" i="2"/>
  <c r="G699" i="2"/>
  <c r="AC696" i="2"/>
  <c r="I681" i="2"/>
  <c r="AO804" i="2"/>
  <c r="AN804" i="2" s="1"/>
  <c r="AL804" i="2"/>
  <c r="AB824" i="2"/>
  <c r="AJ824" i="2" s="1"/>
  <c r="T820" i="2"/>
  <c r="N820" i="2"/>
  <c r="AE43" i="3"/>
  <c r="M47" i="3"/>
  <c r="M48" i="3"/>
  <c r="AE44" i="3"/>
  <c r="L399" i="2"/>
  <c r="AH395" i="2" s="1"/>
  <c r="AG399" i="2"/>
  <c r="AG405" i="2" s="1"/>
  <c r="N411" i="2"/>
  <c r="AC426" i="2"/>
  <c r="AC432" i="2" s="1"/>
  <c r="AB431" i="2"/>
  <c r="AJ431" i="2" s="1"/>
  <c r="AB439" i="2"/>
  <c r="AJ439" i="2" s="1"/>
  <c r="I446" i="2"/>
  <c r="L453" i="2"/>
  <c r="AH449" i="2" s="1"/>
  <c r="AG453" i="2"/>
  <c r="AG459" i="2" s="1"/>
  <c r="J456" i="2"/>
  <c r="N465" i="2"/>
  <c r="AC480" i="2"/>
  <c r="AC486" i="2" s="1"/>
  <c r="AB485" i="2"/>
  <c r="AJ485" i="2" s="1"/>
  <c r="AG504" i="2"/>
  <c r="L495" i="2"/>
  <c r="AC500" i="2"/>
  <c r="I496" i="2"/>
  <c r="I499" i="2"/>
  <c r="U506" i="2"/>
  <c r="AQ502" i="2" s="1"/>
  <c r="AI519" i="2"/>
  <c r="I520" i="2"/>
  <c r="I537" i="2" s="1"/>
  <c r="AC525" i="2"/>
  <c r="AC531" i="2" s="1"/>
  <c r="F564" i="2"/>
  <c r="N564" i="2" s="1"/>
  <c r="AB561" i="2"/>
  <c r="L547" i="2"/>
  <c r="AH552" i="2" s="1"/>
  <c r="AJ553" i="2"/>
  <c r="AP563" i="2"/>
  <c r="U554" i="2"/>
  <c r="AQ563" i="2" s="1"/>
  <c r="AE566" i="2"/>
  <c r="M557" i="2"/>
  <c r="I558" i="2"/>
  <c r="AC555" i="2"/>
  <c r="N561" i="2"/>
  <c r="AP561" i="2"/>
  <c r="U574" i="2"/>
  <c r="AQ579" i="2" s="1"/>
  <c r="AE571" i="2"/>
  <c r="M579" i="2"/>
  <c r="AA585" i="2"/>
  <c r="AJ603" i="2"/>
  <c r="AB615" i="2"/>
  <c r="T600" i="2"/>
  <c r="N600" i="2"/>
  <c r="L612" i="2"/>
  <c r="AH609" i="2" s="1"/>
  <c r="AF609" i="2"/>
  <c r="AD657" i="2"/>
  <c r="U671" i="2"/>
  <c r="AQ656" i="2" s="1"/>
  <c r="AP656" i="2"/>
  <c r="M688" i="2"/>
  <c r="AE680" i="2"/>
  <c r="AB738" i="2"/>
  <c r="AJ738" i="2" s="1"/>
  <c r="AJ734" i="2"/>
  <c r="T284" i="2"/>
  <c r="AB295" i="2"/>
  <c r="AJ295" i="2" s="1"/>
  <c r="N306" i="2"/>
  <c r="AD318" i="2"/>
  <c r="AD324" i="2" s="1"/>
  <c r="T338" i="2"/>
  <c r="AB349" i="2"/>
  <c r="AJ349" i="2" s="1"/>
  <c r="N360" i="2"/>
  <c r="AD372" i="2"/>
  <c r="AD378" i="2" s="1"/>
  <c r="AB403" i="2"/>
  <c r="AJ403" i="2" s="1"/>
  <c r="N414" i="2"/>
  <c r="AD426" i="2"/>
  <c r="AD432" i="2" s="1"/>
  <c r="T446" i="2"/>
  <c r="N468" i="2"/>
  <c r="E537" i="2"/>
  <c r="N537" i="2" s="1"/>
  <c r="AP534" i="2"/>
  <c r="U519" i="2"/>
  <c r="AQ534" i="2" s="1"/>
  <c r="AD531" i="2"/>
  <c r="M529" i="2"/>
  <c r="M533" i="2"/>
  <c r="AE529" i="2"/>
  <c r="AF549" i="2"/>
  <c r="I564" i="2"/>
  <c r="AE561" i="2"/>
  <c r="M546" i="2"/>
  <c r="AG558" i="2"/>
  <c r="AC554" i="2"/>
  <c r="AC558" i="2" s="1"/>
  <c r="I550" i="2"/>
  <c r="AB564" i="2"/>
  <c r="AJ564" i="2" s="1"/>
  <c r="T555" i="2"/>
  <c r="T564" i="2" s="1"/>
  <c r="U564" i="2" s="1"/>
  <c r="AP547" i="2"/>
  <c r="U562" i="2"/>
  <c r="AQ547" i="2" s="1"/>
  <c r="AF576" i="2"/>
  <c r="AP572" i="2"/>
  <c r="U580" i="2"/>
  <c r="AQ572" i="2" s="1"/>
  <c r="G618" i="2"/>
  <c r="AF617" i="2"/>
  <c r="L608" i="2"/>
  <c r="AH617" i="2" s="1"/>
  <c r="AF671" i="2"/>
  <c r="L662" i="2"/>
  <c r="S720" i="2"/>
  <c r="R720" i="2" s="1"/>
  <c r="P720" i="2"/>
  <c r="AI717" i="2"/>
  <c r="V720" i="2"/>
  <c r="T768" i="2"/>
  <c r="AB760" i="2"/>
  <c r="AJ760" i="2" s="1"/>
  <c r="N768" i="2"/>
  <c r="AB368" i="2"/>
  <c r="AJ368" i="2" s="1"/>
  <c r="AB422" i="2"/>
  <c r="AJ422" i="2" s="1"/>
  <c r="AB476" i="2"/>
  <c r="AJ476" i="2" s="1"/>
  <c r="U494" i="2"/>
  <c r="AQ499" i="2" s="1"/>
  <c r="AJ508" i="2"/>
  <c r="L496" i="2"/>
  <c r="AH500" i="2" s="1"/>
  <c r="AF500" i="2"/>
  <c r="I497" i="2"/>
  <c r="AK504" i="2"/>
  <c r="AP499" i="2"/>
  <c r="AP504" i="2" s="1"/>
  <c r="AQ504" i="2" s="1"/>
  <c r="I502" i="2"/>
  <c r="AC511" i="2"/>
  <c r="AP512" i="2"/>
  <c r="U503" i="2"/>
  <c r="AQ512" i="2" s="1"/>
  <c r="AP493" i="2"/>
  <c r="U508" i="2"/>
  <c r="AQ493" i="2" s="1"/>
  <c r="AJ516" i="2"/>
  <c r="AJ534" i="2"/>
  <c r="I523" i="2"/>
  <c r="AC527" i="2"/>
  <c r="AE521" i="2"/>
  <c r="H564" i="2"/>
  <c r="AF547" i="2"/>
  <c r="N548" i="2"/>
  <c r="U548" i="2"/>
  <c r="AQ553" i="2" s="1"/>
  <c r="AC564" i="2"/>
  <c r="I555" i="2"/>
  <c r="N556" i="2"/>
  <c r="T563" i="2"/>
  <c r="AB548" i="2"/>
  <c r="AJ548" i="2" s="1"/>
  <c r="AJ566" i="2"/>
  <c r="L577" i="2"/>
  <c r="AH581" i="2" s="1"/>
  <c r="AH585" i="2" s="1"/>
  <c r="AG576" i="2"/>
  <c r="AE593" i="2"/>
  <c r="M584" i="2"/>
  <c r="AD612" i="2"/>
  <c r="AJ609" i="2"/>
  <c r="AJ611" i="2"/>
  <c r="F618" i="2"/>
  <c r="N618" i="2" s="1"/>
  <c r="L627" i="2"/>
  <c r="AF642" i="2"/>
  <c r="J645" i="2"/>
  <c r="V635" i="2"/>
  <c r="P635" i="2"/>
  <c r="AI644" i="2"/>
  <c r="AE670" i="2"/>
  <c r="AP663" i="2"/>
  <c r="U666" i="2"/>
  <c r="AQ663" i="2" s="1"/>
  <c r="AA684" i="2"/>
  <c r="T630" i="2"/>
  <c r="AB643" i="2"/>
  <c r="AJ643" i="2" s="1"/>
  <c r="AB639" i="2"/>
  <c r="AJ639" i="2" s="1"/>
  <c r="AP647" i="2"/>
  <c r="U638" i="2"/>
  <c r="AQ647" i="2" s="1"/>
  <c r="H672" i="2"/>
  <c r="AG660" i="2"/>
  <c r="AG666" i="2" s="1"/>
  <c r="L655" i="2"/>
  <c r="AH660" i="2" s="1"/>
  <c r="AH666" i="2" s="1"/>
  <c r="U656" i="2"/>
  <c r="AQ661" i="2" s="1"/>
  <c r="L657" i="2"/>
  <c r="AH670" i="2" s="1"/>
  <c r="AF670" i="2"/>
  <c r="AE652" i="2"/>
  <c r="AC672" i="2"/>
  <c r="AC675" i="2" s="1"/>
  <c r="I663" i="2"/>
  <c r="U667" i="2"/>
  <c r="AQ654" i="2" s="1"/>
  <c r="AP654" i="2"/>
  <c r="AG684" i="2"/>
  <c r="I687" i="2"/>
  <c r="AC679" i="2"/>
  <c r="N689" i="2"/>
  <c r="M693" i="2"/>
  <c r="AE690" i="2"/>
  <c r="T694" i="2"/>
  <c r="T699" i="2" s="1"/>
  <c r="U699" i="2" s="1"/>
  <c r="N694" i="2"/>
  <c r="AJ681" i="2" s="1"/>
  <c r="M714" i="2"/>
  <c r="AH706" i="2"/>
  <c r="AE726" i="2"/>
  <c r="M717" i="2"/>
  <c r="I737" i="2"/>
  <c r="I753" i="2" s="1"/>
  <c r="AC742" i="2"/>
  <c r="U740" i="2"/>
  <c r="AQ732" i="2" s="1"/>
  <c r="AP732" i="2"/>
  <c r="T742" i="2"/>
  <c r="N742" i="2"/>
  <c r="T749" i="2"/>
  <c r="AB745" i="2"/>
  <c r="AJ745" i="2" s="1"/>
  <c r="N749" i="2"/>
  <c r="AB759" i="2"/>
  <c r="T767" i="2"/>
  <c r="N767" i="2"/>
  <c r="AE761" i="2"/>
  <c r="V828" i="2"/>
  <c r="S828" i="2"/>
  <c r="R828" i="2" s="1"/>
  <c r="P828" i="2"/>
  <c r="AI825" i="2"/>
  <c r="AE323" i="3"/>
  <c r="N494" i="2"/>
  <c r="N499" i="2"/>
  <c r="N505" i="2"/>
  <c r="AJ492" i="2" s="1"/>
  <c r="N506" i="2"/>
  <c r="N507" i="2"/>
  <c r="T521" i="2"/>
  <c r="T526" i="2"/>
  <c r="AB527" i="2"/>
  <c r="AJ527" i="2" s="1"/>
  <c r="T529" i="2"/>
  <c r="T532" i="2"/>
  <c r="T533" i="2"/>
  <c r="T534" i="2"/>
  <c r="AF554" i="2"/>
  <c r="AF558" i="2" s="1"/>
  <c r="AA561" i="2"/>
  <c r="AA567" i="2" s="1"/>
  <c r="AF564" i="2"/>
  <c r="AC565" i="2"/>
  <c r="AC570" i="2"/>
  <c r="H591" i="2"/>
  <c r="Z585" i="2"/>
  <c r="T582" i="2"/>
  <c r="AF603" i="2"/>
  <c r="H618" i="2"/>
  <c r="AG612" i="2"/>
  <c r="U602" i="2"/>
  <c r="AQ607" i="2" s="1"/>
  <c r="L603" i="2"/>
  <c r="AH616" i="2" s="1"/>
  <c r="AF616" i="2"/>
  <c r="L604" i="2"/>
  <c r="AH608" i="2" s="1"/>
  <c r="AH612" i="2" s="1"/>
  <c r="I606" i="2"/>
  <c r="L609" i="2"/>
  <c r="AH618" i="2" s="1"/>
  <c r="AF618" i="2"/>
  <c r="Z621" i="2"/>
  <c r="K645" i="2"/>
  <c r="L628" i="2"/>
  <c r="AH633" i="2" s="1"/>
  <c r="AH639" i="2" s="1"/>
  <c r="L632" i="2"/>
  <c r="AH624" i="2" s="1"/>
  <c r="T636" i="2"/>
  <c r="I640" i="2"/>
  <c r="AC652" i="2"/>
  <c r="AJ653" i="2"/>
  <c r="L658" i="2"/>
  <c r="AH662" i="2" s="1"/>
  <c r="AG662" i="2"/>
  <c r="U661" i="2"/>
  <c r="AQ653" i="2" s="1"/>
  <c r="AP661" i="2"/>
  <c r="AB663" i="2"/>
  <c r="AJ663" i="2" s="1"/>
  <c r="AP673" i="2"/>
  <c r="U664" i="2"/>
  <c r="AQ673" i="2" s="1"/>
  <c r="I666" i="2"/>
  <c r="AC663" i="2"/>
  <c r="AE656" i="2"/>
  <c r="J699" i="2"/>
  <c r="AF696" i="2"/>
  <c r="AF702" i="2" s="1"/>
  <c r="L681" i="2"/>
  <c r="L686" i="2"/>
  <c r="AH678" i="2" s="1"/>
  <c r="AH684" i="2" s="1"/>
  <c r="AB698" i="2"/>
  <c r="AJ698" i="2" s="1"/>
  <c r="T689" i="2"/>
  <c r="AF699" i="2"/>
  <c r="L690" i="2"/>
  <c r="AH699" i="2" s="1"/>
  <c r="AD690" i="2"/>
  <c r="AD693" i="2" s="1"/>
  <c r="I694" i="2"/>
  <c r="AC681" i="2"/>
  <c r="L695" i="2"/>
  <c r="AH691" i="2" s="1"/>
  <c r="AF691" i="2"/>
  <c r="M698" i="2"/>
  <c r="AE683" i="2"/>
  <c r="M709" i="2"/>
  <c r="AH714" i="2"/>
  <c r="V713" i="2"/>
  <c r="AI705" i="2"/>
  <c r="S713" i="2"/>
  <c r="R713" i="2" s="1"/>
  <c r="P713" i="2"/>
  <c r="Z720" i="2"/>
  <c r="AJ716" i="2"/>
  <c r="AE750" i="2"/>
  <c r="AD747" i="2"/>
  <c r="AP733" i="2"/>
  <c r="U741" i="2"/>
  <c r="AQ733" i="2" s="1"/>
  <c r="AP755" i="2"/>
  <c r="U746" i="2"/>
  <c r="AQ755" i="2" s="1"/>
  <c r="F780" i="2"/>
  <c r="N780" i="2" s="1"/>
  <c r="AH768" i="2"/>
  <c r="AH780" i="2"/>
  <c r="M771" i="2"/>
  <c r="M774" i="2"/>
  <c r="AF48" i="3"/>
  <c r="L33" i="3"/>
  <c r="J51" i="3"/>
  <c r="AE59" i="3"/>
  <c r="N520" i="2"/>
  <c r="N523" i="2"/>
  <c r="N524" i="2"/>
  <c r="N525" i="2"/>
  <c r="N574" i="2"/>
  <c r="AJ581" i="2"/>
  <c r="N577" i="2"/>
  <c r="N578" i="2"/>
  <c r="N579" i="2"/>
  <c r="I602" i="2"/>
  <c r="L605" i="2"/>
  <c r="AH597" i="2" s="1"/>
  <c r="AH603" i="2" s="1"/>
  <c r="AP619" i="2"/>
  <c r="U610" i="2"/>
  <c r="AQ619" i="2" s="1"/>
  <c r="AP601" i="2"/>
  <c r="U616" i="2"/>
  <c r="AQ601" i="2" s="1"/>
  <c r="AF620" i="2"/>
  <c r="AB630" i="2"/>
  <c r="AJ630" i="2" s="1"/>
  <c r="AJ634" i="2"/>
  <c r="I637" i="2"/>
  <c r="M644" i="2"/>
  <c r="AE629" i="2"/>
  <c r="AK657" i="2"/>
  <c r="AF669" i="2"/>
  <c r="L654" i="2"/>
  <c r="AD661" i="2"/>
  <c r="I656" i="2"/>
  <c r="L659" i="2"/>
  <c r="AH651" i="2" s="1"/>
  <c r="AH657" i="2" s="1"/>
  <c r="AG651" i="2"/>
  <c r="AG657" i="2" s="1"/>
  <c r="L663" i="2"/>
  <c r="AH672" i="2" s="1"/>
  <c r="AF672" i="2"/>
  <c r="AD654" i="2"/>
  <c r="I667" i="2"/>
  <c r="U668" i="2"/>
  <c r="AQ664" i="2" s="1"/>
  <c r="L682" i="2"/>
  <c r="AH687" i="2" s="1"/>
  <c r="I683" i="2"/>
  <c r="I685" i="2"/>
  <c r="AC689" i="2"/>
  <c r="AB693" i="2"/>
  <c r="AG711" i="2"/>
  <c r="J726" i="2"/>
  <c r="L715" i="2"/>
  <c r="AH707" i="2" s="1"/>
  <c r="AF707" i="2"/>
  <c r="AF711" i="2" s="1"/>
  <c r="L736" i="2"/>
  <c r="AF741" i="2"/>
  <c r="AE751" i="2"/>
  <c r="M738" i="2"/>
  <c r="T748" i="2"/>
  <c r="AB735" i="2"/>
  <c r="N748" i="2"/>
  <c r="AJ735" i="2" s="1"/>
  <c r="AP781" i="2"/>
  <c r="U772" i="2"/>
  <c r="AQ781" i="2" s="1"/>
  <c r="AJ778" i="2"/>
  <c r="L790" i="2"/>
  <c r="AH795" i="2" s="1"/>
  <c r="AH801" i="2" s="1"/>
  <c r="AF795" i="2"/>
  <c r="AC41" i="3"/>
  <c r="I37" i="3"/>
  <c r="AE57" i="3"/>
  <c r="AE58" i="3"/>
  <c r="L67" i="3"/>
  <c r="AH59" i="3" s="1"/>
  <c r="AF59" i="3"/>
  <c r="T130" i="3"/>
  <c r="AB115" i="3"/>
  <c r="AJ115" i="3" s="1"/>
  <c r="N130" i="3"/>
  <c r="AJ585" i="2"/>
  <c r="AJ579" i="2"/>
  <c r="N581" i="2"/>
  <c r="M587" i="2"/>
  <c r="AE583" i="2"/>
  <c r="AK603" i="2"/>
  <c r="AF615" i="2"/>
  <c r="L600" i="2"/>
  <c r="AP609" i="2"/>
  <c r="U612" i="2"/>
  <c r="AQ609" i="2" s="1"/>
  <c r="I631" i="2"/>
  <c r="AC635" i="2"/>
  <c r="AJ633" i="2"/>
  <c r="M642" i="2"/>
  <c r="AE638" i="2"/>
  <c r="M643" i="2"/>
  <c r="F645" i="2"/>
  <c r="L660" i="2"/>
  <c r="AH652" i="2" s="1"/>
  <c r="AG652" i="2"/>
  <c r="AP671" i="2"/>
  <c r="U662" i="2"/>
  <c r="AQ671" i="2" s="1"/>
  <c r="I664" i="2"/>
  <c r="AD673" i="2"/>
  <c r="L666" i="2"/>
  <c r="AH663" i="2" s="1"/>
  <c r="AF663" i="2"/>
  <c r="AF666" i="2" s="1"/>
  <c r="AF656" i="2"/>
  <c r="AF657" i="2" s="1"/>
  <c r="L671" i="2"/>
  <c r="AH656" i="2" s="1"/>
  <c r="AP691" i="2"/>
  <c r="U695" i="2"/>
  <c r="AQ691" i="2" s="1"/>
  <c r="K726" i="2"/>
  <c r="AD738" i="2"/>
  <c r="M747" i="2"/>
  <c r="AE744" i="2"/>
  <c r="Z756" i="2"/>
  <c r="AE774" i="2"/>
  <c r="T822" i="2"/>
  <c r="AB814" i="2"/>
  <c r="AJ814" i="2" s="1"/>
  <c r="N822" i="2"/>
  <c r="J828" i="3"/>
  <c r="L18" i="3"/>
  <c r="AH15" i="3" s="1"/>
  <c r="AF15" i="3"/>
  <c r="N495" i="2"/>
  <c r="AB538" i="2"/>
  <c r="AJ538" i="2" s="1"/>
  <c r="AJ543" i="2"/>
  <c r="N549" i="2"/>
  <c r="AF555" i="2"/>
  <c r="I559" i="2"/>
  <c r="I561" i="2"/>
  <c r="AD561" i="2"/>
  <c r="AD567" i="2" s="1"/>
  <c r="G564" i="2"/>
  <c r="AC571" i="2"/>
  <c r="K591" i="2"/>
  <c r="AC579" i="2"/>
  <c r="AC585" i="2" s="1"/>
  <c r="AK585" i="2"/>
  <c r="AJ590" i="2"/>
  <c r="AE591" i="2"/>
  <c r="M582" i="2"/>
  <c r="N584" i="2"/>
  <c r="U585" i="2"/>
  <c r="AQ582" i="2" s="1"/>
  <c r="AP599" i="2"/>
  <c r="AJ606" i="2"/>
  <c r="N608" i="2"/>
  <c r="AP617" i="2"/>
  <c r="U608" i="2"/>
  <c r="AQ617" i="2" s="1"/>
  <c r="M611" i="2"/>
  <c r="U613" i="2"/>
  <c r="AQ600" i="2" s="1"/>
  <c r="AP600" i="2"/>
  <c r="E645" i="2"/>
  <c r="T627" i="2"/>
  <c r="AK639" i="2"/>
  <c r="AE645" i="2"/>
  <c r="T639" i="2"/>
  <c r="N643" i="2"/>
  <c r="AF629" i="2"/>
  <c r="AF630" i="2" s="1"/>
  <c r="L644" i="2"/>
  <c r="AH629" i="2" s="1"/>
  <c r="G645" i="2"/>
  <c r="N654" i="2"/>
  <c r="AJ670" i="2"/>
  <c r="U657" i="2"/>
  <c r="AQ670" i="2" s="1"/>
  <c r="AK666" i="2"/>
  <c r="N665" i="2"/>
  <c r="AP674" i="2"/>
  <c r="U665" i="2"/>
  <c r="AQ674" i="2" s="1"/>
  <c r="I668" i="2"/>
  <c r="AD664" i="2"/>
  <c r="U669" i="2"/>
  <c r="AQ665" i="2" s="1"/>
  <c r="M670" i="2"/>
  <c r="J672" i="2"/>
  <c r="AA693" i="2"/>
  <c r="AJ689" i="2"/>
  <c r="U696" i="2"/>
  <c r="AQ692" i="2" s="1"/>
  <c r="AP692" i="2"/>
  <c r="AC725" i="2"/>
  <c r="I716" i="2"/>
  <c r="AP741" i="2"/>
  <c r="U736" i="2"/>
  <c r="AQ741" i="2" s="1"/>
  <c r="AE741" i="2"/>
  <c r="AA756" i="2"/>
  <c r="AG765" i="2"/>
  <c r="V763" i="2"/>
  <c r="S763" i="2"/>
  <c r="R763" i="2" s="1"/>
  <c r="P763" i="2"/>
  <c r="AI768" i="2"/>
  <c r="AH759" i="2"/>
  <c r="AH765" i="2" s="1"/>
  <c r="M767" i="2"/>
  <c r="U771" i="2"/>
  <c r="AQ780" i="2" s="1"/>
  <c r="AP780" i="2"/>
  <c r="AC782" i="2"/>
  <c r="I773" i="2"/>
  <c r="Z783" i="2"/>
  <c r="S789" i="2"/>
  <c r="R789" i="2" s="1"/>
  <c r="P789" i="2"/>
  <c r="AE787" i="2"/>
  <c r="AE831" i="2"/>
  <c r="M816" i="2"/>
  <c r="K820" i="3"/>
  <c r="AG824" i="3" s="1"/>
  <c r="AG14" i="3"/>
  <c r="L10" i="3"/>
  <c r="AH14" i="3" s="1"/>
  <c r="AP142" i="3"/>
  <c r="U157" i="3"/>
  <c r="AQ142" i="3" s="1"/>
  <c r="M175" i="3"/>
  <c r="AE167" i="3"/>
  <c r="AB500" i="2"/>
  <c r="N521" i="2"/>
  <c r="AA534" i="2"/>
  <c r="AA540" i="2" s="1"/>
  <c r="AF535" i="2"/>
  <c r="AB554" i="2"/>
  <c r="L563" i="2"/>
  <c r="AH548" i="2" s="1"/>
  <c r="AH549" i="2" s="1"/>
  <c r="L573" i="2"/>
  <c r="AJ580" i="2"/>
  <c r="N575" i="2"/>
  <c r="I577" i="2"/>
  <c r="T581" i="2"/>
  <c r="AP593" i="2"/>
  <c r="U584" i="2"/>
  <c r="AQ593" i="2" s="1"/>
  <c r="AJ582" i="2"/>
  <c r="N589" i="2"/>
  <c r="L590" i="2"/>
  <c r="AH575" i="2" s="1"/>
  <c r="AJ616" i="2"/>
  <c r="U603" i="2"/>
  <c r="AQ616" i="2" s="1"/>
  <c r="AK612" i="2"/>
  <c r="T609" i="2"/>
  <c r="I612" i="2"/>
  <c r="AC609" i="2"/>
  <c r="AC612" i="2" s="1"/>
  <c r="I613" i="2"/>
  <c r="M617" i="2"/>
  <c r="AE602" i="2"/>
  <c r="I628" i="2"/>
  <c r="I645" i="2" s="1"/>
  <c r="AC633" i="2"/>
  <c r="AC639" i="2" s="1"/>
  <c r="I632" i="2"/>
  <c r="AC624" i="2"/>
  <c r="AC630" i="2" s="1"/>
  <c r="M634" i="2"/>
  <c r="AC642" i="2"/>
  <c r="U643" i="2"/>
  <c r="AQ628" i="2" s="1"/>
  <c r="AP628" i="2"/>
  <c r="AP630" i="2" s="1"/>
  <c r="AQ630" i="2" s="1"/>
  <c r="AB647" i="2"/>
  <c r="AJ647" i="2" s="1"/>
  <c r="AA657" i="2"/>
  <c r="E672" i="2"/>
  <c r="T654" i="2"/>
  <c r="I655" i="2"/>
  <c r="Z675" i="2"/>
  <c r="N671" i="2"/>
  <c r="M684" i="2"/>
  <c r="I686" i="2"/>
  <c r="AC678" i="2"/>
  <c r="AC684" i="2" s="1"/>
  <c r="AJ687" i="2"/>
  <c r="M723" i="2"/>
  <c r="S725" i="2"/>
  <c r="R725" i="2" s="1"/>
  <c r="AI710" i="2"/>
  <c r="P725" i="2"/>
  <c r="AH756" i="2"/>
  <c r="AE732" i="2"/>
  <c r="AO760" i="2"/>
  <c r="AN760" i="2" s="1"/>
  <c r="AL760" i="2"/>
  <c r="AR760" i="2"/>
  <c r="J780" i="2"/>
  <c r="AJ788" i="2"/>
  <c r="E807" i="2"/>
  <c r="AA804" i="2"/>
  <c r="V789" i="2"/>
  <c r="AF786" i="2"/>
  <c r="L794" i="2"/>
  <c r="AH786" i="2" s="1"/>
  <c r="I799" i="2"/>
  <c r="AC808" i="2"/>
  <c r="U502" i="2"/>
  <c r="AQ511" i="2" s="1"/>
  <c r="U556" i="2"/>
  <c r="AQ565" i="2" s="1"/>
  <c r="E591" i="2"/>
  <c r="AA588" i="2"/>
  <c r="AA594" i="2" s="1"/>
  <c r="L576" i="2"/>
  <c r="T577" i="2"/>
  <c r="AF591" i="2"/>
  <c r="L582" i="2"/>
  <c r="AH591" i="2" s="1"/>
  <c r="M585" i="2"/>
  <c r="M588" i="2"/>
  <c r="AE584" i="2"/>
  <c r="J591" i="2"/>
  <c r="AE592" i="2"/>
  <c r="AB593" i="2"/>
  <c r="AJ593" i="2" s="1"/>
  <c r="AA603" i="2"/>
  <c r="E618" i="2"/>
  <c r="I601" i="2"/>
  <c r="I618" i="2" s="1"/>
  <c r="AP620" i="2"/>
  <c r="U611" i="2"/>
  <c r="AQ620" i="2" s="1"/>
  <c r="M627" i="2"/>
  <c r="AE642" i="2"/>
  <c r="AD639" i="2"/>
  <c r="M630" i="2"/>
  <c r="AF645" i="2"/>
  <c r="L636" i="2"/>
  <c r="AH645" i="2" s="1"/>
  <c r="M638" i="2"/>
  <c r="M641" i="2"/>
  <c r="AE637" i="2"/>
  <c r="AD648" i="2"/>
  <c r="N644" i="2"/>
  <c r="AB657" i="2"/>
  <c r="AB675" i="2"/>
  <c r="AJ675" i="2" s="1"/>
  <c r="AJ669" i="2"/>
  <c r="AD666" i="2"/>
  <c r="AC662" i="2"/>
  <c r="AC666" i="2" s="1"/>
  <c r="I658" i="2"/>
  <c r="AP655" i="2"/>
  <c r="U670" i="2"/>
  <c r="AQ655" i="2" s="1"/>
  <c r="AP670" i="2"/>
  <c r="AF674" i="2"/>
  <c r="AB684" i="2"/>
  <c r="AJ684" i="2" s="1"/>
  <c r="F699" i="2"/>
  <c r="I682" i="2"/>
  <c r="AC687" i="2"/>
  <c r="N695" i="2"/>
  <c r="AB691" i="2"/>
  <c r="AJ691" i="2" s="1"/>
  <c r="AB696" i="2"/>
  <c r="E699" i="2"/>
  <c r="N726" i="2"/>
  <c r="L722" i="2"/>
  <c r="AH718" i="2" s="1"/>
  <c r="AF718" i="2"/>
  <c r="AF719" i="2"/>
  <c r="L723" i="2"/>
  <c r="AH719" i="2" s="1"/>
  <c r="M735" i="2"/>
  <c r="AF743" i="2"/>
  <c r="T750" i="2"/>
  <c r="AB746" i="2"/>
  <c r="AJ746" i="2" s="1"/>
  <c r="N750" i="2"/>
  <c r="AJ750" i="2"/>
  <c r="K780" i="2"/>
  <c r="AJ795" i="2"/>
  <c r="T796" i="2"/>
  <c r="N796" i="2"/>
  <c r="AE806" i="2"/>
  <c r="M797" i="2"/>
  <c r="AE807" i="2"/>
  <c r="M798" i="2"/>
  <c r="AD9" i="3"/>
  <c r="T583" i="2"/>
  <c r="T586" i="2"/>
  <c r="T587" i="2"/>
  <c r="T588" i="2"/>
  <c r="N602" i="2"/>
  <c r="N607" i="2"/>
  <c r="AF608" i="2"/>
  <c r="AF612" i="2" s="1"/>
  <c r="N610" i="2"/>
  <c r="N613" i="2"/>
  <c r="AJ600" i="2" s="1"/>
  <c r="N614" i="2"/>
  <c r="N615" i="2"/>
  <c r="AA615" i="2"/>
  <c r="AA621" i="2" s="1"/>
  <c r="AC619" i="2"/>
  <c r="AB635" i="2"/>
  <c r="AJ635" i="2" s="1"/>
  <c r="N656" i="2"/>
  <c r="N661" i="2"/>
  <c r="N664" i="2"/>
  <c r="N667" i="2"/>
  <c r="AJ654" i="2" s="1"/>
  <c r="N668" i="2"/>
  <c r="N669" i="2"/>
  <c r="AA669" i="2"/>
  <c r="AA675" i="2" s="1"/>
  <c r="AD702" i="2"/>
  <c r="Z693" i="2"/>
  <c r="I692" i="2"/>
  <c r="AC701" i="2"/>
  <c r="I695" i="2"/>
  <c r="AC691" i="2"/>
  <c r="M711" i="2"/>
  <c r="AE724" i="2"/>
  <c r="M742" i="2"/>
  <c r="AE734" i="2"/>
  <c r="AB742" i="2"/>
  <c r="AJ742" i="2" s="1"/>
  <c r="AJ752" i="2"/>
  <c r="AE755" i="2"/>
  <c r="AC735" i="2"/>
  <c r="I748" i="2"/>
  <c r="I749" i="2"/>
  <c r="AC745" i="2"/>
  <c r="AC746" i="2"/>
  <c r="I750" i="2"/>
  <c r="AB756" i="2"/>
  <c r="AJ756" i="2" s="1"/>
  <c r="AJ753" i="2"/>
  <c r="AC754" i="2"/>
  <c r="M765" i="2"/>
  <c r="AE778" i="2"/>
  <c r="AF781" i="2"/>
  <c r="AF783" i="2" s="1"/>
  <c r="L772" i="2"/>
  <c r="M775" i="2"/>
  <c r="AE762" i="2"/>
  <c r="M776" i="2"/>
  <c r="AC763" i="2"/>
  <c r="AC765" i="2" s="1"/>
  <c r="I778" i="2"/>
  <c r="AP804" i="2"/>
  <c r="U789" i="2"/>
  <c r="AQ804" i="2" s="1"/>
  <c r="AE797" i="2"/>
  <c r="M793" i="2"/>
  <c r="M796" i="2"/>
  <c r="AE788" i="2"/>
  <c r="T802" i="2"/>
  <c r="AB789" i="2"/>
  <c r="AB792" i="2" s="1"/>
  <c r="AJ792" i="2" s="1"/>
  <c r="AP799" i="2"/>
  <c r="U803" i="2"/>
  <c r="AQ799" i="2" s="1"/>
  <c r="T804" i="2"/>
  <c r="AB800" i="2"/>
  <c r="AJ800" i="2" s="1"/>
  <c r="AA828" i="2"/>
  <c r="AB834" i="2"/>
  <c r="AJ834" i="2" s="1"/>
  <c r="T825" i="2"/>
  <c r="N825" i="2"/>
  <c r="AP827" i="2"/>
  <c r="U831" i="2"/>
  <c r="AQ827" i="2" s="1"/>
  <c r="E819" i="3"/>
  <c r="AA832" i="3" s="1"/>
  <c r="AA22" i="3"/>
  <c r="AB134" i="3"/>
  <c r="AJ134" i="3" s="1"/>
  <c r="T125" i="3"/>
  <c r="N125" i="3"/>
  <c r="AC591" i="2"/>
  <c r="T601" i="2"/>
  <c r="T604" i="2"/>
  <c r="T605" i="2"/>
  <c r="T606" i="2"/>
  <c r="AB607" i="2"/>
  <c r="AJ607" i="2" s="1"/>
  <c r="N628" i="2"/>
  <c r="N631" i="2"/>
  <c r="N632" i="2"/>
  <c r="N633" i="2"/>
  <c r="AC645" i="2"/>
  <c r="M654" i="2"/>
  <c r="T655" i="2"/>
  <c r="T658" i="2"/>
  <c r="T659" i="2"/>
  <c r="T660" i="2"/>
  <c r="AB661" i="2"/>
  <c r="AJ661" i="2" s="1"/>
  <c r="AB664" i="2"/>
  <c r="AJ664" i="2" s="1"/>
  <c r="U683" i="2"/>
  <c r="AQ688" i="2" s="1"/>
  <c r="AC692" i="2"/>
  <c r="I696" i="2"/>
  <c r="E726" i="2"/>
  <c r="L710" i="2"/>
  <c r="AH715" i="2" s="1"/>
  <c r="M712" i="2"/>
  <c r="AH711" i="2"/>
  <c r="AE707" i="2"/>
  <c r="M715" i="2"/>
  <c r="AF715" i="2"/>
  <c r="U721" i="2"/>
  <c r="AQ708" i="2" s="1"/>
  <c r="U722" i="2"/>
  <c r="AQ718" i="2" s="1"/>
  <c r="AK738" i="2"/>
  <c r="AP750" i="2"/>
  <c r="U735" i="2"/>
  <c r="AQ750" i="2" s="1"/>
  <c r="AE743" i="2"/>
  <c r="M739" i="2"/>
  <c r="AE752" i="2"/>
  <c r="M743" i="2"/>
  <c r="AJ743" i="2"/>
  <c r="AJ751" i="2"/>
  <c r="E780" i="2"/>
  <c r="L764" i="2"/>
  <c r="AH769" i="2" s="1"/>
  <c r="AD774" i="2"/>
  <c r="AC779" i="2"/>
  <c r="I770" i="2"/>
  <c r="U774" i="2"/>
  <c r="AQ771" i="2" s="1"/>
  <c r="AE777" i="2"/>
  <c r="U779" i="2"/>
  <c r="AQ764" i="2" s="1"/>
  <c r="AP764" i="2"/>
  <c r="H780" i="2"/>
  <c r="AE804" i="2"/>
  <c r="AA801" i="2"/>
  <c r="AP795" i="2"/>
  <c r="U790" i="2"/>
  <c r="AQ795" i="2" s="1"/>
  <c r="N791" i="2"/>
  <c r="AE805" i="2"/>
  <c r="M792" i="2"/>
  <c r="AE786" i="2"/>
  <c r="M794" i="2"/>
  <c r="AJ806" i="2"/>
  <c r="AE809" i="2"/>
  <c r="M800" i="2"/>
  <c r="AC789" i="2"/>
  <c r="I802" i="2"/>
  <c r="I803" i="2"/>
  <c r="AC799" i="2"/>
  <c r="AC800" i="2"/>
  <c r="I804" i="2"/>
  <c r="H826" i="3"/>
  <c r="AD835" i="3" s="1"/>
  <c r="AD25" i="3"/>
  <c r="I16" i="3"/>
  <c r="M36" i="3"/>
  <c r="AE49" i="3"/>
  <c r="AE112" i="3"/>
  <c r="M120" i="3"/>
  <c r="AB592" i="2"/>
  <c r="AJ592" i="2" s="1"/>
  <c r="AJ597" i="2"/>
  <c r="N603" i="2"/>
  <c r="AD615" i="2"/>
  <c r="AD621" i="2" s="1"/>
  <c r="AB646" i="2"/>
  <c r="AJ646" i="2" s="1"/>
  <c r="AJ651" i="2"/>
  <c r="N657" i="2"/>
  <c r="AD669" i="2"/>
  <c r="K699" i="2"/>
  <c r="AG696" i="2"/>
  <c r="AG702" i="2" s="1"/>
  <c r="AE700" i="2"/>
  <c r="H699" i="2"/>
  <c r="G726" i="2"/>
  <c r="T709" i="2"/>
  <c r="AB714" i="2"/>
  <c r="AP716" i="2"/>
  <c r="U712" i="2"/>
  <c r="AQ716" i="2" s="1"/>
  <c r="AA711" i="2"/>
  <c r="N713" i="2"/>
  <c r="AE727" i="2"/>
  <c r="AC728" i="2"/>
  <c r="I719" i="2"/>
  <c r="U720" i="2"/>
  <c r="AQ717" i="2" s="1"/>
  <c r="U725" i="2"/>
  <c r="AQ710" i="2" s="1"/>
  <c r="AP710" i="2"/>
  <c r="H726" i="2"/>
  <c r="AB747" i="2"/>
  <c r="AJ747" i="2" s="1"/>
  <c r="AJ741" i="2"/>
  <c r="AF732" i="2"/>
  <c r="L740" i="2"/>
  <c r="AH732" i="2" s="1"/>
  <c r="M741" i="2"/>
  <c r="AK756" i="2"/>
  <c r="AF765" i="2"/>
  <c r="G780" i="2"/>
  <c r="T763" i="2"/>
  <c r="AB768" i="2"/>
  <c r="AI770" i="2"/>
  <c r="V766" i="2"/>
  <c r="S766" i="2"/>
  <c r="R766" i="2" s="1"/>
  <c r="P766" i="2"/>
  <c r="AF769" i="2"/>
  <c r="AJ771" i="2"/>
  <c r="AF773" i="2"/>
  <c r="L777" i="2"/>
  <c r="AK783" i="2"/>
  <c r="AJ786" i="2"/>
  <c r="AP786" i="2"/>
  <c r="J807" i="2"/>
  <c r="L795" i="2"/>
  <c r="AH787" i="2" s="1"/>
  <c r="AF787" i="2"/>
  <c r="AP825" i="2"/>
  <c r="U828" i="2"/>
  <c r="AQ825" i="2" s="1"/>
  <c r="H831" i="3"/>
  <c r="AD827" i="3" s="1"/>
  <c r="AD17" i="3"/>
  <c r="I21" i="3"/>
  <c r="AE66" i="3"/>
  <c r="M170" i="3"/>
  <c r="AE175" i="3"/>
  <c r="AB608" i="2"/>
  <c r="AJ608" i="2" s="1"/>
  <c r="AE615" i="2"/>
  <c r="N629" i="2"/>
  <c r="AA642" i="2"/>
  <c r="AA648" i="2" s="1"/>
  <c r="AF643" i="2"/>
  <c r="AB662" i="2"/>
  <c r="AJ662" i="2" s="1"/>
  <c r="AB665" i="2"/>
  <c r="AJ665" i="2" s="1"/>
  <c r="AE669" i="2"/>
  <c r="U690" i="2"/>
  <c r="AQ699" i="2" s="1"/>
  <c r="AP699" i="2"/>
  <c r="L692" i="2"/>
  <c r="AH701" i="2" s="1"/>
  <c r="AF692" i="2"/>
  <c r="AF693" i="2" s="1"/>
  <c r="M697" i="2"/>
  <c r="AD729" i="2"/>
  <c r="AC720" i="2"/>
  <c r="U710" i="2"/>
  <c r="AQ715" i="2" s="1"/>
  <c r="AB705" i="2"/>
  <c r="T713" i="2"/>
  <c r="AF727" i="2"/>
  <c r="AF729" i="2" s="1"/>
  <c r="L718" i="2"/>
  <c r="AH727" i="2" s="1"/>
  <c r="N720" i="2"/>
  <c r="M722" i="2"/>
  <c r="AC709" i="2"/>
  <c r="AC711" i="2" s="1"/>
  <c r="I724" i="2"/>
  <c r="AC724" i="2"/>
  <c r="AJ732" i="2"/>
  <c r="J753" i="2"/>
  <c r="L741" i="2"/>
  <c r="AH733" i="2" s="1"/>
  <c r="AF733" i="2"/>
  <c r="I744" i="2"/>
  <c r="AB754" i="2"/>
  <c r="AJ754" i="2" s="1"/>
  <c r="T745" i="2"/>
  <c r="L746" i="2"/>
  <c r="AH755" i="2" s="1"/>
  <c r="I752" i="2"/>
  <c r="AD783" i="2"/>
  <c r="U764" i="2"/>
  <c r="AQ769" i="2" s="1"/>
  <c r="N766" i="2"/>
  <c r="L769" i="2"/>
  <c r="AH761" i="2" s="1"/>
  <c r="AC792" i="2"/>
  <c r="K807" i="2"/>
  <c r="AP796" i="2"/>
  <c r="U791" i="2"/>
  <c r="AQ796" i="2" s="1"/>
  <c r="AP797" i="2"/>
  <c r="U793" i="2"/>
  <c r="AQ797" i="2" s="1"/>
  <c r="AF797" i="2"/>
  <c r="T821" i="2"/>
  <c r="N821" i="2"/>
  <c r="AB813" i="2"/>
  <c r="U833" i="2"/>
  <c r="AQ818" i="2" s="1"/>
  <c r="AP818" i="2"/>
  <c r="H830" i="3"/>
  <c r="AD826" i="3" s="1"/>
  <c r="I20" i="3"/>
  <c r="AD16" i="3"/>
  <c r="AE34" i="3"/>
  <c r="L689" i="2"/>
  <c r="I690" i="2"/>
  <c r="L691" i="2"/>
  <c r="AH700" i="2" s="1"/>
  <c r="AF700" i="2"/>
  <c r="AC700" i="2"/>
  <c r="AD711" i="2"/>
  <c r="P708" i="2"/>
  <c r="AI723" i="2"/>
  <c r="V708" i="2"/>
  <c r="T714" i="2"/>
  <c r="AB706" i="2"/>
  <c r="AJ706" i="2" s="1"/>
  <c r="U717" i="2"/>
  <c r="AQ726" i="2" s="1"/>
  <c r="M721" i="2"/>
  <c r="AE708" i="2"/>
  <c r="AE723" i="2"/>
  <c r="AC738" i="2"/>
  <c r="AP742" i="2"/>
  <c r="U737" i="2"/>
  <c r="AQ742" i="2" s="1"/>
  <c r="AP743" i="2"/>
  <c r="U739" i="2"/>
  <c r="AQ743" i="2" s="1"/>
  <c r="M745" i="2"/>
  <c r="AE754" i="2"/>
  <c r="AD765" i="2"/>
  <c r="P762" i="2"/>
  <c r="AI777" i="2"/>
  <c r="V762" i="2"/>
  <c r="AP770" i="2"/>
  <c r="U766" i="2"/>
  <c r="AQ770" i="2" s="1"/>
  <c r="AA765" i="2"/>
  <c r="V768" i="2"/>
  <c r="S768" i="2"/>
  <c r="R768" i="2" s="1"/>
  <c r="P768" i="2"/>
  <c r="AD792" i="2"/>
  <c r="AJ787" i="2"/>
  <c r="AH810" i="2"/>
  <c r="M790" i="2"/>
  <c r="I791" i="2"/>
  <c r="I807" i="2" s="1"/>
  <c r="AC796" i="2"/>
  <c r="AC801" i="2" s="1"/>
  <c r="AA792" i="2"/>
  <c r="AB808" i="2"/>
  <c r="AJ808" i="2" s="1"/>
  <c r="T799" i="2"/>
  <c r="M801" i="2"/>
  <c r="AE798" i="2"/>
  <c r="M806" i="2"/>
  <c r="AE791" i="2"/>
  <c r="AE818" i="2"/>
  <c r="M833" i="2"/>
  <c r="E824" i="3"/>
  <c r="AA833" i="3" s="1"/>
  <c r="AA23" i="3"/>
  <c r="H829" i="3"/>
  <c r="AD816" i="3" s="1"/>
  <c r="AD6" i="3"/>
  <c r="I19" i="3"/>
  <c r="AJ26" i="3"/>
  <c r="AC30" i="3"/>
  <c r="I38" i="3"/>
  <c r="AO60" i="3"/>
  <c r="AN60" i="3" s="1"/>
  <c r="AL60" i="3"/>
  <c r="AR60" i="3"/>
  <c r="U77" i="3"/>
  <c r="AQ62" i="3" s="1"/>
  <c r="AP62" i="3"/>
  <c r="T693" i="2"/>
  <c r="T698" i="2"/>
  <c r="AB701" i="2"/>
  <c r="AJ701" i="2" s="1"/>
  <c r="T708" i="2"/>
  <c r="AG723" i="2"/>
  <c r="AG729" i="2" s="1"/>
  <c r="N725" i="2"/>
  <c r="AF728" i="2"/>
  <c r="N735" i="2"/>
  <c r="T744" i="2"/>
  <c r="T747" i="2"/>
  <c r="AC750" i="2"/>
  <c r="T752" i="2"/>
  <c r="F753" i="2"/>
  <c r="N753" i="2" s="1"/>
  <c r="AB755" i="2"/>
  <c r="AJ755" i="2" s="1"/>
  <c r="T762" i="2"/>
  <c r="N771" i="2"/>
  <c r="N774" i="2"/>
  <c r="AG777" i="2"/>
  <c r="AG783" i="2" s="1"/>
  <c r="N779" i="2"/>
  <c r="AF782" i="2"/>
  <c r="N789" i="2"/>
  <c r="T798" i="2"/>
  <c r="T801" i="2"/>
  <c r="AC804" i="2"/>
  <c r="AK810" i="2"/>
  <c r="T806" i="2"/>
  <c r="F807" i="2"/>
  <c r="N807" i="2" s="1"/>
  <c r="AB809" i="2"/>
  <c r="AJ809" i="2" s="1"/>
  <c r="AA819" i="2"/>
  <c r="L816" i="2"/>
  <c r="J834" i="2"/>
  <c r="N817" i="2"/>
  <c r="M820" i="2"/>
  <c r="AE824" i="2"/>
  <c r="AC813" i="2"/>
  <c r="AC819" i="2" s="1"/>
  <c r="I821" i="2"/>
  <c r="I822" i="2"/>
  <c r="AC814" i="2"/>
  <c r="AB822" i="2"/>
  <c r="AP835" i="2"/>
  <c r="K821" i="3"/>
  <c r="AG813" i="3" s="1"/>
  <c r="AG3" i="3"/>
  <c r="L11" i="3"/>
  <c r="AH3" i="3" s="1"/>
  <c r="AE52" i="3"/>
  <c r="M43" i="3"/>
  <c r="AF104" i="3"/>
  <c r="L95" i="3"/>
  <c r="AH104" i="3" s="1"/>
  <c r="N692" i="2"/>
  <c r="N697" i="2"/>
  <c r="T711" i="2"/>
  <c r="T716" i="2"/>
  <c r="T719" i="2"/>
  <c r="AH723" i="2"/>
  <c r="T724" i="2"/>
  <c r="AB725" i="2"/>
  <c r="AJ725" i="2" s="1"/>
  <c r="AB727" i="2"/>
  <c r="AJ727" i="2" s="1"/>
  <c r="N738" i="2"/>
  <c r="N743" i="2"/>
  <c r="N746" i="2"/>
  <c r="AD750" i="2"/>
  <c r="AD756" i="2" s="1"/>
  <c r="N751" i="2"/>
  <c r="G753" i="2"/>
  <c r="AF754" i="2"/>
  <c r="AC755" i="2"/>
  <c r="AH777" i="2"/>
  <c r="AB779" i="2"/>
  <c r="AJ779" i="2" s="1"/>
  <c r="AB781" i="2"/>
  <c r="AJ781" i="2" s="1"/>
  <c r="N792" i="2"/>
  <c r="N797" i="2"/>
  <c r="N800" i="2"/>
  <c r="AD804" i="2"/>
  <c r="AD810" i="2" s="1"/>
  <c r="N805" i="2"/>
  <c r="G807" i="2"/>
  <c r="AF808" i="2"/>
  <c r="AC809" i="2"/>
  <c r="AE823" i="2"/>
  <c r="M818" i="2"/>
  <c r="M823" i="2"/>
  <c r="AE835" i="2"/>
  <c r="M831" i="2"/>
  <c r="AE827" i="2"/>
  <c r="K822" i="3"/>
  <c r="AG814" i="3" s="1"/>
  <c r="L12" i="3"/>
  <c r="AH4" i="3" s="1"/>
  <c r="AG4" i="3"/>
  <c r="J825" i="3"/>
  <c r="AF24" i="3"/>
  <c r="L15" i="3"/>
  <c r="AH24" i="3" s="1"/>
  <c r="AP15" i="3"/>
  <c r="U18" i="3"/>
  <c r="AQ15" i="3" s="1"/>
  <c r="E832" i="3"/>
  <c r="AA817" i="3" s="1"/>
  <c r="AA7" i="3"/>
  <c r="Z27" i="3"/>
  <c r="AP48" i="3"/>
  <c r="U33" i="3"/>
  <c r="AQ48" i="3" s="1"/>
  <c r="AH36" i="3"/>
  <c r="AB51" i="3"/>
  <c r="AJ51" i="3" s="1"/>
  <c r="T42" i="3"/>
  <c r="T45" i="3"/>
  <c r="AB42" i="3"/>
  <c r="AJ42" i="3" s="1"/>
  <c r="T50" i="3"/>
  <c r="AB35" i="3"/>
  <c r="AJ35" i="3" s="1"/>
  <c r="AJ50" i="3"/>
  <c r="F78" i="3"/>
  <c r="AB75" i="3"/>
  <c r="T60" i="3"/>
  <c r="AG66" i="3"/>
  <c r="AG72" i="3" s="1"/>
  <c r="L61" i="3"/>
  <c r="AH66" i="3" s="1"/>
  <c r="AG68" i="3"/>
  <c r="L64" i="3"/>
  <c r="AH68" i="3" s="1"/>
  <c r="AG57" i="3"/>
  <c r="AG63" i="3" s="1"/>
  <c r="L65" i="3"/>
  <c r="AH57" i="3" s="1"/>
  <c r="L66" i="3"/>
  <c r="AH58" i="3" s="1"/>
  <c r="AG58" i="3"/>
  <c r="AC89" i="3"/>
  <c r="I104" i="3"/>
  <c r="S208" i="3"/>
  <c r="R208" i="3" s="1"/>
  <c r="AI195" i="3"/>
  <c r="P208" i="3"/>
  <c r="V208" i="3"/>
  <c r="N710" i="2"/>
  <c r="N721" i="2"/>
  <c r="AJ708" i="2" s="1"/>
  <c r="N722" i="2"/>
  <c r="N764" i="2"/>
  <c r="N775" i="2"/>
  <c r="AJ762" i="2" s="1"/>
  <c r="N776" i="2"/>
  <c r="AP822" i="2"/>
  <c r="U817" i="2"/>
  <c r="AQ822" i="2" s="1"/>
  <c r="AD836" i="2"/>
  <c r="I827" i="2"/>
  <c r="AE826" i="2"/>
  <c r="Z855" i="2"/>
  <c r="H818" i="3"/>
  <c r="AD823" i="3" s="1"/>
  <c r="AD13" i="3"/>
  <c r="I8" i="3"/>
  <c r="J833" i="3"/>
  <c r="AF8" i="3"/>
  <c r="AF9" i="3" s="1"/>
  <c r="L23" i="3"/>
  <c r="AH8" i="3" s="1"/>
  <c r="M45" i="3"/>
  <c r="AE42" i="3"/>
  <c r="AF63" i="3"/>
  <c r="AE156" i="3"/>
  <c r="T184" i="3"/>
  <c r="AB169" i="3"/>
  <c r="AJ169" i="3" s="1"/>
  <c r="N184" i="3"/>
  <c r="L716" i="2"/>
  <c r="AH725" i="2" s="1"/>
  <c r="AG716" i="2"/>
  <c r="AG720" i="2" s="1"/>
  <c r="AB723" i="2"/>
  <c r="AD727" i="2"/>
  <c r="N736" i="2"/>
  <c r="AF742" i="2"/>
  <c r="AF745" i="2"/>
  <c r="AF750" i="2"/>
  <c r="AF756" i="2" s="1"/>
  <c r="AC751" i="2"/>
  <c r="L770" i="2"/>
  <c r="AH779" i="2" s="1"/>
  <c r="AB777" i="2"/>
  <c r="N790" i="2"/>
  <c r="AF796" i="2"/>
  <c r="AF799" i="2"/>
  <c r="AF804" i="2"/>
  <c r="AC805" i="2"/>
  <c r="AE815" i="2"/>
  <c r="E834" i="2"/>
  <c r="I817" i="2"/>
  <c r="AC822" i="2"/>
  <c r="AK828" i="2"/>
  <c r="I824" i="2"/>
  <c r="AG827" i="2"/>
  <c r="L831" i="2"/>
  <c r="AH827" i="2" s="1"/>
  <c r="AK837" i="2"/>
  <c r="AA9" i="3"/>
  <c r="F816" i="3"/>
  <c r="AB21" i="3"/>
  <c r="T6" i="3"/>
  <c r="K817" i="3"/>
  <c r="AG822" i="3" s="1"/>
  <c r="AG828" i="3" s="1"/>
  <c r="AG12" i="3"/>
  <c r="L7" i="3"/>
  <c r="AH12" i="3" s="1"/>
  <c r="AH18" i="3" s="1"/>
  <c r="E827" i="3"/>
  <c r="AA836" i="3" s="1"/>
  <c r="AA26" i="3"/>
  <c r="F24" i="3"/>
  <c r="AP24" i="3"/>
  <c r="AJ40" i="3"/>
  <c r="AJ49" i="3"/>
  <c r="AE53" i="3"/>
  <c r="M44" i="3"/>
  <c r="AD67" i="3"/>
  <c r="AD72" i="3" s="1"/>
  <c r="I62" i="3"/>
  <c r="AE78" i="3"/>
  <c r="AC159" i="3"/>
  <c r="I150" i="3"/>
  <c r="N708" i="2"/>
  <c r="AF714" i="2"/>
  <c r="AF720" i="2" s="1"/>
  <c r="AC723" i="2"/>
  <c r="AC729" i="2" s="1"/>
  <c r="AP726" i="2"/>
  <c r="AB728" i="2"/>
  <c r="AJ728" i="2" s="1"/>
  <c r="L748" i="2"/>
  <c r="AH735" i="2" s="1"/>
  <c r="AG750" i="2"/>
  <c r="AG756" i="2" s="1"/>
  <c r="I751" i="2"/>
  <c r="N762" i="2"/>
  <c r="AF768" i="2"/>
  <c r="AF774" i="2" s="1"/>
  <c r="AC769" i="2"/>
  <c r="AC774" i="2" s="1"/>
  <c r="AC777" i="2"/>
  <c r="AC783" i="2" s="1"/>
  <c r="AB782" i="2"/>
  <c r="AJ782" i="2" s="1"/>
  <c r="N801" i="2"/>
  <c r="L802" i="2"/>
  <c r="AH789" i="2" s="1"/>
  <c r="AG804" i="2"/>
  <c r="AG810" i="2" s="1"/>
  <c r="I805" i="2"/>
  <c r="F834" i="2"/>
  <c r="N834" i="2" s="1"/>
  <c r="T834" i="2"/>
  <c r="U834" i="2" s="1"/>
  <c r="AP831" i="2"/>
  <c r="U816" i="2"/>
  <c r="AQ831" i="2" s="1"/>
  <c r="AD828" i="2"/>
  <c r="M825" i="2"/>
  <c r="AH825" i="2"/>
  <c r="AH828" i="2" s="1"/>
  <c r="AG835" i="2"/>
  <c r="L826" i="2"/>
  <c r="AH835" i="2" s="1"/>
  <c r="L830" i="2"/>
  <c r="AH826" i="2" s="1"/>
  <c r="AG826" i="2"/>
  <c r="AG828" i="2" s="1"/>
  <c r="AB9" i="3"/>
  <c r="AJ9" i="3" s="1"/>
  <c r="Z18" i="3"/>
  <c r="AP8" i="3"/>
  <c r="U23" i="3"/>
  <c r="AQ8" i="3" s="1"/>
  <c r="AB36" i="3"/>
  <c r="N51" i="3"/>
  <c r="I34" i="3"/>
  <c r="AC39" i="3"/>
  <c r="AC45" i="3" s="1"/>
  <c r="AE32" i="3"/>
  <c r="M40" i="3"/>
  <c r="AK63" i="3"/>
  <c r="U67" i="3"/>
  <c r="AQ59" i="3" s="1"/>
  <c r="AP59" i="3"/>
  <c r="M121" i="3"/>
  <c r="AE113" i="3"/>
  <c r="AP158" i="3"/>
  <c r="U149" i="3"/>
  <c r="AQ158" i="3" s="1"/>
  <c r="I710" i="2"/>
  <c r="I726" i="2" s="1"/>
  <c r="T743" i="2"/>
  <c r="T797" i="2"/>
  <c r="T807" i="2" s="1"/>
  <c r="U807" i="2" s="1"/>
  <c r="Z810" i="2"/>
  <c r="AG815" i="2"/>
  <c r="AG819" i="2" s="1"/>
  <c r="G834" i="2"/>
  <c r="AC831" i="2"/>
  <c r="I819" i="2"/>
  <c r="AG816" i="2"/>
  <c r="L829" i="2"/>
  <c r="AH816" i="2" s="1"/>
  <c r="AH819" i="2" s="1"/>
  <c r="U830" i="2"/>
  <c r="AQ826" i="2" s="1"/>
  <c r="Z837" i="2"/>
  <c r="AD817" i="2"/>
  <c r="AD819" i="2" s="1"/>
  <c r="I832" i="2"/>
  <c r="D861" i="2"/>
  <c r="AC9" i="3"/>
  <c r="AD18" i="3"/>
  <c r="H823" i="3"/>
  <c r="AD815" i="3" s="1"/>
  <c r="I13" i="3"/>
  <c r="AE48" i="3"/>
  <c r="M33" i="3"/>
  <c r="I39" i="3"/>
  <c r="AC31" i="3"/>
  <c r="AJ39" i="3"/>
  <c r="AE50" i="3"/>
  <c r="M46" i="3"/>
  <c r="AL61" i="3"/>
  <c r="AR61" i="3"/>
  <c r="AO61" i="3"/>
  <c r="AN61" i="3" s="1"/>
  <c r="AC129" i="3"/>
  <c r="I114" i="3"/>
  <c r="G132" i="3"/>
  <c r="AF171" i="3"/>
  <c r="N828" i="2"/>
  <c r="AG831" i="2"/>
  <c r="AG837" i="2" s="1"/>
  <c r="N833" i="2"/>
  <c r="AK858" i="2"/>
  <c r="AK864" i="2" s="1"/>
  <c r="AJ3" i="3"/>
  <c r="G816" i="3"/>
  <c r="AB832" i="3"/>
  <c r="AJ832" i="3" s="1"/>
  <c r="T819" i="3"/>
  <c r="N819" i="3"/>
  <c r="N9" i="3"/>
  <c r="N824" i="3"/>
  <c r="AJ833" i="3" s="1"/>
  <c r="AB833" i="3"/>
  <c r="T824" i="3"/>
  <c r="N14" i="3"/>
  <c r="F827" i="3"/>
  <c r="N17" i="3"/>
  <c r="K828" i="3"/>
  <c r="AG825" i="3" s="1"/>
  <c r="F832" i="3"/>
  <c r="N22" i="3"/>
  <c r="G24" i="3"/>
  <c r="AJ57" i="3"/>
  <c r="AC81" i="3"/>
  <c r="AJ76" i="3"/>
  <c r="N63" i="3"/>
  <c r="P73" i="3"/>
  <c r="V73" i="3"/>
  <c r="M74" i="3"/>
  <c r="AE70" i="3"/>
  <c r="M75" i="3"/>
  <c r="AE71" i="3"/>
  <c r="N105" i="3"/>
  <c r="AC105" i="3"/>
  <c r="I96" i="3"/>
  <c r="AP88" i="3"/>
  <c r="U103" i="3"/>
  <c r="AQ88" i="3" s="1"/>
  <c r="U115" i="3"/>
  <c r="AQ120" i="3" s="1"/>
  <c r="AP120" i="3"/>
  <c r="AE132" i="3"/>
  <c r="M125" i="3"/>
  <c r="AE134" i="3"/>
  <c r="V148" i="3"/>
  <c r="S148" i="3"/>
  <c r="R148" i="3" s="1"/>
  <c r="P148" i="3"/>
  <c r="V154" i="3"/>
  <c r="S154" i="3"/>
  <c r="R154" i="3" s="1"/>
  <c r="AI141" i="3"/>
  <c r="P154" i="3"/>
  <c r="T179" i="3"/>
  <c r="AB188" i="3"/>
  <c r="AJ188" i="3" s="1"/>
  <c r="AJ179" i="3"/>
  <c r="M184" i="3"/>
  <c r="AE169" i="3"/>
  <c r="M252" i="3"/>
  <c r="AE265" i="3"/>
  <c r="T819" i="2"/>
  <c r="T824" i="2"/>
  <c r="AB825" i="2"/>
  <c r="AJ825" i="2" s="1"/>
  <c r="T827" i="2"/>
  <c r="T832" i="2"/>
  <c r="AB833" i="2"/>
  <c r="AJ833" i="2" s="1"/>
  <c r="AB835" i="2"/>
  <c r="AJ835" i="2" s="1"/>
  <c r="AD831" i="3"/>
  <c r="AD837" i="3" s="1"/>
  <c r="M7" i="3"/>
  <c r="AF823" i="3"/>
  <c r="L818" i="3"/>
  <c r="AH823" i="3" s="1"/>
  <c r="T8" i="3"/>
  <c r="AC832" i="3"/>
  <c r="I819" i="3"/>
  <c r="M10" i="3"/>
  <c r="M11" i="3"/>
  <c r="J823" i="3"/>
  <c r="T13" i="3"/>
  <c r="AC833" i="3"/>
  <c r="AB14" i="3"/>
  <c r="AJ14" i="3" s="1"/>
  <c r="AG15" i="3"/>
  <c r="L826" i="3"/>
  <c r="AH835" i="3" s="1"/>
  <c r="AF835" i="3"/>
  <c r="T16" i="3"/>
  <c r="I827" i="3"/>
  <c r="AC836" i="3"/>
  <c r="AB17" i="3"/>
  <c r="AJ17" i="3" s="1"/>
  <c r="AF816" i="3"/>
  <c r="L829" i="3"/>
  <c r="AH816" i="3" s="1"/>
  <c r="T19" i="3"/>
  <c r="AF826" i="3"/>
  <c r="L830" i="3"/>
  <c r="AH826" i="3" s="1"/>
  <c r="T20" i="3"/>
  <c r="AF827" i="3"/>
  <c r="L831" i="3"/>
  <c r="AH827" i="3" s="1"/>
  <c r="T21" i="3"/>
  <c r="I832" i="3"/>
  <c r="AC817" i="3"/>
  <c r="AB22" i="3"/>
  <c r="AJ22" i="3" s="1"/>
  <c r="AG23" i="3"/>
  <c r="H24" i="3"/>
  <c r="AG25" i="3"/>
  <c r="AD26" i="3"/>
  <c r="AG30" i="3"/>
  <c r="AG36" i="3" s="1"/>
  <c r="N35" i="3"/>
  <c r="U36" i="3"/>
  <c r="AQ49" i="3" s="1"/>
  <c r="U41" i="3"/>
  <c r="AQ50" i="3" s="1"/>
  <c r="AC42" i="3"/>
  <c r="AA43" i="3"/>
  <c r="AA45" i="3" s="1"/>
  <c r="U44" i="3"/>
  <c r="AQ53" i="3" s="1"/>
  <c r="AA48" i="3"/>
  <c r="AA54" i="3" s="1"/>
  <c r="U49" i="3"/>
  <c r="AQ34" i="3" s="1"/>
  <c r="AF49" i="3"/>
  <c r="AF51" i="3"/>
  <c r="AC57" i="3"/>
  <c r="AC63" i="3" s="1"/>
  <c r="H78" i="3"/>
  <c r="T62" i="3"/>
  <c r="AE62" i="3"/>
  <c r="Z72" i="3"/>
  <c r="AB80" i="3"/>
  <c r="AJ80" i="3" s="1"/>
  <c r="T71" i="3"/>
  <c r="AJ71" i="3"/>
  <c r="AJ90" i="3"/>
  <c r="AE102" i="3"/>
  <c r="M87" i="3"/>
  <c r="AP104" i="3"/>
  <c r="U95" i="3"/>
  <c r="AQ104" i="3" s="1"/>
  <c r="V100" i="3"/>
  <c r="S100" i="3"/>
  <c r="R100" i="3" s="1"/>
  <c r="AI87" i="3"/>
  <c r="P100" i="3"/>
  <c r="AB117" i="3"/>
  <c r="AJ117" i="3" s="1"/>
  <c r="AH129" i="3"/>
  <c r="AH135" i="3" s="1"/>
  <c r="AE120" i="3"/>
  <c r="M115" i="3"/>
  <c r="AJ121" i="3"/>
  <c r="AE133" i="3"/>
  <c r="M124" i="3"/>
  <c r="AE123" i="3"/>
  <c r="M126" i="3"/>
  <c r="M130" i="3"/>
  <c r="AE115" i="3"/>
  <c r="AI140" i="3"/>
  <c r="J159" i="3"/>
  <c r="M144" i="3"/>
  <c r="AP140" i="3"/>
  <c r="U148" i="3"/>
  <c r="AQ140" i="3" s="1"/>
  <c r="I153" i="3"/>
  <c r="AC150" i="3"/>
  <c r="AC153" i="3" s="1"/>
  <c r="U154" i="3"/>
  <c r="AQ141" i="3" s="1"/>
  <c r="AP141" i="3"/>
  <c r="V155" i="3"/>
  <c r="S155" i="3"/>
  <c r="R155" i="3" s="1"/>
  <c r="P155" i="3"/>
  <c r="AI151" i="3"/>
  <c r="F186" i="3"/>
  <c r="N186" i="3" s="1"/>
  <c r="AA180" i="3"/>
  <c r="AE176" i="3"/>
  <c r="M172" i="3"/>
  <c r="AE177" i="3"/>
  <c r="N818" i="2"/>
  <c r="N823" i="2"/>
  <c r="AF824" i="2"/>
  <c r="AF828" i="2" s="1"/>
  <c r="N826" i="2"/>
  <c r="N829" i="2"/>
  <c r="AJ816" i="2" s="1"/>
  <c r="N830" i="2"/>
  <c r="N831" i="2"/>
  <c r="AA831" i="2"/>
  <c r="AA837" i="2" s="1"/>
  <c r="AF832" i="2"/>
  <c r="AF837" i="2" s="1"/>
  <c r="AF834" i="2"/>
  <c r="AC835" i="2"/>
  <c r="I6" i="3"/>
  <c r="N817" i="3"/>
  <c r="T817" i="3"/>
  <c r="AB822" i="3"/>
  <c r="N7" i="3"/>
  <c r="H819" i="3"/>
  <c r="AD832" i="3" s="1"/>
  <c r="N820" i="3"/>
  <c r="AB824" i="3"/>
  <c r="AJ824" i="3" s="1"/>
  <c r="T820" i="3"/>
  <c r="N10" i="3"/>
  <c r="T821" i="3"/>
  <c r="N821" i="3"/>
  <c r="AB813" i="3"/>
  <c r="N11" i="3"/>
  <c r="T822" i="3"/>
  <c r="N822" i="3"/>
  <c r="AB814" i="3"/>
  <c r="AJ814" i="3" s="1"/>
  <c r="N12" i="3"/>
  <c r="AA12" i="3"/>
  <c r="AA18" i="3" s="1"/>
  <c r="K823" i="3"/>
  <c r="AG815" i="3" s="1"/>
  <c r="AF13" i="3"/>
  <c r="AF18" i="3" s="1"/>
  <c r="H824" i="3"/>
  <c r="AD833" i="3" s="1"/>
  <c r="AC17" i="3"/>
  <c r="AC22" i="3"/>
  <c r="T34" i="3"/>
  <c r="T37" i="3"/>
  <c r="T38" i="3"/>
  <c r="T39" i="3"/>
  <c r="L41" i="3"/>
  <c r="AH50" i="3" s="1"/>
  <c r="AG41" i="3"/>
  <c r="AG45" i="3" s="1"/>
  <c r="I42" i="3"/>
  <c r="AB48" i="3"/>
  <c r="L49" i="3"/>
  <c r="AH34" i="3" s="1"/>
  <c r="I50" i="3"/>
  <c r="AD52" i="3"/>
  <c r="I60" i="3"/>
  <c r="AJ68" i="3"/>
  <c r="N64" i="3"/>
  <c r="N67" i="3"/>
  <c r="AE79" i="3"/>
  <c r="M70" i="3"/>
  <c r="M71" i="3"/>
  <c r="AE80" i="3"/>
  <c r="L77" i="3"/>
  <c r="AH62" i="3" s="1"/>
  <c r="AC90" i="3"/>
  <c r="H105" i="3"/>
  <c r="AA99" i="3"/>
  <c r="M90" i="3"/>
  <c r="I92" i="3"/>
  <c r="I93" i="3"/>
  <c r="I99" i="3"/>
  <c r="AC96" i="3"/>
  <c r="AC99" i="3" s="1"/>
  <c r="U100" i="3"/>
  <c r="AQ87" i="3" s="1"/>
  <c r="AP87" i="3"/>
  <c r="V101" i="3"/>
  <c r="S101" i="3"/>
  <c r="R101" i="3" s="1"/>
  <c r="P101" i="3"/>
  <c r="AI97" i="3"/>
  <c r="AP112" i="3"/>
  <c r="K132" i="3"/>
  <c r="AD126" i="3"/>
  <c r="AH117" i="3"/>
  <c r="AB131" i="3"/>
  <c r="AJ131" i="3" s="1"/>
  <c r="T122" i="3"/>
  <c r="AD135" i="3"/>
  <c r="AJ140" i="3"/>
  <c r="AG162" i="3"/>
  <c r="I142" i="3"/>
  <c r="I159" i="3" s="1"/>
  <c r="V143" i="3"/>
  <c r="S143" i="3"/>
  <c r="R143" i="3" s="1"/>
  <c r="P143" i="3"/>
  <c r="AI148" i="3"/>
  <c r="L144" i="3"/>
  <c r="AH157" i="3" s="1"/>
  <c r="AF157" i="3"/>
  <c r="AC144" i="3"/>
  <c r="Z153" i="3"/>
  <c r="U155" i="3"/>
  <c r="AQ151" i="3" s="1"/>
  <c r="V156" i="3"/>
  <c r="S156" i="3"/>
  <c r="R156" i="3" s="1"/>
  <c r="AI152" i="3"/>
  <c r="P156" i="3"/>
  <c r="AC183" i="3"/>
  <c r="I168" i="3"/>
  <c r="AB180" i="3"/>
  <c r="AJ180" i="3" s="1"/>
  <c r="AJ174" i="3"/>
  <c r="AB185" i="3"/>
  <c r="AJ185" i="3" s="1"/>
  <c r="T176" i="3"/>
  <c r="AE187" i="3"/>
  <c r="AD189" i="3"/>
  <c r="M316" i="3"/>
  <c r="AE303" i="3"/>
  <c r="AB818" i="2"/>
  <c r="AJ818" i="2" s="1"/>
  <c r="AB823" i="2"/>
  <c r="AJ823" i="2" s="1"/>
  <c r="L824" i="2"/>
  <c r="AH833" i="2" s="1"/>
  <c r="AB831" i="2"/>
  <c r="J816" i="3"/>
  <c r="G817" i="3"/>
  <c r="AB7" i="3"/>
  <c r="AJ7" i="3" s="1"/>
  <c r="AG8" i="3"/>
  <c r="G820" i="3"/>
  <c r="G821" i="3"/>
  <c r="G822" i="3"/>
  <c r="AB12" i="3"/>
  <c r="AG13" i="3"/>
  <c r="F825" i="3"/>
  <c r="N15" i="3"/>
  <c r="F828" i="3"/>
  <c r="N18" i="3"/>
  <c r="AD22" i="3"/>
  <c r="AD27" i="3" s="1"/>
  <c r="F833" i="3"/>
  <c r="N23" i="3"/>
  <c r="J24" i="3"/>
  <c r="AD24" i="3"/>
  <c r="N33" i="3"/>
  <c r="AA33" i="3"/>
  <c r="AA36" i="3" s="1"/>
  <c r="AC48" i="3"/>
  <c r="AC54" i="3" s="1"/>
  <c r="AB53" i="3"/>
  <c r="AJ53" i="3" s="1"/>
  <c r="J78" i="3"/>
  <c r="AF75" i="3"/>
  <c r="AE60" i="3"/>
  <c r="AB72" i="3"/>
  <c r="AJ72" i="3" s="1"/>
  <c r="AJ66" i="3"/>
  <c r="AK72" i="3"/>
  <c r="S73" i="3"/>
  <c r="R73" i="3" s="1"/>
  <c r="V76" i="3"/>
  <c r="S76" i="3"/>
  <c r="R76" i="3" s="1"/>
  <c r="P76" i="3"/>
  <c r="G78" i="3"/>
  <c r="AF90" i="3"/>
  <c r="AO86" i="3"/>
  <c r="AN86" i="3" s="1"/>
  <c r="AL86" i="3"/>
  <c r="AR86" i="3"/>
  <c r="J105" i="3"/>
  <c r="V89" i="3"/>
  <c r="S89" i="3"/>
  <c r="R89" i="3" s="1"/>
  <c r="P89" i="3"/>
  <c r="AI94" i="3"/>
  <c r="L90" i="3"/>
  <c r="AH103" i="3" s="1"/>
  <c r="AF103" i="3"/>
  <c r="V102" i="3"/>
  <c r="S102" i="3"/>
  <c r="R102" i="3" s="1"/>
  <c r="AI98" i="3"/>
  <c r="P102" i="3"/>
  <c r="K105" i="3"/>
  <c r="T117" i="3"/>
  <c r="AB130" i="3"/>
  <c r="AJ130" i="3" s="1"/>
  <c r="AK135" i="3"/>
  <c r="AK144" i="3"/>
  <c r="M147" i="3"/>
  <c r="AE139" i="3"/>
  <c r="AJ147" i="3"/>
  <c r="AI160" i="3"/>
  <c r="V151" i="3"/>
  <c r="S151" i="3"/>
  <c r="R151" i="3" s="1"/>
  <c r="P151" i="3"/>
  <c r="AF161" i="3"/>
  <c r="L152" i="3"/>
  <c r="AH161" i="3" s="1"/>
  <c r="U156" i="3"/>
  <c r="AQ152" i="3" s="1"/>
  <c r="AP152" i="3"/>
  <c r="AE165" i="3"/>
  <c r="AE171" i="3" s="1"/>
  <c r="M173" i="3"/>
  <c r="L180" i="3"/>
  <c r="AH177" i="3" s="1"/>
  <c r="AH180" i="3" s="1"/>
  <c r="M211" i="3"/>
  <c r="AE196" i="3"/>
  <c r="N816" i="2"/>
  <c r="AC823" i="2"/>
  <c r="AB836" i="2"/>
  <c r="AJ836" i="2" s="1"/>
  <c r="K816" i="3"/>
  <c r="H817" i="3"/>
  <c r="AD822" i="3" s="1"/>
  <c r="AD828" i="3" s="1"/>
  <c r="E818" i="3"/>
  <c r="AA823" i="3" s="1"/>
  <c r="AA828" i="3" s="1"/>
  <c r="J819" i="3"/>
  <c r="T9" i="3"/>
  <c r="H820" i="3"/>
  <c r="AD824" i="3" s="1"/>
  <c r="H821" i="3"/>
  <c r="AD813" i="3" s="1"/>
  <c r="H822" i="3"/>
  <c r="AD814" i="3" s="1"/>
  <c r="AC12" i="3"/>
  <c r="E823" i="3"/>
  <c r="AA815" i="3" s="1"/>
  <c r="AA819" i="3" s="1"/>
  <c r="J824" i="3"/>
  <c r="T14" i="3"/>
  <c r="G825" i="3"/>
  <c r="AB15" i="3"/>
  <c r="AJ15" i="3" s="1"/>
  <c r="E826" i="3"/>
  <c r="AA835" i="3" s="1"/>
  <c r="J827" i="3"/>
  <c r="T17" i="3"/>
  <c r="G828" i="3"/>
  <c r="E829" i="3"/>
  <c r="AA816" i="3" s="1"/>
  <c r="E830" i="3"/>
  <c r="AA826" i="3" s="1"/>
  <c r="E831" i="3"/>
  <c r="AA827" i="3" s="1"/>
  <c r="AH21" i="3"/>
  <c r="J832" i="3"/>
  <c r="T22" i="3"/>
  <c r="G833" i="3"/>
  <c r="AB23" i="3"/>
  <c r="AJ23" i="3" s="1"/>
  <c r="K24" i="3"/>
  <c r="AB25" i="3"/>
  <c r="AJ25" i="3" s="1"/>
  <c r="AG26" i="3"/>
  <c r="AJ30" i="3"/>
  <c r="L34" i="3"/>
  <c r="AH39" i="3" s="1"/>
  <c r="AH45" i="3" s="1"/>
  <c r="I35" i="3"/>
  <c r="I51" i="3" s="1"/>
  <c r="N36" i="3"/>
  <c r="AF42" i="3"/>
  <c r="AF45" i="3" s="1"/>
  <c r="AD43" i="3"/>
  <c r="AD45" i="3" s="1"/>
  <c r="AA44" i="3"/>
  <c r="AJ44" i="3" s="1"/>
  <c r="AD48" i="3"/>
  <c r="AD54" i="3" s="1"/>
  <c r="G51" i="3"/>
  <c r="K78" i="3"/>
  <c r="AG75" i="3"/>
  <c r="AG81" i="3" s="1"/>
  <c r="T63" i="3"/>
  <c r="AC66" i="3"/>
  <c r="AC72" i="3" s="1"/>
  <c r="AE69" i="3"/>
  <c r="AJ86" i="3"/>
  <c r="AG108" i="3"/>
  <c r="M88" i="3"/>
  <c r="AE93" i="3"/>
  <c r="U89" i="3"/>
  <c r="AQ94" i="3" s="1"/>
  <c r="V94" i="3"/>
  <c r="S94" i="3"/>
  <c r="R94" i="3" s="1"/>
  <c r="P94" i="3"/>
  <c r="AI106" i="3"/>
  <c r="V97" i="3"/>
  <c r="S97" i="3"/>
  <c r="R97" i="3" s="1"/>
  <c r="P97" i="3"/>
  <c r="AF107" i="3"/>
  <c r="L98" i="3"/>
  <c r="AH107" i="3" s="1"/>
  <c r="U102" i="3"/>
  <c r="AQ98" i="3" s="1"/>
  <c r="AP98" i="3"/>
  <c r="M116" i="3"/>
  <c r="AE121" i="3"/>
  <c r="M117" i="3"/>
  <c r="AE130" i="3"/>
  <c r="AF153" i="3"/>
  <c r="AP157" i="3"/>
  <c r="U144" i="3"/>
  <c r="AQ157" i="3" s="1"/>
  <c r="AP160" i="3"/>
  <c r="U151" i="3"/>
  <c r="AQ160" i="3" s="1"/>
  <c r="M157" i="3"/>
  <c r="AD180" i="3"/>
  <c r="AG216" i="3"/>
  <c r="M283" i="3"/>
  <c r="AE275" i="3"/>
  <c r="AP318" i="3"/>
  <c r="U303" i="3"/>
  <c r="AQ318" i="3" s="1"/>
  <c r="AB349" i="3"/>
  <c r="AJ349" i="3" s="1"/>
  <c r="T340" i="3"/>
  <c r="N340" i="3"/>
  <c r="N819" i="2"/>
  <c r="AD831" i="2"/>
  <c r="AD837" i="2" s="1"/>
  <c r="Z858" i="2"/>
  <c r="Z864" i="2" s="1"/>
  <c r="AB823" i="3"/>
  <c r="T818" i="3"/>
  <c r="N818" i="3"/>
  <c r="N8" i="3"/>
  <c r="T823" i="3"/>
  <c r="N823" i="3"/>
  <c r="AB815" i="3"/>
  <c r="N13" i="3"/>
  <c r="AF14" i="3"/>
  <c r="AB835" i="3"/>
  <c r="T826" i="3"/>
  <c r="N826" i="3"/>
  <c r="AJ835" i="3" s="1"/>
  <c r="N16" i="3"/>
  <c r="T829" i="3"/>
  <c r="N829" i="3"/>
  <c r="AB816" i="3"/>
  <c r="N19" i="3"/>
  <c r="AJ6" i="3" s="1"/>
  <c r="N830" i="3"/>
  <c r="T830" i="3"/>
  <c r="AB826" i="3"/>
  <c r="AJ826" i="3" s="1"/>
  <c r="N20" i="3"/>
  <c r="N831" i="3"/>
  <c r="AB827" i="3"/>
  <c r="AJ827" i="3" s="1"/>
  <c r="T831" i="3"/>
  <c r="N21" i="3"/>
  <c r="AA21" i="3"/>
  <c r="AA27" i="3" s="1"/>
  <c r="AF22" i="3"/>
  <c r="AF27" i="3" s="1"/>
  <c r="AC23" i="3"/>
  <c r="AC27" i="3" s="1"/>
  <c r="AC25" i="3"/>
  <c r="AB41" i="3"/>
  <c r="AJ41" i="3" s="1"/>
  <c r="AB59" i="3"/>
  <c r="AJ59" i="3" s="1"/>
  <c r="L60" i="3"/>
  <c r="AJ67" i="3"/>
  <c r="N62" i="3"/>
  <c r="I64" i="3"/>
  <c r="AD81" i="3"/>
  <c r="AD99" i="3"/>
  <c r="AP103" i="3"/>
  <c r="U90" i="3"/>
  <c r="AQ103" i="3" s="1"/>
  <c r="AP86" i="3"/>
  <c r="U94" i="3"/>
  <c r="AQ86" i="3" s="1"/>
  <c r="AP106" i="3"/>
  <c r="U97" i="3"/>
  <c r="AQ106" i="3" s="1"/>
  <c r="AG117" i="3"/>
  <c r="AH126" i="3"/>
  <c r="AP122" i="3"/>
  <c r="U118" i="3"/>
  <c r="AQ122" i="3" s="1"/>
  <c r="U119" i="3"/>
  <c r="AQ111" i="3" s="1"/>
  <c r="AP111" i="3"/>
  <c r="AC126" i="3"/>
  <c r="M127" i="3"/>
  <c r="AE114" i="3"/>
  <c r="M128" i="3"/>
  <c r="AE124" i="3"/>
  <c r="M129" i="3"/>
  <c r="AE125" i="3"/>
  <c r="M131" i="3"/>
  <c r="AE116" i="3"/>
  <c r="Z144" i="3"/>
  <c r="E159" i="3"/>
  <c r="N159" i="3" s="1"/>
  <c r="AG153" i="3"/>
  <c r="AF158" i="3"/>
  <c r="L149" i="3"/>
  <c r="AH158" i="3" s="1"/>
  <c r="AP161" i="3"/>
  <c r="U152" i="3"/>
  <c r="AQ161" i="3" s="1"/>
  <c r="AF142" i="3"/>
  <c r="AF144" i="3" s="1"/>
  <c r="L157" i="3"/>
  <c r="AH142" i="3" s="1"/>
  <c r="AH144" i="3" s="1"/>
  <c r="AB171" i="3"/>
  <c r="AJ171" i="3" s="1"/>
  <c r="AH183" i="3"/>
  <c r="T171" i="3"/>
  <c r="AB184" i="3"/>
  <c r="AJ184" i="3" s="1"/>
  <c r="AG171" i="3"/>
  <c r="AE166" i="3"/>
  <c r="M174" i="3"/>
  <c r="AC180" i="3"/>
  <c r="N179" i="3"/>
  <c r="M181" i="3"/>
  <c r="AE168" i="3"/>
  <c r="M182" i="3"/>
  <c r="AE178" i="3"/>
  <c r="M183" i="3"/>
  <c r="AE179" i="3"/>
  <c r="AE170" i="3"/>
  <c r="AF240" i="3"/>
  <c r="L231" i="3"/>
  <c r="AH240" i="3" s="1"/>
  <c r="M315" i="3"/>
  <c r="AE312" i="3"/>
  <c r="AA831" i="3"/>
  <c r="AA837" i="3" s="1"/>
  <c r="AF822" i="3"/>
  <c r="L817" i="3"/>
  <c r="AH822" i="3" s="1"/>
  <c r="I818" i="3"/>
  <c r="AC823" i="3"/>
  <c r="L9" i="3"/>
  <c r="AF824" i="3"/>
  <c r="L820" i="3"/>
  <c r="AH824" i="3" s="1"/>
  <c r="L821" i="3"/>
  <c r="AH813" i="3" s="1"/>
  <c r="AF813" i="3"/>
  <c r="L822" i="3"/>
  <c r="AH814" i="3" s="1"/>
  <c r="AF814" i="3"/>
  <c r="AC815" i="3"/>
  <c r="AB13" i="3"/>
  <c r="AJ13" i="3" s="1"/>
  <c r="L14" i="3"/>
  <c r="I15" i="3"/>
  <c r="I826" i="3"/>
  <c r="AC835" i="3"/>
  <c r="L17" i="3"/>
  <c r="I18" i="3"/>
  <c r="I829" i="3"/>
  <c r="AC816" i="3"/>
  <c r="AC826" i="3"/>
  <c r="I830" i="3"/>
  <c r="I831" i="3"/>
  <c r="AC827" i="3"/>
  <c r="L22" i="3"/>
  <c r="AG22" i="3"/>
  <c r="AG27" i="3" s="1"/>
  <c r="I23" i="3"/>
  <c r="AD23" i="3"/>
  <c r="E24" i="3"/>
  <c r="AG24" i="3"/>
  <c r="E78" i="3"/>
  <c r="AA75" i="3"/>
  <c r="AA81" i="3" s="1"/>
  <c r="AE61" i="3"/>
  <c r="L63" i="3"/>
  <c r="AB77" i="3"/>
  <c r="AJ77" i="3" s="1"/>
  <c r="T68" i="3"/>
  <c r="L72" i="3"/>
  <c r="AH69" i="3" s="1"/>
  <c r="AF99" i="3"/>
  <c r="AP97" i="3"/>
  <c r="AP107" i="3"/>
  <c r="U98" i="3"/>
  <c r="AQ107" i="3" s="1"/>
  <c r="AF88" i="3"/>
  <c r="L103" i="3"/>
  <c r="AH88" i="3" s="1"/>
  <c r="AH90" i="3" s="1"/>
  <c r="F132" i="3"/>
  <c r="N132" i="3" s="1"/>
  <c r="AE122" i="3"/>
  <c r="M118" i="3"/>
  <c r="AE111" i="3"/>
  <c r="M119" i="3"/>
  <c r="AH153" i="3"/>
  <c r="AJ157" i="3"/>
  <c r="AC143" i="3"/>
  <c r="I158" i="3"/>
  <c r="M171" i="3"/>
  <c r="AE184" i="3"/>
  <c r="L69" i="3"/>
  <c r="AH78" i="3" s="1"/>
  <c r="T70" i="3"/>
  <c r="T73" i="3"/>
  <c r="T74" i="3"/>
  <c r="T75" i="3"/>
  <c r="AB78" i="3"/>
  <c r="AJ78" i="3" s="1"/>
  <c r="L87" i="3"/>
  <c r="N89" i="3"/>
  <c r="I91" i="3"/>
  <c r="N94" i="3"/>
  <c r="N97" i="3"/>
  <c r="N100" i="3"/>
  <c r="AJ87" i="3" s="1"/>
  <c r="N101" i="3"/>
  <c r="N102" i="3"/>
  <c r="AA102" i="3"/>
  <c r="AA108" i="3" s="1"/>
  <c r="AF105" i="3"/>
  <c r="T116" i="3"/>
  <c r="T121" i="3"/>
  <c r="AB122" i="3"/>
  <c r="AJ122" i="3" s="1"/>
  <c r="L123" i="3"/>
  <c r="AH132" i="3" s="1"/>
  <c r="T124" i="3"/>
  <c r="T127" i="3"/>
  <c r="T128" i="3"/>
  <c r="T129" i="3"/>
  <c r="AB132" i="3"/>
  <c r="AJ132" i="3" s="1"/>
  <c r="L141" i="3"/>
  <c r="N143" i="3"/>
  <c r="I145" i="3"/>
  <c r="I146" i="3"/>
  <c r="N148" i="3"/>
  <c r="N151" i="3"/>
  <c r="N154" i="3"/>
  <c r="AJ141" i="3" s="1"/>
  <c r="N155" i="3"/>
  <c r="N156" i="3"/>
  <c r="AA156" i="3"/>
  <c r="AA162" i="3" s="1"/>
  <c r="AF159" i="3"/>
  <c r="T170" i="3"/>
  <c r="T175" i="3"/>
  <c r="AB176" i="3"/>
  <c r="AJ176" i="3" s="1"/>
  <c r="L177" i="3"/>
  <c r="AH186" i="3" s="1"/>
  <c r="T178" i="3"/>
  <c r="T181" i="3"/>
  <c r="T182" i="3"/>
  <c r="T183" i="3"/>
  <c r="L185" i="3"/>
  <c r="AH170" i="3" s="1"/>
  <c r="AH171" i="3" s="1"/>
  <c r="AE210" i="3"/>
  <c r="I196" i="3"/>
  <c r="AC201" i="3"/>
  <c r="AA207" i="3"/>
  <c r="M209" i="3"/>
  <c r="AF225" i="3"/>
  <c r="AK234" i="3"/>
  <c r="M238" i="3"/>
  <c r="I250" i="3"/>
  <c r="I267" i="3" s="1"/>
  <c r="AC255" i="3"/>
  <c r="AC261" i="3" s="1"/>
  <c r="M264" i="3"/>
  <c r="T266" i="3"/>
  <c r="AB251" i="3"/>
  <c r="AJ251" i="3" s="1"/>
  <c r="E294" i="3"/>
  <c r="AJ286" i="3"/>
  <c r="M288" i="3"/>
  <c r="M290" i="3"/>
  <c r="AE286" i="3"/>
  <c r="AF306" i="3"/>
  <c r="E321" i="3"/>
  <c r="M310" i="3"/>
  <c r="AE320" i="3"/>
  <c r="M311" i="3"/>
  <c r="N312" i="3"/>
  <c r="AE327" i="3"/>
  <c r="M335" i="3"/>
  <c r="AC78" i="3"/>
  <c r="T88" i="3"/>
  <c r="T91" i="3"/>
  <c r="T92" i="3"/>
  <c r="T93" i="3"/>
  <c r="AB94" i="3"/>
  <c r="AB102" i="3"/>
  <c r="N115" i="3"/>
  <c r="N118" i="3"/>
  <c r="N119" i="3"/>
  <c r="N120" i="3"/>
  <c r="AF121" i="3"/>
  <c r="AF126" i="3" s="1"/>
  <c r="AC122" i="3"/>
  <c r="AF129" i="3"/>
  <c r="AC130" i="3"/>
  <c r="AC132" i="3"/>
  <c r="AB148" i="3"/>
  <c r="AB156" i="3"/>
  <c r="AD165" i="3"/>
  <c r="N169" i="3"/>
  <c r="AF175" i="3"/>
  <c r="AF180" i="3" s="1"/>
  <c r="AF183" i="3"/>
  <c r="AC184" i="3"/>
  <c r="AB198" i="3"/>
  <c r="AJ198" i="3" s="1"/>
  <c r="AF210" i="3"/>
  <c r="L195" i="3"/>
  <c r="AD207" i="3"/>
  <c r="U197" i="3"/>
  <c r="AQ202" i="3" s="1"/>
  <c r="AP202" i="3"/>
  <c r="AE212" i="3"/>
  <c r="M210" i="3"/>
  <c r="T212" i="3"/>
  <c r="AB197" i="3"/>
  <c r="AJ197" i="3" s="1"/>
  <c r="E240" i="3"/>
  <c r="N240" i="3" s="1"/>
  <c r="M225" i="3"/>
  <c r="AE230" i="3"/>
  <c r="M226" i="3"/>
  <c r="AE219" i="3"/>
  <c r="AE220" i="3"/>
  <c r="N233" i="3"/>
  <c r="AJ233" i="3"/>
  <c r="AE224" i="3"/>
  <c r="AB252" i="3"/>
  <c r="AJ252" i="3" s="1"/>
  <c r="AF264" i="3"/>
  <c r="L249" i="3"/>
  <c r="AD261" i="3"/>
  <c r="AC257" i="3"/>
  <c r="I253" i="3"/>
  <c r="AC246" i="3"/>
  <c r="I254" i="3"/>
  <c r="I255" i="3"/>
  <c r="AC247" i="3"/>
  <c r="T261" i="3"/>
  <c r="AB258" i="3"/>
  <c r="AJ258" i="3" s="1"/>
  <c r="AB291" i="3"/>
  <c r="T276" i="3"/>
  <c r="AA288" i="3"/>
  <c r="M289" i="3"/>
  <c r="AE276" i="3"/>
  <c r="N292" i="3"/>
  <c r="AG306" i="3"/>
  <c r="AJ318" i="3"/>
  <c r="N319" i="3"/>
  <c r="T319" i="3"/>
  <c r="V320" i="3"/>
  <c r="S320" i="3"/>
  <c r="R320" i="3" s="1"/>
  <c r="AI305" i="3"/>
  <c r="AP392" i="3"/>
  <c r="U388" i="3"/>
  <c r="AQ392" i="3" s="1"/>
  <c r="I68" i="3"/>
  <c r="N77" i="3"/>
  <c r="AF80" i="3"/>
  <c r="N87" i="3"/>
  <c r="M95" i="3"/>
  <c r="T96" i="3"/>
  <c r="T99" i="3"/>
  <c r="AC102" i="3"/>
  <c r="AC108" i="3" s="1"/>
  <c r="T104" i="3"/>
  <c r="AB107" i="3"/>
  <c r="AJ107" i="3" s="1"/>
  <c r="T114" i="3"/>
  <c r="AB120" i="3"/>
  <c r="I122" i="3"/>
  <c r="AG129" i="3"/>
  <c r="AG135" i="3" s="1"/>
  <c r="J132" i="3"/>
  <c r="AF134" i="3"/>
  <c r="N141" i="3"/>
  <c r="U142" i="3"/>
  <c r="AQ147" i="3" s="1"/>
  <c r="U145" i="3"/>
  <c r="AQ149" i="3" s="1"/>
  <c r="M149" i="3"/>
  <c r="T150" i="3"/>
  <c r="M152" i="3"/>
  <c r="T153" i="3"/>
  <c r="T159" i="3" s="1"/>
  <c r="U159" i="3" s="1"/>
  <c r="AC156" i="3"/>
  <c r="AC162" i="3" s="1"/>
  <c r="T158" i="3"/>
  <c r="AB161" i="3"/>
  <c r="AJ161" i="3" s="1"/>
  <c r="T168" i="3"/>
  <c r="I176" i="3"/>
  <c r="AD176" i="3"/>
  <c r="AJ186" i="3"/>
  <c r="N177" i="3"/>
  <c r="L178" i="3"/>
  <c r="AH187" i="3" s="1"/>
  <c r="I179" i="3"/>
  <c r="AG183" i="3"/>
  <c r="AG189" i="3" s="1"/>
  <c r="AH207" i="3"/>
  <c r="AE202" i="3"/>
  <c r="M197" i="3"/>
  <c r="AJ211" i="3"/>
  <c r="AE215" i="3"/>
  <c r="M206" i="3"/>
  <c r="T207" i="3"/>
  <c r="AB204" i="3"/>
  <c r="AJ204" i="3" s="1"/>
  <c r="M212" i="3"/>
  <c r="AE197" i="3"/>
  <c r="AB237" i="3"/>
  <c r="T222" i="3"/>
  <c r="AA234" i="3"/>
  <c r="U225" i="3"/>
  <c r="AQ238" i="3" s="1"/>
  <c r="L227" i="3"/>
  <c r="AH219" i="3" s="1"/>
  <c r="AH225" i="3" s="1"/>
  <c r="L228" i="3"/>
  <c r="AH220" i="3" s="1"/>
  <c r="AJ232" i="3"/>
  <c r="I236" i="3"/>
  <c r="AP240" i="3"/>
  <c r="AF261" i="3"/>
  <c r="U251" i="3"/>
  <c r="AQ256" i="3" s="1"/>
  <c r="AP256" i="3"/>
  <c r="M266" i="3"/>
  <c r="AE251" i="3"/>
  <c r="AB288" i="3"/>
  <c r="AJ282" i="3"/>
  <c r="AJ277" i="3"/>
  <c r="M279" i="3"/>
  <c r="AE284" i="3"/>
  <c r="AE273" i="3"/>
  <c r="M281" i="3"/>
  <c r="AE274" i="3"/>
  <c r="M282" i="3"/>
  <c r="AK288" i="3"/>
  <c r="U284" i="3"/>
  <c r="AQ293" i="3" s="1"/>
  <c r="AE294" i="3"/>
  <c r="L288" i="3"/>
  <c r="AH285" i="3" s="1"/>
  <c r="AF285" i="3"/>
  <c r="AF278" i="3"/>
  <c r="AF279" i="3" s="1"/>
  <c r="L293" i="3"/>
  <c r="AH278" i="3" s="1"/>
  <c r="AH279" i="3" s="1"/>
  <c r="AH306" i="3"/>
  <c r="M331" i="3"/>
  <c r="AE336" i="3"/>
  <c r="V369" i="3"/>
  <c r="S369" i="3"/>
  <c r="R369" i="3" s="1"/>
  <c r="AI366" i="3"/>
  <c r="P369" i="3"/>
  <c r="AB79" i="3"/>
  <c r="AJ79" i="3" s="1"/>
  <c r="AJ84" i="3"/>
  <c r="N90" i="3"/>
  <c r="AD102" i="3"/>
  <c r="AD108" i="3" s="1"/>
  <c r="G105" i="3"/>
  <c r="AB133" i="3"/>
  <c r="AJ133" i="3" s="1"/>
  <c r="AJ138" i="3"/>
  <c r="N144" i="3"/>
  <c r="AD156" i="3"/>
  <c r="AD162" i="3" s="1"/>
  <c r="G159" i="3"/>
  <c r="K186" i="3"/>
  <c r="AP210" i="3"/>
  <c r="U195" i="3"/>
  <c r="AQ210" i="3" s="1"/>
  <c r="I201" i="3"/>
  <c r="AC193" i="3"/>
  <c r="M202" i="3"/>
  <c r="AB213" i="3"/>
  <c r="AJ213" i="3" s="1"/>
  <c r="T204" i="3"/>
  <c r="AP214" i="3"/>
  <c r="U205" i="3"/>
  <c r="AQ214" i="3" s="1"/>
  <c r="M207" i="3"/>
  <c r="AE204" i="3"/>
  <c r="AB234" i="3"/>
  <c r="AJ234" i="3" s="1"/>
  <c r="AJ228" i="3"/>
  <c r="M235" i="3"/>
  <c r="AE222" i="3"/>
  <c r="AF224" i="3"/>
  <c r="L239" i="3"/>
  <c r="AH224" i="3" s="1"/>
  <c r="AP264" i="3"/>
  <c r="U249" i="3"/>
  <c r="AQ264" i="3" s="1"/>
  <c r="M256" i="3"/>
  <c r="AE266" i="3"/>
  <c r="M257" i="3"/>
  <c r="AE269" i="3"/>
  <c r="M260" i="3"/>
  <c r="M261" i="3"/>
  <c r="AE258" i="3"/>
  <c r="U262" i="3"/>
  <c r="AQ249" i="3" s="1"/>
  <c r="AP249" i="3"/>
  <c r="M276" i="3"/>
  <c r="AE291" i="3"/>
  <c r="I304" i="3"/>
  <c r="AC309" i="3"/>
  <c r="AP321" i="3"/>
  <c r="U312" i="3"/>
  <c r="AQ321" i="3" s="1"/>
  <c r="AJ313" i="3"/>
  <c r="U317" i="3"/>
  <c r="AQ313" i="3" s="1"/>
  <c r="AP313" i="3"/>
  <c r="AB95" i="3"/>
  <c r="AJ95" i="3" s="1"/>
  <c r="AB105" i="3"/>
  <c r="AJ105" i="3" s="1"/>
  <c r="N116" i="3"/>
  <c r="AC123" i="3"/>
  <c r="AA129" i="3"/>
  <c r="AA135" i="3" s="1"/>
  <c r="AF130" i="3"/>
  <c r="AB149" i="3"/>
  <c r="AJ149" i="3" s="1"/>
  <c r="AB159" i="3"/>
  <c r="AJ159" i="3" s="1"/>
  <c r="AD166" i="3"/>
  <c r="I169" i="3"/>
  <c r="N170" i="3"/>
  <c r="AC177" i="3"/>
  <c r="AJ187" i="3"/>
  <c r="N178" i="3"/>
  <c r="AA183" i="3"/>
  <c r="AA189" i="3" s="1"/>
  <c r="AF184" i="3"/>
  <c r="AC192" i="3"/>
  <c r="AC198" i="3" s="1"/>
  <c r="I200" i="3"/>
  <c r="U208" i="3"/>
  <c r="AQ195" i="3" s="1"/>
  <c r="AP195" i="3"/>
  <c r="M222" i="3"/>
  <c r="AE237" i="3"/>
  <c r="AE228" i="3"/>
  <c r="AJ238" i="3"/>
  <c r="L234" i="3"/>
  <c r="AH231" i="3" s="1"/>
  <c r="AF231" i="3"/>
  <c r="AH261" i="3"/>
  <c r="AJ265" i="3"/>
  <c r="U263" i="3"/>
  <c r="AQ259" i="3" s="1"/>
  <c r="AP259" i="3"/>
  <c r="N284" i="3"/>
  <c r="AF294" i="3"/>
  <c r="L285" i="3"/>
  <c r="AH294" i="3" s="1"/>
  <c r="M287" i="3"/>
  <c r="AP285" i="3"/>
  <c r="U288" i="3"/>
  <c r="AQ285" i="3" s="1"/>
  <c r="Z297" i="3"/>
  <c r="AP278" i="3"/>
  <c r="U293" i="3"/>
  <c r="AQ278" i="3" s="1"/>
  <c r="F294" i="3"/>
  <c r="N294" i="3" s="1"/>
  <c r="AP294" i="3"/>
  <c r="AD315" i="3"/>
  <c r="U316" i="3"/>
  <c r="AQ303" i="3" s="1"/>
  <c r="L415" i="3"/>
  <c r="AH419" i="3" s="1"/>
  <c r="AG419" i="3"/>
  <c r="N88" i="3"/>
  <c r="AF102" i="3"/>
  <c r="AF108" i="3" s="1"/>
  <c r="AB129" i="3"/>
  <c r="AF156" i="3"/>
  <c r="AF162" i="3" s="1"/>
  <c r="I177" i="3"/>
  <c r="L179" i="3"/>
  <c r="AH188" i="3" s="1"/>
  <c r="AB183" i="3"/>
  <c r="M198" i="3"/>
  <c r="AE211" i="3"/>
  <c r="AC203" i="3"/>
  <c r="I199" i="3"/>
  <c r="I213" i="3" s="1"/>
  <c r="U209" i="3"/>
  <c r="AQ205" i="3" s="1"/>
  <c r="AP205" i="3"/>
  <c r="AH237" i="3"/>
  <c r="AH243" i="3" s="1"/>
  <c r="I229" i="3"/>
  <c r="U230" i="3"/>
  <c r="AQ239" i="3" s="1"/>
  <c r="AE240" i="3"/>
  <c r="M231" i="3"/>
  <c r="AP224" i="3"/>
  <c r="U239" i="3"/>
  <c r="AQ224" i="3" s="1"/>
  <c r="AG252" i="3"/>
  <c r="F267" i="3"/>
  <c r="N267" i="3" s="1"/>
  <c r="AH252" i="3"/>
  <c r="AP268" i="3"/>
  <c r="U259" i="3"/>
  <c r="AQ268" i="3" s="1"/>
  <c r="U264" i="3"/>
  <c r="AQ260" i="3" s="1"/>
  <c r="AP260" i="3"/>
  <c r="AH291" i="3"/>
  <c r="L277" i="3"/>
  <c r="AH282" i="3" s="1"/>
  <c r="I278" i="3"/>
  <c r="AC297" i="3"/>
  <c r="AB306" i="3"/>
  <c r="AJ306" i="3" s="1"/>
  <c r="J321" i="3"/>
  <c r="AF318" i="3"/>
  <c r="AF324" i="3" s="1"/>
  <c r="L303" i="3"/>
  <c r="U305" i="3"/>
  <c r="AQ310" i="3" s="1"/>
  <c r="AP310" i="3"/>
  <c r="M306" i="3"/>
  <c r="T315" i="3"/>
  <c r="AB312" i="3"/>
  <c r="AJ312" i="3" s="1"/>
  <c r="AA324" i="3"/>
  <c r="L360" i="3"/>
  <c r="AH373" i="3" s="1"/>
  <c r="AF373" i="3"/>
  <c r="N114" i="3"/>
  <c r="N168" i="3"/>
  <c r="AH198" i="3"/>
  <c r="U210" i="3"/>
  <c r="AQ206" i="3" s="1"/>
  <c r="AP206" i="3"/>
  <c r="K240" i="3"/>
  <c r="L223" i="3"/>
  <c r="AH228" i="3" s="1"/>
  <c r="AH234" i="3" s="1"/>
  <c r="I224" i="3"/>
  <c r="AI242" i="3"/>
  <c r="V233" i="3"/>
  <c r="S233" i="3"/>
  <c r="R233" i="3" s="1"/>
  <c r="P233" i="3"/>
  <c r="AP231" i="3"/>
  <c r="U234" i="3"/>
  <c r="AQ231" i="3" s="1"/>
  <c r="AB267" i="3"/>
  <c r="AJ267" i="3" s="1"/>
  <c r="T258" i="3"/>
  <c r="S262" i="3"/>
  <c r="R262" i="3" s="1"/>
  <c r="AI249" i="3"/>
  <c r="P262" i="3"/>
  <c r="M265" i="3"/>
  <c r="AE250" i="3"/>
  <c r="AJ283" i="3"/>
  <c r="V292" i="3"/>
  <c r="S292" i="3"/>
  <c r="R292" i="3" s="1"/>
  <c r="AI277" i="3"/>
  <c r="P292" i="3"/>
  <c r="AJ293" i="3"/>
  <c r="AJ295" i="3"/>
  <c r="AC311" i="3"/>
  <c r="I307" i="3"/>
  <c r="AC300" i="3"/>
  <c r="I308" i="3"/>
  <c r="I309" i="3"/>
  <c r="AC301" i="3"/>
  <c r="AB315" i="3"/>
  <c r="AJ315" i="3" s="1"/>
  <c r="AB321" i="3"/>
  <c r="AF395" i="3"/>
  <c r="L399" i="3"/>
  <c r="AH395" i="3" s="1"/>
  <c r="T198" i="3"/>
  <c r="T203" i="3"/>
  <c r="M205" i="3"/>
  <c r="T206" i="3"/>
  <c r="T211" i="3"/>
  <c r="AB212" i="3"/>
  <c r="AJ212" i="3" s="1"/>
  <c r="AB214" i="3"/>
  <c r="AJ214" i="3" s="1"/>
  <c r="AJ219" i="3"/>
  <c r="N225" i="3"/>
  <c r="L226" i="3"/>
  <c r="AH230" i="3" s="1"/>
  <c r="N230" i="3"/>
  <c r="I232" i="3"/>
  <c r="I237" i="3"/>
  <c r="AD237" i="3"/>
  <c r="AD243" i="3" s="1"/>
  <c r="AF239" i="3"/>
  <c r="AF241" i="3"/>
  <c r="AC242" i="3"/>
  <c r="M251" i="3"/>
  <c r="T252" i="3"/>
  <c r="T257" i="3"/>
  <c r="M259" i="3"/>
  <c r="T260" i="3"/>
  <c r="AE260" i="3"/>
  <c r="M263" i="3"/>
  <c r="T265" i="3"/>
  <c r="AB266" i="3"/>
  <c r="AJ266" i="3" s="1"/>
  <c r="AB268" i="3"/>
  <c r="AJ268" i="3" s="1"/>
  <c r="AG269" i="3"/>
  <c r="AG270" i="3" s="1"/>
  <c r="AJ273" i="3"/>
  <c r="N279" i="3"/>
  <c r="L280" i="3"/>
  <c r="AH284" i="3" s="1"/>
  <c r="I286" i="3"/>
  <c r="I291" i="3"/>
  <c r="AD291" i="3"/>
  <c r="AD297" i="3" s="1"/>
  <c r="AF293" i="3"/>
  <c r="AF295" i="3"/>
  <c r="AC296" i="3"/>
  <c r="AG318" i="3"/>
  <c r="K321" i="3"/>
  <c r="AF303" i="3"/>
  <c r="M305" i="3"/>
  <c r="T306" i="3"/>
  <c r="T311" i="3"/>
  <c r="M313" i="3"/>
  <c r="T314" i="3"/>
  <c r="I317" i="3"/>
  <c r="I319" i="3"/>
  <c r="H348" i="3"/>
  <c r="L331" i="3"/>
  <c r="AH336" i="3" s="1"/>
  <c r="AF336" i="3"/>
  <c r="N334" i="3"/>
  <c r="AF327" i="3"/>
  <c r="AF333" i="3" s="1"/>
  <c r="L335" i="3"/>
  <c r="AH327" i="3" s="1"/>
  <c r="AA342" i="3"/>
  <c r="AJ347" i="3"/>
  <c r="AC349" i="3"/>
  <c r="I340" i="3"/>
  <c r="AC341" i="3"/>
  <c r="M342" i="3"/>
  <c r="S371" i="3"/>
  <c r="R371" i="3" s="1"/>
  <c r="P371" i="3"/>
  <c r="AI367" i="3"/>
  <c r="V371" i="3"/>
  <c r="AG396" i="3"/>
  <c r="AH429" i="3"/>
  <c r="M420" i="3"/>
  <c r="N197" i="3"/>
  <c r="N202" i="3"/>
  <c r="AF203" i="3"/>
  <c r="N205" i="3"/>
  <c r="N208" i="3"/>
  <c r="AJ195" i="3" s="1"/>
  <c r="N209" i="3"/>
  <c r="N210" i="3"/>
  <c r="AA210" i="3"/>
  <c r="AA216" i="3" s="1"/>
  <c r="AF211" i="3"/>
  <c r="AF213" i="3"/>
  <c r="T224" i="3"/>
  <c r="T229" i="3"/>
  <c r="AB230" i="3"/>
  <c r="AJ230" i="3" s="1"/>
  <c r="T232" i="3"/>
  <c r="T235" i="3"/>
  <c r="T236" i="3"/>
  <c r="T237" i="3"/>
  <c r="H240" i="3"/>
  <c r="AB240" i="3"/>
  <c r="AJ240" i="3" s="1"/>
  <c r="N251" i="3"/>
  <c r="N256" i="3"/>
  <c r="N259" i="3"/>
  <c r="N262" i="3"/>
  <c r="AJ249" i="3" s="1"/>
  <c r="N263" i="3"/>
  <c r="N264" i="3"/>
  <c r="AA264" i="3"/>
  <c r="AA270" i="3" s="1"/>
  <c r="AF267" i="3"/>
  <c r="AB284" i="3"/>
  <c r="AJ284" i="3" s="1"/>
  <c r="T289" i="3"/>
  <c r="T290" i="3"/>
  <c r="T291" i="3"/>
  <c r="H294" i="3"/>
  <c r="AB294" i="3"/>
  <c r="AJ294" i="3" s="1"/>
  <c r="N305" i="3"/>
  <c r="N310" i="3"/>
  <c r="N313" i="3"/>
  <c r="AA313" i="3"/>
  <c r="AA315" i="3" s="1"/>
  <c r="AD318" i="3"/>
  <c r="AD324" i="3" s="1"/>
  <c r="AG319" i="3"/>
  <c r="AG320" i="3"/>
  <c r="AG321" i="3"/>
  <c r="AE345" i="3"/>
  <c r="I338" i="3"/>
  <c r="M339" i="3"/>
  <c r="E348" i="3"/>
  <c r="K375" i="3"/>
  <c r="I366" i="3"/>
  <c r="AC375" i="3"/>
  <c r="U397" i="3"/>
  <c r="AQ384" i="3" s="1"/>
  <c r="AP384" i="3"/>
  <c r="L439" i="3"/>
  <c r="AH444" i="3" s="1"/>
  <c r="AF444" i="3"/>
  <c r="T196" i="3"/>
  <c r="T213" i="3" s="1"/>
  <c r="U213" i="3" s="1"/>
  <c r="T199" i="3"/>
  <c r="T200" i="3"/>
  <c r="T201" i="3"/>
  <c r="AB202" i="3"/>
  <c r="AJ202" i="3" s="1"/>
  <c r="L203" i="3"/>
  <c r="AH212" i="3" s="1"/>
  <c r="I204" i="3"/>
  <c r="AB210" i="3"/>
  <c r="N223" i="3"/>
  <c r="AF229" i="3"/>
  <c r="AF234" i="3" s="1"/>
  <c r="AF237" i="3"/>
  <c r="AF243" i="3" s="1"/>
  <c r="AC238" i="3"/>
  <c r="AC243" i="3" s="1"/>
  <c r="AP239" i="3"/>
  <c r="AC240" i="3"/>
  <c r="M249" i="3"/>
  <c r="T250" i="3"/>
  <c r="T267" i="3" s="1"/>
  <c r="U267" i="3" s="1"/>
  <c r="T253" i="3"/>
  <c r="T254" i="3"/>
  <c r="T255" i="3"/>
  <c r="AB256" i="3"/>
  <c r="AJ256" i="3" s="1"/>
  <c r="L257" i="3"/>
  <c r="AH266" i="3" s="1"/>
  <c r="I258" i="3"/>
  <c r="AB264" i="3"/>
  <c r="AD273" i="3"/>
  <c r="N277" i="3"/>
  <c r="AF283" i="3"/>
  <c r="AF288" i="3" s="1"/>
  <c r="U286" i="3"/>
  <c r="AQ295" i="3" s="1"/>
  <c r="AF291" i="3"/>
  <c r="AC292" i="3"/>
  <c r="AP293" i="3"/>
  <c r="AC294" i="3"/>
  <c r="M303" i="3"/>
  <c r="T304" i="3"/>
  <c r="T321" i="3" s="1"/>
  <c r="U321" i="3" s="1"/>
  <c r="T307" i="3"/>
  <c r="T308" i="3"/>
  <c r="T309" i="3"/>
  <c r="AB310" i="3"/>
  <c r="AJ310" i="3" s="1"/>
  <c r="I312" i="3"/>
  <c r="L314" i="3"/>
  <c r="AH323" i="3" s="1"/>
  <c r="J348" i="3"/>
  <c r="N331" i="3"/>
  <c r="AE346" i="3"/>
  <c r="M333" i="3"/>
  <c r="T334" i="3"/>
  <c r="N335" i="3"/>
  <c r="L336" i="3"/>
  <c r="AH328" i="3" s="1"/>
  <c r="AF328" i="3"/>
  <c r="M346" i="3"/>
  <c r="AG356" i="3"/>
  <c r="AG360" i="3" s="1"/>
  <c r="L364" i="3"/>
  <c r="AH356" i="3" s="1"/>
  <c r="AH360" i="3" s="1"/>
  <c r="AF358" i="3"/>
  <c r="AF360" i="3" s="1"/>
  <c r="L373" i="3"/>
  <c r="AH358" i="3" s="1"/>
  <c r="T387" i="3"/>
  <c r="N387" i="3"/>
  <c r="AB400" i="3"/>
  <c r="AJ400" i="3" s="1"/>
  <c r="M390" i="3"/>
  <c r="AC385" i="3"/>
  <c r="AC387" i="3" s="1"/>
  <c r="I400" i="3"/>
  <c r="AP418" i="3"/>
  <c r="U413" i="3"/>
  <c r="AQ418" i="3" s="1"/>
  <c r="T452" i="3"/>
  <c r="N452" i="3"/>
  <c r="AB448" i="3"/>
  <c r="AJ448" i="3" s="1"/>
  <c r="N195" i="3"/>
  <c r="AF201" i="3"/>
  <c r="AF207" i="3" s="1"/>
  <c r="AC202" i="3"/>
  <c r="AC210" i="3"/>
  <c r="AC216" i="3" s="1"/>
  <c r="AB215" i="3"/>
  <c r="AJ215" i="3" s="1"/>
  <c r="I230" i="3"/>
  <c r="AD230" i="3"/>
  <c r="AD234" i="3" s="1"/>
  <c r="AG237" i="3"/>
  <c r="AG243" i="3" s="1"/>
  <c r="J240" i="3"/>
  <c r="AF242" i="3"/>
  <c r="N249" i="3"/>
  <c r="AC264" i="3"/>
  <c r="AC270" i="3" s="1"/>
  <c r="AB269" i="3"/>
  <c r="AJ269" i="3" s="1"/>
  <c r="I284" i="3"/>
  <c r="AD284" i="3"/>
  <c r="AD288" i="3" s="1"/>
  <c r="AG291" i="3"/>
  <c r="AG297" i="3" s="1"/>
  <c r="AF296" i="3"/>
  <c r="F321" i="3"/>
  <c r="N321" i="3" s="1"/>
  <c r="N303" i="3"/>
  <c r="AP314" i="3"/>
  <c r="K348" i="3"/>
  <c r="AA333" i="3"/>
  <c r="N339" i="3"/>
  <c r="M370" i="3"/>
  <c r="AE357" i="3"/>
  <c r="S372" i="3"/>
  <c r="R372" i="3" s="1"/>
  <c r="AI368" i="3"/>
  <c r="P372" i="3"/>
  <c r="V372" i="3"/>
  <c r="T374" i="3"/>
  <c r="AB359" i="3"/>
  <c r="AJ359" i="3" s="1"/>
  <c r="N374" i="3"/>
  <c r="AP396" i="3"/>
  <c r="AQ396" i="3" s="1"/>
  <c r="AC436" i="3"/>
  <c r="I444" i="3"/>
  <c r="AJ192" i="3"/>
  <c r="N198" i="3"/>
  <c r="AD210" i="3"/>
  <c r="AD216" i="3" s="1"/>
  <c r="AC228" i="3"/>
  <c r="AC234" i="3" s="1"/>
  <c r="AB241" i="3"/>
  <c r="AJ241" i="3" s="1"/>
  <c r="AJ246" i="3"/>
  <c r="N252" i="3"/>
  <c r="AD264" i="3"/>
  <c r="AD270" i="3" s="1"/>
  <c r="K294" i="3"/>
  <c r="AJ300" i="3"/>
  <c r="AC324" i="3"/>
  <c r="N306" i="3"/>
  <c r="N311" i="3"/>
  <c r="AJ323" i="3"/>
  <c r="N314" i="3"/>
  <c r="AH345" i="3"/>
  <c r="AJ336" i="3"/>
  <c r="T331" i="3"/>
  <c r="I332" i="3"/>
  <c r="AC337" i="3"/>
  <c r="AC342" i="3" s="1"/>
  <c r="AB333" i="3"/>
  <c r="AJ333" i="3" s="1"/>
  <c r="AJ327" i="3"/>
  <c r="T335" i="3"/>
  <c r="AG342" i="3"/>
  <c r="AE329" i="3"/>
  <c r="AF338" i="3"/>
  <c r="M345" i="3"/>
  <c r="AE341" i="3"/>
  <c r="M362" i="3"/>
  <c r="AE354" i="3"/>
  <c r="AF382" i="3"/>
  <c r="L390" i="3"/>
  <c r="AH382" i="3" s="1"/>
  <c r="AH387" i="3" s="1"/>
  <c r="AB203" i="3"/>
  <c r="AJ203" i="3" s="1"/>
  <c r="H213" i="3"/>
  <c r="N224" i="3"/>
  <c r="AC231" i="3"/>
  <c r="U233" i="3"/>
  <c r="AQ242" i="3" s="1"/>
  <c r="AA237" i="3"/>
  <c r="AA243" i="3" s="1"/>
  <c r="AF238" i="3"/>
  <c r="AB257" i="3"/>
  <c r="AJ257" i="3" s="1"/>
  <c r="AG258" i="3"/>
  <c r="AG261" i="3" s="1"/>
  <c r="AE264" i="3"/>
  <c r="AD274" i="3"/>
  <c r="I277" i="3"/>
  <c r="AC285" i="3"/>
  <c r="AC288" i="3" s="1"/>
  <c r="U287" i="3"/>
  <c r="AQ296" i="3" s="1"/>
  <c r="AA291" i="3"/>
  <c r="AA297" i="3" s="1"/>
  <c r="AF292" i="3"/>
  <c r="AE305" i="3"/>
  <c r="AB311" i="3"/>
  <c r="AJ311" i="3" s="1"/>
  <c r="AG312" i="3"/>
  <c r="AG315" i="3" s="1"/>
  <c r="T313" i="3"/>
  <c r="G321" i="3"/>
  <c r="AA351" i="3"/>
  <c r="M330" i="3"/>
  <c r="AE338" i="3"/>
  <c r="M334" i="3"/>
  <c r="L338" i="3"/>
  <c r="AH347" i="3" s="1"/>
  <c r="I341" i="3"/>
  <c r="I348" i="3" s="1"/>
  <c r="I344" i="3"/>
  <c r="AC340" i="3"/>
  <c r="M347" i="3"/>
  <c r="AE332" i="3"/>
  <c r="AC365" i="3"/>
  <c r="I361" i="3"/>
  <c r="M363" i="3"/>
  <c r="AE355" i="3"/>
  <c r="I391" i="3"/>
  <c r="AC383" i="3"/>
  <c r="L394" i="3"/>
  <c r="AH403" i="3" s="1"/>
  <c r="AF403" i="3"/>
  <c r="L318" i="3"/>
  <c r="AH314" i="3" s="1"/>
  <c r="AH315" i="3" s="1"/>
  <c r="AP345" i="3"/>
  <c r="U330" i="3"/>
  <c r="AQ345" i="3" s="1"/>
  <c r="L332" i="3"/>
  <c r="AH337" i="3" s="1"/>
  <c r="T336" i="3"/>
  <c r="L337" i="3"/>
  <c r="AH329" i="3" s="1"/>
  <c r="AC330" i="3"/>
  <c r="AC333" i="3" s="1"/>
  <c r="I343" i="3"/>
  <c r="AE390" i="3"/>
  <c r="M385" i="3"/>
  <c r="N320" i="3"/>
  <c r="N330" i="3"/>
  <c r="T339" i="3"/>
  <c r="T348" i="3" s="1"/>
  <c r="U348" i="3" s="1"/>
  <c r="T342" i="3"/>
  <c r="AC345" i="3"/>
  <c r="AC351" i="3" s="1"/>
  <c r="T347" i="3"/>
  <c r="F348" i="3"/>
  <c r="AB350" i="3"/>
  <c r="AJ350" i="3" s="1"/>
  <c r="H375" i="3"/>
  <c r="I358" i="3"/>
  <c r="AB363" i="3"/>
  <c r="N369" i="3"/>
  <c r="AP372" i="3"/>
  <c r="AC359" i="3"/>
  <c r="AC360" i="3" s="1"/>
  <c r="I374" i="3"/>
  <c r="AE386" i="3"/>
  <c r="I387" i="3"/>
  <c r="AC400" i="3"/>
  <c r="N388" i="3"/>
  <c r="M389" i="3"/>
  <c r="AB404" i="3"/>
  <c r="AJ404" i="3" s="1"/>
  <c r="T395" i="3"/>
  <c r="AE393" i="3"/>
  <c r="M396" i="3"/>
  <c r="E402" i="3"/>
  <c r="AA414" i="3"/>
  <c r="E429" i="3"/>
  <c r="N417" i="3"/>
  <c r="AP453" i="3"/>
  <c r="U438" i="3"/>
  <c r="AQ453" i="3" s="1"/>
  <c r="M450" i="3"/>
  <c r="AE447" i="3"/>
  <c r="I452" i="3"/>
  <c r="AC448" i="3"/>
  <c r="AE484" i="3"/>
  <c r="M475" i="3"/>
  <c r="AB330" i="3"/>
  <c r="N333" i="3"/>
  <c r="N338" i="3"/>
  <c r="AD345" i="3"/>
  <c r="AD351" i="3" s="1"/>
  <c r="AF349" i="3"/>
  <c r="AF351" i="3" s="1"/>
  <c r="AC350" i="3"/>
  <c r="AE372" i="3"/>
  <c r="M357" i="3"/>
  <c r="U362" i="3"/>
  <c r="AQ354" i="3" s="1"/>
  <c r="AP354" i="3"/>
  <c r="T371" i="3"/>
  <c r="AB367" i="3"/>
  <c r="AJ367" i="3" s="1"/>
  <c r="AG372" i="3"/>
  <c r="AG378" i="3" s="1"/>
  <c r="AP376" i="3"/>
  <c r="Z387" i="3"/>
  <c r="U389" i="3"/>
  <c r="AQ381" i="3" s="1"/>
  <c r="AB401" i="3"/>
  <c r="AJ401" i="3" s="1"/>
  <c r="T392" i="3"/>
  <c r="AE402" i="3"/>
  <c r="M393" i="3"/>
  <c r="M395" i="3"/>
  <c r="AE404" i="3"/>
  <c r="AP394" i="3"/>
  <c r="U398" i="3"/>
  <c r="AQ394" i="3" s="1"/>
  <c r="AB426" i="3"/>
  <c r="T411" i="3"/>
  <c r="N411" i="3"/>
  <c r="F429" i="3"/>
  <c r="N429" i="3" s="1"/>
  <c r="AP421" i="3"/>
  <c r="U425" i="3"/>
  <c r="AQ421" i="3" s="1"/>
  <c r="AD441" i="3"/>
  <c r="S471" i="3"/>
  <c r="R471" i="3" s="1"/>
  <c r="P471" i="3"/>
  <c r="AI463" i="3"/>
  <c r="V471" i="3"/>
  <c r="AB341" i="3"/>
  <c r="AJ341" i="3" s="1"/>
  <c r="T343" i="3"/>
  <c r="T344" i="3"/>
  <c r="T345" i="3"/>
  <c r="AB348" i="3"/>
  <c r="AJ348" i="3" s="1"/>
  <c r="AP356" i="3"/>
  <c r="J375" i="3"/>
  <c r="AG369" i="3"/>
  <c r="M359" i="3"/>
  <c r="N364" i="3"/>
  <c r="AC366" i="3"/>
  <c r="L367" i="3"/>
  <c r="AF377" i="3"/>
  <c r="L368" i="3"/>
  <c r="AH377" i="3" s="1"/>
  <c r="AP366" i="3"/>
  <c r="U369" i="3"/>
  <c r="AQ366" i="3" s="1"/>
  <c r="AK378" i="3"/>
  <c r="F402" i="3"/>
  <c r="N402" i="3" s="1"/>
  <c r="AP391" i="3"/>
  <c r="U386" i="3"/>
  <c r="AQ391" i="3" s="1"/>
  <c r="N389" i="3"/>
  <c r="AC401" i="3"/>
  <c r="I392" i="3"/>
  <c r="AE384" i="3"/>
  <c r="S401" i="3"/>
  <c r="R401" i="3" s="1"/>
  <c r="AG402" i="3"/>
  <c r="AB408" i="3"/>
  <c r="T416" i="3"/>
  <c r="N416" i="3"/>
  <c r="AE409" i="3"/>
  <c r="E456" i="3"/>
  <c r="AA453" i="3"/>
  <c r="AA459" i="3" s="1"/>
  <c r="L442" i="3"/>
  <c r="AH446" i="3" s="1"/>
  <c r="AF446" i="3"/>
  <c r="AB457" i="3"/>
  <c r="AJ457" i="3" s="1"/>
  <c r="T448" i="3"/>
  <c r="N448" i="3"/>
  <c r="AE509" i="3"/>
  <c r="T507" i="3"/>
  <c r="AB503" i="3"/>
  <c r="AJ503" i="3" s="1"/>
  <c r="N507" i="3"/>
  <c r="N359" i="3"/>
  <c r="N372" i="3"/>
  <c r="AC399" i="3"/>
  <c r="I384" i="3"/>
  <c r="U390" i="3"/>
  <c r="AQ382" i="3" s="1"/>
  <c r="AP403" i="3"/>
  <c r="U394" i="3"/>
  <c r="AQ403" i="3" s="1"/>
  <c r="AF384" i="3"/>
  <c r="AF387" i="3" s="1"/>
  <c r="L397" i="3"/>
  <c r="AH384" i="3" s="1"/>
  <c r="AP395" i="3"/>
  <c r="U399" i="3"/>
  <c r="AQ395" i="3" s="1"/>
  <c r="I414" i="3"/>
  <c r="AC427" i="3"/>
  <c r="AP436" i="3"/>
  <c r="U444" i="3"/>
  <c r="AQ436" i="3" s="1"/>
  <c r="AG345" i="3"/>
  <c r="AG351" i="3" s="1"/>
  <c r="AA360" i="3"/>
  <c r="L357" i="3"/>
  <c r="T359" i="3"/>
  <c r="T375" i="3" s="1"/>
  <c r="U375" i="3" s="1"/>
  <c r="AB364" i="3"/>
  <c r="AJ364" i="3" s="1"/>
  <c r="U360" i="3"/>
  <c r="AQ373" i="3" s="1"/>
  <c r="AP355" i="3"/>
  <c r="U363" i="3"/>
  <c r="AQ355" i="3" s="1"/>
  <c r="N367" i="3"/>
  <c r="T372" i="3"/>
  <c r="AB368" i="3"/>
  <c r="AJ368" i="3" s="1"/>
  <c r="U373" i="3"/>
  <c r="AQ358" i="3" s="1"/>
  <c r="I375" i="3"/>
  <c r="AE377" i="3"/>
  <c r="AD387" i="3"/>
  <c r="AJ382" i="3"/>
  <c r="AP382" i="3"/>
  <c r="AF383" i="3"/>
  <c r="N390" i="3"/>
  <c r="I398" i="3"/>
  <c r="AD411" i="3"/>
  <c r="AD414" i="3" s="1"/>
  <c r="AE408" i="3"/>
  <c r="M416" i="3"/>
  <c r="U418" i="3"/>
  <c r="AQ410" i="3" s="1"/>
  <c r="L428" i="3"/>
  <c r="H429" i="3"/>
  <c r="G456" i="3"/>
  <c r="AB360" i="3"/>
  <c r="AJ360" i="3" s="1"/>
  <c r="AJ354" i="3"/>
  <c r="E375" i="3"/>
  <c r="AP363" i="3"/>
  <c r="U358" i="3"/>
  <c r="AQ363" i="3" s="1"/>
  <c r="AE374" i="3"/>
  <c r="L402" i="3"/>
  <c r="AH399" i="3"/>
  <c r="AH405" i="3" s="1"/>
  <c r="AA396" i="3"/>
  <c r="U385" i="3"/>
  <c r="AQ390" i="3" s="1"/>
  <c r="I386" i="3"/>
  <c r="L388" i="3"/>
  <c r="L398" i="3"/>
  <c r="AH394" i="3" s="1"/>
  <c r="AF394" i="3"/>
  <c r="AB405" i="3"/>
  <c r="AJ405" i="3" s="1"/>
  <c r="AC404" i="3"/>
  <c r="AH426" i="3"/>
  <c r="AK414" i="3"/>
  <c r="AG417" i="3"/>
  <c r="AG423" i="3" s="1"/>
  <c r="L412" i="3"/>
  <c r="AH417" i="3" s="1"/>
  <c r="AF420" i="3"/>
  <c r="L423" i="3"/>
  <c r="AH420" i="3" s="1"/>
  <c r="AJ453" i="3"/>
  <c r="F375" i="3"/>
  <c r="M360" i="3"/>
  <c r="AB365" i="3"/>
  <c r="AJ365" i="3" s="1"/>
  <c r="T361" i="3"/>
  <c r="AF374" i="3"/>
  <c r="AF378" i="3" s="1"/>
  <c r="L365" i="3"/>
  <c r="AH374" i="3" s="1"/>
  <c r="AB375" i="3"/>
  <c r="AJ375" i="3" s="1"/>
  <c r="T366" i="3"/>
  <c r="T370" i="3"/>
  <c r="AB357" i="3"/>
  <c r="M373" i="3"/>
  <c r="AE358" i="3"/>
  <c r="AB396" i="3"/>
  <c r="AJ396" i="3" s="1"/>
  <c r="AJ390" i="3"/>
  <c r="L386" i="3"/>
  <c r="AH391" i="3" s="1"/>
  <c r="AF391" i="3"/>
  <c r="AF396" i="3" s="1"/>
  <c r="AP383" i="3"/>
  <c r="U391" i="3"/>
  <c r="AQ383" i="3" s="1"/>
  <c r="AE403" i="3"/>
  <c r="M399" i="3"/>
  <c r="AE395" i="3"/>
  <c r="AD405" i="3"/>
  <c r="T400" i="3"/>
  <c r="AB385" i="3"/>
  <c r="AJ385" i="3" s="1"/>
  <c r="AI386" i="3"/>
  <c r="P401" i="3"/>
  <c r="AE411" i="3"/>
  <c r="AE456" i="3"/>
  <c r="AB372" i="3"/>
  <c r="N385" i="3"/>
  <c r="AC392" i="3"/>
  <c r="AF399" i="3"/>
  <c r="G429" i="3"/>
  <c r="AJ418" i="3"/>
  <c r="M415" i="3"/>
  <c r="L416" i="3"/>
  <c r="AH408" i="3" s="1"/>
  <c r="AG408" i="3"/>
  <c r="N419" i="3"/>
  <c r="AF411" i="3"/>
  <c r="L424" i="3"/>
  <c r="AH411" i="3" s="1"/>
  <c r="I425" i="3"/>
  <c r="AD421" i="3"/>
  <c r="AC412" i="3"/>
  <c r="AC414" i="3" s="1"/>
  <c r="I427" i="3"/>
  <c r="U428" i="3"/>
  <c r="AQ413" i="3" s="1"/>
  <c r="AP413" i="3"/>
  <c r="J456" i="3"/>
  <c r="AF453" i="3"/>
  <c r="AF459" i="3" s="1"/>
  <c r="AJ454" i="3"/>
  <c r="AF435" i="3"/>
  <c r="L443" i="3"/>
  <c r="AH435" i="3" s="1"/>
  <c r="M448" i="3"/>
  <c r="AE457" i="3"/>
  <c r="AC449" i="3"/>
  <c r="I453" i="3"/>
  <c r="AJ455" i="3"/>
  <c r="L465" i="3"/>
  <c r="J483" i="3"/>
  <c r="AF480" i="3"/>
  <c r="AE476" i="3"/>
  <c r="AI467" i="3"/>
  <c r="P482" i="3"/>
  <c r="V482" i="3"/>
  <c r="S482" i="3"/>
  <c r="R482" i="3" s="1"/>
  <c r="K510" i="3"/>
  <c r="AG507" i="3"/>
  <c r="L492" i="3"/>
  <c r="N357" i="3"/>
  <c r="AF363" i="3"/>
  <c r="AF369" i="3" s="1"/>
  <c r="AC364" i="3"/>
  <c r="AC369" i="3" s="1"/>
  <c r="AC372" i="3"/>
  <c r="AC378" i="3" s="1"/>
  <c r="AB377" i="3"/>
  <c r="AJ377" i="3" s="1"/>
  <c r="T384" i="3"/>
  <c r="N396" i="3"/>
  <c r="AG399" i="3"/>
  <c r="AG405" i="3" s="1"/>
  <c r="J402" i="3"/>
  <c r="AF414" i="3"/>
  <c r="AD432" i="3"/>
  <c r="L417" i="3"/>
  <c r="AH409" i="3" s="1"/>
  <c r="AG409" i="3"/>
  <c r="AC428" i="3"/>
  <c r="I419" i="3"/>
  <c r="U420" i="3"/>
  <c r="AQ429" i="3" s="1"/>
  <c r="I421" i="3"/>
  <c r="AD430" i="3"/>
  <c r="I426" i="3"/>
  <c r="AD422" i="3"/>
  <c r="N428" i="3"/>
  <c r="AP429" i="3"/>
  <c r="AP445" i="3"/>
  <c r="U440" i="3"/>
  <c r="AQ445" i="3" s="1"/>
  <c r="AE455" i="3"/>
  <c r="M446" i="3"/>
  <c r="AE458" i="3"/>
  <c r="M449" i="3"/>
  <c r="M454" i="3"/>
  <c r="I472" i="3"/>
  <c r="T481" i="3"/>
  <c r="AB466" i="3"/>
  <c r="AJ466" i="3" s="1"/>
  <c r="N481" i="3"/>
  <c r="AB498" i="3"/>
  <c r="T493" i="3"/>
  <c r="T510" i="3" s="1"/>
  <c r="U510" i="3" s="1"/>
  <c r="N493" i="3"/>
  <c r="N360" i="3"/>
  <c r="AD372" i="3"/>
  <c r="AD378" i="3" s="1"/>
  <c r="AC390" i="3"/>
  <c r="AC396" i="3" s="1"/>
  <c r="AB403" i="3"/>
  <c r="AJ403" i="3" s="1"/>
  <c r="I411" i="3"/>
  <c r="AD418" i="3"/>
  <c r="I413" i="3"/>
  <c r="U415" i="3"/>
  <c r="AQ419" i="3" s="1"/>
  <c r="AK423" i="3"/>
  <c r="AE410" i="3"/>
  <c r="N420" i="3"/>
  <c r="AF430" i="3"/>
  <c r="L421" i="3"/>
  <c r="AH430" i="3" s="1"/>
  <c r="AC431" i="3"/>
  <c r="AC432" i="3" s="1"/>
  <c r="I422" i="3"/>
  <c r="AF422" i="3"/>
  <c r="L426" i="3"/>
  <c r="AH422" i="3" s="1"/>
  <c r="AK441" i="3"/>
  <c r="L438" i="3"/>
  <c r="AP444" i="3"/>
  <c r="U439" i="3"/>
  <c r="AQ444" i="3" s="1"/>
  <c r="I440" i="3"/>
  <c r="AC445" i="3"/>
  <c r="AP446" i="3"/>
  <c r="U442" i="3"/>
  <c r="AQ446" i="3" s="1"/>
  <c r="L444" i="3"/>
  <c r="AH436" i="3" s="1"/>
  <c r="AF436" i="3"/>
  <c r="M445" i="3"/>
  <c r="AE437" i="3"/>
  <c r="AF481" i="3"/>
  <c r="L468" i="3"/>
  <c r="AH481" i="3" s="1"/>
  <c r="J429" i="3"/>
  <c r="T412" i="3"/>
  <c r="AB417" i="3"/>
  <c r="L413" i="3"/>
  <c r="AH418" i="3" s="1"/>
  <c r="N414" i="3"/>
  <c r="L418" i="3"/>
  <c r="AH410" i="3" s="1"/>
  <c r="AF418" i="3"/>
  <c r="AF423" i="3" s="1"/>
  <c r="U423" i="3"/>
  <c r="AQ420" i="3" s="1"/>
  <c r="AK432" i="3"/>
  <c r="Z441" i="3"/>
  <c r="AE454" i="3"/>
  <c r="M441" i="3"/>
  <c r="AJ444" i="3"/>
  <c r="AB456" i="3"/>
  <c r="AJ456" i="3" s="1"/>
  <c r="T447" i="3"/>
  <c r="T456" i="3" s="1"/>
  <c r="U456" i="3" s="1"/>
  <c r="AB447" i="3"/>
  <c r="AJ447" i="3" s="1"/>
  <c r="T450" i="3"/>
  <c r="AG454" i="3"/>
  <c r="AG459" i="3" s="1"/>
  <c r="M455" i="3"/>
  <c r="AE440" i="3"/>
  <c r="AJ462" i="3"/>
  <c r="AA468" i="3"/>
  <c r="AD477" i="3"/>
  <c r="AE498" i="3"/>
  <c r="T451" i="3"/>
  <c r="AB438" i="3"/>
  <c r="AB441" i="3" s="1"/>
  <c r="AJ441" i="3" s="1"/>
  <c r="AB468" i="3"/>
  <c r="AJ468" i="3" s="1"/>
  <c r="AA486" i="3"/>
  <c r="AD468" i="3"/>
  <c r="N384" i="3"/>
  <c r="AJ412" i="3"/>
  <c r="T417" i="3"/>
  <c r="AB409" i="3"/>
  <c r="AJ409" i="3" s="1"/>
  <c r="AP435" i="3"/>
  <c r="F456" i="3"/>
  <c r="N456" i="3" s="1"/>
  <c r="M439" i="3"/>
  <c r="AE446" i="3"/>
  <c r="M442" i="3"/>
  <c r="AC438" i="3"/>
  <c r="AC441" i="3" s="1"/>
  <c r="I451" i="3"/>
  <c r="AG477" i="3"/>
  <c r="AF462" i="3"/>
  <c r="AF468" i="3" s="1"/>
  <c r="L470" i="3"/>
  <c r="AH462" i="3" s="1"/>
  <c r="AD486" i="3"/>
  <c r="AD419" i="3"/>
  <c r="AD423" i="3" s="1"/>
  <c r="AG426" i="3"/>
  <c r="AG432" i="3" s="1"/>
  <c r="AF431" i="3"/>
  <c r="N438" i="3"/>
  <c r="AC453" i="3"/>
  <c r="AC459" i="3" s="1"/>
  <c r="T455" i="3"/>
  <c r="K483" i="3"/>
  <c r="AG480" i="3"/>
  <c r="N466" i="3"/>
  <c r="I467" i="3"/>
  <c r="AP472" i="3"/>
  <c r="AP477" i="3" s="1"/>
  <c r="AQ477" i="3" s="1"/>
  <c r="U467" i="3"/>
  <c r="AQ472" i="3" s="1"/>
  <c r="AP467" i="3"/>
  <c r="I469" i="3"/>
  <c r="AC473" i="3"/>
  <c r="AB485" i="3"/>
  <c r="AJ485" i="3" s="1"/>
  <c r="T476" i="3"/>
  <c r="AF476" i="3"/>
  <c r="L480" i="3"/>
  <c r="AH476" i="3" s="1"/>
  <c r="M481" i="3"/>
  <c r="E483" i="3"/>
  <c r="AA495" i="3"/>
  <c r="AD498" i="3"/>
  <c r="AD504" i="3" s="1"/>
  <c r="M499" i="3"/>
  <c r="AE491" i="3"/>
  <c r="T506" i="3"/>
  <c r="AB502" i="3"/>
  <c r="AJ502" i="3" s="1"/>
  <c r="AE493" i="3"/>
  <c r="AE636" i="3"/>
  <c r="M639" i="3"/>
  <c r="T414" i="3"/>
  <c r="T419" i="3"/>
  <c r="T422" i="3"/>
  <c r="T427" i="3"/>
  <c r="AB428" i="3"/>
  <c r="AJ428" i="3" s="1"/>
  <c r="K429" i="3"/>
  <c r="AB430" i="3"/>
  <c r="AJ430" i="3" s="1"/>
  <c r="AJ435" i="3"/>
  <c r="N441" i="3"/>
  <c r="AC468" i="3"/>
  <c r="AP464" i="3"/>
  <c r="I466" i="3"/>
  <c r="AC471" i="3"/>
  <c r="AC477" i="3" s="1"/>
  <c r="U469" i="3"/>
  <c r="AQ473" i="3" s="1"/>
  <c r="M476" i="3"/>
  <c r="AE485" i="3"/>
  <c r="AE474" i="3"/>
  <c r="M477" i="3"/>
  <c r="AD495" i="3"/>
  <c r="AE500" i="3"/>
  <c r="M496" i="3"/>
  <c r="AE489" i="3"/>
  <c r="M497" i="3"/>
  <c r="M498" i="3"/>
  <c r="AE490" i="3"/>
  <c r="AF504" i="3"/>
  <c r="T502" i="3"/>
  <c r="AB511" i="3"/>
  <c r="AJ511" i="3" s="1"/>
  <c r="M504" i="3"/>
  <c r="AE501" i="3"/>
  <c r="T505" i="3"/>
  <c r="AB492" i="3"/>
  <c r="M507" i="3"/>
  <c r="AE503" i="3"/>
  <c r="L525" i="3"/>
  <c r="AH517" i="3" s="1"/>
  <c r="AF517" i="3"/>
  <c r="I412" i="3"/>
  <c r="N413" i="3"/>
  <c r="AA426" i="3"/>
  <c r="AA432" i="3" s="1"/>
  <c r="AF427" i="3"/>
  <c r="AF432" i="3" s="1"/>
  <c r="H456" i="3"/>
  <c r="AB446" i="3"/>
  <c r="AJ446" i="3" s="1"/>
  <c r="L447" i="3"/>
  <c r="AH456" i="3" s="1"/>
  <c r="AB449" i="3"/>
  <c r="AJ449" i="3" s="1"/>
  <c r="T453" i="3"/>
  <c r="U466" i="3"/>
  <c r="AQ471" i="3" s="1"/>
  <c r="AB477" i="3"/>
  <c r="AJ477" i="3" s="1"/>
  <c r="AB482" i="3"/>
  <c r="AJ482" i="3" s="1"/>
  <c r="T473" i="3"/>
  <c r="AE483" i="3"/>
  <c r="M474" i="3"/>
  <c r="AP475" i="3"/>
  <c r="U479" i="3"/>
  <c r="AQ475" i="3" s="1"/>
  <c r="AK486" i="3"/>
  <c r="AB481" i="3"/>
  <c r="AJ481" i="3" s="1"/>
  <c r="AP507" i="3"/>
  <c r="U492" i="3"/>
  <c r="AQ507" i="3" s="1"/>
  <c r="AJ493" i="3"/>
  <c r="M506" i="3"/>
  <c r="AE502" i="3"/>
  <c r="AP527" i="3"/>
  <c r="U523" i="3"/>
  <c r="AQ527" i="3" s="1"/>
  <c r="L419" i="3"/>
  <c r="AH428" i="3" s="1"/>
  <c r="I438" i="3"/>
  <c r="AH463" i="3"/>
  <c r="AC482" i="3"/>
  <c r="I473" i="3"/>
  <c r="M478" i="3"/>
  <c r="AG483" i="3"/>
  <c r="T494" i="3"/>
  <c r="AB499" i="3"/>
  <c r="AJ499" i="3" s="1"/>
  <c r="AH495" i="3"/>
  <c r="N499" i="3"/>
  <c r="AJ501" i="3"/>
  <c r="AE512" i="3"/>
  <c r="M503" i="3"/>
  <c r="M505" i="3"/>
  <c r="AE492" i="3"/>
  <c r="AJ509" i="3"/>
  <c r="M519" i="3"/>
  <c r="I521" i="3"/>
  <c r="AC526" i="3"/>
  <c r="AG539" i="3"/>
  <c r="L530" i="3"/>
  <c r="AH539" i="3" s="1"/>
  <c r="M552" i="3"/>
  <c r="AE544" i="3"/>
  <c r="AE598" i="3"/>
  <c r="F483" i="3"/>
  <c r="AP484" i="3"/>
  <c r="U475" i="3"/>
  <c r="AQ484" i="3" s="1"/>
  <c r="AP476" i="3"/>
  <c r="U480" i="3"/>
  <c r="AQ476" i="3" s="1"/>
  <c r="I526" i="3"/>
  <c r="AC518" i="3"/>
  <c r="AC522" i="3" s="1"/>
  <c r="AB528" i="3"/>
  <c r="AJ528" i="3" s="1"/>
  <c r="T531" i="3"/>
  <c r="N531" i="3"/>
  <c r="AE561" i="3"/>
  <c r="M546" i="3"/>
  <c r="I589" i="3"/>
  <c r="AC574" i="3"/>
  <c r="AC576" i="3" s="1"/>
  <c r="AJ464" i="3"/>
  <c r="AC480" i="3"/>
  <c r="AC486" i="3" s="1"/>
  <c r="I465" i="3"/>
  <c r="T465" i="3"/>
  <c r="L466" i="3"/>
  <c r="AH471" i="3" s="1"/>
  <c r="N467" i="3"/>
  <c r="I470" i="3"/>
  <c r="M479" i="3"/>
  <c r="AB491" i="3"/>
  <c r="AJ491" i="3" s="1"/>
  <c r="AE507" i="3"/>
  <c r="M492" i="3"/>
  <c r="Z513" i="3"/>
  <c r="AH534" i="3"/>
  <c r="AH540" i="3" s="1"/>
  <c r="AB554" i="3"/>
  <c r="AJ554" i="3" s="1"/>
  <c r="T550" i="3"/>
  <c r="N550" i="3"/>
  <c r="I468" i="3"/>
  <c r="AP481" i="3"/>
  <c r="U468" i="3"/>
  <c r="AQ481" i="3" s="1"/>
  <c r="L479" i="3"/>
  <c r="AH475" i="3" s="1"/>
  <c r="AF475" i="3"/>
  <c r="AF477" i="3" s="1"/>
  <c r="AB480" i="3"/>
  <c r="AA504" i="3"/>
  <c r="AP491" i="3"/>
  <c r="U499" i="3"/>
  <c r="AQ491" i="3" s="1"/>
  <c r="AA513" i="3"/>
  <c r="M531" i="3"/>
  <c r="AE528" i="3"/>
  <c r="AB494" i="3"/>
  <c r="AJ494" i="3" s="1"/>
  <c r="T496" i="3"/>
  <c r="T497" i="3"/>
  <c r="T498" i="3"/>
  <c r="L500" i="3"/>
  <c r="AH509" i="3" s="1"/>
  <c r="AG500" i="3"/>
  <c r="AG504" i="3" s="1"/>
  <c r="I501" i="3"/>
  <c r="L503" i="3"/>
  <c r="AH512" i="3" s="1"/>
  <c r="AG503" i="3"/>
  <c r="AB507" i="3"/>
  <c r="L508" i="3"/>
  <c r="AH493" i="3" s="1"/>
  <c r="I509" i="3"/>
  <c r="AD509" i="3"/>
  <c r="AD512" i="3"/>
  <c r="AK522" i="3"/>
  <c r="AP518" i="3"/>
  <c r="AP525" i="3"/>
  <c r="U520" i="3"/>
  <c r="AQ525" i="3" s="1"/>
  <c r="AE535" i="3"/>
  <c r="M522" i="3"/>
  <c r="AF527" i="3"/>
  <c r="AB537" i="3"/>
  <c r="AJ537" i="3" s="1"/>
  <c r="T528" i="3"/>
  <c r="E537" i="3"/>
  <c r="M551" i="3"/>
  <c r="AE543" i="3"/>
  <c r="AK558" i="3"/>
  <c r="AC567" i="3"/>
  <c r="M563" i="3"/>
  <c r="AC588" i="3"/>
  <c r="AC594" i="3" s="1"/>
  <c r="G591" i="3"/>
  <c r="I573" i="3"/>
  <c r="L604" i="3"/>
  <c r="AH608" i="3" s="1"/>
  <c r="AF608" i="3"/>
  <c r="L614" i="3"/>
  <c r="AH610" i="3" s="1"/>
  <c r="AF610" i="3"/>
  <c r="AG648" i="3"/>
  <c r="AJ471" i="3"/>
  <c r="N482" i="3"/>
  <c r="N492" i="3"/>
  <c r="T501" i="3"/>
  <c r="T504" i="3"/>
  <c r="AC507" i="3"/>
  <c r="AC513" i="3" s="1"/>
  <c r="AK513" i="3"/>
  <c r="T509" i="3"/>
  <c r="F510" i="3"/>
  <c r="N510" i="3" s="1"/>
  <c r="Z522" i="3"/>
  <c r="AB526" i="3"/>
  <c r="AJ526" i="3" s="1"/>
  <c r="T532" i="3"/>
  <c r="AB519" i="3"/>
  <c r="U535" i="3"/>
  <c r="AQ520" i="3" s="1"/>
  <c r="AP520" i="3"/>
  <c r="AH561" i="3"/>
  <c r="M550" i="3"/>
  <c r="AE554" i="3"/>
  <c r="AE565" i="3"/>
  <c r="AF567" i="3"/>
  <c r="K564" i="3"/>
  <c r="H591" i="3"/>
  <c r="AD579" i="3"/>
  <c r="AD585" i="3" s="1"/>
  <c r="AE592" i="3"/>
  <c r="AP620" i="3"/>
  <c r="U611" i="3"/>
  <c r="AQ620" i="3" s="1"/>
  <c r="T661" i="3"/>
  <c r="N661" i="3"/>
  <c r="AB653" i="3"/>
  <c r="AJ653" i="3" s="1"/>
  <c r="AB489" i="3"/>
  <c r="L493" i="3"/>
  <c r="AH498" i="3" s="1"/>
  <c r="I494" i="3"/>
  <c r="I510" i="3" s="1"/>
  <c r="N495" i="3"/>
  <c r="I502" i="3"/>
  <c r="AD513" i="3"/>
  <c r="AB510" i="3"/>
  <c r="AJ510" i="3" s="1"/>
  <c r="AA540" i="3"/>
  <c r="AP534" i="3"/>
  <c r="U519" i="3"/>
  <c r="AQ534" i="3" s="1"/>
  <c r="AE527" i="3"/>
  <c r="M523" i="3"/>
  <c r="U530" i="3"/>
  <c r="AQ539" i="3" s="1"/>
  <c r="AC519" i="3"/>
  <c r="I532" i="3"/>
  <c r="N533" i="3"/>
  <c r="T533" i="3"/>
  <c r="AH549" i="3"/>
  <c r="V558" i="3"/>
  <c r="S558" i="3"/>
  <c r="R558" i="3" s="1"/>
  <c r="P558" i="3"/>
  <c r="AI555" i="3"/>
  <c r="AE546" i="3"/>
  <c r="AE556" i="3"/>
  <c r="M560" i="3"/>
  <c r="AE557" i="3"/>
  <c r="M580" i="3"/>
  <c r="AE572" i="3"/>
  <c r="T586" i="3"/>
  <c r="N586" i="3"/>
  <c r="AJ573" i="3" s="1"/>
  <c r="AB573" i="3"/>
  <c r="AB500" i="3"/>
  <c r="AJ500" i="3" s="1"/>
  <c r="L501" i="3"/>
  <c r="AH510" i="3" s="1"/>
  <c r="AB522" i="3"/>
  <c r="AJ522" i="3" s="1"/>
  <c r="AP516" i="3"/>
  <c r="F537" i="3"/>
  <c r="N537" i="3" s="1"/>
  <c r="I520" i="3"/>
  <c r="I537" i="3" s="1"/>
  <c r="AP517" i="3"/>
  <c r="U525" i="3"/>
  <c r="AQ517" i="3" s="1"/>
  <c r="I528" i="3"/>
  <c r="I533" i="3"/>
  <c r="AC529" i="3"/>
  <c r="AC531" i="3" s="1"/>
  <c r="AC530" i="3"/>
  <c r="I534" i="3"/>
  <c r="AG540" i="3"/>
  <c r="E564" i="3"/>
  <c r="U558" i="3"/>
  <c r="AQ555" i="3" s="1"/>
  <c r="L560" i="3"/>
  <c r="AH556" i="3" s="1"/>
  <c r="N563" i="3"/>
  <c r="AE591" i="3"/>
  <c r="N498" i="3"/>
  <c r="AF513" i="3"/>
  <c r="AG511" i="3"/>
  <c r="AE534" i="3"/>
  <c r="L520" i="3"/>
  <c r="AH525" i="3" s="1"/>
  <c r="AH531" i="3" s="1"/>
  <c r="AF525" i="3"/>
  <c r="AF531" i="3" s="1"/>
  <c r="N521" i="3"/>
  <c r="N526" i="3"/>
  <c r="AB538" i="3"/>
  <c r="AJ538" i="3" s="1"/>
  <c r="T529" i="3"/>
  <c r="T537" i="3" s="1"/>
  <c r="U537" i="3" s="1"/>
  <c r="M535" i="3"/>
  <c r="M536" i="3"/>
  <c r="AE521" i="3"/>
  <c r="AD549" i="3"/>
  <c r="T547" i="3"/>
  <c r="AB552" i="3"/>
  <c r="AA558" i="3"/>
  <c r="M586" i="3"/>
  <c r="AE573" i="3"/>
  <c r="AB606" i="3"/>
  <c r="T601" i="3"/>
  <c r="N601" i="3"/>
  <c r="L494" i="3"/>
  <c r="AH499" i="3" s="1"/>
  <c r="I495" i="3"/>
  <c r="AG502" i="3"/>
  <c r="AE516" i="3"/>
  <c r="AJ535" i="3"/>
  <c r="AF516" i="3"/>
  <c r="AF522" i="3" s="1"/>
  <c r="L524" i="3"/>
  <c r="AH516" i="3" s="1"/>
  <c r="AH522" i="3" s="1"/>
  <c r="AC538" i="3"/>
  <c r="I529" i="3"/>
  <c r="AE539" i="3"/>
  <c r="M530" i="3"/>
  <c r="AF549" i="3"/>
  <c r="T552" i="3"/>
  <c r="AB544" i="3"/>
  <c r="AJ544" i="3" s="1"/>
  <c r="AC558" i="3"/>
  <c r="U555" i="3"/>
  <c r="AQ564" i="3" s="1"/>
  <c r="AJ562" i="3"/>
  <c r="AB576" i="3"/>
  <c r="AJ570" i="3"/>
  <c r="AF585" i="3"/>
  <c r="J537" i="3"/>
  <c r="AF534" i="3"/>
  <c r="AF540" i="3" s="1"/>
  <c r="AP526" i="3"/>
  <c r="U521" i="3"/>
  <c r="AQ526" i="3" s="1"/>
  <c r="M525" i="3"/>
  <c r="AE536" i="3"/>
  <c r="M527" i="3"/>
  <c r="H564" i="3"/>
  <c r="AB543" i="3"/>
  <c r="T551" i="3"/>
  <c r="AF558" i="3"/>
  <c r="AE545" i="3"/>
  <c r="M553" i="3"/>
  <c r="N519" i="3"/>
  <c r="AC534" i="3"/>
  <c r="T536" i="3"/>
  <c r="AB539" i="3"/>
  <c r="AJ539" i="3" s="1"/>
  <c r="T546" i="3"/>
  <c r="L548" i="3"/>
  <c r="AH553" i="3" s="1"/>
  <c r="I549" i="3"/>
  <c r="I554" i="3"/>
  <c r="AD554" i="3"/>
  <c r="N555" i="3"/>
  <c r="L556" i="3"/>
  <c r="AH565" i="3" s="1"/>
  <c r="I557" i="3"/>
  <c r="AD557" i="3"/>
  <c r="L559" i="3"/>
  <c r="AH546" i="3" s="1"/>
  <c r="L561" i="3"/>
  <c r="AH557" i="3" s="1"/>
  <c r="AG561" i="3"/>
  <c r="AG567" i="3" s="1"/>
  <c r="I562" i="3"/>
  <c r="AD576" i="3"/>
  <c r="T573" i="3"/>
  <c r="I574" i="3"/>
  <c r="T576" i="3"/>
  <c r="AE581" i="3"/>
  <c r="N578" i="3"/>
  <c r="AE571" i="3"/>
  <c r="M579" i="3"/>
  <c r="AA580" i="3"/>
  <c r="AA585" i="3" s="1"/>
  <c r="N581" i="3"/>
  <c r="AB592" i="3"/>
  <c r="AJ592" i="3" s="1"/>
  <c r="T583" i="3"/>
  <c r="I590" i="3"/>
  <c r="AB593" i="3"/>
  <c r="AJ593" i="3" s="1"/>
  <c r="AP599" i="3"/>
  <c r="U607" i="3"/>
  <c r="AQ599" i="3" s="1"/>
  <c r="AE619" i="3"/>
  <c r="M610" i="3"/>
  <c r="AA639" i="3"/>
  <c r="AF672" i="3"/>
  <c r="L663" i="3"/>
  <c r="AH672" i="3" s="1"/>
  <c r="AJ516" i="3"/>
  <c r="N522" i="3"/>
  <c r="N527" i="3"/>
  <c r="N530" i="3"/>
  <c r="AD534" i="3"/>
  <c r="AD540" i="3" s="1"/>
  <c r="N535" i="3"/>
  <c r="G537" i="3"/>
  <c r="AP548" i="3"/>
  <c r="T554" i="3"/>
  <c r="T557" i="3"/>
  <c r="T562" i="3"/>
  <c r="AB563" i="3"/>
  <c r="AJ563" i="3" s="1"/>
  <c r="AB565" i="3"/>
  <c r="AJ565" i="3" s="1"/>
  <c r="AB566" i="3"/>
  <c r="AJ566" i="3" s="1"/>
  <c r="AA575" i="3"/>
  <c r="AA576" i="3" s="1"/>
  <c r="U581" i="3"/>
  <c r="AQ590" i="3" s="1"/>
  <c r="AF591" i="3"/>
  <c r="L582" i="3"/>
  <c r="AH591" i="3" s="1"/>
  <c r="AB583" i="3"/>
  <c r="AJ583" i="3" s="1"/>
  <c r="T587" i="3"/>
  <c r="AK594" i="3"/>
  <c r="AB590" i="3"/>
  <c r="AJ590" i="3" s="1"/>
  <c r="AD592" i="3"/>
  <c r="AD594" i="3" s="1"/>
  <c r="AE606" i="3"/>
  <c r="AE612" i="3" s="1"/>
  <c r="AP611" i="3"/>
  <c r="U615" i="3"/>
  <c r="AQ611" i="3" s="1"/>
  <c r="AP645" i="3"/>
  <c r="U636" i="3"/>
  <c r="AQ645" i="3" s="1"/>
  <c r="AF647" i="3"/>
  <c r="L638" i="3"/>
  <c r="AH647" i="3" s="1"/>
  <c r="AB527" i="3"/>
  <c r="AJ527" i="3" s="1"/>
  <c r="AB530" i="3"/>
  <c r="AJ530" i="3" s="1"/>
  <c r="T534" i="3"/>
  <c r="AG543" i="3"/>
  <c r="I547" i="3"/>
  <c r="N548" i="3"/>
  <c r="N560" i="3"/>
  <c r="AA561" i="3"/>
  <c r="AA567" i="3" s="1"/>
  <c r="AF562" i="3"/>
  <c r="AD565" i="3"/>
  <c r="J591" i="3"/>
  <c r="AF588" i="3"/>
  <c r="M575" i="3"/>
  <c r="AJ575" i="3"/>
  <c r="AD589" i="3"/>
  <c r="I576" i="3"/>
  <c r="N584" i="3"/>
  <c r="AF612" i="3"/>
  <c r="M602" i="3"/>
  <c r="AH607" i="3"/>
  <c r="AE609" i="3"/>
  <c r="N616" i="3"/>
  <c r="T616" i="3"/>
  <c r="F645" i="3"/>
  <c r="AB642" i="3"/>
  <c r="T627" i="3"/>
  <c r="N627" i="3"/>
  <c r="L629" i="3"/>
  <c r="AH634" i="3" s="1"/>
  <c r="AF634" i="3"/>
  <c r="AE637" i="3"/>
  <c r="L554" i="3"/>
  <c r="AH563" i="3" s="1"/>
  <c r="AG554" i="3"/>
  <c r="AG558" i="3" s="1"/>
  <c r="I555" i="3"/>
  <c r="AB561" i="3"/>
  <c r="F564" i="3"/>
  <c r="N564" i="3" s="1"/>
  <c r="AG571" i="3"/>
  <c r="AG576" i="3" s="1"/>
  <c r="AG588" i="3"/>
  <c r="AG594" i="3" s="1"/>
  <c r="K591" i="3"/>
  <c r="AB580" i="3"/>
  <c r="T575" i="3"/>
  <c r="N575" i="3"/>
  <c r="L576" i="3"/>
  <c r="AH589" i="3" s="1"/>
  <c r="AF589" i="3"/>
  <c r="L577" i="3"/>
  <c r="AH581" i="3" s="1"/>
  <c r="AH585" i="3" s="1"/>
  <c r="N580" i="3"/>
  <c r="U584" i="3"/>
  <c r="AQ593" i="3" s="1"/>
  <c r="L585" i="3"/>
  <c r="AH582" i="3" s="1"/>
  <c r="T588" i="3"/>
  <c r="AB584" i="3"/>
  <c r="AJ584" i="3" s="1"/>
  <c r="I613" i="3"/>
  <c r="AC600" i="3"/>
  <c r="N615" i="3"/>
  <c r="AB611" i="3"/>
  <c r="AJ611" i="3" s="1"/>
  <c r="AE633" i="3"/>
  <c r="AC644" i="3"/>
  <c r="I635" i="3"/>
  <c r="T644" i="3"/>
  <c r="N644" i="3"/>
  <c r="AB629" i="3"/>
  <c r="AJ629" i="3" s="1"/>
  <c r="AP564" i="3"/>
  <c r="AH588" i="3"/>
  <c r="M578" i="3"/>
  <c r="M587" i="3"/>
  <c r="AE583" i="3"/>
  <c r="Z594" i="3"/>
  <c r="AB603" i="3"/>
  <c r="AJ603" i="3" s="1"/>
  <c r="M607" i="3"/>
  <c r="AE599" i="3"/>
  <c r="AE617" i="3"/>
  <c r="M608" i="3"/>
  <c r="AE601" i="3"/>
  <c r="AG635" i="3"/>
  <c r="AG639" i="3" s="1"/>
  <c r="L631" i="3"/>
  <c r="AH635" i="3" s="1"/>
  <c r="L662" i="3"/>
  <c r="AH671" i="3" s="1"/>
  <c r="AF671" i="3"/>
  <c r="AO664" i="3"/>
  <c r="AN664" i="3" s="1"/>
  <c r="AL664" i="3"/>
  <c r="AR664" i="3"/>
  <c r="AG544" i="3"/>
  <c r="L547" i="3"/>
  <c r="AH552" i="3" s="1"/>
  <c r="AH558" i="3" s="1"/>
  <c r="I548" i="3"/>
  <c r="AD556" i="3"/>
  <c r="AD558" i="3" s="1"/>
  <c r="AD561" i="3"/>
  <c r="T574" i="3"/>
  <c r="AB579" i="3"/>
  <c r="T577" i="3"/>
  <c r="AB581" i="3"/>
  <c r="AJ581" i="3" s="1"/>
  <c r="L581" i="3"/>
  <c r="U582" i="3"/>
  <c r="AQ591" i="3" s="1"/>
  <c r="E618" i="3"/>
  <c r="AA615" i="3"/>
  <c r="AA621" i="3" s="1"/>
  <c r="U600" i="3"/>
  <c r="AQ615" i="3" s="1"/>
  <c r="AE608" i="3"/>
  <c r="M604" i="3"/>
  <c r="AG609" i="3"/>
  <c r="AG612" i="3" s="1"/>
  <c r="L612" i="3"/>
  <c r="AH609" i="3" s="1"/>
  <c r="AJ660" i="3"/>
  <c r="AD662" i="3"/>
  <c r="I658" i="3"/>
  <c r="F591" i="3"/>
  <c r="N591" i="3" s="1"/>
  <c r="AB588" i="3"/>
  <c r="AE584" i="3"/>
  <c r="N589" i="3"/>
  <c r="T589" i="3"/>
  <c r="AB607" i="3"/>
  <c r="AJ607" i="3" s="1"/>
  <c r="T602" i="3"/>
  <c r="M614" i="3"/>
  <c r="H618" i="3"/>
  <c r="AJ619" i="3"/>
  <c r="AP624" i="3"/>
  <c r="U632" i="3"/>
  <c r="AQ624" i="3" s="1"/>
  <c r="AF590" i="3"/>
  <c r="AD593" i="3"/>
  <c r="AC599" i="3"/>
  <c r="AC603" i="3" s="1"/>
  <c r="F618" i="3"/>
  <c r="N618" i="3" s="1"/>
  <c r="N609" i="3"/>
  <c r="AB609" i="3"/>
  <c r="AJ609" i="3" s="1"/>
  <c r="I611" i="3"/>
  <c r="U613" i="3"/>
  <c r="AQ600" i="3" s="1"/>
  <c r="AA630" i="3"/>
  <c r="AK630" i="3"/>
  <c r="AC642" i="3"/>
  <c r="G645" i="3"/>
  <c r="AJ633" i="3"/>
  <c r="N634" i="3"/>
  <c r="T634" i="3"/>
  <c r="L637" i="3"/>
  <c r="AH646" i="3" s="1"/>
  <c r="AB639" i="3"/>
  <c r="L641" i="3"/>
  <c r="AH637" i="3" s="1"/>
  <c r="AF637" i="3"/>
  <c r="AE642" i="3"/>
  <c r="AC628" i="3"/>
  <c r="AC630" i="3" s="1"/>
  <c r="I643" i="3"/>
  <c r="AF651" i="3"/>
  <c r="AF657" i="3" s="1"/>
  <c r="E672" i="3"/>
  <c r="AC682" i="3"/>
  <c r="I697" i="3"/>
  <c r="AC621" i="3"/>
  <c r="AP610" i="3"/>
  <c r="AK621" i="3"/>
  <c r="AB618" i="3"/>
  <c r="AJ618" i="3" s="1"/>
  <c r="AF644" i="3"/>
  <c r="AF648" i="3" s="1"/>
  <c r="T656" i="3"/>
  <c r="N656" i="3"/>
  <c r="AB661" i="3"/>
  <c r="AJ661" i="3" s="1"/>
  <c r="AE663" i="3"/>
  <c r="T667" i="3"/>
  <c r="AB654" i="3"/>
  <c r="N667" i="3"/>
  <c r="AJ654" i="3" s="1"/>
  <c r="AE681" i="3"/>
  <c r="L695" i="3"/>
  <c r="AH691" i="3" s="1"/>
  <c r="AF691" i="3"/>
  <c r="N582" i="3"/>
  <c r="L583" i="3"/>
  <c r="AH592" i="3" s="1"/>
  <c r="AG583" i="3"/>
  <c r="AG585" i="3" s="1"/>
  <c r="L588" i="3"/>
  <c r="AH584" i="3" s="1"/>
  <c r="N604" i="3"/>
  <c r="U606" i="3"/>
  <c r="AQ598" i="3" s="1"/>
  <c r="N614" i="3"/>
  <c r="AD630" i="3"/>
  <c r="U628" i="3"/>
  <c r="AQ633" i="3" s="1"/>
  <c r="L630" i="3"/>
  <c r="AH643" i="3" s="1"/>
  <c r="N631" i="3"/>
  <c r="AB625" i="3"/>
  <c r="AJ625" i="3" s="1"/>
  <c r="T633" i="3"/>
  <c r="AF645" i="3"/>
  <c r="L636" i="3"/>
  <c r="N640" i="3"/>
  <c r="AJ627" i="3" s="1"/>
  <c r="T640" i="3"/>
  <c r="N641" i="3"/>
  <c r="AD638" i="3"/>
  <c r="AD639" i="3" s="1"/>
  <c r="I642" i="3"/>
  <c r="AK648" i="3"/>
  <c r="AK657" i="3"/>
  <c r="AA675" i="3"/>
  <c r="N654" i="3"/>
  <c r="M655" i="3"/>
  <c r="AE660" i="3"/>
  <c r="AE651" i="3"/>
  <c r="M659" i="3"/>
  <c r="AE652" i="3"/>
  <c r="U662" i="3"/>
  <c r="AQ671" i="3" s="1"/>
  <c r="AP672" i="3"/>
  <c r="U663" i="3"/>
  <c r="AQ672" i="3" s="1"/>
  <c r="AC665" i="3"/>
  <c r="AC666" i="3" s="1"/>
  <c r="I669" i="3"/>
  <c r="AG603" i="3"/>
  <c r="AP597" i="3"/>
  <c r="I600" i="3"/>
  <c r="T618" i="3"/>
  <c r="U618" i="3" s="1"/>
  <c r="I603" i="3"/>
  <c r="AP616" i="3"/>
  <c r="U603" i="3"/>
  <c r="AQ616" i="3" s="1"/>
  <c r="AC608" i="3"/>
  <c r="AC612" i="3" s="1"/>
  <c r="L611" i="3"/>
  <c r="AH620" i="3" s="1"/>
  <c r="L615" i="3"/>
  <c r="AH611" i="3" s="1"/>
  <c r="AJ615" i="3"/>
  <c r="AB621" i="3"/>
  <c r="AJ621" i="3" s="1"/>
  <c r="AF601" i="3"/>
  <c r="AF603" i="3" s="1"/>
  <c r="L616" i="3"/>
  <c r="AH601" i="3" s="1"/>
  <c r="AB617" i="3"/>
  <c r="AJ617" i="3" s="1"/>
  <c r="AF630" i="3"/>
  <c r="U631" i="3"/>
  <c r="AQ635" i="3" s="1"/>
  <c r="N638" i="3"/>
  <c r="I640" i="3"/>
  <c r="L642" i="3"/>
  <c r="AH638" i="3" s="1"/>
  <c r="AB675" i="3"/>
  <c r="AJ675" i="3" s="1"/>
  <c r="L655" i="3"/>
  <c r="AH660" i="3" s="1"/>
  <c r="AF660" i="3"/>
  <c r="AK666" i="3"/>
  <c r="L688" i="3"/>
  <c r="AH680" i="3" s="1"/>
  <c r="AF680" i="3"/>
  <c r="AC698" i="3"/>
  <c r="I689" i="3"/>
  <c r="J618" i="3"/>
  <c r="M605" i="3"/>
  <c r="M609" i="3"/>
  <c r="AE618" i="3"/>
  <c r="P617" i="3"/>
  <c r="V617" i="3"/>
  <c r="K645" i="3"/>
  <c r="L627" i="3"/>
  <c r="AF633" i="3"/>
  <c r="AF639" i="3" s="1"/>
  <c r="L628" i="3"/>
  <c r="AH633" i="3" s="1"/>
  <c r="AH639" i="3" s="1"/>
  <c r="AG629" i="3"/>
  <c r="AG630" i="3" s="1"/>
  <c r="L644" i="3"/>
  <c r="AG666" i="3"/>
  <c r="AB673" i="3"/>
  <c r="AJ673" i="3" s="1"/>
  <c r="T664" i="3"/>
  <c r="N664" i="3"/>
  <c r="L584" i="3"/>
  <c r="AH593" i="3" s="1"/>
  <c r="N590" i="3"/>
  <c r="Z603" i="3"/>
  <c r="AJ597" i="3"/>
  <c r="K618" i="3"/>
  <c r="L601" i="3"/>
  <c r="AH606" i="3" s="1"/>
  <c r="AH612" i="3" s="1"/>
  <c r="AI602" i="3"/>
  <c r="L606" i="3"/>
  <c r="AH598" i="3" s="1"/>
  <c r="AH603" i="3" s="1"/>
  <c r="N607" i="3"/>
  <c r="AB620" i="3"/>
  <c r="AJ620" i="3" s="1"/>
  <c r="N611" i="3"/>
  <c r="AF615" i="3"/>
  <c r="AF621" i="3" s="1"/>
  <c r="AP615" i="3"/>
  <c r="N617" i="3"/>
  <c r="AE626" i="3"/>
  <c r="AC627" i="3"/>
  <c r="AJ628" i="3"/>
  <c r="U629" i="3"/>
  <c r="AQ634" i="3" s="1"/>
  <c r="T630" i="3"/>
  <c r="N630" i="3"/>
  <c r="AB643" i="3"/>
  <c r="AJ643" i="3" s="1"/>
  <c r="I631" i="3"/>
  <c r="M632" i="3"/>
  <c r="L633" i="3"/>
  <c r="U638" i="3"/>
  <c r="AQ647" i="3" s="1"/>
  <c r="T641" i="3"/>
  <c r="AA657" i="3"/>
  <c r="AP670" i="3"/>
  <c r="U657" i="3"/>
  <c r="AQ670" i="3" s="1"/>
  <c r="L665" i="3"/>
  <c r="AH674" i="3" s="1"/>
  <c r="AP663" i="3"/>
  <c r="U666" i="3"/>
  <c r="AQ663" i="3" s="1"/>
  <c r="L600" i="3"/>
  <c r="AP608" i="3"/>
  <c r="U604" i="3"/>
  <c r="AQ608" i="3" s="1"/>
  <c r="T608" i="3"/>
  <c r="AG621" i="3"/>
  <c r="G618" i="3"/>
  <c r="M629" i="3"/>
  <c r="I630" i="3"/>
  <c r="I645" i="3" s="1"/>
  <c r="AC643" i="3"/>
  <c r="AB630" i="3"/>
  <c r="AJ630" i="3" s="1"/>
  <c r="N632" i="3"/>
  <c r="AC646" i="3"/>
  <c r="I637" i="3"/>
  <c r="U659" i="3"/>
  <c r="AQ651" i="3" s="1"/>
  <c r="AP651" i="3"/>
  <c r="AE672" i="3"/>
  <c r="M663" i="3"/>
  <c r="V668" i="3"/>
  <c r="S668" i="3"/>
  <c r="R668" i="3" s="1"/>
  <c r="N637" i="3"/>
  <c r="AJ647" i="3"/>
  <c r="T642" i="3"/>
  <c r="AB657" i="3"/>
  <c r="AJ657" i="3" s="1"/>
  <c r="AF675" i="3"/>
  <c r="AD666" i="3"/>
  <c r="G672" i="3"/>
  <c r="AF681" i="3"/>
  <c r="L694" i="3"/>
  <c r="AH681" i="3" s="1"/>
  <c r="AP692" i="3"/>
  <c r="U696" i="3"/>
  <c r="AQ692" i="3" s="1"/>
  <c r="E645" i="3"/>
  <c r="AA642" i="3"/>
  <c r="AA648" i="3" s="1"/>
  <c r="L634" i="3"/>
  <c r="AH626" i="3" s="1"/>
  <c r="AJ646" i="3"/>
  <c r="AC647" i="3"/>
  <c r="I638" i="3"/>
  <c r="L640" i="3"/>
  <c r="AH627" i="3" s="1"/>
  <c r="K672" i="3"/>
  <c r="AG669" i="3"/>
  <c r="AG675" i="3" s="1"/>
  <c r="L654" i="3"/>
  <c r="AA666" i="3"/>
  <c r="L660" i="3"/>
  <c r="AH652" i="3" s="1"/>
  <c r="AH657" i="3" s="1"/>
  <c r="M662" i="3"/>
  <c r="AC675" i="3"/>
  <c r="AP679" i="3"/>
  <c r="U687" i="3"/>
  <c r="AQ679" i="3" s="1"/>
  <c r="U686" i="3"/>
  <c r="AQ678" i="3" s="1"/>
  <c r="AP678" i="3"/>
  <c r="AF700" i="3"/>
  <c r="L691" i="3"/>
  <c r="AH700" i="3" s="1"/>
  <c r="L683" i="3"/>
  <c r="AH688" i="3" s="1"/>
  <c r="AF688" i="3"/>
  <c r="I684" i="3"/>
  <c r="AC697" i="3"/>
  <c r="H645" i="3"/>
  <c r="AJ644" i="3"/>
  <c r="T637" i="3"/>
  <c r="AD642" i="3"/>
  <c r="AD648" i="3" s="1"/>
  <c r="Z648" i="3"/>
  <c r="F672" i="3"/>
  <c r="N672" i="3" s="1"/>
  <c r="T654" i="3"/>
  <c r="M657" i="3"/>
  <c r="M661" i="3"/>
  <c r="AD696" i="3"/>
  <c r="AD702" i="3" s="1"/>
  <c r="I681" i="3"/>
  <c r="H699" i="3"/>
  <c r="AD657" i="3"/>
  <c r="N600" i="3"/>
  <c r="I656" i="3"/>
  <c r="L658" i="3"/>
  <c r="AH662" i="3" s="1"/>
  <c r="AF662" i="3"/>
  <c r="AC673" i="3"/>
  <c r="I664" i="3"/>
  <c r="L666" i="3"/>
  <c r="AH663" i="3" s="1"/>
  <c r="AF663" i="3"/>
  <c r="AC654" i="3"/>
  <c r="AC657" i="3" s="1"/>
  <c r="I667" i="3"/>
  <c r="T670" i="3"/>
  <c r="AB655" i="3"/>
  <c r="AJ655" i="3" s="1"/>
  <c r="J699" i="3"/>
  <c r="V687" i="3"/>
  <c r="S687" i="3"/>
  <c r="R687" i="3" s="1"/>
  <c r="P687" i="3"/>
  <c r="AI679" i="3"/>
  <c r="AJ689" i="3"/>
  <c r="AJ651" i="3"/>
  <c r="AG655" i="3"/>
  <c r="AG657" i="3" s="1"/>
  <c r="AJ670" i="3"/>
  <c r="N657" i="3"/>
  <c r="AJ671" i="3"/>
  <c r="N662" i="3"/>
  <c r="AJ674" i="3"/>
  <c r="N665" i="3"/>
  <c r="J672" i="3"/>
  <c r="Z684" i="3"/>
  <c r="AH696" i="3"/>
  <c r="AP689" i="3"/>
  <c r="U685" i="3"/>
  <c r="AQ689" i="3" s="1"/>
  <c r="AP680" i="3"/>
  <c r="U688" i="3"/>
  <c r="AQ680" i="3" s="1"/>
  <c r="AP700" i="3"/>
  <c r="U691" i="3"/>
  <c r="AQ700" i="3" s="1"/>
  <c r="AP691" i="3"/>
  <c r="U695" i="3"/>
  <c r="AQ691" i="3" s="1"/>
  <c r="H672" i="3"/>
  <c r="AB662" i="3"/>
  <c r="AJ662" i="3" s="1"/>
  <c r="AB665" i="3"/>
  <c r="AJ665" i="3" s="1"/>
  <c r="T668" i="3"/>
  <c r="T669" i="3"/>
  <c r="AJ678" i="3"/>
  <c r="AJ679" i="3"/>
  <c r="AP688" i="3"/>
  <c r="AP693" i="3" s="1"/>
  <c r="AQ693" i="3" s="1"/>
  <c r="U683" i="3"/>
  <c r="AQ688" i="3" s="1"/>
  <c r="AP681" i="3"/>
  <c r="U694" i="3"/>
  <c r="AQ681" i="3" s="1"/>
  <c r="AJ700" i="3"/>
  <c r="N655" i="3"/>
  <c r="M670" i="3"/>
  <c r="AC684" i="3"/>
  <c r="AA693" i="3"/>
  <c r="AC701" i="3"/>
  <c r="I692" i="3"/>
  <c r="AE690" i="3"/>
  <c r="M693" i="3"/>
  <c r="AE709" i="3"/>
  <c r="L656" i="3"/>
  <c r="AH661" i="3" s="1"/>
  <c r="AG656" i="3"/>
  <c r="AJ672" i="3"/>
  <c r="N663" i="3"/>
  <c r="L664" i="3"/>
  <c r="AH673" i="3" s="1"/>
  <c r="I665" i="3"/>
  <c r="M671" i="3"/>
  <c r="E699" i="3"/>
  <c r="N699" i="3" s="1"/>
  <c r="U682" i="3"/>
  <c r="AQ687" i="3" s="1"/>
  <c r="AH684" i="3"/>
  <c r="AF684" i="3"/>
  <c r="V686" i="3"/>
  <c r="AI678" i="3"/>
  <c r="S686" i="3"/>
  <c r="R686" i="3" s="1"/>
  <c r="P686" i="3"/>
  <c r="AE692" i="3"/>
  <c r="S698" i="3"/>
  <c r="R698" i="3" s="1"/>
  <c r="AI683" i="3"/>
  <c r="P698" i="3"/>
  <c r="G699" i="3"/>
  <c r="AI689" i="3"/>
  <c r="V685" i="3"/>
  <c r="S685" i="3"/>
  <c r="R685" i="3" s="1"/>
  <c r="P685" i="3"/>
  <c r="AE680" i="3"/>
  <c r="M688" i="3"/>
  <c r="M695" i="3"/>
  <c r="AF692" i="3"/>
  <c r="AF693" i="3" s="1"/>
  <c r="L696" i="3"/>
  <c r="AH692" i="3" s="1"/>
  <c r="N682" i="3"/>
  <c r="N685" i="3"/>
  <c r="N686" i="3"/>
  <c r="N687" i="3"/>
  <c r="AF696" i="3"/>
  <c r="AP698" i="3"/>
  <c r="K726" i="3"/>
  <c r="AE714" i="3"/>
  <c r="M715" i="3"/>
  <c r="AE707" i="3"/>
  <c r="AB727" i="3"/>
  <c r="AJ727" i="3" s="1"/>
  <c r="T718" i="3"/>
  <c r="T723" i="3"/>
  <c r="AB719" i="3"/>
  <c r="AJ719" i="3" s="1"/>
  <c r="AA729" i="3"/>
  <c r="K753" i="3"/>
  <c r="AG750" i="3"/>
  <c r="AG756" i="3" s="1"/>
  <c r="L735" i="3"/>
  <c r="V769" i="3"/>
  <c r="S769" i="3"/>
  <c r="R769" i="3" s="1"/>
  <c r="P769" i="3"/>
  <c r="AI761" i="3"/>
  <c r="AF782" i="3"/>
  <c r="L773" i="3"/>
  <c r="AH782" i="3" s="1"/>
  <c r="T681" i="3"/>
  <c r="AB687" i="3"/>
  <c r="AD689" i="3"/>
  <c r="AD693" i="3" s="1"/>
  <c r="N690" i="3"/>
  <c r="AG696" i="3"/>
  <c r="AG702" i="3" s="1"/>
  <c r="AE724" i="3"/>
  <c r="M711" i="3"/>
  <c r="T722" i="3"/>
  <c r="AB718" i="3"/>
  <c r="AJ718" i="3" s="1"/>
  <c r="T747" i="3"/>
  <c r="AB744" i="3"/>
  <c r="AJ744" i="3" s="1"/>
  <c r="N747" i="3"/>
  <c r="AB698" i="3"/>
  <c r="AJ698" i="3" s="1"/>
  <c r="K699" i="3"/>
  <c r="AF701" i="3"/>
  <c r="M718" i="3"/>
  <c r="AE727" i="3"/>
  <c r="AE728" i="3"/>
  <c r="I720" i="3"/>
  <c r="AD717" i="3"/>
  <c r="AD720" i="3" s="1"/>
  <c r="T721" i="3"/>
  <c r="AB708" i="3"/>
  <c r="AB711" i="3" s="1"/>
  <c r="AJ711" i="3" s="1"/>
  <c r="AK729" i="3"/>
  <c r="AG709" i="3"/>
  <c r="AG711" i="3" s="1"/>
  <c r="L724" i="3"/>
  <c r="AH709" i="3" s="1"/>
  <c r="I682" i="3"/>
  <c r="N683" i="3"/>
  <c r="U684" i="3"/>
  <c r="AQ697" i="3" s="1"/>
  <c r="AC690" i="3"/>
  <c r="AC693" i="3" s="1"/>
  <c r="U692" i="3"/>
  <c r="AQ701" i="3" s="1"/>
  <c r="AA696" i="3"/>
  <c r="AA702" i="3" s="1"/>
  <c r="AF697" i="3"/>
  <c r="AJ725" i="3"/>
  <c r="M722" i="3"/>
  <c r="AE718" i="3"/>
  <c r="V723" i="3"/>
  <c r="S723" i="3"/>
  <c r="R723" i="3" s="1"/>
  <c r="AI719" i="3"/>
  <c r="P723" i="3"/>
  <c r="AG768" i="3"/>
  <c r="AG774" i="3" s="1"/>
  <c r="L763" i="3"/>
  <c r="AH768" i="3" s="1"/>
  <c r="AH774" i="3" s="1"/>
  <c r="L689" i="3"/>
  <c r="AH698" i="3" s="1"/>
  <c r="AG689" i="3"/>
  <c r="AG693" i="3" s="1"/>
  <c r="I690" i="3"/>
  <c r="AB696" i="3"/>
  <c r="AP723" i="3"/>
  <c r="U708" i="3"/>
  <c r="AQ723" i="3" s="1"/>
  <c r="AA720" i="3"/>
  <c r="AE716" i="3"/>
  <c r="M712" i="3"/>
  <c r="AE705" i="3"/>
  <c r="M713" i="3"/>
  <c r="M714" i="3"/>
  <c r="AE706" i="3"/>
  <c r="AE725" i="3"/>
  <c r="M721" i="3"/>
  <c r="AE708" i="3"/>
  <c r="AD710" i="3"/>
  <c r="AD711" i="3" s="1"/>
  <c r="I725" i="3"/>
  <c r="N681" i="3"/>
  <c r="AC696" i="3"/>
  <c r="AC702" i="3" s="1"/>
  <c r="AE723" i="3"/>
  <c r="M708" i="3"/>
  <c r="AJ714" i="3"/>
  <c r="U711" i="3"/>
  <c r="AQ724" i="3" s="1"/>
  <c r="N718" i="3"/>
  <c r="AG728" i="3"/>
  <c r="L719" i="3"/>
  <c r="AH728" i="3" s="1"/>
  <c r="L682" i="3"/>
  <c r="AH687" i="3" s="1"/>
  <c r="AH693" i="3" s="1"/>
  <c r="I683" i="3"/>
  <c r="U690" i="3"/>
  <c r="AQ699" i="3" s="1"/>
  <c r="I691" i="3"/>
  <c r="AJ701" i="3"/>
  <c r="N692" i="3"/>
  <c r="H726" i="3"/>
  <c r="T710" i="3"/>
  <c r="AB715" i="3"/>
  <c r="AJ715" i="3" s="1"/>
  <c r="AJ710" i="3"/>
  <c r="AH711" i="3"/>
  <c r="AP707" i="3"/>
  <c r="U715" i="3"/>
  <c r="AQ707" i="3" s="1"/>
  <c r="N722" i="3"/>
  <c r="N723" i="3"/>
  <c r="F780" i="3"/>
  <c r="AB777" i="3"/>
  <c r="T762" i="3"/>
  <c r="N762" i="3"/>
  <c r="T709" i="3"/>
  <c r="T712" i="3"/>
  <c r="T713" i="3"/>
  <c r="T714" i="3"/>
  <c r="L716" i="3"/>
  <c r="AH725" i="3" s="1"/>
  <c r="AH729" i="3" s="1"/>
  <c r="AG716" i="3"/>
  <c r="AG720" i="3" s="1"/>
  <c r="I717" i="3"/>
  <c r="AB723" i="3"/>
  <c r="AD727" i="3"/>
  <c r="AR733" i="3"/>
  <c r="AL735" i="3"/>
  <c r="AR735" i="3"/>
  <c r="AE755" i="3"/>
  <c r="M746" i="3"/>
  <c r="M747" i="3"/>
  <c r="AE744" i="3"/>
  <c r="J753" i="3"/>
  <c r="M767" i="3"/>
  <c r="AE759" i="3"/>
  <c r="AE765" i="3" s="1"/>
  <c r="AH781" i="3"/>
  <c r="M772" i="3"/>
  <c r="M802" i="3"/>
  <c r="AE789" i="3"/>
  <c r="N708" i="3"/>
  <c r="AC723" i="3"/>
  <c r="F726" i="3"/>
  <c r="N726" i="3" s="1"/>
  <c r="AP726" i="3"/>
  <c r="AB728" i="3"/>
  <c r="AJ728" i="3" s="1"/>
  <c r="AD747" i="3"/>
  <c r="M738" i="3"/>
  <c r="AE751" i="3"/>
  <c r="AC743" i="3"/>
  <c r="I739" i="3"/>
  <c r="AE752" i="3"/>
  <c r="U748" i="3"/>
  <c r="AQ735" i="3" s="1"/>
  <c r="AP735" i="3"/>
  <c r="U749" i="3"/>
  <c r="AQ745" i="3" s="1"/>
  <c r="AP745" i="3"/>
  <c r="U750" i="3"/>
  <c r="AQ746" i="3" s="1"/>
  <c r="AP746" i="3"/>
  <c r="M751" i="3"/>
  <c r="AE736" i="3"/>
  <c r="AH765" i="3"/>
  <c r="AC780" i="3"/>
  <c r="I771" i="3"/>
  <c r="AJ705" i="3"/>
  <c r="L709" i="3"/>
  <c r="M709" i="3" s="1"/>
  <c r="I710" i="3"/>
  <c r="I726" i="3" s="1"/>
  <c r="N711" i="3"/>
  <c r="N716" i="3"/>
  <c r="N719" i="3"/>
  <c r="AD723" i="3"/>
  <c r="AD729" i="3" s="1"/>
  <c r="N724" i="3"/>
  <c r="G726" i="3"/>
  <c r="AF727" i="3"/>
  <c r="AC728" i="3"/>
  <c r="AF738" i="3"/>
  <c r="E753" i="3"/>
  <c r="AA750" i="3"/>
  <c r="AA756" i="3" s="1"/>
  <c r="I736" i="3"/>
  <c r="V740" i="3"/>
  <c r="S740" i="3"/>
  <c r="R740" i="3" s="1"/>
  <c r="S748" i="3"/>
  <c r="R748" i="3" s="1"/>
  <c r="P748" i="3"/>
  <c r="AE745" i="3"/>
  <c r="M749" i="3"/>
  <c r="AF765" i="3"/>
  <c r="AB716" i="3"/>
  <c r="AJ716" i="3" s="1"/>
  <c r="AB724" i="3"/>
  <c r="AJ724" i="3" s="1"/>
  <c r="AB726" i="3"/>
  <c r="AJ726" i="3" s="1"/>
  <c r="F753" i="3"/>
  <c r="AB750" i="3"/>
  <c r="AH747" i="3"/>
  <c r="V741" i="3"/>
  <c r="S741" i="3"/>
  <c r="R741" i="3" s="1"/>
  <c r="S742" i="3"/>
  <c r="R742" i="3" s="1"/>
  <c r="P742" i="3"/>
  <c r="AB753" i="3"/>
  <c r="AJ753" i="3" s="1"/>
  <c r="T744" i="3"/>
  <c r="AP754" i="3"/>
  <c r="U745" i="3"/>
  <c r="AQ754" i="3" s="1"/>
  <c r="M750" i="3"/>
  <c r="AE746" i="3"/>
  <c r="T752" i="3"/>
  <c r="AB737" i="3"/>
  <c r="AJ737" i="3" s="1"/>
  <c r="V776" i="3"/>
  <c r="S776" i="3"/>
  <c r="R776" i="3" s="1"/>
  <c r="P776" i="3"/>
  <c r="AI772" i="3"/>
  <c r="N709" i="3"/>
  <c r="AF715" i="3"/>
  <c r="AF720" i="3" s="1"/>
  <c r="AF723" i="3"/>
  <c r="AF729" i="3" s="1"/>
  <c r="AC724" i="3"/>
  <c r="Z738" i="3"/>
  <c r="AH738" i="3"/>
  <c r="I735" i="3"/>
  <c r="G753" i="3"/>
  <c r="AC750" i="3"/>
  <c r="AC756" i="3" s="1"/>
  <c r="T735" i="3"/>
  <c r="AO735" i="3"/>
  <c r="AN735" i="3" s="1"/>
  <c r="AG747" i="3"/>
  <c r="AJ741" i="3"/>
  <c r="M752" i="3"/>
  <c r="AE737" i="3"/>
  <c r="AE768" i="3"/>
  <c r="M763" i="3"/>
  <c r="AB797" i="3"/>
  <c r="AJ797" i="3" s="1"/>
  <c r="T793" i="3"/>
  <c r="N793" i="3"/>
  <c r="AG723" i="3"/>
  <c r="AG729" i="3" s="1"/>
  <c r="AA738" i="3"/>
  <c r="AI732" i="3"/>
  <c r="AL734" i="3"/>
  <c r="H753" i="3"/>
  <c r="U737" i="3"/>
  <c r="AQ742" i="3" s="1"/>
  <c r="AP742" i="3"/>
  <c r="AE754" i="3"/>
  <c r="M745" i="3"/>
  <c r="AD769" i="3"/>
  <c r="I764" i="3"/>
  <c r="U769" i="3"/>
  <c r="AQ761" i="3" s="1"/>
  <c r="AP761" i="3"/>
  <c r="AE805" i="3"/>
  <c r="T716" i="3"/>
  <c r="AE719" i="3"/>
  <c r="AB738" i="3"/>
  <c r="AJ738" i="3" s="1"/>
  <c r="AJ732" i="3"/>
  <c r="AE734" i="3"/>
  <c r="AE738" i="3" s="1"/>
  <c r="AE742" i="3"/>
  <c r="M737" i="3"/>
  <c r="P740" i="3"/>
  <c r="T738" i="3"/>
  <c r="T743" i="3"/>
  <c r="T746" i="3"/>
  <c r="T751" i="3"/>
  <c r="AB752" i="3"/>
  <c r="AJ752" i="3" s="1"/>
  <c r="AB754" i="3"/>
  <c r="AJ754" i="3" s="1"/>
  <c r="AJ765" i="3"/>
  <c r="AJ759" i="3"/>
  <c r="G780" i="3"/>
  <c r="AC777" i="3"/>
  <c r="L765" i="3"/>
  <c r="AH778" i="3" s="1"/>
  <c r="AF778" i="3"/>
  <c r="AP779" i="3"/>
  <c r="U770" i="3"/>
  <c r="AQ779" i="3" s="1"/>
  <c r="AE796" i="3"/>
  <c r="S794" i="3"/>
  <c r="R794" i="3" s="1"/>
  <c r="P794" i="3"/>
  <c r="AI786" i="3"/>
  <c r="V794" i="3"/>
  <c r="N737" i="3"/>
  <c r="N742" i="3"/>
  <c r="AF743" i="3"/>
  <c r="N745" i="3"/>
  <c r="N748" i="3"/>
  <c r="AJ735" i="3" s="1"/>
  <c r="N749" i="3"/>
  <c r="N750" i="3"/>
  <c r="AF751" i="3"/>
  <c r="AF756" i="3" s="1"/>
  <c r="AF753" i="3"/>
  <c r="AC765" i="3"/>
  <c r="AK765" i="3"/>
  <c r="H780" i="3"/>
  <c r="AD777" i="3"/>
  <c r="AD783" i="3" s="1"/>
  <c r="AP769" i="3"/>
  <c r="AP782" i="3"/>
  <c r="U773" i="3"/>
  <c r="AQ782" i="3" s="1"/>
  <c r="V777" i="3"/>
  <c r="S777" i="3"/>
  <c r="R777" i="3" s="1"/>
  <c r="AI773" i="3"/>
  <c r="P777" i="3"/>
  <c r="AB742" i="3"/>
  <c r="AJ742" i="3" s="1"/>
  <c r="L743" i="3"/>
  <c r="AH752" i="3" s="1"/>
  <c r="I744" i="3"/>
  <c r="AD754" i="3"/>
  <c r="AD765" i="3"/>
  <c r="I762" i="3"/>
  <c r="AJ768" i="3"/>
  <c r="N763" i="3"/>
  <c r="M775" i="3"/>
  <c r="K780" i="3"/>
  <c r="U801" i="3"/>
  <c r="AQ798" i="3" s="1"/>
  <c r="AF741" i="3"/>
  <c r="AF747" i="3" s="1"/>
  <c r="AC742" i="3"/>
  <c r="AC747" i="3" s="1"/>
  <c r="AB755" i="3"/>
  <c r="AJ755" i="3" s="1"/>
  <c r="J780" i="3"/>
  <c r="AF777" i="3"/>
  <c r="AC768" i="3"/>
  <c r="U777" i="3"/>
  <c r="AQ773" i="3" s="1"/>
  <c r="AP773" i="3"/>
  <c r="AE792" i="3"/>
  <c r="G807" i="3"/>
  <c r="AC804" i="3"/>
  <c r="I789" i="3"/>
  <c r="L798" i="3"/>
  <c r="AH807" i="3" s="1"/>
  <c r="AF807" i="3"/>
  <c r="N738" i="3"/>
  <c r="AD750" i="3"/>
  <c r="AD756" i="3" s="1"/>
  <c r="AG783" i="3"/>
  <c r="AD774" i="3"/>
  <c r="U765" i="3"/>
  <c r="AQ778" i="3" s="1"/>
  <c r="AE779" i="3"/>
  <c r="M770" i="3"/>
  <c r="AP781" i="3"/>
  <c r="U772" i="3"/>
  <c r="AQ781" i="3" s="1"/>
  <c r="U776" i="3"/>
  <c r="AQ772" i="3" s="1"/>
  <c r="S778" i="3"/>
  <c r="R778" i="3" s="1"/>
  <c r="P778" i="3"/>
  <c r="V778" i="3"/>
  <c r="P796" i="3"/>
  <c r="V796" i="3"/>
  <c r="AI788" i="3"/>
  <c r="AB743" i="3"/>
  <c r="AJ743" i="3" s="1"/>
  <c r="AG765" i="3"/>
  <c r="L762" i="3"/>
  <c r="AJ769" i="3"/>
  <c r="N764" i="3"/>
  <c r="AJ778" i="3"/>
  <c r="I766" i="3"/>
  <c r="AE782" i="3"/>
  <c r="M773" i="3"/>
  <c r="I774" i="3"/>
  <c r="AC771" i="3"/>
  <c r="U775" i="3"/>
  <c r="AQ762" i="3" s="1"/>
  <c r="M779" i="3"/>
  <c r="AG792" i="3"/>
  <c r="AF801" i="3"/>
  <c r="M804" i="3"/>
  <c r="AE800" i="3"/>
  <c r="Z765" i="3"/>
  <c r="E780" i="3"/>
  <c r="AA777" i="3"/>
  <c r="AA783" i="3" s="1"/>
  <c r="T763" i="3"/>
  <c r="I765" i="3"/>
  <c r="M768" i="3"/>
  <c r="AF779" i="3"/>
  <c r="L770" i="3"/>
  <c r="AH779" i="3" s="1"/>
  <c r="AJ786" i="3"/>
  <c r="AA801" i="3"/>
  <c r="AB805" i="3"/>
  <c r="AJ805" i="3" s="1"/>
  <c r="T792" i="3"/>
  <c r="AE799" i="3"/>
  <c r="N769" i="3"/>
  <c r="AF770" i="3"/>
  <c r="AF774" i="3" s="1"/>
  <c r="N772" i="3"/>
  <c r="N775" i="3"/>
  <c r="AJ762" i="3" s="1"/>
  <c r="N776" i="3"/>
  <c r="N777" i="3"/>
  <c r="AC779" i="3"/>
  <c r="AF780" i="3"/>
  <c r="AC781" i="3"/>
  <c r="AG801" i="3"/>
  <c r="U799" i="3"/>
  <c r="AQ808" i="3" s="1"/>
  <c r="N801" i="3"/>
  <c r="AC805" i="3"/>
  <c r="T766" i="3"/>
  <c r="T767" i="3"/>
  <c r="T768" i="3"/>
  <c r="AB772" i="3"/>
  <c r="AJ772" i="3" s="1"/>
  <c r="AD792" i="3"/>
  <c r="AB801" i="3"/>
  <c r="AJ795" i="3"/>
  <c r="N790" i="3"/>
  <c r="U791" i="3"/>
  <c r="AQ796" i="3" s="1"/>
  <c r="V806" i="3"/>
  <c r="S806" i="3"/>
  <c r="R806" i="3" s="1"/>
  <c r="P806" i="3"/>
  <c r="T771" i="3"/>
  <c r="T774" i="3"/>
  <c r="AB782" i="3"/>
  <c r="AJ782" i="3" s="1"/>
  <c r="J807" i="3"/>
  <c r="AP804" i="3"/>
  <c r="L791" i="3"/>
  <c r="AH796" i="3" s="1"/>
  <c r="AH801" i="3" s="1"/>
  <c r="I793" i="3"/>
  <c r="AK801" i="3"/>
  <c r="AB806" i="3"/>
  <c r="AJ806" i="3" s="1"/>
  <c r="T797" i="3"/>
  <c r="U803" i="3"/>
  <c r="AQ799" i="3" s="1"/>
  <c r="N765" i="3"/>
  <c r="AF781" i="3"/>
  <c r="AC782" i="3"/>
  <c r="K807" i="3"/>
  <c r="AG804" i="3"/>
  <c r="AG810" i="3" s="1"/>
  <c r="U789" i="3"/>
  <c r="AQ804" i="3" s="1"/>
  <c r="U798" i="3"/>
  <c r="AQ807" i="3" s="1"/>
  <c r="I799" i="3"/>
  <c r="L801" i="3"/>
  <c r="AH798" i="3" s="1"/>
  <c r="AB770" i="3"/>
  <c r="AJ770" i="3" s="1"/>
  <c r="AB773" i="3"/>
  <c r="AJ773" i="3" s="1"/>
  <c r="AB780" i="3"/>
  <c r="AJ780" i="3" s="1"/>
  <c r="L789" i="3"/>
  <c r="I790" i="3"/>
  <c r="N791" i="3"/>
  <c r="M795" i="3"/>
  <c r="AJ807" i="3"/>
  <c r="AB809" i="3"/>
  <c r="AJ809" i="3" s="1"/>
  <c r="T800" i="3"/>
  <c r="AC778" i="3"/>
  <c r="E807" i="3"/>
  <c r="AA804" i="3"/>
  <c r="AA810" i="3" s="1"/>
  <c r="T790" i="3"/>
  <c r="T807" i="3" s="1"/>
  <c r="U807" i="3" s="1"/>
  <c r="L792" i="3"/>
  <c r="AH805" i="3" s="1"/>
  <c r="L793" i="3"/>
  <c r="AH797" i="3" s="1"/>
  <c r="N794" i="3"/>
  <c r="AJ798" i="3"/>
  <c r="AD799" i="3"/>
  <c r="AD801" i="3" s="1"/>
  <c r="F807" i="3"/>
  <c r="N807" i="3" s="1"/>
  <c r="AB804" i="3"/>
  <c r="N789" i="3"/>
  <c r="L803" i="3"/>
  <c r="AH799" i="3" s="1"/>
  <c r="I797" i="3"/>
  <c r="N798" i="3"/>
  <c r="L799" i="3"/>
  <c r="AH808" i="3" s="1"/>
  <c r="I800" i="3"/>
  <c r="N806" i="3"/>
  <c r="AF809" i="3"/>
  <c r="AF810" i="3" s="1"/>
  <c r="AB808" i="3"/>
  <c r="AJ808" i="3" s="1"/>
  <c r="O834" i="3"/>
  <c r="AK831" i="3"/>
  <c r="AK837" i="3" s="1"/>
  <c r="N796" i="3"/>
  <c r="N799" i="3"/>
  <c r="N802" i="3"/>
  <c r="AJ789" i="3" s="1"/>
  <c r="N803" i="3"/>
  <c r="N804" i="3"/>
  <c r="L797" i="3"/>
  <c r="AH806" i="3" s="1"/>
  <c r="I798" i="3"/>
  <c r="Z828" i="3"/>
  <c r="AK828" i="3"/>
  <c r="Z831" i="3"/>
  <c r="Z837" i="3" s="1"/>
  <c r="V168" i="2" l="1"/>
  <c r="S168" i="2"/>
  <c r="R168" i="2" s="1"/>
  <c r="P168" i="2"/>
  <c r="AI183" i="2"/>
  <c r="S708" i="1"/>
  <c r="R708" i="1" s="1"/>
  <c r="P708" i="1"/>
  <c r="AI723" i="1"/>
  <c r="V708" i="1"/>
  <c r="P709" i="3"/>
  <c r="AI714" i="3"/>
  <c r="V709" i="3"/>
  <c r="S709" i="3"/>
  <c r="R709" i="3" s="1"/>
  <c r="S141" i="2"/>
  <c r="R141" i="2" s="1"/>
  <c r="P141" i="2"/>
  <c r="AI156" i="2"/>
  <c r="V141" i="2"/>
  <c r="S195" i="2"/>
  <c r="R195" i="2" s="1"/>
  <c r="AI210" i="2"/>
  <c r="V195" i="2"/>
  <c r="P195" i="2"/>
  <c r="AE807" i="3"/>
  <c r="M798" i="3"/>
  <c r="AE809" i="3"/>
  <c r="M800" i="3"/>
  <c r="U771" i="3"/>
  <c r="AQ780" i="3" s="1"/>
  <c r="AP780" i="3"/>
  <c r="AC810" i="3"/>
  <c r="AL773" i="3"/>
  <c r="AR773" i="3"/>
  <c r="AO773" i="3"/>
  <c r="AN773" i="3" s="1"/>
  <c r="S737" i="3"/>
  <c r="R737" i="3" s="1"/>
  <c r="P737" i="3"/>
  <c r="AI742" i="3"/>
  <c r="V737" i="3"/>
  <c r="M792" i="3"/>
  <c r="U793" i="3"/>
  <c r="AQ797" i="3" s="1"/>
  <c r="AP797" i="3"/>
  <c r="AP714" i="3"/>
  <c r="U709" i="3"/>
  <c r="AQ714" i="3" s="1"/>
  <c r="AE700" i="3"/>
  <c r="M691" i="3"/>
  <c r="AB702" i="3"/>
  <c r="AJ702" i="3" s="1"/>
  <c r="AJ696" i="3"/>
  <c r="AL719" i="3"/>
  <c r="AR719" i="3"/>
  <c r="AO719" i="3"/>
  <c r="AN719" i="3" s="1"/>
  <c r="AP727" i="3"/>
  <c r="U718" i="3"/>
  <c r="AQ727" i="3" s="1"/>
  <c r="S695" i="3"/>
  <c r="R695" i="3" s="1"/>
  <c r="P695" i="3"/>
  <c r="AI691" i="3"/>
  <c r="V695" i="3"/>
  <c r="P671" i="3"/>
  <c r="V671" i="3"/>
  <c r="S671" i="3"/>
  <c r="R671" i="3" s="1"/>
  <c r="AI656" i="3"/>
  <c r="M724" i="3"/>
  <c r="L699" i="3"/>
  <c r="M681" i="3"/>
  <c r="I699" i="3"/>
  <c r="AE696" i="3"/>
  <c r="AP646" i="3"/>
  <c r="U637" i="3"/>
  <c r="AQ646" i="3" s="1"/>
  <c r="AE647" i="3"/>
  <c r="M638" i="3"/>
  <c r="AE646" i="3"/>
  <c r="M637" i="3"/>
  <c r="M660" i="3"/>
  <c r="AP625" i="3"/>
  <c r="U633" i="3"/>
  <c r="AQ625" i="3" s="1"/>
  <c r="AC648" i="3"/>
  <c r="P614" i="3"/>
  <c r="V614" i="3"/>
  <c r="S614" i="3"/>
  <c r="R614" i="3" s="1"/>
  <c r="AI610" i="3"/>
  <c r="AJ588" i="3"/>
  <c r="AB594" i="3"/>
  <c r="AJ594" i="3" s="1"/>
  <c r="AE644" i="3"/>
  <c r="M635" i="3"/>
  <c r="AE564" i="3"/>
  <c r="M555" i="3"/>
  <c r="AP563" i="3"/>
  <c r="U554" i="3"/>
  <c r="AQ563" i="3" s="1"/>
  <c r="M562" i="3"/>
  <c r="AE547" i="3"/>
  <c r="P536" i="3"/>
  <c r="V536" i="3"/>
  <c r="AI521" i="3"/>
  <c r="S536" i="3"/>
  <c r="R536" i="3" s="1"/>
  <c r="AO555" i="3"/>
  <c r="AN555" i="3" s="1"/>
  <c r="AL555" i="3"/>
  <c r="AR555" i="3"/>
  <c r="M532" i="3"/>
  <c r="AE519" i="3"/>
  <c r="AB495" i="3"/>
  <c r="AJ495" i="3" s="1"/>
  <c r="AJ489" i="3"/>
  <c r="AI554" i="3"/>
  <c r="V550" i="3"/>
  <c r="S550" i="3"/>
  <c r="R550" i="3" s="1"/>
  <c r="P550" i="3"/>
  <c r="L537" i="3"/>
  <c r="P546" i="3"/>
  <c r="AI561" i="3"/>
  <c r="V546" i="3"/>
  <c r="S546" i="3"/>
  <c r="R546" i="3" s="1"/>
  <c r="U473" i="3"/>
  <c r="AQ482" i="3" s="1"/>
  <c r="AP482" i="3"/>
  <c r="V507" i="3"/>
  <c r="S507" i="3"/>
  <c r="R507" i="3" s="1"/>
  <c r="AI503" i="3"/>
  <c r="P507" i="3"/>
  <c r="U414" i="3"/>
  <c r="AQ427" i="3" s="1"/>
  <c r="AP427" i="3"/>
  <c r="AP485" i="3"/>
  <c r="U476" i="3"/>
  <c r="AQ485" i="3" s="1"/>
  <c r="AI446" i="3"/>
  <c r="V442" i="3"/>
  <c r="S442" i="3"/>
  <c r="R442" i="3" s="1"/>
  <c r="P442" i="3"/>
  <c r="U451" i="3"/>
  <c r="AQ438" i="3" s="1"/>
  <c r="AP438" i="3"/>
  <c r="AP417" i="3"/>
  <c r="AP423" i="3" s="1"/>
  <c r="AQ423" i="3" s="1"/>
  <c r="U412" i="3"/>
  <c r="AQ417" i="3" s="1"/>
  <c r="M418" i="3"/>
  <c r="U481" i="3"/>
  <c r="AQ466" i="3" s="1"/>
  <c r="AP466" i="3"/>
  <c r="AP468" i="3" s="1"/>
  <c r="AQ468" i="3" s="1"/>
  <c r="M419" i="3"/>
  <c r="AE428" i="3"/>
  <c r="AG513" i="3"/>
  <c r="AF405" i="3"/>
  <c r="M424" i="3"/>
  <c r="M394" i="3"/>
  <c r="AP365" i="3"/>
  <c r="U361" i="3"/>
  <c r="AQ365" i="3" s="1"/>
  <c r="AH423" i="3"/>
  <c r="M365" i="3"/>
  <c r="L375" i="3"/>
  <c r="AH372" i="3"/>
  <c r="I402" i="3"/>
  <c r="AE399" i="3"/>
  <c r="M384" i="3"/>
  <c r="U507" i="3"/>
  <c r="AQ503" i="3" s="1"/>
  <c r="AP503" i="3"/>
  <c r="AP340" i="3"/>
  <c r="U344" i="3"/>
  <c r="AQ340" i="3" s="1"/>
  <c r="M364" i="3"/>
  <c r="P450" i="3"/>
  <c r="V450" i="3"/>
  <c r="S450" i="3"/>
  <c r="R450" i="3" s="1"/>
  <c r="AI447" i="3"/>
  <c r="M387" i="3"/>
  <c r="AE400" i="3"/>
  <c r="AP328" i="3"/>
  <c r="U336" i="3"/>
  <c r="AQ328" i="3" s="1"/>
  <c r="AI345" i="3"/>
  <c r="P330" i="3"/>
  <c r="S330" i="3"/>
  <c r="R330" i="3" s="1"/>
  <c r="V330" i="3"/>
  <c r="AB342" i="3"/>
  <c r="AJ342" i="3" s="1"/>
  <c r="AB270" i="3"/>
  <c r="AJ270" i="3" s="1"/>
  <c r="AJ264" i="3"/>
  <c r="S249" i="3"/>
  <c r="R249" i="3" s="1"/>
  <c r="P249" i="3"/>
  <c r="AI264" i="3"/>
  <c r="V249" i="3"/>
  <c r="M204" i="3"/>
  <c r="AE213" i="3"/>
  <c r="AH450" i="3"/>
  <c r="AE347" i="3"/>
  <c r="M338" i="3"/>
  <c r="AP276" i="3"/>
  <c r="AP279" i="3" s="1"/>
  <c r="AQ279" i="3" s="1"/>
  <c r="U289" i="3"/>
  <c r="AQ276" i="3" s="1"/>
  <c r="AF342" i="3"/>
  <c r="AP319" i="3"/>
  <c r="U306" i="3"/>
  <c r="AQ319" i="3" s="1"/>
  <c r="S251" i="3"/>
  <c r="R251" i="3" s="1"/>
  <c r="P251" i="3"/>
  <c r="AI256" i="3"/>
  <c r="V251" i="3"/>
  <c r="AP212" i="3"/>
  <c r="U203" i="3"/>
  <c r="AQ212" i="3" s="1"/>
  <c r="M309" i="3"/>
  <c r="AE301" i="3"/>
  <c r="AL277" i="3"/>
  <c r="AR277" i="3"/>
  <c r="AO277" i="3"/>
  <c r="AN277" i="3" s="1"/>
  <c r="AL249" i="3"/>
  <c r="AR249" i="3"/>
  <c r="AO249" i="3"/>
  <c r="AN249" i="3" s="1"/>
  <c r="P306" i="3"/>
  <c r="AI319" i="3"/>
  <c r="V306" i="3"/>
  <c r="S306" i="3"/>
  <c r="R306" i="3" s="1"/>
  <c r="M278" i="3"/>
  <c r="AE283" i="3"/>
  <c r="M229" i="3"/>
  <c r="AE221" i="3"/>
  <c r="M201" i="3"/>
  <c r="AE193" i="3"/>
  <c r="AO366" i="3"/>
  <c r="AN366" i="3" s="1"/>
  <c r="AR366" i="3"/>
  <c r="AL366" i="3"/>
  <c r="S281" i="3"/>
  <c r="R281" i="3" s="1"/>
  <c r="P281" i="3"/>
  <c r="V281" i="3"/>
  <c r="AI273" i="3"/>
  <c r="M234" i="3"/>
  <c r="S197" i="3"/>
  <c r="R197" i="3" s="1"/>
  <c r="P197" i="3"/>
  <c r="AI202" i="3"/>
  <c r="V197" i="3"/>
  <c r="U150" i="3"/>
  <c r="AQ159" i="3" s="1"/>
  <c r="AP159" i="3"/>
  <c r="AP162" i="3" s="1"/>
  <c r="AQ162" i="3" s="1"/>
  <c r="AE131" i="3"/>
  <c r="M122" i="3"/>
  <c r="U96" i="3"/>
  <c r="AQ105" i="3" s="1"/>
  <c r="AP105" i="3"/>
  <c r="AP108" i="3" s="1"/>
  <c r="AQ108" i="3" s="1"/>
  <c r="AL305" i="3"/>
  <c r="AR305" i="3"/>
  <c r="AO305" i="3"/>
  <c r="AN305" i="3" s="1"/>
  <c r="AP258" i="3"/>
  <c r="U261" i="3"/>
  <c r="AQ258" i="3" s="1"/>
  <c r="M228" i="3"/>
  <c r="L213" i="3"/>
  <c r="AH210" i="3"/>
  <c r="AH216" i="3" s="1"/>
  <c r="AB162" i="3"/>
  <c r="AJ162" i="3" s="1"/>
  <c r="AJ156" i="3"/>
  <c r="AP93" i="3"/>
  <c r="U88" i="3"/>
  <c r="AQ93" i="3" s="1"/>
  <c r="T105" i="3"/>
  <c r="U105" i="3" s="1"/>
  <c r="M196" i="3"/>
  <c r="AE201" i="3"/>
  <c r="AP187" i="3"/>
  <c r="U178" i="3"/>
  <c r="AQ187" i="3" s="1"/>
  <c r="AP121" i="3"/>
  <c r="U116" i="3"/>
  <c r="AQ121" i="3" s="1"/>
  <c r="M91" i="3"/>
  <c r="AE95" i="3"/>
  <c r="AH76" i="3"/>
  <c r="M63" i="3"/>
  <c r="M18" i="3"/>
  <c r="AE15" i="3"/>
  <c r="I823" i="3"/>
  <c r="AP184" i="3"/>
  <c r="U171" i="3"/>
  <c r="AQ184" i="3" s="1"/>
  <c r="AP823" i="3"/>
  <c r="U818" i="3"/>
  <c r="AQ823" i="3" s="1"/>
  <c r="AF81" i="3"/>
  <c r="AB18" i="3"/>
  <c r="AJ18" i="3" s="1"/>
  <c r="AJ12" i="3"/>
  <c r="AJ831" i="2"/>
  <c r="AB837" i="2"/>
  <c r="AJ837" i="2" s="1"/>
  <c r="AC189" i="3"/>
  <c r="M99" i="3"/>
  <c r="AE96" i="3"/>
  <c r="U38" i="3"/>
  <c r="AQ30" i="3" s="1"/>
  <c r="AP30" i="3"/>
  <c r="U821" i="3"/>
  <c r="AQ813" i="3" s="1"/>
  <c r="AP813" i="3"/>
  <c r="AP822" i="3"/>
  <c r="U817" i="3"/>
  <c r="AQ822" i="3" s="1"/>
  <c r="M180" i="3"/>
  <c r="S144" i="3"/>
  <c r="R144" i="3" s="1"/>
  <c r="P144" i="3"/>
  <c r="AI157" i="3"/>
  <c r="V144" i="3"/>
  <c r="AL87" i="3"/>
  <c r="AR87" i="3"/>
  <c r="AO87" i="3"/>
  <c r="AN87" i="3" s="1"/>
  <c r="I105" i="3"/>
  <c r="AP25" i="3"/>
  <c r="U16" i="3"/>
  <c r="AQ25" i="3" s="1"/>
  <c r="L823" i="3"/>
  <c r="AH815" i="3" s="1"/>
  <c r="AF815" i="3"/>
  <c r="AP836" i="2"/>
  <c r="U827" i="2"/>
  <c r="AQ836" i="2" s="1"/>
  <c r="V184" i="3"/>
  <c r="S184" i="3"/>
  <c r="R184" i="3" s="1"/>
  <c r="AI169" i="3"/>
  <c r="P184" i="3"/>
  <c r="M123" i="3"/>
  <c r="N832" i="3"/>
  <c r="T832" i="3"/>
  <c r="AB817" i="3"/>
  <c r="AJ817" i="3" s="1"/>
  <c r="M819" i="2"/>
  <c r="AE832" i="2"/>
  <c r="AP752" i="2"/>
  <c r="U743" i="2"/>
  <c r="AQ752" i="2" s="1"/>
  <c r="M805" i="2"/>
  <c r="AE790" i="2"/>
  <c r="AC828" i="2"/>
  <c r="M8" i="3"/>
  <c r="AE13" i="3"/>
  <c r="T78" i="3"/>
  <c r="U78" i="3" s="1"/>
  <c r="AP75" i="3"/>
  <c r="U60" i="3"/>
  <c r="AQ75" i="3" s="1"/>
  <c r="AP42" i="3"/>
  <c r="U45" i="3"/>
  <c r="AQ42" i="3" s="1"/>
  <c r="S818" i="2"/>
  <c r="R818" i="2" s="1"/>
  <c r="P818" i="2"/>
  <c r="AI823" i="2"/>
  <c r="V818" i="2"/>
  <c r="AH729" i="2"/>
  <c r="S43" i="3"/>
  <c r="R43" i="3" s="1"/>
  <c r="P43" i="3"/>
  <c r="V43" i="3"/>
  <c r="AI52" i="3"/>
  <c r="L834" i="2"/>
  <c r="AH831" i="2"/>
  <c r="AH837" i="2" s="1"/>
  <c r="U798" i="2"/>
  <c r="AQ807" i="2" s="1"/>
  <c r="AP807" i="2"/>
  <c r="P806" i="2"/>
  <c r="V806" i="2"/>
  <c r="AI791" i="2"/>
  <c r="S806" i="2"/>
  <c r="R806" i="2" s="1"/>
  <c r="P790" i="2"/>
  <c r="AI795" i="2"/>
  <c r="V790" i="2"/>
  <c r="S790" i="2"/>
  <c r="R790" i="2" s="1"/>
  <c r="AI754" i="2"/>
  <c r="V745" i="2"/>
  <c r="S745" i="2"/>
  <c r="R745" i="2" s="1"/>
  <c r="P745" i="2"/>
  <c r="S721" i="2"/>
  <c r="R721" i="2" s="1"/>
  <c r="AI708" i="2"/>
  <c r="P721" i="2"/>
  <c r="V721" i="2"/>
  <c r="U713" i="2"/>
  <c r="AQ705" i="2" s="1"/>
  <c r="AP705" i="2"/>
  <c r="AH738" i="2"/>
  <c r="M719" i="2"/>
  <c r="AE728" i="2"/>
  <c r="AB720" i="2"/>
  <c r="AJ720" i="2" s="1"/>
  <c r="AJ714" i="2"/>
  <c r="AD675" i="2"/>
  <c r="S120" i="3"/>
  <c r="R120" i="3" s="1"/>
  <c r="P120" i="3"/>
  <c r="AI112" i="3"/>
  <c r="V120" i="3"/>
  <c r="M804" i="2"/>
  <c r="AE800" i="2"/>
  <c r="AE779" i="2"/>
  <c r="M770" i="2"/>
  <c r="I780" i="2"/>
  <c r="AI752" i="2"/>
  <c r="S743" i="2"/>
  <c r="R743" i="2" s="1"/>
  <c r="P743" i="2"/>
  <c r="V743" i="2"/>
  <c r="AP662" i="2"/>
  <c r="U658" i="2"/>
  <c r="AQ662" i="2" s="1"/>
  <c r="AP134" i="3"/>
  <c r="U125" i="3"/>
  <c r="AQ134" i="3" s="1"/>
  <c r="L780" i="2"/>
  <c r="M748" i="2"/>
  <c r="AE735" i="2"/>
  <c r="AB801" i="2"/>
  <c r="AJ801" i="2" s="1"/>
  <c r="S735" i="2"/>
  <c r="R735" i="2" s="1"/>
  <c r="P735" i="2"/>
  <c r="AI750" i="2"/>
  <c r="V735" i="2"/>
  <c r="AB702" i="2"/>
  <c r="AJ702" i="2" s="1"/>
  <c r="AJ696" i="2"/>
  <c r="AJ657" i="2"/>
  <c r="V630" i="2"/>
  <c r="P630" i="2"/>
  <c r="AI643" i="2"/>
  <c r="S630" i="2"/>
  <c r="R630" i="2" s="1"/>
  <c r="AB648" i="2"/>
  <c r="AJ648" i="2" s="1"/>
  <c r="U609" i="2"/>
  <c r="AQ618" i="2" s="1"/>
  <c r="AP618" i="2"/>
  <c r="AE557" i="2"/>
  <c r="M561" i="2"/>
  <c r="AE635" i="2"/>
  <c r="M631" i="2"/>
  <c r="U130" i="3"/>
  <c r="AQ115" i="3" s="1"/>
  <c r="AP115" i="3"/>
  <c r="AE661" i="2"/>
  <c r="M656" i="2"/>
  <c r="L51" i="3"/>
  <c r="AH48" i="3"/>
  <c r="AH54" i="3" s="1"/>
  <c r="V709" i="2"/>
  <c r="S709" i="2"/>
  <c r="R709" i="2" s="1"/>
  <c r="P709" i="2"/>
  <c r="AI714" i="2"/>
  <c r="U636" i="2"/>
  <c r="AQ645" i="2" s="1"/>
  <c r="AP645" i="2"/>
  <c r="AP529" i="2"/>
  <c r="U533" i="2"/>
  <c r="AQ529" i="2" s="1"/>
  <c r="AI726" i="2"/>
  <c r="S717" i="2"/>
  <c r="R717" i="2" s="1"/>
  <c r="P717" i="2"/>
  <c r="V717" i="2"/>
  <c r="P693" i="2"/>
  <c r="AI690" i="2"/>
  <c r="S693" i="2"/>
  <c r="R693" i="2" s="1"/>
  <c r="V693" i="2"/>
  <c r="AI593" i="2"/>
  <c r="V584" i="2"/>
  <c r="P584" i="2"/>
  <c r="S584" i="2"/>
  <c r="R584" i="2" s="1"/>
  <c r="M536" i="2"/>
  <c r="AP760" i="2"/>
  <c r="U768" i="2"/>
  <c r="AQ760" i="2" s="1"/>
  <c r="U338" i="2"/>
  <c r="AQ347" i="2" s="1"/>
  <c r="AP347" i="2"/>
  <c r="P688" i="2"/>
  <c r="AI680" i="2"/>
  <c r="V688" i="2"/>
  <c r="S688" i="2"/>
  <c r="R688" i="2" s="1"/>
  <c r="AO519" i="2"/>
  <c r="AN519" i="2" s="1"/>
  <c r="AL519" i="2"/>
  <c r="AR519" i="2"/>
  <c r="T591" i="2"/>
  <c r="U591" i="2" s="1"/>
  <c r="AP588" i="2"/>
  <c r="U573" i="2"/>
  <c r="AQ588" i="2" s="1"/>
  <c r="AP349" i="2"/>
  <c r="U340" i="2"/>
  <c r="AQ349" i="2" s="1"/>
  <c r="U291" i="2"/>
  <c r="AQ287" i="2" s="1"/>
  <c r="AP287" i="2"/>
  <c r="AP697" i="2"/>
  <c r="U684" i="2"/>
  <c r="AQ697" i="2" s="1"/>
  <c r="M581" i="2"/>
  <c r="L537" i="2"/>
  <c r="AH534" i="2"/>
  <c r="AH540" i="2" s="1"/>
  <c r="U473" i="2"/>
  <c r="AQ482" i="2" s="1"/>
  <c r="AP482" i="2"/>
  <c r="AP323" i="2"/>
  <c r="U314" i="2"/>
  <c r="AQ323" i="2" s="1"/>
  <c r="AB612" i="2"/>
  <c r="AJ612" i="2" s="1"/>
  <c r="S556" i="2"/>
  <c r="R556" i="2" s="1"/>
  <c r="P556" i="2"/>
  <c r="V556" i="2"/>
  <c r="AI565" i="2"/>
  <c r="V535" i="2"/>
  <c r="AI520" i="2"/>
  <c r="P535" i="2"/>
  <c r="S535" i="2"/>
  <c r="R535" i="2" s="1"/>
  <c r="M451" i="2"/>
  <c r="AE438" i="2"/>
  <c r="AL764" i="2"/>
  <c r="AR764" i="2"/>
  <c r="AO764" i="2"/>
  <c r="AN764" i="2" s="1"/>
  <c r="S528" i="2"/>
  <c r="R528" i="2" s="1"/>
  <c r="P528" i="2"/>
  <c r="V528" i="2"/>
  <c r="AI537" i="2"/>
  <c r="S472" i="2"/>
  <c r="R472" i="2" s="1"/>
  <c r="AI464" i="2"/>
  <c r="V472" i="2"/>
  <c r="P472" i="2"/>
  <c r="P500" i="2"/>
  <c r="AI509" i="2"/>
  <c r="S500" i="2"/>
  <c r="R500" i="2" s="1"/>
  <c r="V500" i="2"/>
  <c r="AI440" i="2"/>
  <c r="P455" i="2"/>
  <c r="V455" i="2"/>
  <c r="S455" i="2"/>
  <c r="R455" i="2" s="1"/>
  <c r="AH504" i="2"/>
  <c r="M416" i="2"/>
  <c r="AE408" i="2"/>
  <c r="AH495" i="2"/>
  <c r="V477" i="2"/>
  <c r="P477" i="2"/>
  <c r="S477" i="2"/>
  <c r="R477" i="2" s="1"/>
  <c r="AI474" i="2"/>
  <c r="N456" i="2"/>
  <c r="S444" i="2"/>
  <c r="R444" i="2" s="1"/>
  <c r="P444" i="2"/>
  <c r="V444" i="2"/>
  <c r="AI436" i="2"/>
  <c r="M424" i="2"/>
  <c r="AE411" i="2"/>
  <c r="M400" i="2"/>
  <c r="AE385" i="2"/>
  <c r="AE625" i="2"/>
  <c r="M633" i="2"/>
  <c r="M286" i="2"/>
  <c r="AE295" i="2"/>
  <c r="S256" i="2"/>
  <c r="R256" i="2" s="1"/>
  <c r="AI248" i="2"/>
  <c r="P256" i="2"/>
  <c r="V256" i="2"/>
  <c r="AE472" i="2"/>
  <c r="M467" i="2"/>
  <c r="M478" i="2"/>
  <c r="AE465" i="2"/>
  <c r="AI473" i="2"/>
  <c r="V469" i="2"/>
  <c r="S469" i="2"/>
  <c r="R469" i="2" s="1"/>
  <c r="P469" i="2"/>
  <c r="AL400" i="2"/>
  <c r="AR400" i="2"/>
  <c r="AO400" i="2"/>
  <c r="AN400" i="2" s="1"/>
  <c r="AB333" i="2"/>
  <c r="AJ333" i="2" s="1"/>
  <c r="AJ327" i="2"/>
  <c r="AR265" i="2"/>
  <c r="AO265" i="2"/>
  <c r="AN265" i="2" s="1"/>
  <c r="AL265" i="2"/>
  <c r="AI188" i="2"/>
  <c r="V179" i="2"/>
  <c r="S179" i="2"/>
  <c r="R179" i="2" s="1"/>
  <c r="P179" i="2"/>
  <c r="AB387" i="2"/>
  <c r="AJ387" i="2" s="1"/>
  <c r="AJ381" i="2"/>
  <c r="AC306" i="2"/>
  <c r="M199" i="2"/>
  <c r="AE203" i="2"/>
  <c r="T402" i="2"/>
  <c r="U402" i="2" s="1"/>
  <c r="AP399" i="2"/>
  <c r="AP405" i="2" s="1"/>
  <c r="AQ405" i="2" s="1"/>
  <c r="U384" i="2"/>
  <c r="AQ399" i="2" s="1"/>
  <c r="AP363" i="2"/>
  <c r="U358" i="2"/>
  <c r="AQ363" i="2" s="1"/>
  <c r="AH278" i="2"/>
  <c r="M293" i="2"/>
  <c r="AC252" i="2"/>
  <c r="AO412" i="2"/>
  <c r="AN412" i="2" s="1"/>
  <c r="AL412" i="2"/>
  <c r="AR412" i="2"/>
  <c r="N294" i="2"/>
  <c r="M258" i="2"/>
  <c r="AH267" i="2"/>
  <c r="U224" i="2"/>
  <c r="AQ229" i="2" s="1"/>
  <c r="AP229" i="2"/>
  <c r="AC108" i="2"/>
  <c r="AI401" i="2"/>
  <c r="P392" i="2"/>
  <c r="V392" i="2"/>
  <c r="S392" i="2"/>
  <c r="R392" i="2" s="1"/>
  <c r="M343" i="2"/>
  <c r="AE330" i="2"/>
  <c r="AP147" i="2"/>
  <c r="U142" i="2"/>
  <c r="AQ147" i="2" s="1"/>
  <c r="AH312" i="2"/>
  <c r="AH315" i="2" s="1"/>
  <c r="M315" i="2"/>
  <c r="AI286" i="2"/>
  <c r="S290" i="2"/>
  <c r="R290" i="2" s="1"/>
  <c r="P290" i="2"/>
  <c r="V290" i="2"/>
  <c r="M277" i="2"/>
  <c r="AE282" i="2"/>
  <c r="I294" i="2"/>
  <c r="AE201" i="2"/>
  <c r="M196" i="2"/>
  <c r="M213" i="2" s="1"/>
  <c r="M177" i="2"/>
  <c r="AE186" i="2"/>
  <c r="AP71" i="2"/>
  <c r="U75" i="2"/>
  <c r="AQ71" i="2" s="1"/>
  <c r="M235" i="2"/>
  <c r="AE222" i="2"/>
  <c r="AE225" i="2" s="1"/>
  <c r="AP142" i="2"/>
  <c r="U157" i="2"/>
  <c r="AQ142" i="2" s="1"/>
  <c r="AP107" i="2"/>
  <c r="U98" i="2"/>
  <c r="AQ107" i="2" s="1"/>
  <c r="U182" i="2"/>
  <c r="AQ178" i="2" s="1"/>
  <c r="AP178" i="2"/>
  <c r="AF162" i="2"/>
  <c r="S119" i="2"/>
  <c r="R119" i="2" s="1"/>
  <c r="P119" i="2"/>
  <c r="V119" i="2"/>
  <c r="AI111" i="2"/>
  <c r="M20" i="2"/>
  <c r="AE16" i="2"/>
  <c r="AH9" i="2"/>
  <c r="M843" i="2"/>
  <c r="AE858" i="2"/>
  <c r="AC423" i="2"/>
  <c r="AP858" i="2"/>
  <c r="U843" i="2"/>
  <c r="AQ858" i="2" s="1"/>
  <c r="AB405" i="2"/>
  <c r="AJ405" i="2" s="1"/>
  <c r="AB126" i="2"/>
  <c r="AJ126" i="2" s="1"/>
  <c r="S100" i="2"/>
  <c r="R100" i="2" s="1"/>
  <c r="AI87" i="2"/>
  <c r="P100" i="2"/>
  <c r="V100" i="2"/>
  <c r="AP78" i="2"/>
  <c r="U69" i="2"/>
  <c r="AQ78" i="2" s="1"/>
  <c r="I858" i="2"/>
  <c r="I853" i="2"/>
  <c r="AP4" i="2"/>
  <c r="U12" i="2"/>
  <c r="AQ4" i="2" s="1"/>
  <c r="E861" i="2"/>
  <c r="AL143" i="2"/>
  <c r="AR143" i="2"/>
  <c r="AO143" i="2"/>
  <c r="AN143" i="2" s="1"/>
  <c r="P121" i="2"/>
  <c r="AI113" i="2"/>
  <c r="V121" i="2"/>
  <c r="S121" i="2"/>
  <c r="R121" i="2" s="1"/>
  <c r="AB99" i="2"/>
  <c r="AJ99" i="2" s="1"/>
  <c r="N858" i="2"/>
  <c r="T858" i="2"/>
  <c r="AB854" i="2"/>
  <c r="AJ854" i="2" s="1"/>
  <c r="N850" i="2"/>
  <c r="T850" i="2"/>
  <c r="AB842" i="2"/>
  <c r="AJ842" i="2" s="1"/>
  <c r="T845" i="2"/>
  <c r="T861" i="2" s="1"/>
  <c r="U861" i="2" s="1"/>
  <c r="N845" i="2"/>
  <c r="AB850" i="2"/>
  <c r="AJ850" i="2" s="1"/>
  <c r="N186" i="2"/>
  <c r="AB90" i="2"/>
  <c r="AJ90" i="2" s="1"/>
  <c r="AB747" i="1"/>
  <c r="AJ747" i="1" s="1"/>
  <c r="AJ741" i="1"/>
  <c r="AL323" i="2"/>
  <c r="AO323" i="2"/>
  <c r="AN323" i="2" s="1"/>
  <c r="AR323" i="2"/>
  <c r="T78" i="2"/>
  <c r="U78" i="2" s="1"/>
  <c r="AP75" i="2"/>
  <c r="U60" i="2"/>
  <c r="AQ75" i="2" s="1"/>
  <c r="AP845" i="2"/>
  <c r="U860" i="2"/>
  <c r="AQ845" i="2" s="1"/>
  <c r="U852" i="2"/>
  <c r="AQ861" i="2" s="1"/>
  <c r="AP861" i="2"/>
  <c r="AC840" i="2"/>
  <c r="I848" i="2"/>
  <c r="AP770" i="1"/>
  <c r="AP774" i="1" s="1"/>
  <c r="AQ774" i="1" s="1"/>
  <c r="U766" i="1"/>
  <c r="AQ770" i="1" s="1"/>
  <c r="AP706" i="1"/>
  <c r="U714" i="1"/>
  <c r="AQ706" i="1" s="1"/>
  <c r="AH261" i="2"/>
  <c r="T240" i="2"/>
  <c r="U240" i="2" s="1"/>
  <c r="AP237" i="2"/>
  <c r="U222" i="2"/>
  <c r="AQ237" i="2" s="1"/>
  <c r="N213" i="2"/>
  <c r="P170" i="2"/>
  <c r="AI175" i="2"/>
  <c r="V170" i="2"/>
  <c r="S170" i="2"/>
  <c r="R170" i="2" s="1"/>
  <c r="S143" i="2"/>
  <c r="R143" i="2" s="1"/>
  <c r="P143" i="2"/>
  <c r="AI148" i="2"/>
  <c r="V143" i="2"/>
  <c r="AF27" i="2"/>
  <c r="AP509" i="1"/>
  <c r="U500" i="1"/>
  <c r="AQ509" i="1" s="1"/>
  <c r="AO769" i="1"/>
  <c r="AN769" i="1" s="1"/>
  <c r="AL769" i="1"/>
  <c r="AR769" i="1"/>
  <c r="S747" i="1"/>
  <c r="R747" i="1" s="1"/>
  <c r="P747" i="1"/>
  <c r="AI744" i="1"/>
  <c r="V747" i="1"/>
  <c r="S741" i="1"/>
  <c r="R741" i="1" s="1"/>
  <c r="P741" i="1"/>
  <c r="AI733" i="1"/>
  <c r="V741" i="1"/>
  <c r="AE454" i="1"/>
  <c r="M441" i="1"/>
  <c r="M9" i="2"/>
  <c r="AE22" i="2"/>
  <c r="P803" i="1"/>
  <c r="AI799" i="1"/>
  <c r="V803" i="1"/>
  <c r="S803" i="1"/>
  <c r="R803" i="1" s="1"/>
  <c r="M766" i="1"/>
  <c r="AE770" i="1"/>
  <c r="M717" i="1"/>
  <c r="AE726" i="1"/>
  <c r="M693" i="1"/>
  <c r="AA846" i="2"/>
  <c r="AD828" i="1"/>
  <c r="V776" i="1"/>
  <c r="S776" i="1"/>
  <c r="R776" i="1" s="1"/>
  <c r="P776" i="1"/>
  <c r="AI772" i="1"/>
  <c r="L699" i="1"/>
  <c r="AH696" i="1"/>
  <c r="AH702" i="1" s="1"/>
  <c r="AD675" i="1"/>
  <c r="M656" i="1"/>
  <c r="AE661" i="1"/>
  <c r="AP647" i="1"/>
  <c r="U638" i="1"/>
  <c r="AQ647" i="1" s="1"/>
  <c r="AD621" i="1"/>
  <c r="AD459" i="1"/>
  <c r="M22" i="2"/>
  <c r="AE7" i="2"/>
  <c r="L807" i="1"/>
  <c r="AF612" i="1"/>
  <c r="AP501" i="1"/>
  <c r="U504" i="1"/>
  <c r="AQ501" i="1" s="1"/>
  <c r="AP440" i="1"/>
  <c r="U455" i="1"/>
  <c r="AQ440" i="1" s="1"/>
  <c r="V769" i="1"/>
  <c r="S769" i="1"/>
  <c r="R769" i="1" s="1"/>
  <c r="P769" i="1"/>
  <c r="AI761" i="1"/>
  <c r="M724" i="1"/>
  <c r="U697" i="1"/>
  <c r="AQ682" i="1" s="1"/>
  <c r="AP682" i="1"/>
  <c r="AB693" i="1"/>
  <c r="AJ693" i="1" s="1"/>
  <c r="S654" i="1"/>
  <c r="R654" i="1" s="1"/>
  <c r="P654" i="1"/>
  <c r="V654" i="1"/>
  <c r="AI669" i="1"/>
  <c r="AB621" i="1"/>
  <c r="AJ621" i="1" s="1"/>
  <c r="AJ615" i="1"/>
  <c r="S600" i="1"/>
  <c r="R600" i="1" s="1"/>
  <c r="P600" i="1"/>
  <c r="AI615" i="1"/>
  <c r="V600" i="1"/>
  <c r="AP552" i="1"/>
  <c r="U547" i="1"/>
  <c r="AQ552" i="1" s="1"/>
  <c r="U497" i="1"/>
  <c r="AQ489" i="1" s="1"/>
  <c r="AP489" i="1"/>
  <c r="AP436" i="1"/>
  <c r="U444" i="1"/>
  <c r="AQ436" i="1" s="1"/>
  <c r="M36" i="2"/>
  <c r="S575" i="1"/>
  <c r="R575" i="1" s="1"/>
  <c r="P575" i="1"/>
  <c r="AI580" i="1"/>
  <c r="V575" i="1"/>
  <c r="S495" i="1"/>
  <c r="R495" i="1" s="1"/>
  <c r="P495" i="1"/>
  <c r="AI508" i="1"/>
  <c r="V495" i="1"/>
  <c r="AH486" i="1"/>
  <c r="AB558" i="1"/>
  <c r="AJ558" i="1" s="1"/>
  <c r="M465" i="1"/>
  <c r="I483" i="1"/>
  <c r="AE480" i="1"/>
  <c r="L672" i="1"/>
  <c r="AP511" i="1"/>
  <c r="U502" i="1"/>
  <c r="AQ511" i="1" s="1"/>
  <c r="M665" i="1"/>
  <c r="P658" i="1"/>
  <c r="AI662" i="1"/>
  <c r="V658" i="1"/>
  <c r="S658" i="1"/>
  <c r="R658" i="1" s="1"/>
  <c r="P605" i="1"/>
  <c r="V605" i="1"/>
  <c r="AI597" i="1"/>
  <c r="S605" i="1"/>
  <c r="R605" i="1" s="1"/>
  <c r="M508" i="1"/>
  <c r="M480" i="1"/>
  <c r="M789" i="1"/>
  <c r="I807" i="1"/>
  <c r="AE804" i="1"/>
  <c r="M588" i="1"/>
  <c r="AI565" i="1"/>
  <c r="V556" i="1"/>
  <c r="S556" i="1"/>
  <c r="R556" i="1" s="1"/>
  <c r="P556" i="1"/>
  <c r="P450" i="1"/>
  <c r="AI447" i="1"/>
  <c r="V450" i="1"/>
  <c r="S450" i="1"/>
  <c r="R450" i="1" s="1"/>
  <c r="AG378" i="1"/>
  <c r="AG216" i="1"/>
  <c r="V831" i="1"/>
  <c r="S831" i="1"/>
  <c r="R831" i="1" s="1"/>
  <c r="AI827" i="1"/>
  <c r="P831" i="1"/>
  <c r="M629" i="1"/>
  <c r="AL575" i="1"/>
  <c r="AR575" i="1"/>
  <c r="AO575" i="1"/>
  <c r="AN575" i="1" s="1"/>
  <c r="AI537" i="1"/>
  <c r="S528" i="1"/>
  <c r="R528" i="1" s="1"/>
  <c r="P528" i="1"/>
  <c r="V528" i="1"/>
  <c r="P498" i="1"/>
  <c r="AI490" i="1"/>
  <c r="V498" i="1"/>
  <c r="S498" i="1"/>
  <c r="R498" i="1" s="1"/>
  <c r="AP448" i="1"/>
  <c r="U452" i="1"/>
  <c r="AQ448" i="1" s="1"/>
  <c r="M825" i="1"/>
  <c r="AE834" i="1"/>
  <c r="AI635" i="1"/>
  <c r="V631" i="1"/>
  <c r="S631" i="1"/>
  <c r="R631" i="1" s="1"/>
  <c r="P631" i="1"/>
  <c r="AP585" i="1"/>
  <c r="AQ585" i="1" s="1"/>
  <c r="AE558" i="1"/>
  <c r="AP411" i="1"/>
  <c r="U424" i="1"/>
  <c r="AQ411" i="1" s="1"/>
  <c r="S415" i="1"/>
  <c r="R415" i="1" s="1"/>
  <c r="P415" i="1"/>
  <c r="AI419" i="1"/>
  <c r="V415" i="1"/>
  <c r="L402" i="1"/>
  <c r="AH399" i="1"/>
  <c r="AH405" i="1" s="1"/>
  <c r="AP376" i="1"/>
  <c r="U367" i="1"/>
  <c r="AQ376" i="1" s="1"/>
  <c r="AP314" i="1"/>
  <c r="U318" i="1"/>
  <c r="AQ314" i="1" s="1"/>
  <c r="S307" i="1"/>
  <c r="R307" i="1" s="1"/>
  <c r="P307" i="1"/>
  <c r="AI311" i="1"/>
  <c r="V307" i="1"/>
  <c r="AP248" i="1"/>
  <c r="U256" i="1"/>
  <c r="AQ248" i="1" s="1"/>
  <c r="L240" i="1"/>
  <c r="AH237" i="1"/>
  <c r="AB333" i="1"/>
  <c r="AJ333" i="1" s="1"/>
  <c r="AJ327" i="1"/>
  <c r="AI305" i="1"/>
  <c r="P320" i="1"/>
  <c r="V320" i="1"/>
  <c r="S320" i="1"/>
  <c r="R320" i="1" s="1"/>
  <c r="AC270" i="1"/>
  <c r="AC862" i="1"/>
  <c r="I853" i="1"/>
  <c r="AF849" i="1"/>
  <c r="L844" i="1"/>
  <c r="AH849" i="1" s="1"/>
  <c r="AI619" i="1"/>
  <c r="V610" i="1"/>
  <c r="S610" i="1"/>
  <c r="R610" i="1" s="1"/>
  <c r="P610" i="1"/>
  <c r="N267" i="1"/>
  <c r="AI195" i="1"/>
  <c r="V208" i="1"/>
  <c r="S208" i="1"/>
  <c r="R208" i="1" s="1"/>
  <c r="P208" i="1"/>
  <c r="V419" i="1"/>
  <c r="AI428" i="1"/>
  <c r="S419" i="1"/>
  <c r="R419" i="1" s="1"/>
  <c r="P419" i="1"/>
  <c r="AO349" i="1"/>
  <c r="AN349" i="1" s="1"/>
  <c r="AL349" i="1"/>
  <c r="AR349" i="1"/>
  <c r="S304" i="1"/>
  <c r="R304" i="1" s="1"/>
  <c r="P304" i="1"/>
  <c r="AI309" i="1"/>
  <c r="V304" i="1"/>
  <c r="M232" i="1"/>
  <c r="AH241" i="1"/>
  <c r="P199" i="1"/>
  <c r="AI203" i="1"/>
  <c r="V199" i="1"/>
  <c r="S199" i="1"/>
  <c r="R199" i="1" s="1"/>
  <c r="AD855" i="1"/>
  <c r="S562" i="1"/>
  <c r="R562" i="1" s="1"/>
  <c r="AI547" i="1"/>
  <c r="P562" i="1"/>
  <c r="V562" i="1"/>
  <c r="AB180" i="1"/>
  <c r="AJ180" i="1" s="1"/>
  <c r="AJ174" i="1"/>
  <c r="AC840" i="1"/>
  <c r="I848" i="1"/>
  <c r="N848" i="1"/>
  <c r="T848" i="1"/>
  <c r="AB840" i="1"/>
  <c r="AI473" i="1"/>
  <c r="V469" i="1"/>
  <c r="S469" i="1"/>
  <c r="R469" i="1" s="1"/>
  <c r="P469" i="1"/>
  <c r="V289" i="1"/>
  <c r="S289" i="1"/>
  <c r="R289" i="1" s="1"/>
  <c r="AI276" i="1"/>
  <c r="P289" i="1"/>
  <c r="L267" i="1"/>
  <c r="AB198" i="1"/>
  <c r="AJ198" i="1" s="1"/>
  <c r="U92" i="1"/>
  <c r="AQ84" i="1" s="1"/>
  <c r="AP84" i="1"/>
  <c r="U38" i="1"/>
  <c r="AQ30" i="1" s="1"/>
  <c r="AP30" i="1"/>
  <c r="AP851" i="1"/>
  <c r="U847" i="1"/>
  <c r="AQ851" i="1" s="1"/>
  <c r="M454" i="1"/>
  <c r="P371" i="1"/>
  <c r="AI367" i="1"/>
  <c r="V371" i="1"/>
  <c r="S371" i="1"/>
  <c r="R371" i="1" s="1"/>
  <c r="AB324" i="1"/>
  <c r="AJ324" i="1" s="1"/>
  <c r="S198" i="1"/>
  <c r="R198" i="1" s="1"/>
  <c r="P198" i="1"/>
  <c r="AI211" i="1"/>
  <c r="V198" i="1"/>
  <c r="U178" i="1"/>
  <c r="AQ187" i="1" s="1"/>
  <c r="AP187" i="1"/>
  <c r="S169" i="1"/>
  <c r="R169" i="1" s="1"/>
  <c r="P169" i="1"/>
  <c r="AI174" i="1"/>
  <c r="V169" i="1"/>
  <c r="AP133" i="1"/>
  <c r="U124" i="1"/>
  <c r="AQ133" i="1" s="1"/>
  <c r="AP79" i="1"/>
  <c r="U70" i="1"/>
  <c r="AQ79" i="1" s="1"/>
  <c r="S61" i="1"/>
  <c r="R61" i="1" s="1"/>
  <c r="P61" i="1"/>
  <c r="AI66" i="1"/>
  <c r="V61" i="1"/>
  <c r="I859" i="1"/>
  <c r="AC844" i="1"/>
  <c r="S12" i="1"/>
  <c r="R12" i="1" s="1"/>
  <c r="P12" i="1"/>
  <c r="AI4" i="1"/>
  <c r="V12" i="1"/>
  <c r="AA855" i="1"/>
  <c r="S603" i="1"/>
  <c r="R603" i="1" s="1"/>
  <c r="P603" i="1"/>
  <c r="AI616" i="1"/>
  <c r="V603" i="1"/>
  <c r="M305" i="1"/>
  <c r="AE310" i="1"/>
  <c r="AE231" i="1"/>
  <c r="M234" i="1"/>
  <c r="AE228" i="1"/>
  <c r="AE234" i="1" s="1"/>
  <c r="M223" i="1"/>
  <c r="AP142" i="1"/>
  <c r="AP144" i="1" s="1"/>
  <c r="AQ144" i="1" s="1"/>
  <c r="U157" i="1"/>
  <c r="AQ142" i="1" s="1"/>
  <c r="AP50" i="1"/>
  <c r="U41" i="1"/>
  <c r="AQ50" i="1" s="1"/>
  <c r="AB99" i="1"/>
  <c r="AJ99" i="1" s="1"/>
  <c r="M16" i="1"/>
  <c r="AE25" i="1"/>
  <c r="AP150" i="1"/>
  <c r="AP153" i="1" s="1"/>
  <c r="AQ153" i="1" s="1"/>
  <c r="U153" i="1"/>
  <c r="AQ150" i="1" s="1"/>
  <c r="AJ24" i="1"/>
  <c r="M126" i="1"/>
  <c r="AI88" i="1"/>
  <c r="P103" i="1"/>
  <c r="V103" i="1"/>
  <c r="S103" i="1"/>
  <c r="R103" i="1" s="1"/>
  <c r="AL131" i="1"/>
  <c r="AR131" i="1"/>
  <c r="AO131" i="1"/>
  <c r="AN131" i="1" s="1"/>
  <c r="AO355" i="1"/>
  <c r="AN355" i="1" s="1"/>
  <c r="AL355" i="1"/>
  <c r="AR355" i="1"/>
  <c r="AJ183" i="1"/>
  <c r="AB189" i="1"/>
  <c r="AJ131" i="1"/>
  <c r="M13" i="1"/>
  <c r="AI377" i="1"/>
  <c r="S368" i="1"/>
  <c r="R368" i="1" s="1"/>
  <c r="P368" i="1"/>
  <c r="V368" i="1"/>
  <c r="AB9" i="1"/>
  <c r="AJ9" i="1" s="1"/>
  <c r="P121" i="1"/>
  <c r="AI113" i="1"/>
  <c r="V121" i="1"/>
  <c r="S121" i="1"/>
  <c r="R121" i="1" s="1"/>
  <c r="M364" i="1"/>
  <c r="AE356" i="1"/>
  <c r="AE360" i="1" s="1"/>
  <c r="AH126" i="1"/>
  <c r="U50" i="1"/>
  <c r="AQ35" i="1" s="1"/>
  <c r="AP35" i="1"/>
  <c r="M39" i="1"/>
  <c r="AE31" i="1"/>
  <c r="M21" i="1"/>
  <c r="P473" i="2"/>
  <c r="V473" i="2"/>
  <c r="AI482" i="2"/>
  <c r="S473" i="2"/>
  <c r="R473" i="2" s="1"/>
  <c r="M92" i="1"/>
  <c r="AE84" i="1"/>
  <c r="S155" i="1"/>
  <c r="R155" i="1" s="1"/>
  <c r="P155" i="1"/>
  <c r="AI151" i="1"/>
  <c r="V155" i="1"/>
  <c r="M88" i="1"/>
  <c r="AE93" i="1"/>
  <c r="AP809" i="3"/>
  <c r="U800" i="3"/>
  <c r="AQ809" i="3" s="1"/>
  <c r="AE797" i="3"/>
  <c r="M793" i="3"/>
  <c r="L780" i="3"/>
  <c r="AH777" i="3"/>
  <c r="AH783" i="3" s="1"/>
  <c r="I780" i="3"/>
  <c r="AE777" i="3"/>
  <c r="M762" i="3"/>
  <c r="T753" i="3"/>
  <c r="U753" i="3" s="1"/>
  <c r="AP750" i="3"/>
  <c r="U735" i="3"/>
  <c r="AQ750" i="3" s="1"/>
  <c r="U752" i="3"/>
  <c r="AQ737" i="3" s="1"/>
  <c r="AP737" i="3"/>
  <c r="M771" i="3"/>
  <c r="AE780" i="3"/>
  <c r="P738" i="3"/>
  <c r="AI751" i="3"/>
  <c r="V738" i="3"/>
  <c r="S738" i="3"/>
  <c r="R738" i="3" s="1"/>
  <c r="V747" i="3"/>
  <c r="S747" i="3"/>
  <c r="R747" i="3" s="1"/>
  <c r="P747" i="3"/>
  <c r="AI744" i="3"/>
  <c r="AB729" i="3"/>
  <c r="AJ729" i="3" s="1"/>
  <c r="AJ723" i="3"/>
  <c r="AB720" i="3"/>
  <c r="AJ720" i="3" s="1"/>
  <c r="P712" i="3"/>
  <c r="AI716" i="3"/>
  <c r="V712" i="3"/>
  <c r="S712" i="3"/>
  <c r="R712" i="3" s="1"/>
  <c r="M690" i="3"/>
  <c r="AE699" i="3"/>
  <c r="U721" i="3"/>
  <c r="AQ708" i="3" s="1"/>
  <c r="AP708" i="3"/>
  <c r="AP718" i="3"/>
  <c r="U722" i="3"/>
  <c r="AQ718" i="3" s="1"/>
  <c r="AF702" i="3"/>
  <c r="S688" i="3"/>
  <c r="R688" i="3" s="1"/>
  <c r="P688" i="3"/>
  <c r="AI680" i="3"/>
  <c r="V688" i="3"/>
  <c r="AR678" i="3"/>
  <c r="AO678" i="3"/>
  <c r="AN678" i="3" s="1"/>
  <c r="AL678" i="3"/>
  <c r="AE674" i="3"/>
  <c r="M665" i="3"/>
  <c r="S693" i="3"/>
  <c r="R693" i="3" s="1"/>
  <c r="P693" i="3"/>
  <c r="AI690" i="3"/>
  <c r="V693" i="3"/>
  <c r="I672" i="3"/>
  <c r="AP617" i="3"/>
  <c r="AP621" i="3" s="1"/>
  <c r="AQ621" i="3" s="1"/>
  <c r="U608" i="3"/>
  <c r="AQ617" i="3" s="1"/>
  <c r="M644" i="3"/>
  <c r="AH629" i="3"/>
  <c r="P659" i="3"/>
  <c r="V659" i="3"/>
  <c r="AI651" i="3"/>
  <c r="S659" i="3"/>
  <c r="R659" i="3" s="1"/>
  <c r="M642" i="3"/>
  <c r="AE638" i="3"/>
  <c r="M697" i="3"/>
  <c r="AE682" i="3"/>
  <c r="AE684" i="3" s="1"/>
  <c r="U602" i="3"/>
  <c r="AQ607" i="3" s="1"/>
  <c r="AP607" i="3"/>
  <c r="AE553" i="3"/>
  <c r="M548" i="3"/>
  <c r="P578" i="3"/>
  <c r="AI570" i="3"/>
  <c r="V578" i="3"/>
  <c r="S578" i="3"/>
  <c r="R578" i="3" s="1"/>
  <c r="U588" i="3"/>
  <c r="AQ584" i="3" s="1"/>
  <c r="AP584" i="3"/>
  <c r="AP580" i="3"/>
  <c r="U575" i="3"/>
  <c r="AQ580" i="3" s="1"/>
  <c r="P575" i="3"/>
  <c r="S575" i="3"/>
  <c r="R575" i="3" s="1"/>
  <c r="AI580" i="3"/>
  <c r="V575" i="3"/>
  <c r="M547" i="3"/>
  <c r="AE552" i="3"/>
  <c r="AE558" i="3" s="1"/>
  <c r="AP583" i="3"/>
  <c r="U587" i="3"/>
  <c r="AQ583" i="3" s="1"/>
  <c r="AE563" i="3"/>
  <c r="M554" i="3"/>
  <c r="AI536" i="3"/>
  <c r="P527" i="3"/>
  <c r="V527" i="3"/>
  <c r="S527" i="3"/>
  <c r="R527" i="3" s="1"/>
  <c r="P530" i="3"/>
  <c r="AI539" i="3"/>
  <c r="V530" i="3"/>
  <c r="S530" i="3"/>
  <c r="R530" i="3" s="1"/>
  <c r="P586" i="3"/>
  <c r="V586" i="3"/>
  <c r="AI573" i="3"/>
  <c r="S586" i="3"/>
  <c r="R586" i="3" s="1"/>
  <c r="S535" i="3"/>
  <c r="R535" i="3" s="1"/>
  <c r="AI520" i="3"/>
  <c r="P535" i="3"/>
  <c r="V535" i="3"/>
  <c r="P580" i="3"/>
  <c r="V580" i="3"/>
  <c r="S580" i="3"/>
  <c r="R580" i="3" s="1"/>
  <c r="AI572" i="3"/>
  <c r="AH567" i="3"/>
  <c r="U528" i="3"/>
  <c r="AQ537" i="3" s="1"/>
  <c r="AP537" i="3"/>
  <c r="AE510" i="3"/>
  <c r="M501" i="3"/>
  <c r="P531" i="3"/>
  <c r="V531" i="3"/>
  <c r="S531" i="3"/>
  <c r="R531" i="3" s="1"/>
  <c r="AI528" i="3"/>
  <c r="AH477" i="3"/>
  <c r="AP499" i="3"/>
  <c r="U494" i="3"/>
  <c r="AQ499" i="3" s="1"/>
  <c r="P498" i="3"/>
  <c r="V498" i="3"/>
  <c r="S498" i="3"/>
  <c r="R498" i="3" s="1"/>
  <c r="AI490" i="3"/>
  <c r="AI636" i="3"/>
  <c r="V639" i="3"/>
  <c r="S639" i="3"/>
  <c r="R639" i="3" s="1"/>
  <c r="P639" i="3"/>
  <c r="V499" i="3"/>
  <c r="S499" i="3"/>
  <c r="R499" i="3" s="1"/>
  <c r="P499" i="3"/>
  <c r="AI491" i="3"/>
  <c r="AG486" i="3"/>
  <c r="AP447" i="3"/>
  <c r="U450" i="3"/>
  <c r="AQ447" i="3" s="1"/>
  <c r="M472" i="3"/>
  <c r="AE464" i="3"/>
  <c r="T402" i="3"/>
  <c r="U402" i="3" s="1"/>
  <c r="AP399" i="3"/>
  <c r="U384" i="3"/>
  <c r="AQ399" i="3" s="1"/>
  <c r="AF486" i="3"/>
  <c r="AI457" i="3"/>
  <c r="S448" i="3"/>
  <c r="R448" i="3" s="1"/>
  <c r="V448" i="3"/>
  <c r="P448" i="3"/>
  <c r="P373" i="3"/>
  <c r="V373" i="3"/>
  <c r="AI358" i="3"/>
  <c r="S373" i="3"/>
  <c r="R373" i="3" s="1"/>
  <c r="AP368" i="3"/>
  <c r="U372" i="3"/>
  <c r="AQ368" i="3" s="1"/>
  <c r="AC405" i="3"/>
  <c r="M500" i="3"/>
  <c r="S359" i="3"/>
  <c r="R359" i="3" s="1"/>
  <c r="P359" i="3"/>
  <c r="V359" i="3"/>
  <c r="AI364" i="3"/>
  <c r="U343" i="3"/>
  <c r="AQ330" i="3" s="1"/>
  <c r="AP330" i="3"/>
  <c r="P396" i="3"/>
  <c r="AI393" i="3"/>
  <c r="S396" i="3"/>
  <c r="R396" i="3" s="1"/>
  <c r="V396" i="3"/>
  <c r="M391" i="3"/>
  <c r="AE383" i="3"/>
  <c r="P347" i="3"/>
  <c r="V347" i="3"/>
  <c r="AI332" i="3"/>
  <c r="S347" i="3"/>
  <c r="R347" i="3" s="1"/>
  <c r="U335" i="3"/>
  <c r="AQ327" i="3" s="1"/>
  <c r="AP327" i="3"/>
  <c r="AH351" i="3"/>
  <c r="AE321" i="3"/>
  <c r="AE324" i="3" s="1"/>
  <c r="M312" i="3"/>
  <c r="M258" i="3"/>
  <c r="AE267" i="3"/>
  <c r="M336" i="3"/>
  <c r="AP221" i="3"/>
  <c r="U229" i="3"/>
  <c r="AQ221" i="3" s="1"/>
  <c r="AB387" i="3"/>
  <c r="AJ387" i="3" s="1"/>
  <c r="M340" i="3"/>
  <c r="AE349" i="3"/>
  <c r="AH342" i="3"/>
  <c r="S305" i="3"/>
  <c r="R305" i="3" s="1"/>
  <c r="P305" i="3"/>
  <c r="AI310" i="3"/>
  <c r="V305" i="3"/>
  <c r="M291" i="3"/>
  <c r="AE287" i="3"/>
  <c r="AP250" i="3"/>
  <c r="U265" i="3"/>
  <c r="AQ250" i="3" s="1"/>
  <c r="AP211" i="3"/>
  <c r="U198" i="3"/>
  <c r="AQ211" i="3" s="1"/>
  <c r="M308" i="3"/>
  <c r="AE300" i="3"/>
  <c r="AO242" i="3"/>
  <c r="AN242" i="3" s="1"/>
  <c r="AL242" i="3"/>
  <c r="AR242" i="3"/>
  <c r="AH288" i="3"/>
  <c r="P198" i="3"/>
  <c r="AI211" i="3"/>
  <c r="V198" i="3"/>
  <c r="S198" i="3"/>
  <c r="R198" i="3" s="1"/>
  <c r="AC315" i="3"/>
  <c r="V261" i="3"/>
  <c r="S261" i="3"/>
  <c r="R261" i="3" s="1"/>
  <c r="P261" i="3"/>
  <c r="AI258" i="3"/>
  <c r="V207" i="3"/>
  <c r="S207" i="3"/>
  <c r="R207" i="3" s="1"/>
  <c r="P207" i="3"/>
  <c r="AI204" i="3"/>
  <c r="AE279" i="3"/>
  <c r="V266" i="3"/>
  <c r="S266" i="3"/>
  <c r="R266" i="3" s="1"/>
  <c r="AI251" i="3"/>
  <c r="P266" i="3"/>
  <c r="V212" i="3"/>
  <c r="S212" i="3"/>
  <c r="R212" i="3" s="1"/>
  <c r="AI197" i="3"/>
  <c r="P212" i="3"/>
  <c r="AE185" i="3"/>
  <c r="M176" i="3"/>
  <c r="AI158" i="3"/>
  <c r="S149" i="3"/>
  <c r="R149" i="3" s="1"/>
  <c r="P149" i="3"/>
  <c r="V149" i="3"/>
  <c r="AB126" i="3"/>
  <c r="AJ126" i="3" s="1"/>
  <c r="AJ120" i="3"/>
  <c r="AI104" i="3"/>
  <c r="S95" i="3"/>
  <c r="R95" i="3" s="1"/>
  <c r="P95" i="3"/>
  <c r="V95" i="3"/>
  <c r="AB261" i="3"/>
  <c r="AJ261" i="3" s="1"/>
  <c r="L267" i="3"/>
  <c r="AH264" i="3"/>
  <c r="AH270" i="3" s="1"/>
  <c r="U212" i="3"/>
  <c r="AQ197" i="3" s="1"/>
  <c r="AP197" i="3"/>
  <c r="AF216" i="3"/>
  <c r="AJ148" i="3"/>
  <c r="AB153" i="3"/>
  <c r="AJ153" i="3" s="1"/>
  <c r="S310" i="3"/>
  <c r="R310" i="3" s="1"/>
  <c r="P310" i="3"/>
  <c r="AI302" i="3"/>
  <c r="V310" i="3"/>
  <c r="V238" i="3"/>
  <c r="S238" i="3"/>
  <c r="R238" i="3" s="1"/>
  <c r="AI223" i="3"/>
  <c r="P238" i="3"/>
  <c r="M195" i="3"/>
  <c r="AP125" i="3"/>
  <c r="U129" i="3"/>
  <c r="AQ125" i="3" s="1"/>
  <c r="AH7" i="3"/>
  <c r="M22" i="3"/>
  <c r="AH26" i="3"/>
  <c r="M17" i="3"/>
  <c r="AE823" i="3"/>
  <c r="M818" i="3"/>
  <c r="AI168" i="3"/>
  <c r="P181" i="3"/>
  <c r="V181" i="3"/>
  <c r="S181" i="3"/>
  <c r="R181" i="3" s="1"/>
  <c r="AH189" i="3"/>
  <c r="P129" i="3"/>
  <c r="V129" i="3"/>
  <c r="AI125" i="3"/>
  <c r="S129" i="3"/>
  <c r="R129" i="3" s="1"/>
  <c r="AJ823" i="3"/>
  <c r="P116" i="3"/>
  <c r="AI121" i="3"/>
  <c r="V116" i="3"/>
  <c r="S116" i="3"/>
  <c r="R116" i="3" s="1"/>
  <c r="AO106" i="3"/>
  <c r="AN106" i="3" s="1"/>
  <c r="AL106" i="3"/>
  <c r="AR106" i="3"/>
  <c r="I825" i="3"/>
  <c r="AC834" i="3"/>
  <c r="U9" i="3"/>
  <c r="AQ22" i="3" s="1"/>
  <c r="AP22" i="3"/>
  <c r="AL98" i="3"/>
  <c r="AR98" i="3"/>
  <c r="AO98" i="3"/>
  <c r="AN98" i="3" s="1"/>
  <c r="AB818" i="3"/>
  <c r="AJ818" i="3" s="1"/>
  <c r="T833" i="3"/>
  <c r="N833" i="3"/>
  <c r="I822" i="3"/>
  <c r="AC814" i="3"/>
  <c r="M178" i="3"/>
  <c r="AO97" i="3"/>
  <c r="AN97" i="3" s="1"/>
  <c r="AL97" i="3"/>
  <c r="AR97" i="3"/>
  <c r="M93" i="3"/>
  <c r="AE85" i="3"/>
  <c r="AI80" i="3"/>
  <c r="V71" i="3"/>
  <c r="S71" i="3"/>
  <c r="R71" i="3" s="1"/>
  <c r="P71" i="3"/>
  <c r="M50" i="3"/>
  <c r="AE35" i="3"/>
  <c r="AP41" i="3"/>
  <c r="U37" i="3"/>
  <c r="AQ41" i="3" s="1"/>
  <c r="S11" i="3"/>
  <c r="R11" i="3" s="1"/>
  <c r="P11" i="3"/>
  <c r="V11" i="3"/>
  <c r="AI3" i="3"/>
  <c r="S7" i="3"/>
  <c r="R7" i="3" s="1"/>
  <c r="P7" i="3"/>
  <c r="AI12" i="3"/>
  <c r="V7" i="3"/>
  <c r="S33" i="3"/>
  <c r="R33" i="3" s="1"/>
  <c r="P33" i="3"/>
  <c r="AI48" i="3"/>
  <c r="V33" i="3"/>
  <c r="M710" i="2"/>
  <c r="AE715" i="2"/>
  <c r="AE720" i="2" s="1"/>
  <c r="S40" i="3"/>
  <c r="R40" i="3" s="1"/>
  <c r="P40" i="3"/>
  <c r="AI32" i="3"/>
  <c r="V40" i="3"/>
  <c r="M751" i="2"/>
  <c r="AE736" i="2"/>
  <c r="M150" i="3"/>
  <c r="AE159" i="3"/>
  <c r="AE162" i="3" s="1"/>
  <c r="AB45" i="3"/>
  <c r="AJ45" i="3" s="1"/>
  <c r="M817" i="2"/>
  <c r="AE822" i="2"/>
  <c r="AE828" i="2" s="1"/>
  <c r="AJ777" i="2"/>
  <c r="AB783" i="2"/>
  <c r="AJ783" i="2" s="1"/>
  <c r="AJ723" i="2"/>
  <c r="AB729" i="2"/>
  <c r="AJ729" i="2" s="1"/>
  <c r="AJ75" i="3"/>
  <c r="AB81" i="3"/>
  <c r="AJ81" i="3" s="1"/>
  <c r="AP728" i="2"/>
  <c r="U719" i="2"/>
  <c r="AQ728" i="2" s="1"/>
  <c r="M822" i="2"/>
  <c r="AE814" i="2"/>
  <c r="M49" i="3"/>
  <c r="U821" i="2"/>
  <c r="AQ813" i="2" s="1"/>
  <c r="AP813" i="2"/>
  <c r="AP754" i="2"/>
  <c r="U745" i="2"/>
  <c r="AQ754" i="2" s="1"/>
  <c r="AJ705" i="2"/>
  <c r="AB711" i="2"/>
  <c r="AJ711" i="2" s="1"/>
  <c r="AO770" i="2"/>
  <c r="AN770" i="2" s="1"/>
  <c r="AL770" i="2"/>
  <c r="AR770" i="2"/>
  <c r="AF738" i="2"/>
  <c r="U709" i="2"/>
  <c r="AQ714" i="2" s="1"/>
  <c r="AP714" i="2"/>
  <c r="AP720" i="2" s="1"/>
  <c r="AQ720" i="2" s="1"/>
  <c r="P794" i="2"/>
  <c r="V794" i="2"/>
  <c r="AI786" i="2"/>
  <c r="S794" i="2"/>
  <c r="R794" i="2" s="1"/>
  <c r="M696" i="2"/>
  <c r="AE692" i="2"/>
  <c r="AP660" i="2"/>
  <c r="AP666" i="2" s="1"/>
  <c r="AQ666" i="2" s="1"/>
  <c r="U655" i="2"/>
  <c r="AQ660" i="2" s="1"/>
  <c r="AP598" i="2"/>
  <c r="U606" i="2"/>
  <c r="AQ598" i="2" s="1"/>
  <c r="AI788" i="2"/>
  <c r="V796" i="2"/>
  <c r="S796" i="2"/>
  <c r="R796" i="2" s="1"/>
  <c r="P796" i="2"/>
  <c r="S776" i="2"/>
  <c r="R776" i="2" s="1"/>
  <c r="P776" i="2"/>
  <c r="AI772" i="2"/>
  <c r="V776" i="2"/>
  <c r="AI724" i="2"/>
  <c r="V711" i="2"/>
  <c r="S711" i="2"/>
  <c r="R711" i="2" s="1"/>
  <c r="P711" i="2"/>
  <c r="P798" i="2"/>
  <c r="V798" i="2"/>
  <c r="AI807" i="2"/>
  <c r="S798" i="2"/>
  <c r="R798" i="2" s="1"/>
  <c r="M799" i="2"/>
  <c r="AE808" i="2"/>
  <c r="AE810" i="2" s="1"/>
  <c r="AL710" i="2"/>
  <c r="AR710" i="2"/>
  <c r="AO710" i="2"/>
  <c r="AN710" i="2" s="1"/>
  <c r="AJ642" i="2"/>
  <c r="AP590" i="2"/>
  <c r="U581" i="2"/>
  <c r="AQ590" i="2" s="1"/>
  <c r="M12" i="3"/>
  <c r="M795" i="2"/>
  <c r="AE664" i="2"/>
  <c r="M668" i="2"/>
  <c r="M559" i="2"/>
  <c r="AE546" i="2"/>
  <c r="AF825" i="3"/>
  <c r="L828" i="3"/>
  <c r="AH825" i="3" s="1"/>
  <c r="P587" i="2"/>
  <c r="AI583" i="2"/>
  <c r="V587" i="2"/>
  <c r="S587" i="2"/>
  <c r="R587" i="2" s="1"/>
  <c r="M667" i="2"/>
  <c r="AE654" i="2"/>
  <c r="AE607" i="2"/>
  <c r="M602" i="2"/>
  <c r="AF54" i="3"/>
  <c r="M671" i="2"/>
  <c r="AH630" i="2"/>
  <c r="AP519" i="2"/>
  <c r="U532" i="2"/>
  <c r="AQ519" i="2" s="1"/>
  <c r="AB810" i="2"/>
  <c r="AP745" i="2"/>
  <c r="U749" i="2"/>
  <c r="AQ745" i="2" s="1"/>
  <c r="M555" i="2"/>
  <c r="AE564" i="2"/>
  <c r="M550" i="2"/>
  <c r="AE554" i="2"/>
  <c r="P533" i="2"/>
  <c r="AI529" i="2"/>
  <c r="S533" i="2"/>
  <c r="R533" i="2" s="1"/>
  <c r="V533" i="2"/>
  <c r="U446" i="2"/>
  <c r="AQ455" i="2" s="1"/>
  <c r="AP455" i="2"/>
  <c r="AP459" i="2" s="1"/>
  <c r="AQ459" i="2" s="1"/>
  <c r="T618" i="2"/>
  <c r="U618" i="2" s="1"/>
  <c r="U600" i="2"/>
  <c r="AQ615" i="2" s="1"/>
  <c r="AP615" i="2"/>
  <c r="AP621" i="2" s="1"/>
  <c r="AQ621" i="2" s="1"/>
  <c r="I699" i="2"/>
  <c r="M681" i="2"/>
  <c r="AE696" i="2"/>
  <c r="N591" i="2"/>
  <c r="U527" i="2"/>
  <c r="AQ536" i="2" s="1"/>
  <c r="AP536" i="2"/>
  <c r="AP329" i="2"/>
  <c r="U337" i="2"/>
  <c r="AQ329" i="2" s="1"/>
  <c r="AP286" i="2"/>
  <c r="U290" i="2"/>
  <c r="AQ286" i="2" s="1"/>
  <c r="AB522" i="2"/>
  <c r="AJ522" i="2" s="1"/>
  <c r="I510" i="2"/>
  <c r="AE507" i="2"/>
  <c r="M492" i="2"/>
  <c r="AD351" i="2"/>
  <c r="U311" i="2"/>
  <c r="AQ320" i="2" s="1"/>
  <c r="AP320" i="2"/>
  <c r="AJ266" i="2"/>
  <c r="AL331" i="2"/>
  <c r="AO331" i="2"/>
  <c r="AN331" i="2" s="1"/>
  <c r="AR331" i="2"/>
  <c r="S578" i="2"/>
  <c r="R578" i="2" s="1"/>
  <c r="P578" i="2"/>
  <c r="AI570" i="2"/>
  <c r="V578" i="2"/>
  <c r="AI493" i="2"/>
  <c r="P508" i="2"/>
  <c r="S508" i="2"/>
  <c r="R508" i="2" s="1"/>
  <c r="V508" i="2"/>
  <c r="AH456" i="2"/>
  <c r="M447" i="2"/>
  <c r="M605" i="2"/>
  <c r="AE597" i="2"/>
  <c r="M551" i="2"/>
  <c r="AE543" i="2"/>
  <c r="AH522" i="2"/>
  <c r="AC477" i="2"/>
  <c r="AO439" i="2"/>
  <c r="AN439" i="2" s="1"/>
  <c r="AC414" i="2"/>
  <c r="AH396" i="2"/>
  <c r="M345" i="2"/>
  <c r="AE341" i="2"/>
  <c r="M659" i="2"/>
  <c r="AE651" i="2"/>
  <c r="AE657" i="2" s="1"/>
  <c r="N510" i="2"/>
  <c r="AE499" i="2"/>
  <c r="M494" i="2"/>
  <c r="M370" i="2"/>
  <c r="AE357" i="2"/>
  <c r="P357" i="2"/>
  <c r="AI372" i="2"/>
  <c r="V357" i="2"/>
  <c r="S357" i="2"/>
  <c r="R357" i="2" s="1"/>
  <c r="L348" i="2"/>
  <c r="V482" i="2"/>
  <c r="AI467" i="2"/>
  <c r="P482" i="2"/>
  <c r="S482" i="2"/>
  <c r="R482" i="2" s="1"/>
  <c r="M443" i="2"/>
  <c r="I591" i="2"/>
  <c r="AE588" i="2"/>
  <c r="AE594" i="2" s="1"/>
  <c r="M573" i="2"/>
  <c r="M399" i="2"/>
  <c r="AE395" i="2"/>
  <c r="P333" i="2"/>
  <c r="AI346" i="2"/>
  <c r="S333" i="2"/>
  <c r="R333" i="2" s="1"/>
  <c r="V333" i="2"/>
  <c r="P265" i="2"/>
  <c r="AI250" i="2"/>
  <c r="S265" i="2"/>
  <c r="R265" i="2" s="1"/>
  <c r="V265" i="2"/>
  <c r="AI196" i="2"/>
  <c r="V211" i="2"/>
  <c r="S211" i="2"/>
  <c r="R211" i="2" s="1"/>
  <c r="P211" i="2"/>
  <c r="AP355" i="2"/>
  <c r="U363" i="2"/>
  <c r="AQ355" i="2" s="1"/>
  <c r="AP273" i="2"/>
  <c r="U281" i="2"/>
  <c r="AQ273" i="2" s="1"/>
  <c r="AB261" i="2"/>
  <c r="AJ261" i="2" s="1"/>
  <c r="AJ255" i="2"/>
  <c r="AE176" i="2"/>
  <c r="M172" i="2"/>
  <c r="N402" i="2"/>
  <c r="AE247" i="2"/>
  <c r="M255" i="2"/>
  <c r="AH237" i="2"/>
  <c r="L240" i="2"/>
  <c r="M372" i="2"/>
  <c r="AE368" i="2"/>
  <c r="AC315" i="2"/>
  <c r="AB297" i="2"/>
  <c r="AJ297" i="2" s="1"/>
  <c r="AJ291" i="2"/>
  <c r="AC162" i="2"/>
  <c r="AE430" i="2"/>
  <c r="AE432" i="2" s="1"/>
  <c r="M421" i="2"/>
  <c r="AP247" i="2"/>
  <c r="AP252" i="2" s="1"/>
  <c r="AQ252" i="2" s="1"/>
  <c r="U255" i="2"/>
  <c r="AQ247" i="2" s="1"/>
  <c r="AF243" i="2"/>
  <c r="AE192" i="2"/>
  <c r="M200" i="2"/>
  <c r="AB108" i="2"/>
  <c r="AJ108" i="2" s="1"/>
  <c r="AJ102" i="2"/>
  <c r="AH294" i="2"/>
  <c r="M285" i="2"/>
  <c r="U236" i="2"/>
  <c r="AQ232" i="2" s="1"/>
  <c r="AP232" i="2"/>
  <c r="AP113" i="2"/>
  <c r="U121" i="2"/>
  <c r="AQ113" i="2" s="1"/>
  <c r="AP70" i="2"/>
  <c r="U74" i="2"/>
  <c r="AQ70" i="2" s="1"/>
  <c r="L402" i="2"/>
  <c r="AH399" i="2"/>
  <c r="AE237" i="2"/>
  <c r="AE243" i="2" s="1"/>
  <c r="M222" i="2"/>
  <c r="I240" i="2"/>
  <c r="AP161" i="2"/>
  <c r="U152" i="2"/>
  <c r="AQ161" i="2" s="1"/>
  <c r="AP104" i="2"/>
  <c r="U95" i="2"/>
  <c r="AQ104" i="2" s="1"/>
  <c r="M92" i="2"/>
  <c r="AE84" i="2"/>
  <c r="M19" i="2"/>
  <c r="AE6" i="2"/>
  <c r="U851" i="2"/>
  <c r="AQ860" i="2" s="1"/>
  <c r="AP860" i="2"/>
  <c r="M412" i="2"/>
  <c r="AE417" i="2"/>
  <c r="I429" i="2"/>
  <c r="AP210" i="2"/>
  <c r="AP216" i="2" s="1"/>
  <c r="AQ216" i="2" s="1"/>
  <c r="T213" i="2"/>
  <c r="U213" i="2" s="1"/>
  <c r="U195" i="2"/>
  <c r="AQ210" i="2" s="1"/>
  <c r="M93" i="2"/>
  <c r="AE85" i="2"/>
  <c r="AI220" i="2"/>
  <c r="V228" i="2"/>
  <c r="S228" i="2"/>
  <c r="R228" i="2" s="1"/>
  <c r="P228" i="2"/>
  <c r="M198" i="2"/>
  <c r="M146" i="2"/>
  <c r="AE138" i="2"/>
  <c r="AE144" i="2" s="1"/>
  <c r="T132" i="2"/>
  <c r="U132" i="2" s="1"/>
  <c r="AP129" i="2"/>
  <c r="U114" i="2"/>
  <c r="AQ129" i="2" s="1"/>
  <c r="M147" i="2"/>
  <c r="AE139" i="2"/>
  <c r="P73" i="2"/>
  <c r="S73" i="2"/>
  <c r="R73" i="2" s="1"/>
  <c r="AI60" i="2"/>
  <c r="V73" i="2"/>
  <c r="AB862" i="2"/>
  <c r="T853" i="2"/>
  <c r="N853" i="2"/>
  <c r="AJ862" i="2" s="1"/>
  <c r="AD18" i="2"/>
  <c r="AE12" i="2"/>
  <c r="M7" i="2"/>
  <c r="U184" i="2"/>
  <c r="AQ169" i="2" s="1"/>
  <c r="AP169" i="2"/>
  <c r="AP183" i="2"/>
  <c r="U168" i="2"/>
  <c r="AQ183" i="2" s="1"/>
  <c r="T186" i="2"/>
  <c r="U186" i="2" s="1"/>
  <c r="AB153" i="2"/>
  <c r="AJ153" i="2" s="1"/>
  <c r="S94" i="2"/>
  <c r="R94" i="2" s="1"/>
  <c r="P94" i="2"/>
  <c r="AI86" i="2"/>
  <c r="V94" i="2"/>
  <c r="L854" i="2"/>
  <c r="AH863" i="2" s="1"/>
  <c r="L846" i="2"/>
  <c r="AH859" i="2" s="1"/>
  <c r="T753" i="1"/>
  <c r="U753" i="1" s="1"/>
  <c r="AP750" i="1"/>
  <c r="U735" i="1"/>
  <c r="AQ750" i="1" s="1"/>
  <c r="AF720" i="1"/>
  <c r="M182" i="2"/>
  <c r="AC851" i="2"/>
  <c r="I847" i="2"/>
  <c r="U713" i="1"/>
  <c r="AQ705" i="1" s="1"/>
  <c r="AP705" i="1"/>
  <c r="AB216" i="2"/>
  <c r="AJ216" i="2" s="1"/>
  <c r="AJ210" i="2"/>
  <c r="AL131" i="2"/>
  <c r="AR131" i="2"/>
  <c r="AO131" i="2"/>
  <c r="AN131" i="2" s="1"/>
  <c r="AP96" i="2"/>
  <c r="U99" i="2"/>
  <c r="AQ96" i="2" s="1"/>
  <c r="AJ840" i="2"/>
  <c r="U688" i="1"/>
  <c r="AQ680" i="1" s="1"/>
  <c r="AP680" i="1"/>
  <c r="P39" i="2"/>
  <c r="AI31" i="2"/>
  <c r="V39" i="2"/>
  <c r="S39" i="2"/>
  <c r="R39" i="2" s="1"/>
  <c r="AP455" i="1"/>
  <c r="U446" i="1"/>
  <c r="AQ455" i="1" s="1"/>
  <c r="M91" i="2"/>
  <c r="AE95" i="2"/>
  <c r="L853" i="2"/>
  <c r="AH862" i="2" s="1"/>
  <c r="AF862" i="2"/>
  <c r="S832" i="1"/>
  <c r="R832" i="1" s="1"/>
  <c r="AI817" i="1"/>
  <c r="P832" i="1"/>
  <c r="V832" i="1"/>
  <c r="M779" i="1"/>
  <c r="AE764" i="1"/>
  <c r="M712" i="1"/>
  <c r="AE716" i="1"/>
  <c r="AF585" i="1"/>
  <c r="AC859" i="2"/>
  <c r="AC864" i="2" s="1"/>
  <c r="I846" i="2"/>
  <c r="AO823" i="1"/>
  <c r="AN823" i="1" s="1"/>
  <c r="AL823" i="1"/>
  <c r="AR823" i="1"/>
  <c r="U797" i="1"/>
  <c r="AQ806" i="1" s="1"/>
  <c r="AP806" i="1"/>
  <c r="AL762" i="1"/>
  <c r="AR762" i="1"/>
  <c r="AO762" i="1"/>
  <c r="AN762" i="1" s="1"/>
  <c r="AB738" i="1"/>
  <c r="AJ738" i="1" s="1"/>
  <c r="AJ480" i="1"/>
  <c r="AB486" i="1"/>
  <c r="AJ486" i="1" s="1"/>
  <c r="AE729" i="1"/>
  <c r="AE471" i="1"/>
  <c r="AE477" i="1" s="1"/>
  <c r="M466" i="1"/>
  <c r="P75" i="2"/>
  <c r="S75" i="2"/>
  <c r="R75" i="2" s="1"/>
  <c r="V75" i="2"/>
  <c r="AI71" i="2"/>
  <c r="M768" i="1"/>
  <c r="AE760" i="1"/>
  <c r="V738" i="1"/>
  <c r="S738" i="1"/>
  <c r="R738" i="1" s="1"/>
  <c r="P738" i="1"/>
  <c r="AI751" i="1"/>
  <c r="M669" i="1"/>
  <c r="AE665" i="1"/>
  <c r="AH666" i="1"/>
  <c r="S637" i="1"/>
  <c r="R637" i="1" s="1"/>
  <c r="P637" i="1"/>
  <c r="AI646" i="1"/>
  <c r="V637" i="1"/>
  <c r="U589" i="1"/>
  <c r="AQ574" i="1" s="1"/>
  <c r="AP574" i="1"/>
  <c r="AA234" i="2"/>
  <c r="AE813" i="1"/>
  <c r="M821" i="1"/>
  <c r="AP751" i="1"/>
  <c r="U738" i="1"/>
  <c r="AQ751" i="1" s="1"/>
  <c r="AB585" i="1"/>
  <c r="AJ585" i="1" s="1"/>
  <c r="AJ579" i="1"/>
  <c r="AF558" i="1"/>
  <c r="AB531" i="1"/>
  <c r="AJ531" i="1" s="1"/>
  <c r="AJ525" i="1"/>
  <c r="V65" i="2"/>
  <c r="AI57" i="2"/>
  <c r="S65" i="2"/>
  <c r="R65" i="2" s="1"/>
  <c r="P65" i="2"/>
  <c r="M45" i="2"/>
  <c r="AE42" i="2"/>
  <c r="V722" i="1"/>
  <c r="S722" i="1"/>
  <c r="R722" i="1" s="1"/>
  <c r="P722" i="1"/>
  <c r="AI718" i="1"/>
  <c r="I699" i="1"/>
  <c r="AE696" i="1"/>
  <c r="M681" i="1"/>
  <c r="AE672" i="1"/>
  <c r="M663" i="1"/>
  <c r="AB567" i="1"/>
  <c r="AJ567" i="1" s="1"/>
  <c r="AJ561" i="1"/>
  <c r="S546" i="1"/>
  <c r="R546" i="1" s="1"/>
  <c r="P546" i="1"/>
  <c r="V546" i="1"/>
  <c r="AI561" i="1"/>
  <c r="AP500" i="1"/>
  <c r="U496" i="1"/>
  <c r="AQ500" i="1" s="1"/>
  <c r="U443" i="1"/>
  <c r="AQ435" i="1" s="1"/>
  <c r="AP435" i="1"/>
  <c r="S670" i="1"/>
  <c r="R670" i="1" s="1"/>
  <c r="AI655" i="1"/>
  <c r="P670" i="1"/>
  <c r="V670" i="1"/>
  <c r="U615" i="1"/>
  <c r="AQ611" i="1" s="1"/>
  <c r="AP611" i="1"/>
  <c r="M584" i="1"/>
  <c r="AE593" i="1"/>
  <c r="AP553" i="1"/>
  <c r="U548" i="1"/>
  <c r="AQ553" i="1" s="1"/>
  <c r="U505" i="1"/>
  <c r="AQ492" i="1" s="1"/>
  <c r="AP492" i="1"/>
  <c r="L483" i="1"/>
  <c r="U46" i="2"/>
  <c r="AQ33" i="2" s="1"/>
  <c r="AP33" i="2"/>
  <c r="AP36" i="2" s="1"/>
  <c r="AQ36" i="2" s="1"/>
  <c r="U743" i="1"/>
  <c r="AQ752" i="1" s="1"/>
  <c r="AP752" i="1"/>
  <c r="M655" i="1"/>
  <c r="AP502" i="1"/>
  <c r="U506" i="1"/>
  <c r="AQ502" i="1" s="1"/>
  <c r="V47" i="2"/>
  <c r="S47" i="2"/>
  <c r="R47" i="2" s="1"/>
  <c r="P47" i="2"/>
  <c r="AI43" i="2"/>
  <c r="S639" i="1"/>
  <c r="R639" i="1" s="1"/>
  <c r="P639" i="1"/>
  <c r="AI636" i="1"/>
  <c r="V639" i="1"/>
  <c r="M534" i="1"/>
  <c r="T564" i="1"/>
  <c r="U564" i="1" s="1"/>
  <c r="M479" i="1"/>
  <c r="AB387" i="1"/>
  <c r="AJ387" i="1" s="1"/>
  <c r="AJ381" i="1"/>
  <c r="AC810" i="1"/>
  <c r="M630" i="1"/>
  <c r="AE643" i="1"/>
  <c r="M587" i="1"/>
  <c r="M521" i="1"/>
  <c r="P455" i="1"/>
  <c r="V455" i="1"/>
  <c r="S455" i="1"/>
  <c r="R455" i="1" s="1"/>
  <c r="AI440" i="1"/>
  <c r="U401" i="1"/>
  <c r="AQ386" i="1" s="1"/>
  <c r="AP386" i="1"/>
  <c r="U667" i="1"/>
  <c r="AQ654" i="1" s="1"/>
  <c r="AP654" i="1"/>
  <c r="P497" i="1"/>
  <c r="V497" i="1"/>
  <c r="AI489" i="1"/>
  <c r="S497" i="1"/>
  <c r="R497" i="1" s="1"/>
  <c r="M475" i="1"/>
  <c r="AB405" i="1"/>
  <c r="AJ405" i="1" s="1"/>
  <c r="AJ399" i="1"/>
  <c r="V615" i="1"/>
  <c r="S615" i="1"/>
  <c r="R615" i="1" s="1"/>
  <c r="AI611" i="1"/>
  <c r="P615" i="1"/>
  <c r="P547" i="1"/>
  <c r="AI552" i="1"/>
  <c r="V547" i="1"/>
  <c r="S547" i="1"/>
  <c r="R547" i="1" s="1"/>
  <c r="AP445" i="1"/>
  <c r="U440" i="1"/>
  <c r="AQ445" i="1" s="1"/>
  <c r="AP313" i="1"/>
  <c r="U317" i="1"/>
  <c r="AQ313" i="1" s="1"/>
  <c r="AP310" i="1"/>
  <c r="AP315" i="1" s="1"/>
  <c r="AQ315" i="1" s="1"/>
  <c r="U305" i="1"/>
  <c r="AQ310" i="1" s="1"/>
  <c r="AI246" i="1"/>
  <c r="S254" i="1"/>
  <c r="R254" i="1" s="1"/>
  <c r="P254" i="1"/>
  <c r="V254" i="1"/>
  <c r="AP610" i="1"/>
  <c r="U614" i="1"/>
  <c r="AQ610" i="1" s="1"/>
  <c r="AP338" i="1"/>
  <c r="U334" i="1"/>
  <c r="AQ338" i="1" s="1"/>
  <c r="P276" i="1"/>
  <c r="AI291" i="1"/>
  <c r="V276" i="1"/>
  <c r="S276" i="1"/>
  <c r="R276" i="1" s="1"/>
  <c r="M233" i="1"/>
  <c r="AE242" i="1"/>
  <c r="AE213" i="1"/>
  <c r="M204" i="1"/>
  <c r="I858" i="1"/>
  <c r="AC854" i="1"/>
  <c r="AP853" i="1"/>
  <c r="U857" i="1"/>
  <c r="AQ853" i="1" s="1"/>
  <c r="L618" i="1"/>
  <c r="AP377" i="1"/>
  <c r="U368" i="1"/>
  <c r="AQ377" i="1" s="1"/>
  <c r="AI322" i="1"/>
  <c r="V313" i="1"/>
  <c r="S313" i="1"/>
  <c r="R313" i="1" s="1"/>
  <c r="P313" i="1"/>
  <c r="AP282" i="1"/>
  <c r="U277" i="1"/>
  <c r="AQ282" i="1" s="1"/>
  <c r="M207" i="1"/>
  <c r="AO337" i="1"/>
  <c r="AN337" i="1" s="1"/>
  <c r="AL337" i="1"/>
  <c r="AR337" i="1"/>
  <c r="P258" i="1"/>
  <c r="V258" i="1"/>
  <c r="AI267" i="1"/>
  <c r="S258" i="1"/>
  <c r="R258" i="1" s="1"/>
  <c r="M318" i="1"/>
  <c r="AE314" i="1"/>
  <c r="AC851" i="1"/>
  <c r="I847" i="1"/>
  <c r="T844" i="1"/>
  <c r="N844" i="1"/>
  <c r="AB849" i="1"/>
  <c r="V264" i="1"/>
  <c r="S264" i="1"/>
  <c r="R264" i="1" s="1"/>
  <c r="P264" i="1"/>
  <c r="AI260" i="1"/>
  <c r="AB162" i="1"/>
  <c r="AJ162" i="1" s="1"/>
  <c r="AJ156" i="1"/>
  <c r="AP95" i="1"/>
  <c r="U91" i="1"/>
  <c r="AQ95" i="1" s="1"/>
  <c r="AP41" i="1"/>
  <c r="U37" i="1"/>
  <c r="AQ41" i="1" s="1"/>
  <c r="AP427" i="1"/>
  <c r="U414" i="1"/>
  <c r="AQ427" i="1" s="1"/>
  <c r="AB216" i="1"/>
  <c r="AJ216" i="1" s="1"/>
  <c r="AC863" i="1"/>
  <c r="I854" i="1"/>
  <c r="H861" i="1"/>
  <c r="AD858" i="1"/>
  <c r="AD864" i="1" s="1"/>
  <c r="M401" i="1"/>
  <c r="AE386" i="1"/>
  <c r="AE187" i="1"/>
  <c r="M178" i="1"/>
  <c r="AP103" i="1"/>
  <c r="AP108" i="1" s="1"/>
  <c r="AQ108" i="1" s="1"/>
  <c r="U90" i="1"/>
  <c r="AQ103" i="1" s="1"/>
  <c r="N846" i="1"/>
  <c r="AB859" i="1"/>
  <c r="AJ859" i="1" s="1"/>
  <c r="T846" i="1"/>
  <c r="AI34" i="1"/>
  <c r="P49" i="1"/>
  <c r="V49" i="1"/>
  <c r="S49" i="1"/>
  <c r="R49" i="1" s="1"/>
  <c r="AJ15" i="1"/>
  <c r="AB850" i="1"/>
  <c r="AJ850" i="1" s="1"/>
  <c r="T845" i="1"/>
  <c r="N845" i="1"/>
  <c r="M145" i="1"/>
  <c r="AE149" i="1"/>
  <c r="M282" i="1"/>
  <c r="AE274" i="1"/>
  <c r="AB477" i="2"/>
  <c r="AJ477" i="2" s="1"/>
  <c r="V45" i="1"/>
  <c r="S45" i="1"/>
  <c r="R45" i="1" s="1"/>
  <c r="P45" i="1"/>
  <c r="AI42" i="1"/>
  <c r="N186" i="1"/>
  <c r="V130" i="1"/>
  <c r="S130" i="1"/>
  <c r="R130" i="1" s="1"/>
  <c r="AI115" i="1"/>
  <c r="P130" i="1"/>
  <c r="S101" i="1"/>
  <c r="R101" i="1" s="1"/>
  <c r="P101" i="1"/>
  <c r="AI97" i="1"/>
  <c r="V101" i="1"/>
  <c r="V42" i="1"/>
  <c r="AI51" i="1"/>
  <c r="S42" i="1"/>
  <c r="R42" i="1" s="1"/>
  <c r="P42" i="1"/>
  <c r="L860" i="1"/>
  <c r="AH845" i="1" s="1"/>
  <c r="AF845" i="1"/>
  <c r="M359" i="1"/>
  <c r="AE364" i="1"/>
  <c r="AE369" i="1" s="1"/>
  <c r="P175" i="1"/>
  <c r="AI167" i="1"/>
  <c r="V175" i="1"/>
  <c r="S175" i="1"/>
  <c r="R175" i="1" s="1"/>
  <c r="AO247" i="1"/>
  <c r="AN247" i="1" s="1"/>
  <c r="AL247" i="1"/>
  <c r="AR247" i="1"/>
  <c r="L132" i="1"/>
  <c r="L105" i="1"/>
  <c r="AH102" i="1"/>
  <c r="AH108" i="1" s="1"/>
  <c r="U42" i="1"/>
  <c r="AQ51" i="1" s="1"/>
  <c r="AP51" i="1"/>
  <c r="M8" i="1"/>
  <c r="V153" i="1"/>
  <c r="S153" i="1"/>
  <c r="R153" i="1" s="1"/>
  <c r="P153" i="1"/>
  <c r="AI150" i="1"/>
  <c r="AI134" i="1"/>
  <c r="V125" i="1"/>
  <c r="S125" i="1"/>
  <c r="R125" i="1" s="1"/>
  <c r="P125" i="1"/>
  <c r="P62" i="1"/>
  <c r="AI67" i="1"/>
  <c r="V62" i="1"/>
  <c r="S62" i="1"/>
  <c r="R62" i="1" s="1"/>
  <c r="M38" i="1"/>
  <c r="AE30" i="1"/>
  <c r="AE36" i="1" s="1"/>
  <c r="AC90" i="1"/>
  <c r="V343" i="1"/>
  <c r="S343" i="1"/>
  <c r="R343" i="1" s="1"/>
  <c r="AI330" i="1"/>
  <c r="P343" i="1"/>
  <c r="P149" i="1"/>
  <c r="V149" i="1"/>
  <c r="S149" i="1"/>
  <c r="R149" i="1" s="1"/>
  <c r="AI158" i="1"/>
  <c r="M87" i="1"/>
  <c r="P73" i="1"/>
  <c r="V73" i="1"/>
  <c r="S73" i="1"/>
  <c r="R73" i="1" s="1"/>
  <c r="AI60" i="1"/>
  <c r="AO130" i="1"/>
  <c r="AN130" i="1" s="1"/>
  <c r="AL130" i="1"/>
  <c r="AR130" i="1"/>
  <c r="U768" i="3"/>
  <c r="AQ760" i="3" s="1"/>
  <c r="AP760" i="3"/>
  <c r="M803" i="3"/>
  <c r="P768" i="3"/>
  <c r="V768" i="3"/>
  <c r="S768" i="3"/>
  <c r="R768" i="3" s="1"/>
  <c r="AI760" i="3"/>
  <c r="P804" i="3"/>
  <c r="V804" i="3"/>
  <c r="S804" i="3"/>
  <c r="R804" i="3" s="1"/>
  <c r="AI800" i="3"/>
  <c r="M774" i="3"/>
  <c r="AE771" i="3"/>
  <c r="AI768" i="3"/>
  <c r="S763" i="3"/>
  <c r="R763" i="3" s="1"/>
  <c r="P763" i="3"/>
  <c r="V763" i="3"/>
  <c r="AB747" i="3"/>
  <c r="AJ747" i="3" s="1"/>
  <c r="M736" i="3"/>
  <c r="AE741" i="3"/>
  <c r="P802" i="3"/>
  <c r="V802" i="3"/>
  <c r="AI789" i="3"/>
  <c r="S802" i="3"/>
  <c r="R802" i="3" s="1"/>
  <c r="P746" i="3"/>
  <c r="AI755" i="3"/>
  <c r="V746" i="3"/>
  <c r="S746" i="3"/>
  <c r="R746" i="3" s="1"/>
  <c r="AE726" i="3"/>
  <c r="M717" i="3"/>
  <c r="AP777" i="3"/>
  <c r="AP783" i="3" s="1"/>
  <c r="AQ783" i="3" s="1"/>
  <c r="T780" i="3"/>
  <c r="U780" i="3" s="1"/>
  <c r="U762" i="3"/>
  <c r="AQ777" i="3" s="1"/>
  <c r="M683" i="3"/>
  <c r="AE688" i="3"/>
  <c r="S708" i="3"/>
  <c r="R708" i="3" s="1"/>
  <c r="P708" i="3"/>
  <c r="V708" i="3"/>
  <c r="AI723" i="3"/>
  <c r="V721" i="3"/>
  <c r="S721" i="3"/>
  <c r="R721" i="3" s="1"/>
  <c r="AI708" i="3"/>
  <c r="P721" i="3"/>
  <c r="AB693" i="3"/>
  <c r="AJ693" i="3" s="1"/>
  <c r="AJ687" i="3"/>
  <c r="L753" i="3"/>
  <c r="AH750" i="3"/>
  <c r="AH756" i="3" s="1"/>
  <c r="U669" i="3"/>
  <c r="AQ665" i="3" s="1"/>
  <c r="AP665" i="3"/>
  <c r="U670" i="3"/>
  <c r="AQ655" i="3" s="1"/>
  <c r="AP655" i="3"/>
  <c r="V661" i="3"/>
  <c r="S661" i="3"/>
  <c r="R661" i="3" s="1"/>
  <c r="AI653" i="3"/>
  <c r="P661" i="3"/>
  <c r="AP684" i="3"/>
  <c r="AQ684" i="3" s="1"/>
  <c r="AP643" i="3"/>
  <c r="U630" i="3"/>
  <c r="AQ643" i="3" s="1"/>
  <c r="AI618" i="3"/>
  <c r="V609" i="3"/>
  <c r="S609" i="3"/>
  <c r="R609" i="3" s="1"/>
  <c r="P609" i="3"/>
  <c r="AF666" i="3"/>
  <c r="M669" i="3"/>
  <c r="AE665" i="3"/>
  <c r="M694" i="3"/>
  <c r="AJ639" i="3"/>
  <c r="M658" i="3"/>
  <c r="AE662" i="3"/>
  <c r="AH590" i="3"/>
  <c r="M581" i="3"/>
  <c r="L591" i="3"/>
  <c r="M628" i="3"/>
  <c r="AJ580" i="3"/>
  <c r="T645" i="3"/>
  <c r="U645" i="3" s="1"/>
  <c r="AP642" i="3"/>
  <c r="AP648" i="3" s="1"/>
  <c r="AQ648" i="3" s="1"/>
  <c r="U627" i="3"/>
  <c r="AQ642" i="3" s="1"/>
  <c r="AF594" i="3"/>
  <c r="AG549" i="3"/>
  <c r="AE575" i="3"/>
  <c r="M590" i="3"/>
  <c r="M577" i="3"/>
  <c r="M549" i="3"/>
  <c r="AE562" i="3"/>
  <c r="AE567" i="3" s="1"/>
  <c r="S553" i="3"/>
  <c r="R553" i="3" s="1"/>
  <c r="P553" i="3"/>
  <c r="AI545" i="3"/>
  <c r="V553" i="3"/>
  <c r="AJ576" i="3"/>
  <c r="AP538" i="3"/>
  <c r="U529" i="3"/>
  <c r="AQ538" i="3" s="1"/>
  <c r="M533" i="3"/>
  <c r="AE529" i="3"/>
  <c r="L564" i="3"/>
  <c r="AP494" i="3"/>
  <c r="U509" i="3"/>
  <c r="AQ494" i="3" s="1"/>
  <c r="V563" i="3"/>
  <c r="S563" i="3"/>
  <c r="R563" i="3" s="1"/>
  <c r="AI548" i="3"/>
  <c r="P563" i="3"/>
  <c r="P492" i="3"/>
  <c r="V492" i="3"/>
  <c r="AI507" i="3"/>
  <c r="S492" i="3"/>
  <c r="R492" i="3" s="1"/>
  <c r="T483" i="3"/>
  <c r="U483" i="3" s="1"/>
  <c r="AP480" i="3"/>
  <c r="AP486" i="3" s="1"/>
  <c r="AQ486" i="3" s="1"/>
  <c r="U465" i="3"/>
  <c r="AQ480" i="3" s="1"/>
  <c r="I564" i="3"/>
  <c r="V552" i="3"/>
  <c r="S552" i="3"/>
  <c r="R552" i="3" s="1"/>
  <c r="P552" i="3"/>
  <c r="AI544" i="3"/>
  <c r="V505" i="3"/>
  <c r="S505" i="3"/>
  <c r="R505" i="3" s="1"/>
  <c r="AI492" i="3"/>
  <c r="P505" i="3"/>
  <c r="U505" i="3"/>
  <c r="AQ492" i="3" s="1"/>
  <c r="AP492" i="3"/>
  <c r="P497" i="3"/>
  <c r="V497" i="3"/>
  <c r="AI489" i="3"/>
  <c r="S497" i="3"/>
  <c r="R497" i="3" s="1"/>
  <c r="S476" i="3"/>
  <c r="R476" i="3" s="1"/>
  <c r="AI485" i="3"/>
  <c r="V476" i="3"/>
  <c r="P476" i="3"/>
  <c r="AH468" i="3"/>
  <c r="AI444" i="3"/>
  <c r="V439" i="3"/>
  <c r="S439" i="3"/>
  <c r="R439" i="3" s="1"/>
  <c r="P439" i="3"/>
  <c r="M493" i="3"/>
  <c r="AC450" i="3"/>
  <c r="S454" i="3"/>
  <c r="R454" i="3" s="1"/>
  <c r="AI439" i="3"/>
  <c r="P454" i="3"/>
  <c r="V454" i="3"/>
  <c r="AB450" i="3"/>
  <c r="AJ450" i="3" s="1"/>
  <c r="AE412" i="3"/>
  <c r="M427" i="3"/>
  <c r="AG414" i="3"/>
  <c r="AO386" i="3"/>
  <c r="AN386" i="3" s="1"/>
  <c r="AR386" i="3"/>
  <c r="AL386" i="3"/>
  <c r="P360" i="3"/>
  <c r="AI373" i="3"/>
  <c r="V360" i="3"/>
  <c r="S360" i="3"/>
  <c r="R360" i="3" s="1"/>
  <c r="AH392" i="3"/>
  <c r="AH396" i="3" s="1"/>
  <c r="M388" i="3"/>
  <c r="AH413" i="3"/>
  <c r="M428" i="3"/>
  <c r="M417" i="3"/>
  <c r="M397" i="3"/>
  <c r="AE359" i="3"/>
  <c r="AE360" i="3" s="1"/>
  <c r="M374" i="3"/>
  <c r="N348" i="3"/>
  <c r="S385" i="3"/>
  <c r="R385" i="3" s="1"/>
  <c r="P385" i="3"/>
  <c r="AI390" i="3"/>
  <c r="V385" i="3"/>
  <c r="V362" i="3"/>
  <c r="AI354" i="3"/>
  <c r="S362" i="3"/>
  <c r="R362" i="3" s="1"/>
  <c r="P362" i="3"/>
  <c r="L348" i="3"/>
  <c r="M444" i="3"/>
  <c r="AE436" i="3"/>
  <c r="AR368" i="3"/>
  <c r="AO368" i="3"/>
  <c r="AN368" i="3" s="1"/>
  <c r="AL368" i="3"/>
  <c r="M400" i="3"/>
  <c r="AE385" i="3"/>
  <c r="AP229" i="3"/>
  <c r="U224" i="3"/>
  <c r="AQ229" i="3" s="1"/>
  <c r="M286" i="3"/>
  <c r="AE295" i="3"/>
  <c r="S263" i="3"/>
  <c r="R263" i="3" s="1"/>
  <c r="P263" i="3"/>
  <c r="AI259" i="3"/>
  <c r="V263" i="3"/>
  <c r="AC306" i="3"/>
  <c r="U258" i="3"/>
  <c r="AQ267" i="3" s="1"/>
  <c r="AP267" i="3"/>
  <c r="M224" i="3"/>
  <c r="AE229" i="3"/>
  <c r="AH297" i="3"/>
  <c r="AB189" i="3"/>
  <c r="AJ189" i="3" s="1"/>
  <c r="AJ183" i="3"/>
  <c r="M223" i="3"/>
  <c r="M200" i="3"/>
  <c r="AE192" i="3"/>
  <c r="AE198" i="3" s="1"/>
  <c r="AE174" i="3"/>
  <c r="AE180" i="3" s="1"/>
  <c r="M169" i="3"/>
  <c r="M304" i="3"/>
  <c r="AE309" i="3"/>
  <c r="I321" i="3"/>
  <c r="P260" i="3"/>
  <c r="AI269" i="3"/>
  <c r="V260" i="3"/>
  <c r="S260" i="3"/>
  <c r="R260" i="3" s="1"/>
  <c r="M285" i="3"/>
  <c r="M280" i="3"/>
  <c r="T186" i="3"/>
  <c r="U186" i="3" s="1"/>
  <c r="AP183" i="3"/>
  <c r="U168" i="3"/>
  <c r="AQ183" i="3" s="1"/>
  <c r="T132" i="3"/>
  <c r="U132" i="3" s="1"/>
  <c r="AP129" i="3"/>
  <c r="U114" i="3"/>
  <c r="AQ129" i="3" s="1"/>
  <c r="P289" i="3"/>
  <c r="V289" i="3"/>
  <c r="S289" i="3"/>
  <c r="R289" i="3" s="1"/>
  <c r="AI276" i="3"/>
  <c r="AF270" i="3"/>
  <c r="M227" i="3"/>
  <c r="S210" i="3"/>
  <c r="R210" i="3" s="1"/>
  <c r="AI206" i="3"/>
  <c r="P210" i="3"/>
  <c r="V210" i="3"/>
  <c r="AE216" i="3"/>
  <c r="AP124" i="3"/>
  <c r="U128" i="3"/>
  <c r="AQ124" i="3" s="1"/>
  <c r="L105" i="3"/>
  <c r="AH102" i="3"/>
  <c r="AH108" i="3" s="1"/>
  <c r="AI111" i="3"/>
  <c r="S119" i="3"/>
  <c r="R119" i="3" s="1"/>
  <c r="P119" i="3"/>
  <c r="V119" i="3"/>
  <c r="AH828" i="3"/>
  <c r="L186" i="3"/>
  <c r="L78" i="3"/>
  <c r="AH75" i="3"/>
  <c r="AH81" i="3" s="1"/>
  <c r="U831" i="3"/>
  <c r="AQ827" i="3" s="1"/>
  <c r="AP827" i="3"/>
  <c r="AJ816" i="3"/>
  <c r="M72" i="3"/>
  <c r="U14" i="3"/>
  <c r="AQ23" i="3" s="1"/>
  <c r="AP23" i="3"/>
  <c r="L819" i="3"/>
  <c r="AH832" i="3" s="1"/>
  <c r="AF832" i="3"/>
  <c r="P147" i="3"/>
  <c r="AI139" i="3"/>
  <c r="V147" i="3"/>
  <c r="S147" i="3"/>
  <c r="R147" i="3" s="1"/>
  <c r="I821" i="3"/>
  <c r="AC813" i="3"/>
  <c r="AL152" i="3"/>
  <c r="AR152" i="3"/>
  <c r="AO152" i="3"/>
  <c r="AN152" i="3" s="1"/>
  <c r="AO148" i="3"/>
  <c r="AN148" i="3" s="1"/>
  <c r="AL148" i="3"/>
  <c r="AR148" i="3"/>
  <c r="AE84" i="3"/>
  <c r="M92" i="3"/>
  <c r="P70" i="3"/>
  <c r="AI79" i="3"/>
  <c r="V70" i="3"/>
  <c r="S70" i="3"/>
  <c r="R70" i="3" s="1"/>
  <c r="AP39" i="3"/>
  <c r="AP45" i="3" s="1"/>
  <c r="AQ45" i="3" s="1"/>
  <c r="U34" i="3"/>
  <c r="AQ39" i="3" s="1"/>
  <c r="AP824" i="3"/>
  <c r="U820" i="3"/>
  <c r="AQ824" i="3" s="1"/>
  <c r="M6" i="3"/>
  <c r="I24" i="3"/>
  <c r="AE21" i="3"/>
  <c r="S172" i="3"/>
  <c r="R172" i="3" s="1"/>
  <c r="P172" i="3"/>
  <c r="AI176" i="3"/>
  <c r="V172" i="3"/>
  <c r="AO140" i="3"/>
  <c r="AN140" i="3" s="1"/>
  <c r="AL140" i="3"/>
  <c r="AR140" i="3"/>
  <c r="S115" i="3"/>
  <c r="R115" i="3" s="1"/>
  <c r="P115" i="3"/>
  <c r="AI120" i="3"/>
  <c r="V115" i="3"/>
  <c r="AP6" i="3"/>
  <c r="U19" i="3"/>
  <c r="AQ6" i="3" s="1"/>
  <c r="U824" i="2"/>
  <c r="AQ833" i="2" s="1"/>
  <c r="AP833" i="2"/>
  <c r="AP126" i="3"/>
  <c r="AQ126" i="3" s="1"/>
  <c r="M77" i="3"/>
  <c r="U819" i="3"/>
  <c r="AQ832" i="3" s="1"/>
  <c r="AP832" i="3"/>
  <c r="S46" i="3"/>
  <c r="R46" i="3" s="1"/>
  <c r="AI33" i="3"/>
  <c r="P46" i="3"/>
  <c r="V46" i="3"/>
  <c r="M832" i="2"/>
  <c r="AE817" i="2"/>
  <c r="AC837" i="2"/>
  <c r="V825" i="2"/>
  <c r="AI834" i="2"/>
  <c r="S825" i="2"/>
  <c r="R825" i="2" s="1"/>
  <c r="P825" i="2"/>
  <c r="AG18" i="3"/>
  <c r="AH63" i="3"/>
  <c r="N78" i="3"/>
  <c r="U42" i="3"/>
  <c r="AQ51" i="3" s="1"/>
  <c r="AP51" i="3"/>
  <c r="U716" i="2"/>
  <c r="AQ725" i="2" s="1"/>
  <c r="AP725" i="2"/>
  <c r="AH9" i="3"/>
  <c r="M821" i="2"/>
  <c r="AE813" i="2"/>
  <c r="AE819" i="2" s="1"/>
  <c r="AP737" i="2"/>
  <c r="U752" i="2"/>
  <c r="AQ737" i="2" s="1"/>
  <c r="T726" i="2"/>
  <c r="U726" i="2" s="1"/>
  <c r="AP723" i="2"/>
  <c r="U708" i="2"/>
  <c r="AQ723" i="2" s="1"/>
  <c r="P801" i="2"/>
  <c r="AI798" i="2"/>
  <c r="V801" i="2"/>
  <c r="S801" i="2"/>
  <c r="R801" i="2" s="1"/>
  <c r="L807" i="2"/>
  <c r="M724" i="2"/>
  <c r="AE709" i="2"/>
  <c r="AE711" i="2" s="1"/>
  <c r="AH773" i="2"/>
  <c r="M777" i="2"/>
  <c r="AB774" i="2"/>
  <c r="AJ774" i="2" s="1"/>
  <c r="AJ768" i="2"/>
  <c r="M718" i="2"/>
  <c r="P739" i="2"/>
  <c r="AI743" i="2"/>
  <c r="V739" i="2"/>
  <c r="S739" i="2"/>
  <c r="R739" i="2" s="1"/>
  <c r="S654" i="2"/>
  <c r="R654" i="2" s="1"/>
  <c r="P654" i="2"/>
  <c r="AI669" i="2"/>
  <c r="V654" i="2"/>
  <c r="AP597" i="2"/>
  <c r="AP603" i="2" s="1"/>
  <c r="AQ603" i="2" s="1"/>
  <c r="U605" i="2"/>
  <c r="AQ597" i="2" s="1"/>
  <c r="P793" i="2"/>
  <c r="AI797" i="2"/>
  <c r="V793" i="2"/>
  <c r="S793" i="2"/>
  <c r="R793" i="2" s="1"/>
  <c r="M746" i="2"/>
  <c r="L726" i="2"/>
  <c r="U588" i="2"/>
  <c r="AQ584" i="2" s="1"/>
  <c r="AP584" i="2"/>
  <c r="AP581" i="2"/>
  <c r="U577" i="2"/>
  <c r="AQ581" i="2" s="1"/>
  <c r="AH792" i="2"/>
  <c r="AC648" i="2"/>
  <c r="AE581" i="2"/>
  <c r="M577" i="2"/>
  <c r="V767" i="2"/>
  <c r="AI759" i="2"/>
  <c r="S767" i="2"/>
  <c r="R767" i="2" s="1"/>
  <c r="P767" i="2"/>
  <c r="P747" i="2"/>
  <c r="AI744" i="2"/>
  <c r="V747" i="2"/>
  <c r="S747" i="2"/>
  <c r="R747" i="2" s="1"/>
  <c r="N645" i="2"/>
  <c r="AF801" i="2"/>
  <c r="U748" i="2"/>
  <c r="AQ735" i="2" s="1"/>
  <c r="AP735" i="2"/>
  <c r="L672" i="2"/>
  <c r="AH669" i="2"/>
  <c r="P698" i="2"/>
  <c r="AI683" i="2"/>
  <c r="V698" i="2"/>
  <c r="S698" i="2"/>
  <c r="R698" i="2" s="1"/>
  <c r="AP698" i="2"/>
  <c r="U689" i="2"/>
  <c r="AQ698" i="2" s="1"/>
  <c r="AB666" i="2"/>
  <c r="AJ666" i="2" s="1"/>
  <c r="AC576" i="2"/>
  <c r="AP538" i="2"/>
  <c r="U529" i="2"/>
  <c r="AQ538" i="2" s="1"/>
  <c r="M769" i="2"/>
  <c r="M660" i="2"/>
  <c r="AF648" i="2"/>
  <c r="AC567" i="2"/>
  <c r="AE527" i="2"/>
  <c r="M523" i="2"/>
  <c r="AO717" i="2"/>
  <c r="AN717" i="2" s="1"/>
  <c r="AL717" i="2"/>
  <c r="AR717" i="2"/>
  <c r="P529" i="2"/>
  <c r="AI538" i="2"/>
  <c r="S529" i="2"/>
  <c r="R529" i="2" s="1"/>
  <c r="V529" i="2"/>
  <c r="AB621" i="2"/>
  <c r="AJ621" i="2" s="1"/>
  <c r="AJ615" i="2"/>
  <c r="AH558" i="2"/>
  <c r="AP824" i="2"/>
  <c r="AP828" i="2" s="1"/>
  <c r="AQ828" i="2" s="1"/>
  <c r="U820" i="2"/>
  <c r="AQ824" i="2" s="1"/>
  <c r="AC702" i="2"/>
  <c r="AJ588" i="2"/>
  <c r="AB594" i="2"/>
  <c r="AJ594" i="2" s="1"/>
  <c r="AP337" i="2"/>
  <c r="U332" i="2"/>
  <c r="AQ337" i="2" s="1"/>
  <c r="U289" i="2"/>
  <c r="AQ276" i="2" s="1"/>
  <c r="AP276" i="2"/>
  <c r="AI544" i="2"/>
  <c r="V552" i="2"/>
  <c r="S552" i="2"/>
  <c r="R552" i="2" s="1"/>
  <c r="P552" i="2"/>
  <c r="AP412" i="2"/>
  <c r="U427" i="2"/>
  <c r="AQ412" i="2" s="1"/>
  <c r="M580" i="2"/>
  <c r="AE572" i="2"/>
  <c r="AE576" i="2" s="1"/>
  <c r="P554" i="2"/>
  <c r="V554" i="2"/>
  <c r="AI563" i="2"/>
  <c r="S554" i="2"/>
  <c r="R554" i="2" s="1"/>
  <c r="S449" i="2"/>
  <c r="R449" i="2" s="1"/>
  <c r="P449" i="2"/>
  <c r="AI458" i="2"/>
  <c r="V449" i="2"/>
  <c r="AP414" i="2"/>
  <c r="AQ414" i="2" s="1"/>
  <c r="M367" i="2"/>
  <c r="AE376" i="2"/>
  <c r="T510" i="2"/>
  <c r="U510" i="2" s="1"/>
  <c r="AP507" i="2"/>
  <c r="AP513" i="2" s="1"/>
  <c r="AQ513" i="2" s="1"/>
  <c r="U492" i="2"/>
  <c r="AQ507" i="2" s="1"/>
  <c r="AH562" i="2"/>
  <c r="M549" i="2"/>
  <c r="M466" i="2"/>
  <c r="AE471" i="2"/>
  <c r="M397" i="2"/>
  <c r="AE384" i="2"/>
  <c r="AC657" i="2"/>
  <c r="AE484" i="2"/>
  <c r="AE486" i="2" s="1"/>
  <c r="M475" i="2"/>
  <c r="AO619" i="2"/>
  <c r="AN619" i="2" s="1"/>
  <c r="AL619" i="2"/>
  <c r="AR619" i="2"/>
  <c r="M575" i="2"/>
  <c r="AE580" i="2"/>
  <c r="AE441" i="2"/>
  <c r="AI386" i="2"/>
  <c r="P401" i="2"/>
  <c r="V401" i="2"/>
  <c r="S401" i="2"/>
  <c r="R401" i="2" s="1"/>
  <c r="AI391" i="2"/>
  <c r="S386" i="2"/>
  <c r="R386" i="2" s="1"/>
  <c r="P386" i="2"/>
  <c r="V386" i="2"/>
  <c r="P534" i="2"/>
  <c r="V534" i="2"/>
  <c r="S534" i="2"/>
  <c r="R534" i="2" s="1"/>
  <c r="AI530" i="2"/>
  <c r="AB441" i="2"/>
  <c r="AJ441" i="2" s="1"/>
  <c r="P468" i="2"/>
  <c r="AI481" i="2"/>
  <c r="V468" i="2"/>
  <c r="S468" i="2"/>
  <c r="R468" i="2" s="1"/>
  <c r="M336" i="2"/>
  <c r="AE328" i="2"/>
  <c r="T348" i="2"/>
  <c r="U348" i="2" s="1"/>
  <c r="AJ234" i="2"/>
  <c r="U339" i="2"/>
  <c r="AQ348" i="2" s="1"/>
  <c r="AP348" i="2"/>
  <c r="AP351" i="2" s="1"/>
  <c r="AQ351" i="2" s="1"/>
  <c r="AI311" i="2"/>
  <c r="V307" i="2"/>
  <c r="S307" i="2"/>
  <c r="R307" i="2" s="1"/>
  <c r="P307" i="2"/>
  <c r="AB279" i="2"/>
  <c r="AJ279" i="2" s="1"/>
  <c r="AJ273" i="2"/>
  <c r="L267" i="2"/>
  <c r="AH264" i="2"/>
  <c r="AH270" i="2" s="1"/>
  <c r="AI238" i="2"/>
  <c r="V225" i="2"/>
  <c r="P225" i="2"/>
  <c r="S225" i="2"/>
  <c r="R225" i="2" s="1"/>
  <c r="AH183" i="2"/>
  <c r="AH189" i="2" s="1"/>
  <c r="L186" i="2"/>
  <c r="M304" i="2"/>
  <c r="I321" i="2"/>
  <c r="AE309" i="2"/>
  <c r="M254" i="2"/>
  <c r="AF99" i="2"/>
  <c r="AB432" i="2"/>
  <c r="AJ432" i="2" s="1"/>
  <c r="V369" i="2"/>
  <c r="P369" i="2"/>
  <c r="AI366" i="2"/>
  <c r="S369" i="2"/>
  <c r="R369" i="2" s="1"/>
  <c r="AE350" i="2"/>
  <c r="M341" i="2"/>
  <c r="U212" i="2"/>
  <c r="AQ197" i="2" s="1"/>
  <c r="AP197" i="2"/>
  <c r="AP198" i="2" s="1"/>
  <c r="AQ198" i="2" s="1"/>
  <c r="AE189" i="2"/>
  <c r="AE259" i="2"/>
  <c r="M263" i="2"/>
  <c r="AH239" i="2"/>
  <c r="M230" i="2"/>
  <c r="M208" i="2"/>
  <c r="AE195" i="2"/>
  <c r="AP167" i="2"/>
  <c r="U175" i="2"/>
  <c r="AQ167" i="2" s="1"/>
  <c r="AP121" i="2"/>
  <c r="U116" i="2"/>
  <c r="AQ121" i="2" s="1"/>
  <c r="AP60" i="2"/>
  <c r="U73" i="2"/>
  <c r="AQ60" i="2" s="1"/>
  <c r="AE373" i="2"/>
  <c r="AE378" i="2" s="1"/>
  <c r="M360" i="2"/>
  <c r="V320" i="2"/>
  <c r="AI305" i="2"/>
  <c r="P320" i="2"/>
  <c r="S320" i="2"/>
  <c r="R320" i="2" s="1"/>
  <c r="AE310" i="2"/>
  <c r="M305" i="2"/>
  <c r="AP158" i="2"/>
  <c r="U149" i="2"/>
  <c r="AQ158" i="2" s="1"/>
  <c r="AJ207" i="2"/>
  <c r="P178" i="2"/>
  <c r="S178" i="2"/>
  <c r="R178" i="2" s="1"/>
  <c r="AI187" i="2"/>
  <c r="V178" i="2"/>
  <c r="AL141" i="2"/>
  <c r="AR141" i="2"/>
  <c r="AO141" i="2"/>
  <c r="AN141" i="2" s="1"/>
  <c r="AL115" i="2"/>
  <c r="AR115" i="2"/>
  <c r="AO115" i="2"/>
  <c r="AN115" i="2" s="1"/>
  <c r="AP222" i="2"/>
  <c r="AP225" i="2" s="1"/>
  <c r="AQ225" i="2" s="1"/>
  <c r="U235" i="2"/>
  <c r="AQ222" i="2" s="1"/>
  <c r="M126" i="2"/>
  <c r="AH123" i="2"/>
  <c r="AH126" i="2" s="1"/>
  <c r="S120" i="2"/>
  <c r="R120" i="2" s="1"/>
  <c r="P120" i="2"/>
  <c r="AI112" i="2"/>
  <c r="V120" i="2"/>
  <c r="AP366" i="2"/>
  <c r="U369" i="2"/>
  <c r="AQ366" i="2" s="1"/>
  <c r="AJ129" i="2"/>
  <c r="AB135" i="2"/>
  <c r="AJ135" i="2" s="1"/>
  <c r="U64" i="2"/>
  <c r="AQ68" i="2" s="1"/>
  <c r="AP68" i="2"/>
  <c r="AP72" i="2" s="1"/>
  <c r="AQ72" i="2" s="1"/>
  <c r="AE24" i="2"/>
  <c r="M15" i="2"/>
  <c r="AE837" i="1"/>
  <c r="AQ270" i="2"/>
  <c r="S174" i="2"/>
  <c r="R174" i="2" s="1"/>
  <c r="P174" i="2"/>
  <c r="AI166" i="2"/>
  <c r="V174" i="2"/>
  <c r="M64" i="2"/>
  <c r="AE68" i="2"/>
  <c r="N857" i="2"/>
  <c r="AB853" i="2"/>
  <c r="AJ853" i="2" s="1"/>
  <c r="T857" i="2"/>
  <c r="AE4" i="2"/>
  <c r="M12" i="2"/>
  <c r="L24" i="2"/>
  <c r="AH21" i="2"/>
  <c r="AH27" i="2" s="1"/>
  <c r="AI228" i="2"/>
  <c r="V223" i="2"/>
  <c r="S223" i="2"/>
  <c r="R223" i="2" s="1"/>
  <c r="P223" i="2"/>
  <c r="AJ183" i="2"/>
  <c r="AB189" i="2"/>
  <c r="AJ189" i="2" s="1"/>
  <c r="AP80" i="2"/>
  <c r="U71" i="2"/>
  <c r="AQ80" i="2" s="1"/>
  <c r="M48" i="2"/>
  <c r="AE44" i="2"/>
  <c r="I860" i="2"/>
  <c r="T375" i="2"/>
  <c r="U375" i="2" s="1"/>
  <c r="M175" i="2"/>
  <c r="AE167" i="2"/>
  <c r="AG27" i="2"/>
  <c r="I844" i="2"/>
  <c r="AC849" i="2"/>
  <c r="AC855" i="2" s="1"/>
  <c r="AP814" i="1"/>
  <c r="U822" i="1"/>
  <c r="AQ814" i="1" s="1"/>
  <c r="AP716" i="1"/>
  <c r="U712" i="1"/>
  <c r="AQ716" i="1" s="1"/>
  <c r="P98" i="2"/>
  <c r="AI107" i="2"/>
  <c r="V98" i="2"/>
  <c r="S98" i="2"/>
  <c r="R98" i="2" s="1"/>
  <c r="U848" i="2"/>
  <c r="AQ840" i="2" s="1"/>
  <c r="AP840" i="2"/>
  <c r="U844" i="2"/>
  <c r="AQ849" i="2" s="1"/>
  <c r="AP849" i="2"/>
  <c r="L726" i="1"/>
  <c r="AH723" i="1"/>
  <c r="AH729" i="1" s="1"/>
  <c r="S49" i="2"/>
  <c r="R49" i="2" s="1"/>
  <c r="AI34" i="2"/>
  <c r="P49" i="2"/>
  <c r="V49" i="2"/>
  <c r="S698" i="1"/>
  <c r="R698" i="1" s="1"/>
  <c r="AI683" i="1"/>
  <c r="P698" i="1"/>
  <c r="V698" i="1"/>
  <c r="AI732" i="1"/>
  <c r="S740" i="1"/>
  <c r="R740" i="1" s="1"/>
  <c r="P740" i="1"/>
  <c r="V740" i="1"/>
  <c r="AJ696" i="1"/>
  <c r="AB702" i="1"/>
  <c r="AJ702" i="1" s="1"/>
  <c r="AI32" i="2"/>
  <c r="V40" i="2"/>
  <c r="S40" i="2"/>
  <c r="R40" i="2" s="1"/>
  <c r="P40" i="2"/>
  <c r="AE23" i="2"/>
  <c r="M14" i="2"/>
  <c r="M6" i="2"/>
  <c r="I24" i="2"/>
  <c r="AE21" i="2"/>
  <c r="AL734" i="1"/>
  <c r="AR734" i="1"/>
  <c r="AO734" i="1"/>
  <c r="AN734" i="1" s="1"/>
  <c r="M17" i="2"/>
  <c r="AE26" i="2"/>
  <c r="M820" i="1"/>
  <c r="AE824" i="1"/>
  <c r="S765" i="1"/>
  <c r="R765" i="1" s="1"/>
  <c r="P765" i="1"/>
  <c r="AI778" i="1"/>
  <c r="V765" i="1"/>
  <c r="AP593" i="1"/>
  <c r="U584" i="1"/>
  <c r="AQ593" i="1" s="1"/>
  <c r="U481" i="1"/>
  <c r="AQ466" i="1" s="1"/>
  <c r="AP466" i="1"/>
  <c r="I859" i="2"/>
  <c r="AC844" i="2"/>
  <c r="T591" i="1"/>
  <c r="U591" i="1" s="1"/>
  <c r="AP588" i="1"/>
  <c r="U573" i="1"/>
  <c r="AQ588" i="1" s="1"/>
  <c r="T537" i="1"/>
  <c r="U537" i="1" s="1"/>
  <c r="AP534" i="1"/>
  <c r="U519" i="1"/>
  <c r="AQ534" i="1" s="1"/>
  <c r="AP447" i="1"/>
  <c r="U450" i="1"/>
  <c r="AQ447" i="1" s="1"/>
  <c r="AE51" i="2"/>
  <c r="M42" i="2"/>
  <c r="AF854" i="2"/>
  <c r="L858" i="2"/>
  <c r="AH854" i="2" s="1"/>
  <c r="AP701" i="1"/>
  <c r="U692" i="1"/>
  <c r="AQ701" i="1" s="1"/>
  <c r="AE618" i="1"/>
  <c r="M609" i="1"/>
  <c r="AB513" i="1"/>
  <c r="AJ513" i="1" s="1"/>
  <c r="AJ507" i="1"/>
  <c r="AP498" i="1"/>
  <c r="U493" i="1"/>
  <c r="AQ498" i="1" s="1"/>
  <c r="AP446" i="1"/>
  <c r="U442" i="1"/>
  <c r="AQ446" i="1" s="1"/>
  <c r="AO727" i="1"/>
  <c r="AN727" i="1" s="1"/>
  <c r="AL727" i="1"/>
  <c r="AR727" i="1"/>
  <c r="M504" i="1"/>
  <c r="AE501" i="1"/>
  <c r="AE504" i="1"/>
  <c r="AI591" i="1"/>
  <c r="S582" i="1"/>
  <c r="R582" i="1" s="1"/>
  <c r="P582" i="1"/>
  <c r="V582" i="1"/>
  <c r="AP607" i="1"/>
  <c r="U602" i="1"/>
  <c r="AQ607" i="1" s="1"/>
  <c r="V578" i="1"/>
  <c r="AI570" i="1"/>
  <c r="S578" i="1"/>
  <c r="R578" i="1" s="1"/>
  <c r="P578" i="1"/>
  <c r="P552" i="1"/>
  <c r="AI544" i="1"/>
  <c r="V552" i="1"/>
  <c r="S552" i="1"/>
  <c r="R552" i="1" s="1"/>
  <c r="S533" i="1"/>
  <c r="R533" i="1" s="1"/>
  <c r="P533" i="1"/>
  <c r="AI529" i="1"/>
  <c r="V533" i="1"/>
  <c r="S478" i="1"/>
  <c r="R478" i="1" s="1"/>
  <c r="AI465" i="1"/>
  <c r="P478" i="1"/>
  <c r="V478" i="1"/>
  <c r="P604" i="1"/>
  <c r="AI608" i="1"/>
  <c r="V604" i="1"/>
  <c r="S604" i="1"/>
  <c r="R604" i="1" s="1"/>
  <c r="V561" i="1"/>
  <c r="S561" i="1"/>
  <c r="R561" i="1" s="1"/>
  <c r="AI557" i="1"/>
  <c r="P561" i="1"/>
  <c r="AB666" i="1"/>
  <c r="AJ666" i="1" s="1"/>
  <c r="AP556" i="1"/>
  <c r="U560" i="1"/>
  <c r="AQ556" i="1" s="1"/>
  <c r="AL467" i="1"/>
  <c r="AR467" i="1"/>
  <c r="AO467" i="1"/>
  <c r="AN467" i="1" s="1"/>
  <c r="AI457" i="1"/>
  <c r="V448" i="1"/>
  <c r="S448" i="1"/>
  <c r="R448" i="1" s="1"/>
  <c r="P448" i="1"/>
  <c r="U347" i="1"/>
  <c r="AQ332" i="1" s="1"/>
  <c r="AP332" i="1"/>
  <c r="U239" i="1"/>
  <c r="AQ224" i="1" s="1"/>
  <c r="AP224" i="1"/>
  <c r="T780" i="1"/>
  <c r="U780" i="1" s="1"/>
  <c r="AP673" i="1"/>
  <c r="U664" i="1"/>
  <c r="AQ673" i="1" s="1"/>
  <c r="V614" i="1"/>
  <c r="S614" i="1"/>
  <c r="R614" i="1" s="1"/>
  <c r="P614" i="1"/>
  <c r="AI610" i="1"/>
  <c r="AI527" i="1"/>
  <c r="V523" i="1"/>
  <c r="S523" i="1"/>
  <c r="R523" i="1" s="1"/>
  <c r="P523" i="1"/>
  <c r="AI437" i="1"/>
  <c r="V445" i="1"/>
  <c r="S445" i="1"/>
  <c r="R445" i="1" s="1"/>
  <c r="P445" i="1"/>
  <c r="AP382" i="1"/>
  <c r="U390" i="1"/>
  <c r="AQ382" i="1" s="1"/>
  <c r="AP664" i="1"/>
  <c r="U668" i="1"/>
  <c r="AQ664" i="1" s="1"/>
  <c r="S585" i="1"/>
  <c r="R585" i="1" s="1"/>
  <c r="P585" i="1"/>
  <c r="AI582" i="1"/>
  <c r="V585" i="1"/>
  <c r="AP565" i="1"/>
  <c r="U556" i="1"/>
  <c r="AQ565" i="1" s="1"/>
  <c r="AP430" i="1"/>
  <c r="U421" i="1"/>
  <c r="AQ430" i="1" s="1"/>
  <c r="AP418" i="1"/>
  <c r="U413" i="1"/>
  <c r="AQ418" i="1" s="1"/>
  <c r="AP356" i="1"/>
  <c r="U364" i="1"/>
  <c r="AQ356" i="1" s="1"/>
  <c r="U316" i="1"/>
  <c r="AQ303" i="1" s="1"/>
  <c r="AP303" i="1"/>
  <c r="AP260" i="1"/>
  <c r="U264" i="1"/>
  <c r="AQ260" i="1" s="1"/>
  <c r="S253" i="1"/>
  <c r="R253" i="1" s="1"/>
  <c r="P253" i="1"/>
  <c r="AI257" i="1"/>
  <c r="V253" i="1"/>
  <c r="AL358" i="1"/>
  <c r="AR358" i="1"/>
  <c r="AO358" i="1"/>
  <c r="AN358" i="1" s="1"/>
  <c r="I375" i="1"/>
  <c r="AE372" i="1"/>
  <c r="M357" i="1"/>
  <c r="S309" i="1"/>
  <c r="R309" i="1" s="1"/>
  <c r="P309" i="1"/>
  <c r="AI301" i="1"/>
  <c r="V309" i="1"/>
  <c r="P196" i="1"/>
  <c r="AI201" i="1"/>
  <c r="V196" i="1"/>
  <c r="S196" i="1"/>
  <c r="R196" i="1" s="1"/>
  <c r="I857" i="1"/>
  <c r="AC853" i="1"/>
  <c r="AE24" i="1"/>
  <c r="M15" i="1"/>
  <c r="AP14" i="1"/>
  <c r="U10" i="1"/>
  <c r="AQ14" i="1" s="1"/>
  <c r="AH621" i="1"/>
  <c r="AP274" i="1"/>
  <c r="U282" i="1"/>
  <c r="AQ274" i="1" s="1"/>
  <c r="AJ282" i="1"/>
  <c r="AB288" i="1"/>
  <c r="AJ288" i="1" s="1"/>
  <c r="S238" i="1"/>
  <c r="R238" i="1" s="1"/>
  <c r="V238" i="1"/>
  <c r="AI223" i="1"/>
  <c r="P238" i="1"/>
  <c r="M393" i="1"/>
  <c r="AE402" i="1"/>
  <c r="AE405" i="1" s="1"/>
  <c r="U373" i="1"/>
  <c r="AQ358" i="1" s="1"/>
  <c r="AP358" i="1"/>
  <c r="AE239" i="1"/>
  <c r="M230" i="1"/>
  <c r="AE861" i="1"/>
  <c r="P315" i="1"/>
  <c r="AI312" i="1"/>
  <c r="V315" i="1"/>
  <c r="S315" i="1"/>
  <c r="R315" i="1" s="1"/>
  <c r="S252" i="1"/>
  <c r="R252" i="1" s="1"/>
  <c r="P252" i="1"/>
  <c r="AI265" i="1"/>
  <c r="V252" i="1"/>
  <c r="AB126" i="1"/>
  <c r="AJ126" i="1" s="1"/>
  <c r="AJ120" i="1"/>
  <c r="AB72" i="1"/>
  <c r="AJ72" i="1" s="1"/>
  <c r="AJ66" i="1"/>
  <c r="T852" i="1"/>
  <c r="N852" i="1"/>
  <c r="AJ861" i="1" s="1"/>
  <c r="AB861" i="1"/>
  <c r="AE22" i="1"/>
  <c r="AE27" i="1" s="1"/>
  <c r="M9" i="1"/>
  <c r="M396" i="1"/>
  <c r="AE393" i="1"/>
  <c r="AP373" i="1"/>
  <c r="U360" i="1"/>
  <c r="AQ373" i="1" s="1"/>
  <c r="P261" i="1"/>
  <c r="AI258" i="1"/>
  <c r="V261" i="1"/>
  <c r="S261" i="1"/>
  <c r="R261" i="1" s="1"/>
  <c r="AP243" i="1"/>
  <c r="AQ243" i="1" s="1"/>
  <c r="AE220" i="1"/>
  <c r="M228" i="1"/>
  <c r="P426" i="1"/>
  <c r="V426" i="1"/>
  <c r="AI422" i="1"/>
  <c r="S426" i="1"/>
  <c r="R426" i="1" s="1"/>
  <c r="AI357" i="1"/>
  <c r="P370" i="1"/>
  <c r="V370" i="1"/>
  <c r="S370" i="1"/>
  <c r="R370" i="1" s="1"/>
  <c r="AP319" i="1"/>
  <c r="U306" i="1"/>
  <c r="AQ319" i="1" s="1"/>
  <c r="AP167" i="1"/>
  <c r="U175" i="1"/>
  <c r="AQ167" i="1" s="1"/>
  <c r="AP113" i="1"/>
  <c r="U121" i="1"/>
  <c r="AQ113" i="1" s="1"/>
  <c r="AP59" i="1"/>
  <c r="U67" i="1"/>
  <c r="AQ59" i="1" s="1"/>
  <c r="U21" i="1"/>
  <c r="AQ17" i="1" s="1"/>
  <c r="AP17" i="1"/>
  <c r="AP25" i="1"/>
  <c r="U16" i="1"/>
  <c r="AQ25" i="1" s="1"/>
  <c r="S11" i="1"/>
  <c r="R11" i="1" s="1"/>
  <c r="P11" i="1"/>
  <c r="V11" i="1"/>
  <c r="AI3" i="1"/>
  <c r="M287" i="1"/>
  <c r="AE296" i="1"/>
  <c r="AE297" i="1" s="1"/>
  <c r="AH252" i="1"/>
  <c r="AP161" i="1"/>
  <c r="U152" i="1"/>
  <c r="AQ161" i="1" s="1"/>
  <c r="AP88" i="1"/>
  <c r="U103" i="1"/>
  <c r="AQ88" i="1" s="1"/>
  <c r="AP49" i="1"/>
  <c r="AP54" i="1" s="1"/>
  <c r="AQ54" i="1" s="1"/>
  <c r="U36" i="1"/>
  <c r="AQ49" i="1" s="1"/>
  <c r="N854" i="1"/>
  <c r="AJ863" i="1" s="1"/>
  <c r="T854" i="1"/>
  <c r="AB863" i="1"/>
  <c r="M210" i="1"/>
  <c r="AE206" i="1"/>
  <c r="AE207" i="1" s="1"/>
  <c r="AI186" i="1"/>
  <c r="S177" i="1"/>
  <c r="R177" i="1" s="1"/>
  <c r="P177" i="1"/>
  <c r="V177" i="1"/>
  <c r="V76" i="1"/>
  <c r="S76" i="1"/>
  <c r="R76" i="1" s="1"/>
  <c r="AI61" i="1"/>
  <c r="P76" i="1"/>
  <c r="AH27" i="1"/>
  <c r="AL248" i="1"/>
  <c r="AR248" i="1"/>
  <c r="AO248" i="1"/>
  <c r="AN248" i="1" s="1"/>
  <c r="U223" i="1"/>
  <c r="AQ228" i="1" s="1"/>
  <c r="T240" i="1"/>
  <c r="U240" i="1" s="1"/>
  <c r="AP228" i="1"/>
  <c r="AP234" i="1" s="1"/>
  <c r="AQ234" i="1" s="1"/>
  <c r="S40" i="1"/>
  <c r="R40" i="1" s="1"/>
  <c r="P40" i="1"/>
  <c r="AI32" i="1"/>
  <c r="V40" i="1"/>
  <c r="P336" i="1"/>
  <c r="V336" i="1"/>
  <c r="S336" i="1"/>
  <c r="R336" i="1" s="1"/>
  <c r="AI328" i="1"/>
  <c r="P74" i="1"/>
  <c r="AI70" i="1"/>
  <c r="V74" i="1"/>
  <c r="S74" i="1"/>
  <c r="R74" i="1" s="1"/>
  <c r="M206" i="1"/>
  <c r="S156" i="1"/>
  <c r="R156" i="1" s="1"/>
  <c r="AI152" i="1"/>
  <c r="P156" i="1"/>
  <c r="V156" i="1"/>
  <c r="S100" i="1"/>
  <c r="R100" i="1" s="1"/>
  <c r="AI87" i="1"/>
  <c r="P100" i="1"/>
  <c r="V100" i="1"/>
  <c r="M20" i="1"/>
  <c r="AE16" i="1"/>
  <c r="M280" i="1"/>
  <c r="AE284" i="1"/>
  <c r="AI347" i="1"/>
  <c r="S338" i="1"/>
  <c r="R338" i="1" s="1"/>
  <c r="P338" i="1"/>
  <c r="V338" i="1"/>
  <c r="M212" i="1"/>
  <c r="M124" i="1"/>
  <c r="AE133" i="1"/>
  <c r="AE332" i="1"/>
  <c r="M347" i="1"/>
  <c r="U227" i="1"/>
  <c r="AQ219" i="1" s="1"/>
  <c r="AP219" i="1"/>
  <c r="AE806" i="3"/>
  <c r="M797" i="3"/>
  <c r="U767" i="3"/>
  <c r="AQ759" i="3" s="1"/>
  <c r="AP759" i="3"/>
  <c r="AP765" i="3" s="1"/>
  <c r="AQ765" i="3" s="1"/>
  <c r="M765" i="3"/>
  <c r="AE778" i="3"/>
  <c r="M801" i="3"/>
  <c r="S773" i="3"/>
  <c r="R773" i="3" s="1"/>
  <c r="P773" i="3"/>
  <c r="AI782" i="3"/>
  <c r="V773" i="3"/>
  <c r="AP736" i="3"/>
  <c r="AP738" i="3" s="1"/>
  <c r="AQ738" i="3" s="1"/>
  <c r="U751" i="3"/>
  <c r="AQ736" i="3" s="1"/>
  <c r="S750" i="3"/>
  <c r="R750" i="3" s="1"/>
  <c r="AI746" i="3"/>
  <c r="P750" i="3"/>
  <c r="V750" i="3"/>
  <c r="AI781" i="3"/>
  <c r="V772" i="3"/>
  <c r="S772" i="3"/>
  <c r="R772" i="3" s="1"/>
  <c r="P772" i="3"/>
  <c r="AB783" i="3"/>
  <c r="AJ783" i="3" s="1"/>
  <c r="AJ777" i="3"/>
  <c r="AE729" i="3"/>
  <c r="M716" i="3"/>
  <c r="M720" i="3"/>
  <c r="AE717" i="3"/>
  <c r="S711" i="3"/>
  <c r="R711" i="3" s="1"/>
  <c r="P711" i="3"/>
  <c r="AI724" i="3"/>
  <c r="V711" i="3"/>
  <c r="T699" i="3"/>
  <c r="U699" i="3" s="1"/>
  <c r="AP696" i="3"/>
  <c r="AP702" i="3" s="1"/>
  <c r="AQ702" i="3" s="1"/>
  <c r="U681" i="3"/>
  <c r="AQ696" i="3" s="1"/>
  <c r="AI707" i="3"/>
  <c r="V715" i="3"/>
  <c r="S715" i="3"/>
  <c r="R715" i="3" s="1"/>
  <c r="P715" i="3"/>
  <c r="AL683" i="3"/>
  <c r="AR683" i="3"/>
  <c r="AO683" i="3"/>
  <c r="AN683" i="3" s="1"/>
  <c r="AE701" i="3"/>
  <c r="M692" i="3"/>
  <c r="U668" i="3"/>
  <c r="AQ664" i="3" s="1"/>
  <c r="AP664" i="3"/>
  <c r="AE654" i="3"/>
  <c r="AE657" i="3" s="1"/>
  <c r="M667" i="3"/>
  <c r="AE661" i="3"/>
  <c r="M656" i="3"/>
  <c r="S657" i="3"/>
  <c r="R657" i="3" s="1"/>
  <c r="P657" i="3"/>
  <c r="AI670" i="3"/>
  <c r="V657" i="3"/>
  <c r="AH669" i="3"/>
  <c r="AH675" i="3" s="1"/>
  <c r="L672" i="3"/>
  <c r="M654" i="3"/>
  <c r="AP637" i="3"/>
  <c r="U641" i="3"/>
  <c r="AQ637" i="3" s="1"/>
  <c r="AI597" i="3"/>
  <c r="V605" i="3"/>
  <c r="S605" i="3"/>
  <c r="R605" i="3" s="1"/>
  <c r="P605" i="3"/>
  <c r="AH666" i="3"/>
  <c r="AE666" i="3"/>
  <c r="U656" i="3"/>
  <c r="AQ661" i="3" s="1"/>
  <c r="AP661" i="3"/>
  <c r="AP666" i="3" s="1"/>
  <c r="AQ666" i="3" s="1"/>
  <c r="M634" i="3"/>
  <c r="S607" i="3"/>
  <c r="R607" i="3" s="1"/>
  <c r="AI599" i="3"/>
  <c r="P607" i="3"/>
  <c r="V607" i="3"/>
  <c r="AH594" i="3"/>
  <c r="AJ642" i="3"/>
  <c r="AB648" i="3"/>
  <c r="AJ648" i="3" s="1"/>
  <c r="V602" i="3"/>
  <c r="AI607" i="3"/>
  <c r="S602" i="3"/>
  <c r="R602" i="3" s="1"/>
  <c r="P602" i="3"/>
  <c r="U534" i="3"/>
  <c r="AQ530" i="3" s="1"/>
  <c r="AP530" i="3"/>
  <c r="M585" i="3"/>
  <c r="AP592" i="3"/>
  <c r="U583" i="3"/>
  <c r="AQ592" i="3" s="1"/>
  <c r="AI517" i="3"/>
  <c r="V525" i="3"/>
  <c r="S525" i="3"/>
  <c r="R525" i="3" s="1"/>
  <c r="P525" i="3"/>
  <c r="M529" i="3"/>
  <c r="AE538" i="3"/>
  <c r="AE508" i="3"/>
  <c r="M495" i="3"/>
  <c r="AE537" i="3"/>
  <c r="AE540" i="3" s="1"/>
  <c r="M528" i="3"/>
  <c r="M561" i="3"/>
  <c r="AP653" i="3"/>
  <c r="U661" i="3"/>
  <c r="AQ653" i="3" s="1"/>
  <c r="AE481" i="3"/>
  <c r="M468" i="3"/>
  <c r="I483" i="3"/>
  <c r="M465" i="3"/>
  <c r="AE480" i="3"/>
  <c r="AI512" i="3"/>
  <c r="S503" i="3"/>
  <c r="R503" i="3" s="1"/>
  <c r="P503" i="3"/>
  <c r="V503" i="3"/>
  <c r="V478" i="3"/>
  <c r="P478" i="3"/>
  <c r="S478" i="3"/>
  <c r="R478" i="3" s="1"/>
  <c r="AI465" i="3"/>
  <c r="AE473" i="3"/>
  <c r="M469" i="3"/>
  <c r="AP440" i="3"/>
  <c r="U455" i="3"/>
  <c r="AQ440" i="3" s="1"/>
  <c r="AP456" i="3"/>
  <c r="AP459" i="3" s="1"/>
  <c r="AQ459" i="3" s="1"/>
  <c r="U447" i="3"/>
  <c r="AQ456" i="3" s="1"/>
  <c r="M440" i="3"/>
  <c r="AE445" i="3"/>
  <c r="AE431" i="3"/>
  <c r="M422" i="3"/>
  <c r="AI458" i="3"/>
  <c r="P449" i="3"/>
  <c r="S449" i="3"/>
  <c r="R449" i="3" s="1"/>
  <c r="V449" i="3"/>
  <c r="L483" i="3"/>
  <c r="AH480" i="3"/>
  <c r="AH486" i="3" s="1"/>
  <c r="AH441" i="3"/>
  <c r="AH414" i="3"/>
  <c r="AJ372" i="3"/>
  <c r="AB378" i="3"/>
  <c r="AJ378" i="3" s="1"/>
  <c r="AP357" i="3"/>
  <c r="AP360" i="3" s="1"/>
  <c r="AQ360" i="3" s="1"/>
  <c r="U370" i="3"/>
  <c r="AQ357" i="3" s="1"/>
  <c r="N375" i="3"/>
  <c r="AH432" i="3"/>
  <c r="M386" i="3"/>
  <c r="AE391" i="3"/>
  <c r="AE401" i="3"/>
  <c r="M392" i="3"/>
  <c r="P357" i="3"/>
  <c r="S357" i="3"/>
  <c r="R357" i="3" s="1"/>
  <c r="AI372" i="3"/>
  <c r="V357" i="3"/>
  <c r="AI484" i="3"/>
  <c r="V475" i="3"/>
  <c r="S475" i="3"/>
  <c r="R475" i="3" s="1"/>
  <c r="P475" i="3"/>
  <c r="AP404" i="3"/>
  <c r="U395" i="3"/>
  <c r="AQ404" i="3" s="1"/>
  <c r="AP332" i="3"/>
  <c r="U347" i="3"/>
  <c r="AQ332" i="3" s="1"/>
  <c r="V363" i="3"/>
  <c r="S363" i="3"/>
  <c r="R363" i="3" s="1"/>
  <c r="P363" i="3"/>
  <c r="AI355" i="3"/>
  <c r="M344" i="3"/>
  <c r="AE340" i="3"/>
  <c r="U313" i="3"/>
  <c r="AQ322" i="3" s="1"/>
  <c r="AP322" i="3"/>
  <c r="AE282" i="3"/>
  <c r="AE288" i="3" s="1"/>
  <c r="M277" i="3"/>
  <c r="AP338" i="3"/>
  <c r="U334" i="3"/>
  <c r="AQ338" i="3" s="1"/>
  <c r="AP301" i="3"/>
  <c r="U309" i="3"/>
  <c r="AQ301" i="3" s="1"/>
  <c r="AF297" i="3"/>
  <c r="AP193" i="3"/>
  <c r="U201" i="3"/>
  <c r="AQ193" i="3" s="1"/>
  <c r="AL367" i="3"/>
  <c r="AR367" i="3"/>
  <c r="AO367" i="3"/>
  <c r="AN367" i="3" s="1"/>
  <c r="M319" i="3"/>
  <c r="AE304" i="3"/>
  <c r="M307" i="3"/>
  <c r="AE311" i="3"/>
  <c r="L321" i="3"/>
  <c r="AH318" i="3"/>
  <c r="AH324" i="3" s="1"/>
  <c r="L294" i="3"/>
  <c r="L240" i="3"/>
  <c r="AP204" i="3"/>
  <c r="U207" i="3"/>
  <c r="AQ204" i="3" s="1"/>
  <c r="AP304" i="3"/>
  <c r="U319" i="3"/>
  <c r="AQ304" i="3" s="1"/>
  <c r="M255" i="3"/>
  <c r="AE247" i="3"/>
  <c r="AE225" i="3"/>
  <c r="M203" i="3"/>
  <c r="AB108" i="3"/>
  <c r="AJ108" i="3" s="1"/>
  <c r="AJ102" i="3"/>
  <c r="P335" i="3"/>
  <c r="V335" i="3"/>
  <c r="AI327" i="3"/>
  <c r="S335" i="3"/>
  <c r="R335" i="3" s="1"/>
  <c r="AP167" i="3"/>
  <c r="U175" i="3"/>
  <c r="AQ167" i="3" s="1"/>
  <c r="AP114" i="3"/>
  <c r="U127" i="3"/>
  <c r="AQ114" i="3" s="1"/>
  <c r="V171" i="3"/>
  <c r="S171" i="3"/>
  <c r="R171" i="3" s="1"/>
  <c r="P171" i="3"/>
  <c r="AI184" i="3"/>
  <c r="AE117" i="3"/>
  <c r="M831" i="3"/>
  <c r="AE827" i="3"/>
  <c r="AE835" i="3"/>
  <c r="M826" i="3"/>
  <c r="AF828" i="3"/>
  <c r="M185" i="3"/>
  <c r="P128" i="3"/>
  <c r="AI124" i="3"/>
  <c r="V128" i="3"/>
  <c r="S128" i="3"/>
  <c r="R128" i="3" s="1"/>
  <c r="AJ815" i="3"/>
  <c r="AF833" i="3"/>
  <c r="L824" i="3"/>
  <c r="AH833" i="3" s="1"/>
  <c r="AI196" i="3"/>
  <c r="P211" i="3"/>
  <c r="V211" i="3"/>
  <c r="S211" i="3"/>
  <c r="R211" i="3" s="1"/>
  <c r="AC824" i="3"/>
  <c r="I820" i="3"/>
  <c r="U176" i="3"/>
  <c r="AQ185" i="3" s="1"/>
  <c r="AP185" i="3"/>
  <c r="U122" i="3"/>
  <c r="AQ131" i="3" s="1"/>
  <c r="AP131" i="3"/>
  <c r="S90" i="3"/>
  <c r="R90" i="3" s="1"/>
  <c r="P90" i="3"/>
  <c r="AI103" i="3"/>
  <c r="V90" i="3"/>
  <c r="AB54" i="3"/>
  <c r="AJ54" i="3" s="1"/>
  <c r="AJ48" i="3"/>
  <c r="AE126" i="3"/>
  <c r="AP80" i="3"/>
  <c r="U71" i="3"/>
  <c r="AQ80" i="3" s="1"/>
  <c r="AE817" i="3"/>
  <c r="S10" i="3"/>
  <c r="R10" i="3" s="1"/>
  <c r="P10" i="3"/>
  <c r="AI14" i="3"/>
  <c r="V10" i="3"/>
  <c r="H834" i="3"/>
  <c r="AP832" i="2"/>
  <c r="U819" i="2"/>
  <c r="AQ832" i="2" s="1"/>
  <c r="AP188" i="3"/>
  <c r="U179" i="3"/>
  <c r="AQ188" i="3" s="1"/>
  <c r="T827" i="3"/>
  <c r="N827" i="3"/>
  <c r="AJ836" i="3" s="1"/>
  <c r="AB836" i="3"/>
  <c r="M41" i="3"/>
  <c r="M69" i="3"/>
  <c r="AL195" i="3"/>
  <c r="AR195" i="3"/>
  <c r="AO195" i="3"/>
  <c r="AN195" i="3" s="1"/>
  <c r="AB63" i="3"/>
  <c r="AJ63" i="3" s="1"/>
  <c r="AP724" i="2"/>
  <c r="U711" i="2"/>
  <c r="AQ724" i="2" s="1"/>
  <c r="AG9" i="3"/>
  <c r="AC756" i="2"/>
  <c r="AJ43" i="3"/>
  <c r="AP808" i="2"/>
  <c r="U799" i="2"/>
  <c r="AQ808" i="2" s="1"/>
  <c r="AL777" i="2"/>
  <c r="AR777" i="2"/>
  <c r="AO777" i="2"/>
  <c r="AN777" i="2" s="1"/>
  <c r="AP706" i="2"/>
  <c r="U714" i="2"/>
  <c r="AQ706" i="2" s="1"/>
  <c r="M20" i="3"/>
  <c r="AE16" i="3"/>
  <c r="AE753" i="2"/>
  <c r="M744" i="2"/>
  <c r="P170" i="3"/>
  <c r="AI175" i="3"/>
  <c r="V170" i="3"/>
  <c r="S170" i="3"/>
  <c r="R170" i="3" s="1"/>
  <c r="U763" i="2"/>
  <c r="AQ768" i="2" s="1"/>
  <c r="AP768" i="2"/>
  <c r="AP774" i="2" s="1"/>
  <c r="AQ774" i="2" s="1"/>
  <c r="P36" i="3"/>
  <c r="AI49" i="3"/>
  <c r="V36" i="3"/>
  <c r="S36" i="3"/>
  <c r="R36" i="3" s="1"/>
  <c r="M803" i="2"/>
  <c r="AE799" i="2"/>
  <c r="S792" i="2"/>
  <c r="R792" i="2" s="1"/>
  <c r="P792" i="2"/>
  <c r="AI805" i="2"/>
  <c r="V792" i="2"/>
  <c r="S715" i="2"/>
  <c r="R715" i="2" s="1"/>
  <c r="P715" i="2"/>
  <c r="AI707" i="2"/>
  <c r="V715" i="2"/>
  <c r="U604" i="2"/>
  <c r="AQ608" i="2" s="1"/>
  <c r="AP608" i="2"/>
  <c r="U804" i="2"/>
  <c r="AQ800" i="2" s="1"/>
  <c r="AP800" i="2"/>
  <c r="S775" i="2"/>
  <c r="R775" i="2" s="1"/>
  <c r="AI762" i="2"/>
  <c r="P775" i="2"/>
  <c r="V775" i="2"/>
  <c r="AP583" i="2"/>
  <c r="U587" i="2"/>
  <c r="AQ583" i="2" s="1"/>
  <c r="AI806" i="2"/>
  <c r="S797" i="2"/>
  <c r="R797" i="2" s="1"/>
  <c r="P797" i="2"/>
  <c r="V797" i="2"/>
  <c r="AC693" i="2"/>
  <c r="M658" i="2"/>
  <c r="AE662" i="2"/>
  <c r="AH589" i="2"/>
  <c r="M576" i="2"/>
  <c r="AF792" i="2"/>
  <c r="S723" i="2"/>
  <c r="R723" i="2" s="1"/>
  <c r="AI719" i="2"/>
  <c r="P723" i="2"/>
  <c r="V723" i="2"/>
  <c r="M655" i="2"/>
  <c r="AE660" i="2"/>
  <c r="P634" i="2"/>
  <c r="AI626" i="2"/>
  <c r="V634" i="2"/>
  <c r="S634" i="2"/>
  <c r="R634" i="2" s="1"/>
  <c r="AJ500" i="2"/>
  <c r="AB504" i="2"/>
  <c r="AJ504" i="2" s="1"/>
  <c r="T645" i="2"/>
  <c r="U645" i="2" s="1"/>
  <c r="AP642" i="2"/>
  <c r="U627" i="2"/>
  <c r="AQ642" i="2" s="1"/>
  <c r="V643" i="2"/>
  <c r="AI628" i="2"/>
  <c r="P643" i="2"/>
  <c r="S643" i="2"/>
  <c r="R643" i="2" s="1"/>
  <c r="M66" i="3"/>
  <c r="S738" i="2"/>
  <c r="R738" i="2" s="1"/>
  <c r="P738" i="2"/>
  <c r="AI751" i="2"/>
  <c r="V738" i="2"/>
  <c r="AJ693" i="2"/>
  <c r="AF675" i="2"/>
  <c r="S774" i="2"/>
  <c r="R774" i="2" s="1"/>
  <c r="P774" i="2"/>
  <c r="AI771" i="2"/>
  <c r="V774" i="2"/>
  <c r="AP734" i="2"/>
  <c r="U742" i="2"/>
  <c r="AQ734" i="2" s="1"/>
  <c r="V714" i="2"/>
  <c r="S714" i="2"/>
  <c r="R714" i="2" s="1"/>
  <c r="P714" i="2"/>
  <c r="AI706" i="2"/>
  <c r="AE679" i="2"/>
  <c r="M687" i="2"/>
  <c r="L645" i="2"/>
  <c r="AH642" i="2"/>
  <c r="AH648" i="2" s="1"/>
  <c r="AB540" i="2"/>
  <c r="AJ540" i="2" s="1"/>
  <c r="AE511" i="2"/>
  <c r="M502" i="2"/>
  <c r="M558" i="2"/>
  <c r="AE555" i="2"/>
  <c r="AB567" i="2"/>
  <c r="AJ567" i="2" s="1"/>
  <c r="AJ561" i="2"/>
  <c r="M499" i="2"/>
  <c r="AE491" i="2"/>
  <c r="AC504" i="2"/>
  <c r="AI547" i="2"/>
  <c r="P562" i="2"/>
  <c r="V562" i="2"/>
  <c r="S562" i="2"/>
  <c r="R562" i="2" s="1"/>
  <c r="AP431" i="2"/>
  <c r="U422" i="2"/>
  <c r="AQ431" i="2" s="1"/>
  <c r="P521" i="2"/>
  <c r="AI526" i="2"/>
  <c r="V521" i="2"/>
  <c r="S521" i="2"/>
  <c r="R521" i="2" s="1"/>
  <c r="S426" i="2"/>
  <c r="R426" i="2" s="1"/>
  <c r="AI422" i="2"/>
  <c r="P426" i="2"/>
  <c r="V426" i="2"/>
  <c r="M394" i="2"/>
  <c r="AE403" i="2"/>
  <c r="M282" i="2"/>
  <c r="AE274" i="2"/>
  <c r="M259" i="2"/>
  <c r="AE268" i="2"/>
  <c r="S560" i="2"/>
  <c r="R560" i="2" s="1"/>
  <c r="P560" i="2"/>
  <c r="AI556" i="2"/>
  <c r="V560" i="2"/>
  <c r="M507" i="2"/>
  <c r="AE503" i="2"/>
  <c r="U635" i="2"/>
  <c r="AQ644" i="2" s="1"/>
  <c r="AP644" i="2"/>
  <c r="AP474" i="2"/>
  <c r="U477" i="2"/>
  <c r="AQ474" i="2" s="1"/>
  <c r="AO592" i="2"/>
  <c r="AN592" i="2" s="1"/>
  <c r="P414" i="2"/>
  <c r="AI427" i="2"/>
  <c r="V414" i="2"/>
  <c r="S414" i="2"/>
  <c r="R414" i="2" s="1"/>
  <c r="M342" i="2"/>
  <c r="AH339" i="2"/>
  <c r="AH342" i="2" s="1"/>
  <c r="AF468" i="2"/>
  <c r="M440" i="2"/>
  <c r="AE445" i="2"/>
  <c r="I456" i="2"/>
  <c r="M393" i="2"/>
  <c r="AH402" i="2"/>
  <c r="L321" i="2"/>
  <c r="AP528" i="2"/>
  <c r="U531" i="2"/>
  <c r="AQ528" i="2" s="1"/>
  <c r="AP471" i="2"/>
  <c r="AP477" i="2" s="1"/>
  <c r="AQ477" i="2" s="1"/>
  <c r="U466" i="2"/>
  <c r="AQ471" i="2" s="1"/>
  <c r="AI383" i="2"/>
  <c r="S391" i="2"/>
  <c r="R391" i="2" s="1"/>
  <c r="P391" i="2"/>
  <c r="V391" i="2"/>
  <c r="U253" i="2"/>
  <c r="AQ257" i="2" s="1"/>
  <c r="AP257" i="2"/>
  <c r="P665" i="2"/>
  <c r="AI674" i="2"/>
  <c r="V665" i="2"/>
  <c r="S665" i="2"/>
  <c r="R665" i="2" s="1"/>
  <c r="AC594" i="2"/>
  <c r="M526" i="2"/>
  <c r="AE518" i="2"/>
  <c r="S442" i="2"/>
  <c r="R442" i="2" s="1"/>
  <c r="P442" i="2"/>
  <c r="AI446" i="2"/>
  <c r="V442" i="2"/>
  <c r="AL790" i="3"/>
  <c r="AR790" i="3"/>
  <c r="AO790" i="3"/>
  <c r="AN790" i="3" s="1"/>
  <c r="M563" i="2"/>
  <c r="AE548" i="2"/>
  <c r="AF414" i="2"/>
  <c r="AE364" i="2"/>
  <c r="M359" i="2"/>
  <c r="AH252" i="2"/>
  <c r="AE162" i="2"/>
  <c r="T294" i="2"/>
  <c r="U294" i="2" s="1"/>
  <c r="AP291" i="2"/>
  <c r="U276" i="2"/>
  <c r="AQ291" i="2" s="1"/>
  <c r="S251" i="2"/>
  <c r="R251" i="2" s="1"/>
  <c r="AI256" i="2"/>
  <c r="V251" i="2"/>
  <c r="P251" i="2"/>
  <c r="M204" i="2"/>
  <c r="AE213" i="2"/>
  <c r="AE216" i="2" s="1"/>
  <c r="AP185" i="2"/>
  <c r="U176" i="2"/>
  <c r="AQ185" i="2" s="1"/>
  <c r="AE421" i="2"/>
  <c r="M425" i="2"/>
  <c r="AE367" i="2"/>
  <c r="M371" i="2"/>
  <c r="S291" i="2"/>
  <c r="R291" i="2" s="1"/>
  <c r="AI287" i="2"/>
  <c r="V291" i="2"/>
  <c r="P291" i="2"/>
  <c r="S212" i="2"/>
  <c r="R212" i="2" s="1"/>
  <c r="AI197" i="2"/>
  <c r="V212" i="2"/>
  <c r="P212" i="2"/>
  <c r="M362" i="2"/>
  <c r="AE354" i="2"/>
  <c r="AL332" i="2"/>
  <c r="AR332" i="2"/>
  <c r="AO332" i="2"/>
  <c r="AN332" i="2" s="1"/>
  <c r="AJ246" i="2"/>
  <c r="AB252" i="2"/>
  <c r="AJ252" i="2" s="1"/>
  <c r="S236" i="2"/>
  <c r="R236" i="2" s="1"/>
  <c r="P236" i="2"/>
  <c r="V236" i="2"/>
  <c r="AI232" i="2"/>
  <c r="L213" i="2"/>
  <c r="AH210" i="2"/>
  <c r="AH216" i="2" s="1"/>
  <c r="AP85" i="2"/>
  <c r="U93" i="2"/>
  <c r="AQ85" i="2" s="1"/>
  <c r="AE347" i="2"/>
  <c r="M338" i="2"/>
  <c r="AE302" i="2"/>
  <c r="M310" i="2"/>
  <c r="AC117" i="2"/>
  <c r="AP79" i="2"/>
  <c r="U70" i="2"/>
  <c r="AQ79" i="2" s="1"/>
  <c r="AP278" i="2"/>
  <c r="U293" i="2"/>
  <c r="AQ278" i="2" s="1"/>
  <c r="M207" i="2"/>
  <c r="AE204" i="2"/>
  <c r="AP157" i="2"/>
  <c r="U144" i="2"/>
  <c r="AQ157" i="2" s="1"/>
  <c r="U104" i="2"/>
  <c r="AQ89" i="2" s="1"/>
  <c r="AP89" i="2"/>
  <c r="M62" i="2"/>
  <c r="AE67" i="2"/>
  <c r="AJ3" i="2"/>
  <c r="AB9" i="2"/>
  <c r="M398" i="2"/>
  <c r="AE394" i="2"/>
  <c r="P234" i="2"/>
  <c r="V234" i="2"/>
  <c r="S234" i="2"/>
  <c r="R234" i="2" s="1"/>
  <c r="AI231" i="2"/>
  <c r="AL169" i="2"/>
  <c r="AR169" i="2"/>
  <c r="AO169" i="2"/>
  <c r="AN169" i="2" s="1"/>
  <c r="AI142" i="2"/>
  <c r="P157" i="2"/>
  <c r="V157" i="2"/>
  <c r="S157" i="2"/>
  <c r="R157" i="2" s="1"/>
  <c r="V153" i="2"/>
  <c r="S153" i="2"/>
  <c r="R153" i="2" s="1"/>
  <c r="P153" i="2"/>
  <c r="AI150" i="2"/>
  <c r="U23" i="2"/>
  <c r="AQ8" i="2" s="1"/>
  <c r="AP8" i="2"/>
  <c r="AJ750" i="1"/>
  <c r="AB756" i="1"/>
  <c r="AJ756" i="1" s="1"/>
  <c r="AL219" i="2"/>
  <c r="AR219" i="2"/>
  <c r="AO219" i="2"/>
  <c r="AN219" i="2" s="1"/>
  <c r="AE853" i="2"/>
  <c r="U11" i="2"/>
  <c r="AQ3" i="2" s="1"/>
  <c r="AP3" i="2"/>
  <c r="AP9" i="2" s="1"/>
  <c r="AE850" i="2"/>
  <c r="T267" i="2"/>
  <c r="U267" i="2" s="1"/>
  <c r="AL212" i="2"/>
  <c r="AR212" i="2"/>
  <c r="AO212" i="2"/>
  <c r="AN212" i="2" s="1"/>
  <c r="AI88" i="2"/>
  <c r="P103" i="2"/>
  <c r="V103" i="2"/>
  <c r="S103" i="2"/>
  <c r="R103" i="2" s="1"/>
  <c r="AE3" i="2"/>
  <c r="M11" i="2"/>
  <c r="S89" i="2"/>
  <c r="R89" i="2" s="1"/>
  <c r="P89" i="2"/>
  <c r="AI94" i="2"/>
  <c r="V89" i="2"/>
  <c r="AP76" i="2"/>
  <c r="U63" i="2"/>
  <c r="AQ76" i="2" s="1"/>
  <c r="U22" i="2"/>
  <c r="AQ7" i="2" s="1"/>
  <c r="AP7" i="2"/>
  <c r="AG864" i="2"/>
  <c r="M340" i="2"/>
  <c r="AE349" i="2"/>
  <c r="P292" i="2"/>
  <c r="V292" i="2"/>
  <c r="S292" i="2"/>
  <c r="R292" i="2" s="1"/>
  <c r="AI277" i="2"/>
  <c r="T24" i="2"/>
  <c r="U24" i="2" s="1"/>
  <c r="AP21" i="2"/>
  <c r="AP27" i="2" s="1"/>
  <c r="U6" i="2"/>
  <c r="AQ21" i="2" s="1"/>
  <c r="U821" i="1"/>
  <c r="AQ813" i="1" s="1"/>
  <c r="AP813" i="1"/>
  <c r="AP819" i="1" s="1"/>
  <c r="AQ819" i="1" s="1"/>
  <c r="S801" i="1"/>
  <c r="R801" i="1" s="1"/>
  <c r="P801" i="1"/>
  <c r="AI798" i="1"/>
  <c r="V801" i="1"/>
  <c r="AB783" i="1"/>
  <c r="AJ783" i="1" s="1"/>
  <c r="AJ777" i="1"/>
  <c r="AF756" i="1"/>
  <c r="AP714" i="1"/>
  <c r="U709" i="1"/>
  <c r="AQ714" i="1" s="1"/>
  <c r="M183" i="2"/>
  <c r="AE179" i="2"/>
  <c r="U158" i="2"/>
  <c r="AQ143" i="2" s="1"/>
  <c r="AP143" i="2"/>
  <c r="S115" i="2"/>
  <c r="R115" i="2" s="1"/>
  <c r="P115" i="2"/>
  <c r="AI120" i="2"/>
  <c r="V115" i="2"/>
  <c r="AB855" i="2"/>
  <c r="AJ849" i="2"/>
  <c r="AO61" i="2"/>
  <c r="AN61" i="2" s="1"/>
  <c r="AL61" i="2"/>
  <c r="AR61" i="2"/>
  <c r="V35" i="2"/>
  <c r="S35" i="2"/>
  <c r="R35" i="2" s="1"/>
  <c r="P35" i="2"/>
  <c r="AI40" i="2"/>
  <c r="AI809" i="1"/>
  <c r="V800" i="1"/>
  <c r="S800" i="1"/>
  <c r="R800" i="1" s="1"/>
  <c r="P800" i="1"/>
  <c r="AO184" i="2"/>
  <c r="AN184" i="2" s="1"/>
  <c r="AR184" i="2"/>
  <c r="AL184" i="2"/>
  <c r="AL69" i="2"/>
  <c r="AR69" i="2"/>
  <c r="AO69" i="2"/>
  <c r="AN69" i="2" s="1"/>
  <c r="M804" i="1"/>
  <c r="AI755" i="1"/>
  <c r="V746" i="1"/>
  <c r="S746" i="1"/>
  <c r="R746" i="1" s="1"/>
  <c r="P746" i="1"/>
  <c r="AE738" i="1"/>
  <c r="AE319" i="2"/>
  <c r="M306" i="2"/>
  <c r="AE76" i="2"/>
  <c r="M63" i="2"/>
  <c r="P38" i="2"/>
  <c r="V38" i="2"/>
  <c r="AI30" i="2"/>
  <c r="S38" i="2"/>
  <c r="R38" i="2" s="1"/>
  <c r="AD27" i="2"/>
  <c r="AI786" i="1"/>
  <c r="S794" i="1"/>
  <c r="R794" i="1" s="1"/>
  <c r="P794" i="1"/>
  <c r="V794" i="1"/>
  <c r="AJ534" i="1"/>
  <c r="AB540" i="1"/>
  <c r="AJ540" i="1" s="1"/>
  <c r="L51" i="2"/>
  <c r="S793" i="1"/>
  <c r="R793" i="1" s="1"/>
  <c r="P793" i="1"/>
  <c r="V793" i="1"/>
  <c r="AI797" i="1"/>
  <c r="M752" i="1"/>
  <c r="M41" i="2"/>
  <c r="S790" i="1"/>
  <c r="R790" i="1" s="1"/>
  <c r="P790" i="1"/>
  <c r="AI795" i="1"/>
  <c r="V790" i="1"/>
  <c r="M763" i="1"/>
  <c r="AE768" i="1"/>
  <c r="P737" i="1"/>
  <c r="AI742" i="1"/>
  <c r="V737" i="1"/>
  <c r="S737" i="1"/>
  <c r="R737" i="1" s="1"/>
  <c r="U635" i="1"/>
  <c r="AQ644" i="1" s="1"/>
  <c r="AP644" i="1"/>
  <c r="AP485" i="1"/>
  <c r="U476" i="1"/>
  <c r="AQ485" i="1" s="1"/>
  <c r="M773" i="1"/>
  <c r="AB477" i="1"/>
  <c r="AJ477" i="1" s="1"/>
  <c r="AJ471" i="1"/>
  <c r="AA18" i="2"/>
  <c r="AI835" i="1"/>
  <c r="V826" i="1"/>
  <c r="S826" i="1"/>
  <c r="R826" i="1" s="1"/>
  <c r="P826" i="1"/>
  <c r="U805" i="1"/>
  <c r="AQ790" i="1" s="1"/>
  <c r="AP790" i="1"/>
  <c r="AP792" i="1" s="1"/>
  <c r="AQ792" i="1" s="1"/>
  <c r="AF594" i="1"/>
  <c r="AE564" i="1"/>
  <c r="M555" i="1"/>
  <c r="AF540" i="1"/>
  <c r="AB459" i="1"/>
  <c r="AJ459" i="1" s="1"/>
  <c r="AJ453" i="1"/>
  <c r="AP444" i="1"/>
  <c r="U439" i="1"/>
  <c r="AQ444" i="1" s="1"/>
  <c r="M503" i="1"/>
  <c r="P493" i="1"/>
  <c r="AI498" i="1"/>
  <c r="V493" i="1"/>
  <c r="S493" i="1"/>
  <c r="R493" i="1" s="1"/>
  <c r="AI455" i="1"/>
  <c r="S446" i="1"/>
  <c r="R446" i="1" s="1"/>
  <c r="P446" i="1"/>
  <c r="V446" i="1"/>
  <c r="L564" i="1"/>
  <c r="AI491" i="1"/>
  <c r="V499" i="1"/>
  <c r="S499" i="1"/>
  <c r="R499" i="1" s="1"/>
  <c r="P499" i="1"/>
  <c r="T456" i="1"/>
  <c r="U456" i="1" s="1"/>
  <c r="AI52" i="2"/>
  <c r="V43" i="2"/>
  <c r="S43" i="2"/>
  <c r="R43" i="2" s="1"/>
  <c r="P43" i="2"/>
  <c r="I618" i="1"/>
  <c r="P551" i="1"/>
  <c r="V551" i="1"/>
  <c r="AI543" i="1"/>
  <c r="S551" i="1"/>
  <c r="R551" i="1" s="1"/>
  <c r="AH540" i="1"/>
  <c r="AP499" i="1"/>
  <c r="U494" i="1"/>
  <c r="AQ499" i="1" s="1"/>
  <c r="V451" i="1"/>
  <c r="S451" i="1"/>
  <c r="R451" i="1" s="1"/>
  <c r="AI438" i="1"/>
  <c r="P451" i="1"/>
  <c r="AI673" i="1"/>
  <c r="V664" i="1"/>
  <c r="S664" i="1"/>
  <c r="R664" i="1" s="1"/>
  <c r="P664" i="1"/>
  <c r="S536" i="1"/>
  <c r="R536" i="1" s="1"/>
  <c r="AI521" i="1"/>
  <c r="P536" i="1"/>
  <c r="V536" i="1"/>
  <c r="M522" i="1"/>
  <c r="AE535" i="1"/>
  <c r="S644" i="1"/>
  <c r="R644" i="1" s="1"/>
  <c r="AI629" i="1"/>
  <c r="P644" i="1"/>
  <c r="V644" i="1"/>
  <c r="M530" i="1"/>
  <c r="AE539" i="1"/>
  <c r="M414" i="1"/>
  <c r="AE427" i="1"/>
  <c r="U293" i="1"/>
  <c r="AQ278" i="1" s="1"/>
  <c r="AP278" i="1"/>
  <c r="T213" i="1"/>
  <c r="U213" i="1" s="1"/>
  <c r="AP210" i="1"/>
  <c r="U195" i="1"/>
  <c r="AQ210" i="1" s="1"/>
  <c r="P496" i="1"/>
  <c r="AI500" i="1"/>
  <c r="V496" i="1"/>
  <c r="S496" i="1"/>
  <c r="R496" i="1" s="1"/>
  <c r="S472" i="1"/>
  <c r="R472" i="1" s="1"/>
  <c r="P472" i="1"/>
  <c r="AI464" i="1"/>
  <c r="V472" i="1"/>
  <c r="AB441" i="1"/>
  <c r="AJ441" i="1" s="1"/>
  <c r="U389" i="1"/>
  <c r="AQ381" i="1" s="1"/>
  <c r="AP381" i="1"/>
  <c r="AP387" i="1" s="1"/>
  <c r="AQ387" i="1" s="1"/>
  <c r="AJ345" i="1"/>
  <c r="AB351" i="1"/>
  <c r="AJ351" i="1" s="1"/>
  <c r="AO58" i="2"/>
  <c r="AN58" i="2" s="1"/>
  <c r="AL58" i="2"/>
  <c r="AR58" i="2"/>
  <c r="M666" i="1"/>
  <c r="AE663" i="1"/>
  <c r="AE666" i="1" s="1"/>
  <c r="S642" i="1"/>
  <c r="R642" i="1" s="1"/>
  <c r="AI638" i="1"/>
  <c r="P642" i="1"/>
  <c r="V642" i="1"/>
  <c r="AH648" i="1"/>
  <c r="U613" i="1"/>
  <c r="AQ600" i="1" s="1"/>
  <c r="AP600" i="1"/>
  <c r="AI354" i="1"/>
  <c r="S362" i="1"/>
  <c r="R362" i="1" s="1"/>
  <c r="P362" i="1"/>
  <c r="V362" i="1"/>
  <c r="AP259" i="1"/>
  <c r="U263" i="1"/>
  <c r="AQ259" i="1" s="1"/>
  <c r="AP256" i="1"/>
  <c r="AP261" i="1" s="1"/>
  <c r="AQ261" i="1" s="1"/>
  <c r="U251" i="1"/>
  <c r="AQ256" i="1" s="1"/>
  <c r="AP653" i="1"/>
  <c r="U661" i="1"/>
  <c r="AQ653" i="1" s="1"/>
  <c r="AE224" i="1"/>
  <c r="M239" i="1"/>
  <c r="AC843" i="1"/>
  <c r="I856" i="1"/>
  <c r="AI376" i="1"/>
  <c r="V367" i="1"/>
  <c r="S367" i="1"/>
  <c r="R367" i="1" s="1"/>
  <c r="P367" i="1"/>
  <c r="M312" i="1"/>
  <c r="U206" i="1"/>
  <c r="AQ215" i="1" s="1"/>
  <c r="AP215" i="1"/>
  <c r="AP842" i="1"/>
  <c r="U850" i="1"/>
  <c r="AQ842" i="1" s="1"/>
  <c r="V197" i="1"/>
  <c r="S197" i="1"/>
  <c r="R197" i="1" s="1"/>
  <c r="P197" i="1"/>
  <c r="AI202" i="1"/>
  <c r="I860" i="1"/>
  <c r="AC845" i="1"/>
  <c r="AF860" i="1"/>
  <c r="L851" i="1"/>
  <c r="AH860" i="1" s="1"/>
  <c r="M400" i="1"/>
  <c r="M369" i="1"/>
  <c r="AH341" i="1"/>
  <c r="AH342" i="1" s="1"/>
  <c r="M345" i="1"/>
  <c r="M14" i="1"/>
  <c r="AE23" i="1"/>
  <c r="AP431" i="1"/>
  <c r="U422" i="1"/>
  <c r="AQ431" i="1" s="1"/>
  <c r="AI313" i="1"/>
  <c r="V317" i="1"/>
  <c r="S317" i="1"/>
  <c r="R317" i="1" s="1"/>
  <c r="P317" i="1"/>
  <c r="AI295" i="1"/>
  <c r="V286" i="1"/>
  <c r="S286" i="1"/>
  <c r="R286" i="1" s="1"/>
  <c r="P286" i="1"/>
  <c r="AP93" i="1"/>
  <c r="AP99" i="1" s="1"/>
  <c r="AQ99" i="1" s="1"/>
  <c r="U88" i="1"/>
  <c r="AQ93" i="1" s="1"/>
  <c r="AP39" i="1"/>
  <c r="U34" i="1"/>
  <c r="AQ39" i="1" s="1"/>
  <c r="L510" i="1"/>
  <c r="V398" i="1"/>
  <c r="S398" i="1"/>
  <c r="R398" i="1" s="1"/>
  <c r="P398" i="1"/>
  <c r="AI394" i="1"/>
  <c r="U365" i="1"/>
  <c r="AQ374" i="1" s="1"/>
  <c r="AP374" i="1"/>
  <c r="S346" i="1"/>
  <c r="R346" i="1" s="1"/>
  <c r="P346" i="1"/>
  <c r="V346" i="1"/>
  <c r="AI331" i="1"/>
  <c r="AI212" i="1"/>
  <c r="S203" i="1"/>
  <c r="R203" i="1" s="1"/>
  <c r="P203" i="1"/>
  <c r="V203" i="1"/>
  <c r="S174" i="1"/>
  <c r="R174" i="1" s="1"/>
  <c r="P174" i="1"/>
  <c r="AI166" i="1"/>
  <c r="V174" i="1"/>
  <c r="S120" i="1"/>
  <c r="R120" i="1" s="1"/>
  <c r="P120" i="1"/>
  <c r="AI112" i="1"/>
  <c r="V120" i="1"/>
  <c r="S66" i="1"/>
  <c r="R66" i="1" s="1"/>
  <c r="P66" i="1"/>
  <c r="AI58" i="1"/>
  <c r="V66" i="1"/>
  <c r="AF854" i="1"/>
  <c r="L858" i="1"/>
  <c r="AH854" i="1" s="1"/>
  <c r="L853" i="1"/>
  <c r="AH862" i="1" s="1"/>
  <c r="AF862" i="1"/>
  <c r="AA846" i="1"/>
  <c r="AP405" i="1"/>
  <c r="AQ405" i="1" s="1"/>
  <c r="U265" i="1"/>
  <c r="AQ250" i="1" s="1"/>
  <c r="AP250" i="1"/>
  <c r="AH261" i="1"/>
  <c r="AP220" i="1"/>
  <c r="U228" i="1"/>
  <c r="AQ220" i="1" s="1"/>
  <c r="AP34" i="1"/>
  <c r="U49" i="1"/>
  <c r="AQ34" i="1" s="1"/>
  <c r="AB360" i="1"/>
  <c r="AJ360" i="1" s="1"/>
  <c r="M251" i="1"/>
  <c r="AE256" i="1"/>
  <c r="U158" i="1"/>
  <c r="AQ143" i="1" s="1"/>
  <c r="AP143" i="1"/>
  <c r="S102" i="1"/>
  <c r="R102" i="1" s="1"/>
  <c r="AI98" i="1"/>
  <c r="P102" i="1"/>
  <c r="V102" i="1"/>
  <c r="M75" i="1"/>
  <c r="AE71" i="1"/>
  <c r="AE72" i="1" s="1"/>
  <c r="P41" i="1"/>
  <c r="V41" i="1"/>
  <c r="AI50" i="1"/>
  <c r="S41" i="1"/>
  <c r="R41" i="1" s="1"/>
  <c r="L24" i="1"/>
  <c r="AE135" i="1"/>
  <c r="P331" i="1"/>
  <c r="V331" i="1"/>
  <c r="S331" i="1"/>
  <c r="R331" i="1" s="1"/>
  <c r="AI336" i="1"/>
  <c r="S141" i="1"/>
  <c r="R141" i="1" s="1"/>
  <c r="P141" i="1"/>
  <c r="AI156" i="1"/>
  <c r="V141" i="1"/>
  <c r="P116" i="1"/>
  <c r="AI121" i="1"/>
  <c r="V116" i="1"/>
  <c r="S116" i="1"/>
  <c r="R116" i="1" s="1"/>
  <c r="AO232" i="1"/>
  <c r="AN232" i="1" s="1"/>
  <c r="AL232" i="1"/>
  <c r="AR232" i="1"/>
  <c r="AJ228" i="1"/>
  <c r="AB234" i="1"/>
  <c r="AJ234" i="1" s="1"/>
  <c r="U150" i="1"/>
  <c r="AQ159" i="1" s="1"/>
  <c r="AP159" i="1"/>
  <c r="P129" i="1"/>
  <c r="V129" i="1"/>
  <c r="S129" i="1"/>
  <c r="R129" i="1" s="1"/>
  <c r="AI125" i="1"/>
  <c r="AP96" i="1"/>
  <c r="U99" i="1"/>
  <c r="AQ96" i="1" s="1"/>
  <c r="L78" i="1"/>
  <c r="T24" i="1"/>
  <c r="U24" i="1" s="1"/>
  <c r="AP21" i="1"/>
  <c r="AP27" i="1" s="1"/>
  <c r="AQ27" i="1" s="1"/>
  <c r="U6" i="1"/>
  <c r="AQ21" i="1" s="1"/>
  <c r="AE214" i="1"/>
  <c r="M205" i="1"/>
  <c r="V63" i="1"/>
  <c r="S63" i="1"/>
  <c r="R63" i="1" s="1"/>
  <c r="P63" i="1"/>
  <c r="AI76" i="1"/>
  <c r="AI21" i="1"/>
  <c r="S6" i="1"/>
  <c r="R6" i="1" s="1"/>
  <c r="P6" i="1"/>
  <c r="V6" i="1"/>
  <c r="AC153" i="1"/>
  <c r="P226" i="1"/>
  <c r="AI230" i="1"/>
  <c r="V226" i="1"/>
  <c r="S226" i="1"/>
  <c r="R226" i="1" s="1"/>
  <c r="AH207" i="1"/>
  <c r="P152" i="1"/>
  <c r="AI161" i="1"/>
  <c r="V152" i="1"/>
  <c r="S152" i="1"/>
  <c r="R152" i="1" s="1"/>
  <c r="AD279" i="1"/>
  <c r="I78" i="1"/>
  <c r="M37" i="1"/>
  <c r="AE41" i="1"/>
  <c r="AR44" i="1"/>
  <c r="AO44" i="1"/>
  <c r="AN44" i="1" s="1"/>
  <c r="AL44" i="1"/>
  <c r="M316" i="1"/>
  <c r="AE303" i="1"/>
  <c r="AE306" i="1" s="1"/>
  <c r="AJ219" i="1"/>
  <c r="AB225" i="1"/>
  <c r="AJ225" i="1" s="1"/>
  <c r="S795" i="3"/>
  <c r="R795" i="3" s="1"/>
  <c r="P795" i="3"/>
  <c r="V795" i="3"/>
  <c r="AI787" i="3"/>
  <c r="AE808" i="3"/>
  <c r="M799" i="3"/>
  <c r="AP770" i="3"/>
  <c r="U766" i="3"/>
  <c r="AQ770" i="3" s="1"/>
  <c r="AP805" i="3"/>
  <c r="AP810" i="3" s="1"/>
  <c r="AQ810" i="3" s="1"/>
  <c r="U792" i="3"/>
  <c r="AQ805" i="3" s="1"/>
  <c r="AP768" i="3"/>
  <c r="U763" i="3"/>
  <c r="AQ768" i="3" s="1"/>
  <c r="AL788" i="3"/>
  <c r="AR788" i="3"/>
  <c r="AO788" i="3"/>
  <c r="AN788" i="3" s="1"/>
  <c r="M744" i="3"/>
  <c r="AE753" i="3"/>
  <c r="AO786" i="3"/>
  <c r="AN786" i="3" s="1"/>
  <c r="AL786" i="3"/>
  <c r="AR786" i="3"/>
  <c r="AP755" i="3"/>
  <c r="U746" i="3"/>
  <c r="AQ755" i="3" s="1"/>
  <c r="AE769" i="3"/>
  <c r="AE774" i="3" s="1"/>
  <c r="M764" i="3"/>
  <c r="AR732" i="3"/>
  <c r="AO732" i="3"/>
  <c r="AN732" i="3" s="1"/>
  <c r="AL732" i="3"/>
  <c r="I753" i="3"/>
  <c r="AE750" i="3"/>
  <c r="AE756" i="3" s="1"/>
  <c r="M735" i="3"/>
  <c r="AO772" i="3"/>
  <c r="AN772" i="3" s="1"/>
  <c r="AL772" i="3"/>
  <c r="AR772" i="3"/>
  <c r="S749" i="3"/>
  <c r="R749" i="3" s="1"/>
  <c r="P749" i="3"/>
  <c r="AI745" i="3"/>
  <c r="V749" i="3"/>
  <c r="M743" i="3"/>
  <c r="N780" i="3"/>
  <c r="AP715" i="3"/>
  <c r="U710" i="3"/>
  <c r="AQ715" i="3" s="1"/>
  <c r="V722" i="3"/>
  <c r="S722" i="3"/>
  <c r="R722" i="3" s="1"/>
  <c r="P722" i="3"/>
  <c r="AI718" i="3"/>
  <c r="AE687" i="3"/>
  <c r="AE693" i="3" s="1"/>
  <c r="M682" i="3"/>
  <c r="M719" i="3"/>
  <c r="AO679" i="3"/>
  <c r="AN679" i="3" s="1"/>
  <c r="AL679" i="3"/>
  <c r="AR679" i="3"/>
  <c r="T672" i="3"/>
  <c r="U672" i="3" s="1"/>
  <c r="AP669" i="3"/>
  <c r="U654" i="3"/>
  <c r="AQ669" i="3" s="1"/>
  <c r="M684" i="3"/>
  <c r="AE697" i="3"/>
  <c r="AI672" i="3"/>
  <c r="V663" i="3"/>
  <c r="P663" i="3"/>
  <c r="S663" i="3"/>
  <c r="R663" i="3" s="1"/>
  <c r="L618" i="3"/>
  <c r="AH615" i="3"/>
  <c r="AH621" i="3" s="1"/>
  <c r="P655" i="3"/>
  <c r="AI660" i="3"/>
  <c r="V655" i="3"/>
  <c r="S655" i="3"/>
  <c r="R655" i="3" s="1"/>
  <c r="U640" i="3"/>
  <c r="AQ627" i="3" s="1"/>
  <c r="AP627" i="3"/>
  <c r="AP626" i="3"/>
  <c r="U634" i="3"/>
  <c r="AQ626" i="3" s="1"/>
  <c r="M611" i="3"/>
  <c r="AE620" i="3"/>
  <c r="U589" i="3"/>
  <c r="AQ574" i="3" s="1"/>
  <c r="AP574" i="3"/>
  <c r="AB666" i="3"/>
  <c r="AJ666" i="3" s="1"/>
  <c r="S604" i="3"/>
  <c r="R604" i="3" s="1"/>
  <c r="P604" i="3"/>
  <c r="AI608" i="3"/>
  <c r="V604" i="3"/>
  <c r="U577" i="3"/>
  <c r="AQ581" i="3" s="1"/>
  <c r="AP581" i="3"/>
  <c r="N645" i="3"/>
  <c r="M584" i="3"/>
  <c r="AP589" i="3"/>
  <c r="U576" i="3"/>
  <c r="AQ589" i="3" s="1"/>
  <c r="T564" i="3"/>
  <c r="U564" i="3" s="1"/>
  <c r="AP561" i="3"/>
  <c r="U546" i="3"/>
  <c r="AQ561" i="3" s="1"/>
  <c r="AB558" i="3"/>
  <c r="AJ558" i="3" s="1"/>
  <c r="AJ552" i="3"/>
  <c r="S560" i="3"/>
  <c r="R560" i="3" s="1"/>
  <c r="P560" i="3"/>
  <c r="AI556" i="3"/>
  <c r="V560" i="3"/>
  <c r="AI527" i="3"/>
  <c r="V523" i="3"/>
  <c r="S523" i="3"/>
  <c r="R523" i="3" s="1"/>
  <c r="P523" i="3"/>
  <c r="M502" i="3"/>
  <c r="AE511" i="3"/>
  <c r="AE513" i="3" s="1"/>
  <c r="P522" i="3"/>
  <c r="AI535" i="3"/>
  <c r="S522" i="3"/>
  <c r="R522" i="3" s="1"/>
  <c r="V522" i="3"/>
  <c r="M509" i="3"/>
  <c r="AE494" i="3"/>
  <c r="AE495" i="3" s="1"/>
  <c r="AP490" i="3"/>
  <c r="U498" i="3"/>
  <c r="AQ490" i="3" s="1"/>
  <c r="AP528" i="3"/>
  <c r="U531" i="3"/>
  <c r="AQ528" i="3" s="1"/>
  <c r="AE482" i="3"/>
  <c r="M473" i="3"/>
  <c r="U453" i="3"/>
  <c r="AQ449" i="3" s="1"/>
  <c r="AP449" i="3"/>
  <c r="AE417" i="3"/>
  <c r="M412" i="3"/>
  <c r="P504" i="3"/>
  <c r="AI501" i="3"/>
  <c r="V504" i="3"/>
  <c r="S504" i="3"/>
  <c r="R504" i="3" s="1"/>
  <c r="P496" i="3"/>
  <c r="AI500" i="3"/>
  <c r="V496" i="3"/>
  <c r="S496" i="3"/>
  <c r="R496" i="3" s="1"/>
  <c r="AP441" i="3"/>
  <c r="AQ441" i="3" s="1"/>
  <c r="M413" i="3"/>
  <c r="AE418" i="3"/>
  <c r="AP498" i="3"/>
  <c r="U493" i="3"/>
  <c r="AQ498" i="3" s="1"/>
  <c r="M426" i="3"/>
  <c r="AE422" i="3"/>
  <c r="AF441" i="3"/>
  <c r="AI419" i="3"/>
  <c r="V415" i="3"/>
  <c r="S415" i="3"/>
  <c r="R415" i="3" s="1"/>
  <c r="P415" i="3"/>
  <c r="U400" i="3"/>
  <c r="AQ385" i="3" s="1"/>
  <c r="AP385" i="3"/>
  <c r="AP387" i="3" s="1"/>
  <c r="AQ387" i="3" s="1"/>
  <c r="U366" i="3"/>
  <c r="AQ375" i="3" s="1"/>
  <c r="AP375" i="3"/>
  <c r="L429" i="3"/>
  <c r="V416" i="3"/>
  <c r="S416" i="3"/>
  <c r="R416" i="3" s="1"/>
  <c r="P416" i="3"/>
  <c r="AI408" i="3"/>
  <c r="U448" i="3"/>
  <c r="AQ457" i="3" s="1"/>
  <c r="AP457" i="3"/>
  <c r="AR463" i="3"/>
  <c r="AL463" i="3"/>
  <c r="AO463" i="3"/>
  <c r="AN463" i="3" s="1"/>
  <c r="S395" i="3"/>
  <c r="R395" i="3" s="1"/>
  <c r="V395" i="3"/>
  <c r="AI404" i="3"/>
  <c r="P395" i="3"/>
  <c r="AP378" i="3"/>
  <c r="AQ378" i="3" s="1"/>
  <c r="M361" i="3"/>
  <c r="AE365" i="3"/>
  <c r="AE350" i="3"/>
  <c r="AE351" i="3" s="1"/>
  <c r="M341" i="3"/>
  <c r="V345" i="3"/>
  <c r="S345" i="3"/>
  <c r="R345" i="3" s="1"/>
  <c r="AI341" i="3"/>
  <c r="P345" i="3"/>
  <c r="S390" i="3"/>
  <c r="R390" i="3" s="1"/>
  <c r="P390" i="3"/>
  <c r="AI382" i="3"/>
  <c r="V390" i="3"/>
  <c r="S333" i="3"/>
  <c r="R333" i="3" s="1"/>
  <c r="P333" i="3"/>
  <c r="AI346" i="3"/>
  <c r="V333" i="3"/>
  <c r="U308" i="3"/>
  <c r="AQ300" i="3" s="1"/>
  <c r="AP300" i="3"/>
  <c r="AP306" i="3" s="1"/>
  <c r="AQ306" i="3" s="1"/>
  <c r="AP247" i="3"/>
  <c r="U255" i="3"/>
  <c r="AQ247" i="3" s="1"/>
  <c r="U200" i="3"/>
  <c r="AQ192" i="3" s="1"/>
  <c r="AP192" i="3"/>
  <c r="AE375" i="3"/>
  <c r="AE378" i="3" s="1"/>
  <c r="M366" i="3"/>
  <c r="U237" i="3"/>
  <c r="AQ233" i="3" s="1"/>
  <c r="AP233" i="3"/>
  <c r="AE313" i="3"/>
  <c r="M317" i="3"/>
  <c r="AG324" i="3"/>
  <c r="AP269" i="3"/>
  <c r="U260" i="3"/>
  <c r="AQ269" i="3" s="1"/>
  <c r="AE186" i="3"/>
  <c r="M177" i="3"/>
  <c r="I294" i="3"/>
  <c r="P257" i="3"/>
  <c r="V257" i="3"/>
  <c r="S257" i="3"/>
  <c r="R257" i="3" s="1"/>
  <c r="AI266" i="3"/>
  <c r="U204" i="3"/>
  <c r="AQ213" i="3" s="1"/>
  <c r="AP213" i="3"/>
  <c r="AP216" i="3" s="1"/>
  <c r="AQ216" i="3" s="1"/>
  <c r="P331" i="3"/>
  <c r="V331" i="3"/>
  <c r="AI336" i="3"/>
  <c r="S331" i="3"/>
  <c r="R331" i="3" s="1"/>
  <c r="V279" i="3"/>
  <c r="S279" i="3"/>
  <c r="R279" i="3" s="1"/>
  <c r="P279" i="3"/>
  <c r="AI292" i="3"/>
  <c r="P206" i="3"/>
  <c r="AI215" i="3"/>
  <c r="V206" i="3"/>
  <c r="S206" i="3"/>
  <c r="R206" i="3" s="1"/>
  <c r="AE188" i="3"/>
  <c r="M179" i="3"/>
  <c r="U158" i="3"/>
  <c r="AQ143" i="3" s="1"/>
  <c r="AP143" i="3"/>
  <c r="AP144" i="3" s="1"/>
  <c r="AQ144" i="3" s="1"/>
  <c r="U104" i="3"/>
  <c r="AQ89" i="3" s="1"/>
  <c r="AP89" i="3"/>
  <c r="M254" i="3"/>
  <c r="AE246" i="3"/>
  <c r="AE252" i="3" s="1"/>
  <c r="S226" i="3"/>
  <c r="R226" i="3" s="1"/>
  <c r="P226" i="3"/>
  <c r="AI230" i="3"/>
  <c r="V226" i="3"/>
  <c r="AF189" i="3"/>
  <c r="AF135" i="3"/>
  <c r="AJ94" i="3"/>
  <c r="AB99" i="3"/>
  <c r="AJ99" i="3" s="1"/>
  <c r="U266" i="3"/>
  <c r="AQ251" i="3" s="1"/>
  <c r="AP251" i="3"/>
  <c r="AP175" i="3"/>
  <c r="U170" i="3"/>
  <c r="AQ175" i="3" s="1"/>
  <c r="AE138" i="3"/>
  <c r="M146" i="3"/>
  <c r="AP133" i="3"/>
  <c r="U124" i="3"/>
  <c r="AQ133" i="3" s="1"/>
  <c r="AP71" i="3"/>
  <c r="U75" i="3"/>
  <c r="AQ71" i="3" s="1"/>
  <c r="M158" i="3"/>
  <c r="AE143" i="3"/>
  <c r="S118" i="3"/>
  <c r="R118" i="3" s="1"/>
  <c r="P118" i="3"/>
  <c r="V118" i="3"/>
  <c r="AI122" i="3"/>
  <c r="AE826" i="3"/>
  <c r="M830" i="3"/>
  <c r="AE24" i="3"/>
  <c r="M15" i="3"/>
  <c r="S174" i="3"/>
  <c r="R174" i="3" s="1"/>
  <c r="P174" i="3"/>
  <c r="AI166" i="3"/>
  <c r="V174" i="3"/>
  <c r="U829" i="3"/>
  <c r="AQ816" i="3" s="1"/>
  <c r="AP816" i="3"/>
  <c r="P283" i="3"/>
  <c r="AI275" i="3"/>
  <c r="V283" i="3"/>
  <c r="S283" i="3"/>
  <c r="R283" i="3" s="1"/>
  <c r="AC825" i="3"/>
  <c r="I828" i="3"/>
  <c r="N828" i="3"/>
  <c r="AB825" i="3"/>
  <c r="AJ825" i="3" s="1"/>
  <c r="T828" i="3"/>
  <c r="M42" i="3"/>
  <c r="AE51" i="3"/>
  <c r="AE54" i="3" s="1"/>
  <c r="U822" i="3"/>
  <c r="AQ814" i="3" s="1"/>
  <c r="AP814" i="3"/>
  <c r="V130" i="3"/>
  <c r="S130" i="3"/>
  <c r="R130" i="3" s="1"/>
  <c r="AI115" i="3"/>
  <c r="P130" i="3"/>
  <c r="U21" i="3"/>
  <c r="AQ17" i="3" s="1"/>
  <c r="AP17" i="3"/>
  <c r="AE832" i="3"/>
  <c r="M819" i="3"/>
  <c r="P75" i="3"/>
  <c r="V75" i="3"/>
  <c r="AI71" i="3"/>
  <c r="S75" i="3"/>
  <c r="R75" i="3" s="1"/>
  <c r="G834" i="3"/>
  <c r="AC831" i="3"/>
  <c r="AC837" i="3" s="1"/>
  <c r="I816" i="3"/>
  <c r="T24" i="3"/>
  <c r="U24" i="3" s="1"/>
  <c r="AP21" i="3"/>
  <c r="U6" i="3"/>
  <c r="AQ21" i="3" s="1"/>
  <c r="V45" i="3"/>
  <c r="S45" i="3"/>
  <c r="R45" i="3" s="1"/>
  <c r="P45" i="3"/>
  <c r="AI42" i="3"/>
  <c r="M830" i="2"/>
  <c r="S831" i="2"/>
  <c r="R831" i="2" s="1"/>
  <c r="AI827" i="2"/>
  <c r="P831" i="2"/>
  <c r="V831" i="2"/>
  <c r="AG819" i="3"/>
  <c r="AP791" i="2"/>
  <c r="U806" i="2"/>
  <c r="AQ791" i="2" s="1"/>
  <c r="AP744" i="2"/>
  <c r="AP747" i="2" s="1"/>
  <c r="AQ747" i="2" s="1"/>
  <c r="U747" i="2"/>
  <c r="AQ744" i="2" s="1"/>
  <c r="U698" i="2"/>
  <c r="AQ683" i="2" s="1"/>
  <c r="AP683" i="2"/>
  <c r="M38" i="3"/>
  <c r="AS813" i="3" s="1"/>
  <c r="AE30" i="3"/>
  <c r="V833" i="2"/>
  <c r="S833" i="2"/>
  <c r="R833" i="2" s="1"/>
  <c r="AI818" i="2"/>
  <c r="P833" i="2"/>
  <c r="AE699" i="2"/>
  <c r="M690" i="2"/>
  <c r="S722" i="2"/>
  <c r="R722" i="2" s="1"/>
  <c r="P722" i="2"/>
  <c r="AI718" i="2"/>
  <c r="V722" i="2"/>
  <c r="M61" i="3"/>
  <c r="M802" i="2"/>
  <c r="AE789" i="2"/>
  <c r="AE792" i="2" s="1"/>
  <c r="AP606" i="2"/>
  <c r="AP612" i="2" s="1"/>
  <c r="AQ612" i="2" s="1"/>
  <c r="U601" i="2"/>
  <c r="AQ606" i="2" s="1"/>
  <c r="M772" i="2"/>
  <c r="AH781" i="2"/>
  <c r="AH783" i="2" s="1"/>
  <c r="M750" i="2"/>
  <c r="AE746" i="2"/>
  <c r="M695" i="2"/>
  <c r="AE691" i="2"/>
  <c r="U586" i="2"/>
  <c r="AQ573" i="2" s="1"/>
  <c r="AP573" i="2"/>
  <c r="AP576" i="2" s="1"/>
  <c r="AQ576" i="2" s="1"/>
  <c r="AE687" i="2"/>
  <c r="M682" i="2"/>
  <c r="P641" i="2"/>
  <c r="AI637" i="2"/>
  <c r="V641" i="2"/>
  <c r="S641" i="2"/>
  <c r="R641" i="2" s="1"/>
  <c r="AI642" i="2"/>
  <c r="V627" i="2"/>
  <c r="S627" i="2"/>
  <c r="R627" i="2" s="1"/>
  <c r="P627" i="2"/>
  <c r="U654" i="2"/>
  <c r="AQ669" i="2" s="1"/>
  <c r="AP669" i="2"/>
  <c r="T672" i="2"/>
  <c r="U672" i="2" s="1"/>
  <c r="V617" i="2"/>
  <c r="S617" i="2"/>
  <c r="R617" i="2" s="1"/>
  <c r="AI602" i="2"/>
  <c r="P617" i="2"/>
  <c r="AO768" i="2"/>
  <c r="AN768" i="2" s="1"/>
  <c r="AL768" i="2"/>
  <c r="AR768" i="2"/>
  <c r="L618" i="2"/>
  <c r="AH615" i="2"/>
  <c r="AH621" i="2" s="1"/>
  <c r="AI780" i="2"/>
  <c r="S771" i="2"/>
  <c r="R771" i="2" s="1"/>
  <c r="P771" i="2"/>
  <c r="V771" i="2"/>
  <c r="M666" i="2"/>
  <c r="AE663" i="2"/>
  <c r="I672" i="2"/>
  <c r="U526" i="2"/>
  <c r="AQ518" i="2" s="1"/>
  <c r="AP518" i="2"/>
  <c r="AP522" i="2" s="1"/>
  <c r="AQ522" i="2" s="1"/>
  <c r="M314" i="3"/>
  <c r="AP738" i="2"/>
  <c r="AQ738" i="2" s="1"/>
  <c r="M657" i="2"/>
  <c r="S546" i="2"/>
  <c r="R546" i="2" s="1"/>
  <c r="P546" i="2"/>
  <c r="AI561" i="2"/>
  <c r="V546" i="2"/>
  <c r="U284" i="2"/>
  <c r="AQ293" i="2" s="1"/>
  <c r="AP293" i="2"/>
  <c r="P557" i="2"/>
  <c r="AI566" i="2"/>
  <c r="V557" i="2"/>
  <c r="S557" i="2"/>
  <c r="R557" i="2" s="1"/>
  <c r="M496" i="2"/>
  <c r="AE500" i="2"/>
  <c r="AE517" i="2"/>
  <c r="M525" i="2"/>
  <c r="U286" i="2"/>
  <c r="AQ295" i="2" s="1"/>
  <c r="AP295" i="2"/>
  <c r="M604" i="2"/>
  <c r="AE608" i="2"/>
  <c r="U419" i="2"/>
  <c r="AQ428" i="2" s="1"/>
  <c r="AP428" i="2"/>
  <c r="AP700" i="2"/>
  <c r="AP702" i="2" s="1"/>
  <c r="AQ702" i="2" s="1"/>
  <c r="U691" i="2"/>
  <c r="AQ700" i="2" s="1"/>
  <c r="U443" i="2"/>
  <c r="AQ435" i="2" s="1"/>
  <c r="AP435" i="2"/>
  <c r="AP441" i="2" s="1"/>
  <c r="AQ441" i="2" s="1"/>
  <c r="AH279" i="2"/>
  <c r="AI257" i="2"/>
  <c r="V253" i="2"/>
  <c r="S253" i="2"/>
  <c r="R253" i="2" s="1"/>
  <c r="P253" i="2"/>
  <c r="AL574" i="2"/>
  <c r="AR574" i="2"/>
  <c r="AO574" i="2"/>
  <c r="AN574" i="2" s="1"/>
  <c r="AI437" i="2"/>
  <c r="V445" i="2"/>
  <c r="S445" i="2"/>
  <c r="R445" i="2" s="1"/>
  <c r="P445" i="2"/>
  <c r="AI453" i="2"/>
  <c r="V438" i="2"/>
  <c r="P438" i="2"/>
  <c r="S438" i="2"/>
  <c r="R438" i="2" s="1"/>
  <c r="AB549" i="2"/>
  <c r="AJ549" i="2" s="1"/>
  <c r="U535" i="2"/>
  <c r="AQ520" i="2" s="1"/>
  <c r="AP520" i="2"/>
  <c r="V509" i="2"/>
  <c r="AI494" i="2"/>
  <c r="P509" i="2"/>
  <c r="S509" i="2"/>
  <c r="R509" i="2" s="1"/>
  <c r="S531" i="2"/>
  <c r="R531" i="2" s="1"/>
  <c r="P531" i="2"/>
  <c r="V531" i="2"/>
  <c r="AI528" i="2"/>
  <c r="U509" i="2"/>
  <c r="AQ494" i="2" s="1"/>
  <c r="AP494" i="2"/>
  <c r="AP495" i="2" s="1"/>
  <c r="AQ495" i="2" s="1"/>
  <c r="L510" i="2"/>
  <c r="AH507" i="2"/>
  <c r="M453" i="2"/>
  <c r="AE449" i="2"/>
  <c r="AE313" i="2"/>
  <c r="M317" i="2"/>
  <c r="S548" i="2"/>
  <c r="R548" i="2" s="1"/>
  <c r="P548" i="2"/>
  <c r="AI553" i="2"/>
  <c r="V548" i="2"/>
  <c r="AE475" i="2"/>
  <c r="M479" i="2"/>
  <c r="AC387" i="2"/>
  <c r="M385" i="2"/>
  <c r="AE390" i="2"/>
  <c r="AE396" i="2" s="1"/>
  <c r="M309" i="2"/>
  <c r="AE301" i="2"/>
  <c r="AI448" i="2"/>
  <c r="V452" i="2"/>
  <c r="S452" i="2"/>
  <c r="R452" i="2" s="1"/>
  <c r="P452" i="2"/>
  <c r="AR611" i="2"/>
  <c r="AO611" i="2"/>
  <c r="AN611" i="2" s="1"/>
  <c r="AL611" i="2"/>
  <c r="L564" i="2"/>
  <c r="AH561" i="2"/>
  <c r="AH567" i="2" s="1"/>
  <c r="AB513" i="2"/>
  <c r="AJ513" i="2" s="1"/>
  <c r="AJ507" i="2"/>
  <c r="AP463" i="2"/>
  <c r="U471" i="2"/>
  <c r="AQ463" i="2" s="1"/>
  <c r="M395" i="2"/>
  <c r="AE404" i="2"/>
  <c r="AH414" i="2"/>
  <c r="M262" i="2"/>
  <c r="AE249" i="2"/>
  <c r="AE252" i="2" s="1"/>
  <c r="M250" i="2"/>
  <c r="AE255" i="2"/>
  <c r="M417" i="2"/>
  <c r="AE409" i="2"/>
  <c r="AH285" i="2"/>
  <c r="AH288" i="2" s="1"/>
  <c r="M288" i="2"/>
  <c r="M237" i="2"/>
  <c r="AE233" i="2"/>
  <c r="AE234" i="2" s="1"/>
  <c r="U122" i="2"/>
  <c r="AQ131" i="2" s="1"/>
  <c r="AP131" i="2"/>
  <c r="AC360" i="2"/>
  <c r="AB351" i="2"/>
  <c r="AJ351" i="2" s="1"/>
  <c r="AB162" i="2"/>
  <c r="AJ162" i="2" s="1"/>
  <c r="AJ156" i="2"/>
  <c r="U92" i="2"/>
  <c r="AQ84" i="2" s="1"/>
  <c r="AP84" i="2"/>
  <c r="AI275" i="2"/>
  <c r="S283" i="2"/>
  <c r="R283" i="2" s="1"/>
  <c r="P283" i="2"/>
  <c r="V283" i="2"/>
  <c r="S257" i="2"/>
  <c r="R257" i="2" s="1"/>
  <c r="V257" i="2"/>
  <c r="P257" i="2"/>
  <c r="AI266" i="2"/>
  <c r="M185" i="2"/>
  <c r="AE170" i="2"/>
  <c r="AP175" i="2"/>
  <c r="U170" i="2"/>
  <c r="AQ175" i="2" s="1"/>
  <c r="U129" i="2"/>
  <c r="AQ125" i="2" s="1"/>
  <c r="AP125" i="2"/>
  <c r="AB324" i="2"/>
  <c r="AJ324" i="2" s="1"/>
  <c r="M289" i="2"/>
  <c r="AE276" i="2"/>
  <c r="U232" i="2"/>
  <c r="AQ241" i="2" s="1"/>
  <c r="AP241" i="2"/>
  <c r="AE193" i="2"/>
  <c r="M201" i="2"/>
  <c r="AL185" i="2"/>
  <c r="AO185" i="2"/>
  <c r="AN185" i="2" s="1"/>
  <c r="AR185" i="2"/>
  <c r="P90" i="2"/>
  <c r="AI103" i="2"/>
  <c r="V90" i="2"/>
  <c r="S90" i="2"/>
  <c r="R90" i="2" s="1"/>
  <c r="AP844" i="2"/>
  <c r="U859" i="2"/>
  <c r="AQ844" i="2" s="1"/>
  <c r="U854" i="2"/>
  <c r="AQ863" i="2" s="1"/>
  <c r="AP863" i="2"/>
  <c r="U846" i="2"/>
  <c r="AQ859" i="2" s="1"/>
  <c r="AP859" i="2"/>
  <c r="M145" i="2"/>
  <c r="AE149" i="2"/>
  <c r="P74" i="2"/>
  <c r="AI70" i="2"/>
  <c r="S74" i="2"/>
  <c r="R74" i="2" s="1"/>
  <c r="V74" i="2"/>
  <c r="M173" i="2"/>
  <c r="P144" i="2"/>
  <c r="AI157" i="2"/>
  <c r="V144" i="2"/>
  <c r="S144" i="2"/>
  <c r="R144" i="2" s="1"/>
  <c r="M23" i="2"/>
  <c r="AE8" i="2"/>
  <c r="L848" i="2"/>
  <c r="AH840" i="2" s="1"/>
  <c r="U7" i="2"/>
  <c r="AQ12" i="2" s="1"/>
  <c r="AP12" i="2"/>
  <c r="AE741" i="1"/>
  <c r="AE747" i="1" s="1"/>
  <c r="M736" i="1"/>
  <c r="AE66" i="2"/>
  <c r="AE72" i="2" s="1"/>
  <c r="M61" i="2"/>
  <c r="T856" i="2"/>
  <c r="N856" i="2"/>
  <c r="AB843" i="2"/>
  <c r="AJ843" i="2" s="1"/>
  <c r="AE14" i="2"/>
  <c r="M10" i="2"/>
  <c r="AB819" i="1"/>
  <c r="AJ819" i="1" s="1"/>
  <c r="AJ813" i="1"/>
  <c r="AI215" i="2"/>
  <c r="V206" i="2"/>
  <c r="S206" i="2"/>
  <c r="R206" i="2" s="1"/>
  <c r="P206" i="2"/>
  <c r="AP150" i="2"/>
  <c r="U153" i="2"/>
  <c r="AQ150" i="2" s="1"/>
  <c r="I852" i="2"/>
  <c r="K861" i="2"/>
  <c r="AC783" i="1"/>
  <c r="U725" i="1"/>
  <c r="AQ710" i="1" s="1"/>
  <c r="AP710" i="1"/>
  <c r="AR241" i="2"/>
  <c r="AO241" i="2"/>
  <c r="AN241" i="2" s="1"/>
  <c r="AL241" i="2"/>
  <c r="AH180" i="2"/>
  <c r="U855" i="2"/>
  <c r="AQ852" i="2" s="1"/>
  <c r="AP852" i="2"/>
  <c r="AH858" i="2"/>
  <c r="AP824" i="1"/>
  <c r="U820" i="1"/>
  <c r="AQ824" i="1" s="1"/>
  <c r="M233" i="2"/>
  <c r="P181" i="2"/>
  <c r="V181" i="2"/>
  <c r="S181" i="2"/>
  <c r="R181" i="2" s="1"/>
  <c r="AI168" i="2"/>
  <c r="S151" i="2"/>
  <c r="R151" i="2" s="1"/>
  <c r="P151" i="2"/>
  <c r="V151" i="2"/>
  <c r="AI160" i="2"/>
  <c r="AP692" i="1"/>
  <c r="U696" i="1"/>
  <c r="AQ692" i="1" s="1"/>
  <c r="AP43" i="2"/>
  <c r="U47" i="2"/>
  <c r="AQ43" i="2" s="1"/>
  <c r="M774" i="1"/>
  <c r="AE771" i="1"/>
  <c r="P696" i="1"/>
  <c r="V696" i="1"/>
  <c r="AI692" i="1"/>
  <c r="S696" i="1"/>
  <c r="R696" i="1" s="1"/>
  <c r="AL816" i="1"/>
  <c r="AR816" i="1"/>
  <c r="AO816" i="1"/>
  <c r="AN816" i="1" s="1"/>
  <c r="AP809" i="1"/>
  <c r="U800" i="1"/>
  <c r="AQ809" i="1" s="1"/>
  <c r="P745" i="1"/>
  <c r="AI754" i="1"/>
  <c r="V745" i="1"/>
  <c r="S745" i="1"/>
  <c r="R745" i="1" s="1"/>
  <c r="S739" i="1"/>
  <c r="R739" i="1" s="1"/>
  <c r="P739" i="1"/>
  <c r="V739" i="1"/>
  <c r="AI743" i="1"/>
  <c r="AC860" i="2"/>
  <c r="I851" i="2"/>
  <c r="H861" i="2"/>
  <c r="AD858" i="2"/>
  <c r="AD864" i="2" s="1"/>
  <c r="M771" i="1"/>
  <c r="AE780" i="1"/>
  <c r="M762" i="1"/>
  <c r="L780" i="1"/>
  <c r="AH777" i="1"/>
  <c r="AH783" i="1" s="1"/>
  <c r="AE705" i="1"/>
  <c r="M713" i="1"/>
  <c r="AO96" i="2"/>
  <c r="AN96" i="2" s="1"/>
  <c r="AC863" i="2"/>
  <c r="I854" i="2"/>
  <c r="AE801" i="1"/>
  <c r="AD774" i="1"/>
  <c r="AG702" i="1"/>
  <c r="AC639" i="1"/>
  <c r="U473" i="1"/>
  <c r="AQ482" i="1" s="1"/>
  <c r="AP482" i="1"/>
  <c r="M440" i="1"/>
  <c r="AE445" i="1"/>
  <c r="AO206" i="2"/>
  <c r="AN206" i="2" s="1"/>
  <c r="AR206" i="2"/>
  <c r="AL206" i="2"/>
  <c r="AB45" i="2"/>
  <c r="AJ45" i="2" s="1"/>
  <c r="M806" i="1"/>
  <c r="P749" i="1"/>
  <c r="AI745" i="1"/>
  <c r="V749" i="1"/>
  <c r="S749" i="1"/>
  <c r="R749" i="1" s="1"/>
  <c r="M716" i="1"/>
  <c r="T699" i="1"/>
  <c r="U699" i="1" s="1"/>
  <c r="T483" i="1"/>
  <c r="U483" i="1" s="1"/>
  <c r="AP480" i="1"/>
  <c r="U465" i="1"/>
  <c r="AQ480" i="1" s="1"/>
  <c r="M169" i="2"/>
  <c r="AA855" i="2"/>
  <c r="V823" i="1"/>
  <c r="S823" i="1"/>
  <c r="R823" i="1" s="1"/>
  <c r="P823" i="1"/>
  <c r="AI815" i="1"/>
  <c r="P691" i="1"/>
  <c r="AI700" i="1"/>
  <c r="V691" i="1"/>
  <c r="S691" i="1"/>
  <c r="R691" i="1" s="1"/>
  <c r="M684" i="1"/>
  <c r="AE697" i="1"/>
  <c r="AP652" i="1"/>
  <c r="U660" i="1"/>
  <c r="AQ652" i="1" s="1"/>
  <c r="AP598" i="1"/>
  <c r="U606" i="1"/>
  <c r="AQ598" i="1" s="1"/>
  <c r="AE510" i="1"/>
  <c r="M501" i="1"/>
  <c r="AF486" i="1"/>
  <c r="S438" i="1"/>
  <c r="R438" i="1" s="1"/>
  <c r="P438" i="1"/>
  <c r="V438" i="1"/>
  <c r="AI453" i="1"/>
  <c r="AL788" i="1"/>
  <c r="AR788" i="1"/>
  <c r="AO788" i="1"/>
  <c r="AN788" i="1" s="1"/>
  <c r="AB639" i="1"/>
  <c r="AJ639" i="1" s="1"/>
  <c r="P601" i="1"/>
  <c r="AI606" i="1"/>
  <c r="V601" i="1"/>
  <c r="S601" i="1"/>
  <c r="R601" i="1" s="1"/>
  <c r="S580" i="1"/>
  <c r="R580" i="1" s="1"/>
  <c r="P580" i="1"/>
  <c r="AI572" i="1"/>
  <c r="V580" i="1"/>
  <c r="M535" i="1"/>
  <c r="AE520" i="1"/>
  <c r="AE522" i="1" s="1"/>
  <c r="M509" i="1"/>
  <c r="AE494" i="1"/>
  <c r="AE495" i="1" s="1"/>
  <c r="M616" i="1"/>
  <c r="V602" i="1"/>
  <c r="S602" i="1"/>
  <c r="R602" i="1" s="1"/>
  <c r="P602" i="1"/>
  <c r="AI607" i="1"/>
  <c r="S532" i="1"/>
  <c r="R532" i="1" s="1"/>
  <c r="AI519" i="1"/>
  <c r="P532" i="1"/>
  <c r="V532" i="1"/>
  <c r="P444" i="1"/>
  <c r="AI436" i="1"/>
  <c r="V444" i="1"/>
  <c r="S444" i="1"/>
  <c r="R444" i="1" s="1"/>
  <c r="M589" i="1"/>
  <c r="AE574" i="1"/>
  <c r="AE576" i="1" s="1"/>
  <c r="L537" i="1"/>
  <c r="S492" i="1"/>
  <c r="R492" i="1" s="1"/>
  <c r="P492" i="1"/>
  <c r="AI507" i="1"/>
  <c r="V492" i="1"/>
  <c r="AB720" i="1"/>
  <c r="AJ720" i="1" s="1"/>
  <c r="AP661" i="1"/>
  <c r="U656" i="1"/>
  <c r="AQ661" i="1" s="1"/>
  <c r="M638" i="1"/>
  <c r="AE647" i="1"/>
  <c r="M586" i="1"/>
  <c r="U559" i="1"/>
  <c r="AQ546" i="1" s="1"/>
  <c r="AP546" i="1"/>
  <c r="S531" i="1"/>
  <c r="R531" i="1" s="1"/>
  <c r="P531" i="1"/>
  <c r="AI528" i="1"/>
  <c r="V531" i="1"/>
  <c r="M519" i="1"/>
  <c r="I537" i="1"/>
  <c r="AE534" i="1"/>
  <c r="AE482" i="1"/>
  <c r="M473" i="1"/>
  <c r="L753" i="1"/>
  <c r="AP697" i="1"/>
  <c r="AP702" i="1" s="1"/>
  <c r="AQ702" i="1" s="1"/>
  <c r="U684" i="1"/>
  <c r="AQ697" i="1" s="1"/>
  <c r="M643" i="1"/>
  <c r="AE628" i="1"/>
  <c r="AE630" i="1" s="1"/>
  <c r="V613" i="1"/>
  <c r="S613" i="1"/>
  <c r="R613" i="1" s="1"/>
  <c r="AI600" i="1"/>
  <c r="P613" i="1"/>
  <c r="P558" i="1"/>
  <c r="AI555" i="1"/>
  <c r="V558" i="1"/>
  <c r="S558" i="1"/>
  <c r="R558" i="1" s="1"/>
  <c r="S477" i="1"/>
  <c r="R477" i="1" s="1"/>
  <c r="P477" i="1"/>
  <c r="AI474" i="1"/>
  <c r="V477" i="1"/>
  <c r="V453" i="1"/>
  <c r="S453" i="1"/>
  <c r="R453" i="1" s="1"/>
  <c r="AI449" i="1"/>
  <c r="P453" i="1"/>
  <c r="AE450" i="1"/>
  <c r="M360" i="1"/>
  <c r="AE373" i="1"/>
  <c r="AP339" i="1"/>
  <c r="U342" i="1"/>
  <c r="AQ339" i="1" s="1"/>
  <c r="AC297" i="1"/>
  <c r="U185" i="1"/>
  <c r="AQ170" i="1" s="1"/>
  <c r="AP170" i="1"/>
  <c r="U561" i="1"/>
  <c r="AQ557" i="1" s="1"/>
  <c r="AP557" i="1"/>
  <c r="AP392" i="1"/>
  <c r="U388" i="1"/>
  <c r="AQ392" i="1" s="1"/>
  <c r="AJ237" i="1"/>
  <c r="AB243" i="1"/>
  <c r="AJ243" i="1" s="1"/>
  <c r="M662" i="1"/>
  <c r="M641" i="1"/>
  <c r="L645" i="1"/>
  <c r="M611" i="1"/>
  <c r="V505" i="1"/>
  <c r="S505" i="1"/>
  <c r="R505" i="1" s="1"/>
  <c r="AI492" i="1"/>
  <c r="P505" i="1"/>
  <c r="AI483" i="1"/>
  <c r="S474" i="1"/>
  <c r="R474" i="1" s="1"/>
  <c r="P474" i="1"/>
  <c r="V474" i="1"/>
  <c r="U453" i="1"/>
  <c r="AQ449" i="1" s="1"/>
  <c r="AP449" i="1"/>
  <c r="AP368" i="1"/>
  <c r="U372" i="1"/>
  <c r="AQ368" i="1" s="1"/>
  <c r="M361" i="1"/>
  <c r="L348" i="1"/>
  <c r="AH345" i="1"/>
  <c r="AH351" i="1" s="1"/>
  <c r="AP322" i="1"/>
  <c r="U313" i="1"/>
  <c r="AQ322" i="1" s="1"/>
  <c r="U262" i="1"/>
  <c r="AQ249" i="1" s="1"/>
  <c r="AP249" i="1"/>
  <c r="AE590" i="1"/>
  <c r="M581" i="1"/>
  <c r="AP336" i="1"/>
  <c r="AP342" i="1" s="1"/>
  <c r="AQ342" i="1" s="1"/>
  <c r="U331" i="1"/>
  <c r="AQ336" i="1" s="1"/>
  <c r="M18" i="1"/>
  <c r="AE15" i="1"/>
  <c r="AC842" i="1"/>
  <c r="I850" i="1"/>
  <c r="M576" i="1"/>
  <c r="AE589" i="1"/>
  <c r="AP437" i="1"/>
  <c r="U445" i="1"/>
  <c r="AQ437" i="1" s="1"/>
  <c r="U281" i="1"/>
  <c r="AQ273" i="1" s="1"/>
  <c r="AP273" i="1"/>
  <c r="AP279" i="1" s="1"/>
  <c r="AQ279" i="1" s="1"/>
  <c r="U856" i="1"/>
  <c r="AQ843" i="1" s="1"/>
  <c r="AP843" i="1"/>
  <c r="M411" i="1"/>
  <c r="I429" i="1"/>
  <c r="AE426" i="1"/>
  <c r="AE432" i="1" s="1"/>
  <c r="AL287" i="1"/>
  <c r="AR287" i="1"/>
  <c r="AO287" i="1"/>
  <c r="AN287" i="1" s="1"/>
  <c r="AH222" i="1"/>
  <c r="AH225" i="1" s="1"/>
  <c r="M235" i="1"/>
  <c r="L859" i="1"/>
  <c r="AH844" i="1" s="1"/>
  <c r="AF844" i="1"/>
  <c r="AI599" i="1"/>
  <c r="V607" i="1"/>
  <c r="S607" i="1"/>
  <c r="R607" i="1" s="1"/>
  <c r="P607" i="1"/>
  <c r="S417" i="1"/>
  <c r="R417" i="1" s="1"/>
  <c r="P417" i="1"/>
  <c r="AI409" i="1"/>
  <c r="V417" i="1"/>
  <c r="M333" i="1"/>
  <c r="AE346" i="1"/>
  <c r="AE351" i="1" s="1"/>
  <c r="T860" i="1"/>
  <c r="AB845" i="1"/>
  <c r="AJ845" i="1" s="1"/>
  <c r="N860" i="1"/>
  <c r="N855" i="1"/>
  <c r="AB852" i="1"/>
  <c r="AJ852" i="1" s="1"/>
  <c r="T855" i="1"/>
  <c r="I844" i="1"/>
  <c r="AC849" i="1"/>
  <c r="M583" i="1"/>
  <c r="AB369" i="1"/>
  <c r="AJ369" i="1" s="1"/>
  <c r="AI320" i="1"/>
  <c r="S311" i="1"/>
  <c r="R311" i="1" s="1"/>
  <c r="P311" i="1"/>
  <c r="V311" i="1"/>
  <c r="M279" i="1"/>
  <c r="AJ841" i="1"/>
  <c r="AH513" i="1"/>
  <c r="P425" i="1"/>
  <c r="AI421" i="1"/>
  <c r="V425" i="1"/>
  <c r="S425" i="1"/>
  <c r="R425" i="1" s="1"/>
  <c r="V397" i="1"/>
  <c r="S397" i="1"/>
  <c r="R397" i="1" s="1"/>
  <c r="AI384" i="1"/>
  <c r="P397" i="1"/>
  <c r="AB315" i="1"/>
  <c r="AJ315" i="1" s="1"/>
  <c r="U183" i="1"/>
  <c r="AQ179" i="1" s="1"/>
  <c r="AP179" i="1"/>
  <c r="S173" i="1"/>
  <c r="R173" i="1" s="1"/>
  <c r="P173" i="1"/>
  <c r="V173" i="1"/>
  <c r="AI165" i="1"/>
  <c r="U129" i="1"/>
  <c r="AQ125" i="1" s="1"/>
  <c r="AP125" i="1"/>
  <c r="M119" i="1"/>
  <c r="U75" i="1"/>
  <c r="AQ71" i="1" s="1"/>
  <c r="AP71" i="1"/>
  <c r="S65" i="1"/>
  <c r="R65" i="1" s="1"/>
  <c r="P65" i="1"/>
  <c r="V65" i="1"/>
  <c r="AI57" i="1"/>
  <c r="AP16" i="1"/>
  <c r="U20" i="1"/>
  <c r="AQ16" i="1" s="1"/>
  <c r="S10" i="1"/>
  <c r="R10" i="1" s="1"/>
  <c r="P10" i="1"/>
  <c r="AI14" i="1"/>
  <c r="V10" i="1"/>
  <c r="U669" i="1"/>
  <c r="AQ665" i="1" s="1"/>
  <c r="AP665" i="1"/>
  <c r="AH360" i="1"/>
  <c r="AB270" i="1"/>
  <c r="AJ270" i="1" s="1"/>
  <c r="AB171" i="1"/>
  <c r="AJ171" i="1" s="1"/>
  <c r="AJ165" i="1"/>
  <c r="S151" i="1"/>
  <c r="R151" i="1" s="1"/>
  <c r="P151" i="1"/>
  <c r="AI160" i="1"/>
  <c r="V151" i="1"/>
  <c r="AP107" i="1"/>
  <c r="U98" i="1"/>
  <c r="AQ107" i="1" s="1"/>
  <c r="G861" i="1"/>
  <c r="AC858" i="1"/>
  <c r="I843" i="1"/>
  <c r="AI192" i="1"/>
  <c r="P200" i="1"/>
  <c r="V200" i="1"/>
  <c r="S200" i="1"/>
  <c r="R200" i="1" s="1"/>
  <c r="S154" i="1"/>
  <c r="R154" i="1" s="1"/>
  <c r="AI141" i="1"/>
  <c r="P154" i="1"/>
  <c r="V154" i="1"/>
  <c r="S131" i="1"/>
  <c r="R131" i="1" s="1"/>
  <c r="AI116" i="1"/>
  <c r="P131" i="1"/>
  <c r="V131" i="1"/>
  <c r="I132" i="1"/>
  <c r="V290" i="1"/>
  <c r="S290" i="1"/>
  <c r="R290" i="1" s="1"/>
  <c r="P290" i="1"/>
  <c r="AI286" i="1"/>
  <c r="M277" i="1"/>
  <c r="AE282" i="1"/>
  <c r="I294" i="1"/>
  <c r="T132" i="1"/>
  <c r="U132" i="1" s="1"/>
  <c r="AP129" i="1"/>
  <c r="AP135" i="1" s="1"/>
  <c r="AQ135" i="1" s="1"/>
  <c r="U114" i="1"/>
  <c r="AQ129" i="1" s="1"/>
  <c r="AE162" i="1"/>
  <c r="AL294" i="1"/>
  <c r="AR294" i="1"/>
  <c r="AO294" i="1"/>
  <c r="AN294" i="1" s="1"/>
  <c r="P95" i="1"/>
  <c r="V95" i="1"/>
  <c r="AI104" i="1"/>
  <c r="S95" i="1"/>
  <c r="R95" i="1" s="1"/>
  <c r="AJ21" i="1"/>
  <c r="AB27" i="1"/>
  <c r="AJ27" i="1" s="1"/>
  <c r="S46" i="1"/>
  <c r="R46" i="1" s="1"/>
  <c r="AI33" i="1"/>
  <c r="P46" i="1"/>
  <c r="V46" i="1"/>
  <c r="M142" i="1"/>
  <c r="AE147" i="1"/>
  <c r="AE153" i="1" s="1"/>
  <c r="P791" i="1"/>
  <c r="AI796" i="1"/>
  <c r="V791" i="1"/>
  <c r="S791" i="1"/>
  <c r="R791" i="1" s="1"/>
  <c r="S314" i="1"/>
  <c r="R314" i="1" s="1"/>
  <c r="P314" i="1"/>
  <c r="AI323" i="1"/>
  <c r="V314" i="1"/>
  <c r="AF207" i="1"/>
  <c r="M123" i="1"/>
  <c r="V96" i="1"/>
  <c r="AI105" i="1"/>
  <c r="S96" i="1"/>
  <c r="R96" i="1" s="1"/>
  <c r="P96" i="1"/>
  <c r="M34" i="1"/>
  <c r="AE39" i="1"/>
  <c r="AE45" i="1" s="1"/>
  <c r="AE273" i="1"/>
  <c r="M281" i="1"/>
  <c r="P335" i="1"/>
  <c r="V335" i="1"/>
  <c r="AI327" i="1"/>
  <c r="S335" i="1"/>
  <c r="R335" i="1" s="1"/>
  <c r="V278" i="1"/>
  <c r="S278" i="1"/>
  <c r="R278" i="1" s="1"/>
  <c r="P278" i="1"/>
  <c r="AI283" i="1"/>
  <c r="AR170" i="1"/>
  <c r="AO170" i="1"/>
  <c r="AN170" i="1" s="1"/>
  <c r="AL170" i="1"/>
  <c r="M147" i="1"/>
  <c r="AE139" i="1"/>
  <c r="V68" i="1"/>
  <c r="AI77" i="1"/>
  <c r="S68" i="1"/>
  <c r="R68" i="1" s="1"/>
  <c r="P68" i="1"/>
  <c r="AI75" i="1"/>
  <c r="V60" i="1"/>
  <c r="S60" i="1"/>
  <c r="R60" i="1" s="1"/>
  <c r="P60" i="1"/>
  <c r="AP212" i="1"/>
  <c r="U203" i="1"/>
  <c r="AQ212" i="1" s="1"/>
  <c r="P170" i="1"/>
  <c r="AI175" i="1"/>
  <c r="V170" i="1"/>
  <c r="S170" i="1"/>
  <c r="R170" i="1" s="1"/>
  <c r="M146" i="1"/>
  <c r="AE138" i="1"/>
  <c r="AB45" i="1"/>
  <c r="AJ45" i="1" s="1"/>
  <c r="P7" i="1"/>
  <c r="AI12" i="1"/>
  <c r="V7" i="1"/>
  <c r="S7" i="1"/>
  <c r="R7" i="1" s="1"/>
  <c r="AP795" i="3"/>
  <c r="AP801" i="3" s="1"/>
  <c r="AQ801" i="3" s="1"/>
  <c r="U790" i="3"/>
  <c r="AQ795" i="3" s="1"/>
  <c r="M766" i="3"/>
  <c r="AE770" i="3"/>
  <c r="AC774" i="3"/>
  <c r="V775" i="3"/>
  <c r="S775" i="3"/>
  <c r="R775" i="3" s="1"/>
  <c r="P775" i="3"/>
  <c r="AI762" i="3"/>
  <c r="AC783" i="3"/>
  <c r="AP752" i="3"/>
  <c r="U743" i="3"/>
  <c r="AQ752" i="3" s="1"/>
  <c r="V752" i="3"/>
  <c r="S752" i="3"/>
  <c r="R752" i="3" s="1"/>
  <c r="AI737" i="3"/>
  <c r="P752" i="3"/>
  <c r="AI736" i="3"/>
  <c r="AI738" i="3" s="1"/>
  <c r="P751" i="3"/>
  <c r="V751" i="3"/>
  <c r="S751" i="3"/>
  <c r="R751" i="3" s="1"/>
  <c r="AP706" i="3"/>
  <c r="U714" i="3"/>
  <c r="AQ706" i="3" s="1"/>
  <c r="AE643" i="3"/>
  <c r="M630" i="3"/>
  <c r="AH625" i="3"/>
  <c r="AH630" i="3" s="1"/>
  <c r="M633" i="3"/>
  <c r="L645" i="3"/>
  <c r="AH642" i="3"/>
  <c r="AE698" i="3"/>
  <c r="M689" i="3"/>
  <c r="M603" i="3"/>
  <c r="AE616" i="3"/>
  <c r="M627" i="3"/>
  <c r="U667" i="3"/>
  <c r="AQ654" i="3" s="1"/>
  <c r="AP654" i="3"/>
  <c r="M643" i="3"/>
  <c r="AE628" i="3"/>
  <c r="AB585" i="3"/>
  <c r="AJ585" i="3" s="1"/>
  <c r="AJ579" i="3"/>
  <c r="M641" i="3"/>
  <c r="AP601" i="3"/>
  <c r="AP603" i="3" s="1"/>
  <c r="AQ603" i="3" s="1"/>
  <c r="U616" i="3"/>
  <c r="AQ601" i="3" s="1"/>
  <c r="M601" i="3"/>
  <c r="AI619" i="3"/>
  <c r="P610" i="3"/>
  <c r="V610" i="3"/>
  <c r="S610" i="3"/>
  <c r="R610" i="3" s="1"/>
  <c r="AE579" i="3"/>
  <c r="AE585" i="3" s="1"/>
  <c r="M574" i="3"/>
  <c r="AE566" i="3"/>
  <c r="M557" i="3"/>
  <c r="U551" i="3"/>
  <c r="AQ543" i="3" s="1"/>
  <c r="AP543" i="3"/>
  <c r="AB531" i="3"/>
  <c r="AJ531" i="3" s="1"/>
  <c r="AP552" i="3"/>
  <c r="U547" i="3"/>
  <c r="AQ552" i="3" s="1"/>
  <c r="M524" i="3"/>
  <c r="AB540" i="3"/>
  <c r="AJ540" i="3" s="1"/>
  <c r="M556" i="3"/>
  <c r="AP501" i="3"/>
  <c r="U504" i="3"/>
  <c r="AQ501" i="3" s="1"/>
  <c r="AE549" i="3"/>
  <c r="U497" i="3"/>
  <c r="AQ489" i="3" s="1"/>
  <c r="AP489" i="3"/>
  <c r="AP495" i="3" s="1"/>
  <c r="AQ495" i="3" s="1"/>
  <c r="AP554" i="3"/>
  <c r="U550" i="3"/>
  <c r="AQ554" i="3" s="1"/>
  <c r="N483" i="3"/>
  <c r="V506" i="3"/>
  <c r="S506" i="3"/>
  <c r="R506" i="3" s="1"/>
  <c r="P506" i="3"/>
  <c r="AI502" i="3"/>
  <c r="M466" i="3"/>
  <c r="AE471" i="3"/>
  <c r="U427" i="3"/>
  <c r="AQ412" i="3" s="1"/>
  <c r="AP412" i="3"/>
  <c r="M508" i="3"/>
  <c r="S481" i="3"/>
  <c r="R481" i="3" s="1"/>
  <c r="AI466" i="3"/>
  <c r="P481" i="3"/>
  <c r="V481" i="3"/>
  <c r="M451" i="3"/>
  <c r="AE438" i="3"/>
  <c r="AI437" i="3"/>
  <c r="S445" i="3"/>
  <c r="R445" i="3" s="1"/>
  <c r="V445" i="3"/>
  <c r="P445" i="3"/>
  <c r="AB504" i="3"/>
  <c r="AJ504" i="3" s="1"/>
  <c r="AJ498" i="3"/>
  <c r="P446" i="3"/>
  <c r="AI455" i="3"/>
  <c r="S446" i="3"/>
  <c r="R446" i="3" s="1"/>
  <c r="V446" i="3"/>
  <c r="AL467" i="3"/>
  <c r="AR467" i="3"/>
  <c r="AO467" i="3"/>
  <c r="AN467" i="3" s="1"/>
  <c r="M447" i="3"/>
  <c r="AB459" i="3"/>
  <c r="AJ459" i="3" s="1"/>
  <c r="AE414" i="3"/>
  <c r="M423" i="3"/>
  <c r="AP408" i="3"/>
  <c r="U416" i="3"/>
  <c r="AQ408" i="3" s="1"/>
  <c r="P393" i="3"/>
  <c r="S393" i="3"/>
  <c r="R393" i="3" s="1"/>
  <c r="AI402" i="3"/>
  <c r="V393" i="3"/>
  <c r="AI381" i="3"/>
  <c r="S389" i="3"/>
  <c r="R389" i="3" s="1"/>
  <c r="P389" i="3"/>
  <c r="V389" i="3"/>
  <c r="AP339" i="3"/>
  <c r="U342" i="3"/>
  <c r="AQ339" i="3" s="1"/>
  <c r="M343" i="3"/>
  <c r="AE330" i="3"/>
  <c r="AE333" i="3" s="1"/>
  <c r="AE270" i="3"/>
  <c r="M332" i="3"/>
  <c r="AE337" i="3"/>
  <c r="AE342" i="3" s="1"/>
  <c r="S370" i="3"/>
  <c r="R370" i="3" s="1"/>
  <c r="AI357" i="3"/>
  <c r="P370" i="3"/>
  <c r="V370" i="3"/>
  <c r="AP311" i="3"/>
  <c r="U307" i="3"/>
  <c r="AQ311" i="3" s="1"/>
  <c r="U254" i="3"/>
  <c r="AQ246" i="3" s="1"/>
  <c r="AP246" i="3"/>
  <c r="AP252" i="3" s="1"/>
  <c r="AQ252" i="3" s="1"/>
  <c r="AP203" i="3"/>
  <c r="U199" i="3"/>
  <c r="AQ203" i="3" s="1"/>
  <c r="AP232" i="3"/>
  <c r="U236" i="3"/>
  <c r="AQ232" i="3" s="1"/>
  <c r="AI429" i="3"/>
  <c r="S420" i="3"/>
  <c r="R420" i="3" s="1"/>
  <c r="P420" i="3"/>
  <c r="V420" i="3"/>
  <c r="AH333" i="3"/>
  <c r="AP323" i="3"/>
  <c r="U314" i="3"/>
  <c r="AQ323" i="3" s="1"/>
  <c r="S259" i="3"/>
  <c r="R259" i="3" s="1"/>
  <c r="P259" i="3"/>
  <c r="V259" i="3"/>
  <c r="AI268" i="3"/>
  <c r="M237" i="3"/>
  <c r="AE233" i="3"/>
  <c r="AP196" i="3"/>
  <c r="U211" i="3"/>
  <c r="AQ196" i="3" s="1"/>
  <c r="AJ321" i="3"/>
  <c r="AB324" i="3"/>
  <c r="AJ324" i="3" s="1"/>
  <c r="AI250" i="3"/>
  <c r="P265" i="3"/>
  <c r="V265" i="3"/>
  <c r="S265" i="3"/>
  <c r="R265" i="3" s="1"/>
  <c r="S231" i="3"/>
  <c r="R231" i="3" s="1"/>
  <c r="P231" i="3"/>
  <c r="V231" i="3"/>
  <c r="AI240" i="3"/>
  <c r="AI296" i="3"/>
  <c r="V287" i="3"/>
  <c r="S287" i="3"/>
  <c r="R287" i="3" s="1"/>
  <c r="P287" i="3"/>
  <c r="I240" i="3"/>
  <c r="AI291" i="3"/>
  <c r="V276" i="3"/>
  <c r="S276" i="3"/>
  <c r="R276" i="3" s="1"/>
  <c r="P276" i="3"/>
  <c r="P235" i="3"/>
  <c r="V235" i="3"/>
  <c r="S235" i="3"/>
  <c r="R235" i="3" s="1"/>
  <c r="AI222" i="3"/>
  <c r="AE77" i="3"/>
  <c r="M68" i="3"/>
  <c r="T294" i="3"/>
  <c r="U294" i="3" s="1"/>
  <c r="AP291" i="3"/>
  <c r="AP297" i="3" s="1"/>
  <c r="AQ297" i="3" s="1"/>
  <c r="U276" i="3"/>
  <c r="AQ291" i="3" s="1"/>
  <c r="AC252" i="3"/>
  <c r="M239" i="3"/>
  <c r="AP85" i="3"/>
  <c r="U93" i="3"/>
  <c r="AQ85" i="3" s="1"/>
  <c r="M318" i="3"/>
  <c r="P290" i="3"/>
  <c r="AI286" i="3"/>
  <c r="V290" i="3"/>
  <c r="S290" i="3"/>
  <c r="R290" i="3" s="1"/>
  <c r="S264" i="3"/>
  <c r="R264" i="3" s="1"/>
  <c r="AI260" i="3"/>
  <c r="P264" i="3"/>
  <c r="V264" i="3"/>
  <c r="S209" i="3"/>
  <c r="R209" i="3" s="1"/>
  <c r="P209" i="3"/>
  <c r="AI205" i="3"/>
  <c r="V209" i="3"/>
  <c r="AP179" i="3"/>
  <c r="U183" i="3"/>
  <c r="AQ179" i="3" s="1"/>
  <c r="M145" i="3"/>
  <c r="AE149" i="3"/>
  <c r="AP70" i="3"/>
  <c r="U74" i="3"/>
  <c r="AQ70" i="3" s="1"/>
  <c r="AH23" i="3"/>
  <c r="M14" i="3"/>
  <c r="E834" i="3"/>
  <c r="P183" i="3"/>
  <c r="V183" i="3"/>
  <c r="AI179" i="3"/>
  <c r="S183" i="3"/>
  <c r="R183" i="3" s="1"/>
  <c r="AI114" i="3"/>
  <c r="P127" i="3"/>
  <c r="V127" i="3"/>
  <c r="S127" i="3"/>
  <c r="R127" i="3" s="1"/>
  <c r="M103" i="3"/>
  <c r="U823" i="3"/>
  <c r="AQ815" i="3" s="1"/>
  <c r="AP815" i="3"/>
  <c r="AP76" i="3"/>
  <c r="U63" i="3"/>
  <c r="AQ76" i="3" s="1"/>
  <c r="I833" i="3"/>
  <c r="AC818" i="3"/>
  <c r="AP26" i="3"/>
  <c r="U17" i="3"/>
  <c r="AQ26" i="3" s="1"/>
  <c r="AC18" i="3"/>
  <c r="K834" i="3"/>
  <c r="AG831" i="3"/>
  <c r="AG837" i="3" s="1"/>
  <c r="AI165" i="3"/>
  <c r="S173" i="3"/>
  <c r="R173" i="3" s="1"/>
  <c r="P173" i="3"/>
  <c r="V173" i="3"/>
  <c r="V316" i="3"/>
  <c r="AI303" i="3"/>
  <c r="S316" i="3"/>
  <c r="R316" i="3" s="1"/>
  <c r="P316" i="3"/>
  <c r="M153" i="3"/>
  <c r="AE150" i="3"/>
  <c r="S126" i="3"/>
  <c r="R126" i="3" s="1"/>
  <c r="P126" i="3"/>
  <c r="AI123" i="3"/>
  <c r="V126" i="3"/>
  <c r="L132" i="3"/>
  <c r="I824" i="3"/>
  <c r="P252" i="3"/>
  <c r="AI265" i="3"/>
  <c r="V252" i="3"/>
  <c r="S252" i="3"/>
  <c r="R252" i="3" s="1"/>
  <c r="AP833" i="3"/>
  <c r="U824" i="3"/>
  <c r="AQ833" i="3" s="1"/>
  <c r="M114" i="3"/>
  <c r="I132" i="3"/>
  <c r="AE129" i="3"/>
  <c r="AE135" i="3" s="1"/>
  <c r="M13" i="3"/>
  <c r="AE5" i="3"/>
  <c r="P121" i="3"/>
  <c r="AI113" i="3"/>
  <c r="V121" i="3"/>
  <c r="S121" i="3"/>
  <c r="R121" i="3" s="1"/>
  <c r="M34" i="3"/>
  <c r="AE39" i="3"/>
  <c r="M62" i="3"/>
  <c r="AE67" i="3"/>
  <c r="AJ21" i="3"/>
  <c r="AB27" i="3"/>
  <c r="AJ27" i="3" s="1"/>
  <c r="M829" i="2"/>
  <c r="AF810" i="2"/>
  <c r="M826" i="2"/>
  <c r="L24" i="3"/>
  <c r="AI824" i="2"/>
  <c r="V820" i="2"/>
  <c r="S820" i="2"/>
  <c r="R820" i="2" s="1"/>
  <c r="P820" i="2"/>
  <c r="U744" i="2"/>
  <c r="AQ753" i="2" s="1"/>
  <c r="AP753" i="2"/>
  <c r="U693" i="2"/>
  <c r="AQ690" i="2" s="1"/>
  <c r="AP690" i="2"/>
  <c r="AP693" i="2" s="1"/>
  <c r="AQ693" i="2" s="1"/>
  <c r="AC36" i="3"/>
  <c r="AL723" i="2"/>
  <c r="AR723" i="2"/>
  <c r="AO723" i="2"/>
  <c r="AN723" i="2" s="1"/>
  <c r="AH698" i="2"/>
  <c r="M689" i="2"/>
  <c r="S697" i="2"/>
  <c r="R697" i="2" s="1"/>
  <c r="V697" i="2"/>
  <c r="P697" i="2"/>
  <c r="AI682" i="2"/>
  <c r="M691" i="2"/>
  <c r="M16" i="3"/>
  <c r="AE25" i="3"/>
  <c r="AP756" i="2"/>
  <c r="AQ756" i="2" s="1"/>
  <c r="M600" i="2"/>
  <c r="AP592" i="2"/>
  <c r="U583" i="2"/>
  <c r="AQ592" i="2" s="1"/>
  <c r="N699" i="2"/>
  <c r="AI647" i="2"/>
  <c r="V638" i="2"/>
  <c r="P638" i="2"/>
  <c r="S638" i="2"/>
  <c r="R638" i="2" s="1"/>
  <c r="AA810" i="2"/>
  <c r="AJ804" i="2"/>
  <c r="M740" i="2"/>
  <c r="M632" i="2"/>
  <c r="AE624" i="2"/>
  <c r="AE600" i="2"/>
  <c r="M613" i="2"/>
  <c r="L591" i="2"/>
  <c r="AH588" i="2"/>
  <c r="AH594" i="2" s="1"/>
  <c r="P175" i="3"/>
  <c r="AI167" i="3"/>
  <c r="V175" i="3"/>
  <c r="S175" i="3"/>
  <c r="R175" i="3" s="1"/>
  <c r="I834" i="2"/>
  <c r="AP636" i="2"/>
  <c r="AP639" i="2" s="1"/>
  <c r="AQ639" i="2" s="1"/>
  <c r="U639" i="2"/>
  <c r="AQ636" i="2" s="1"/>
  <c r="AE673" i="2"/>
  <c r="M664" i="2"/>
  <c r="P642" i="2"/>
  <c r="V642" i="2"/>
  <c r="S642" i="2"/>
  <c r="R642" i="2" s="1"/>
  <c r="AI638" i="2"/>
  <c r="AF621" i="2"/>
  <c r="M65" i="3"/>
  <c r="AF747" i="2"/>
  <c r="AE689" i="2"/>
  <c r="M685" i="2"/>
  <c r="M67" i="3"/>
  <c r="AR705" i="2"/>
  <c r="AO705" i="2"/>
  <c r="AN705" i="2" s="1"/>
  <c r="AL705" i="2"/>
  <c r="AH696" i="2"/>
  <c r="AH702" i="2" s="1"/>
  <c r="L699" i="2"/>
  <c r="AP526" i="2"/>
  <c r="AP531" i="2" s="1"/>
  <c r="AQ531" i="2" s="1"/>
  <c r="U521" i="2"/>
  <c r="AQ526" i="2" s="1"/>
  <c r="AO825" i="2"/>
  <c r="AN825" i="2" s="1"/>
  <c r="AL825" i="2"/>
  <c r="AR825" i="2"/>
  <c r="U767" i="2"/>
  <c r="AQ759" i="2" s="1"/>
  <c r="AP759" i="2"/>
  <c r="AP765" i="2" s="1"/>
  <c r="AQ765" i="2" s="1"/>
  <c r="AH671" i="2"/>
  <c r="M662" i="2"/>
  <c r="AE567" i="2"/>
  <c r="S579" i="2"/>
  <c r="R579" i="2" s="1"/>
  <c r="P579" i="2"/>
  <c r="AI571" i="2"/>
  <c r="V579" i="2"/>
  <c r="AB531" i="2"/>
  <c r="AJ531" i="2" s="1"/>
  <c r="AR804" i="2"/>
  <c r="M547" i="2"/>
  <c r="AE552" i="2"/>
  <c r="AE558" i="2" s="1"/>
  <c r="U345" i="2"/>
  <c r="AQ341" i="2" s="1"/>
  <c r="AP341" i="2"/>
  <c r="U283" i="2"/>
  <c r="AQ275" i="2" s="1"/>
  <c r="AP275" i="2"/>
  <c r="AP427" i="2"/>
  <c r="AP432" i="2" s="1"/>
  <c r="AQ432" i="2" s="1"/>
  <c r="U414" i="2"/>
  <c r="AQ427" i="2" s="1"/>
  <c r="AP358" i="2"/>
  <c r="U373" i="2"/>
  <c r="AQ358" i="2" s="1"/>
  <c r="AE454" i="2"/>
  <c r="M441" i="2"/>
  <c r="V420" i="2"/>
  <c r="AI429" i="2"/>
  <c r="P420" i="2"/>
  <c r="S420" i="2"/>
  <c r="R420" i="2" s="1"/>
  <c r="M363" i="2"/>
  <c r="AE355" i="2"/>
  <c r="M312" i="2"/>
  <c r="AH321" i="2"/>
  <c r="AH324" i="2" s="1"/>
  <c r="AF279" i="2"/>
  <c r="P503" i="2"/>
  <c r="S503" i="2"/>
  <c r="R503" i="2" s="1"/>
  <c r="V503" i="2"/>
  <c r="AI512" i="2"/>
  <c r="U474" i="2"/>
  <c r="AQ483" i="2" s="1"/>
  <c r="AP483" i="2"/>
  <c r="AP486" i="2" s="1"/>
  <c r="AQ486" i="2" s="1"/>
  <c r="AF450" i="2"/>
  <c r="N672" i="2"/>
  <c r="AL536" i="2"/>
  <c r="AR536" i="2"/>
  <c r="AO536" i="2"/>
  <c r="AN536" i="2" s="1"/>
  <c r="S480" i="2"/>
  <c r="R480" i="2" s="1"/>
  <c r="AI476" i="2"/>
  <c r="V480" i="2"/>
  <c r="P480" i="2"/>
  <c r="AB459" i="2"/>
  <c r="AJ459" i="2" s="1"/>
  <c r="AJ453" i="2"/>
  <c r="AH459" i="2"/>
  <c r="AE418" i="2"/>
  <c r="M413" i="2"/>
  <c r="M390" i="2"/>
  <c r="AE382" i="2"/>
  <c r="AH375" i="2"/>
  <c r="AH378" i="2" s="1"/>
  <c r="M366" i="2"/>
  <c r="S334" i="2"/>
  <c r="R334" i="2" s="1"/>
  <c r="AI338" i="2"/>
  <c r="V334" i="2"/>
  <c r="P334" i="2"/>
  <c r="AI539" i="2"/>
  <c r="V530" i="2"/>
  <c r="P530" i="2"/>
  <c r="S530" i="2"/>
  <c r="R530" i="2" s="1"/>
  <c r="AH486" i="2"/>
  <c r="U362" i="2"/>
  <c r="AQ354" i="2" s="1"/>
  <c r="AP354" i="2"/>
  <c r="AP360" i="2" s="1"/>
  <c r="AQ360" i="2" s="1"/>
  <c r="AP312" i="2"/>
  <c r="U315" i="2"/>
  <c r="AQ312" i="2" s="1"/>
  <c r="M287" i="2"/>
  <c r="AE296" i="2"/>
  <c r="M389" i="2"/>
  <c r="AE381" i="2"/>
  <c r="AE387" i="2" s="1"/>
  <c r="AF306" i="2"/>
  <c r="M586" i="2"/>
  <c r="AE573" i="2"/>
  <c r="AO545" i="2"/>
  <c r="AN545" i="2" s="1"/>
  <c r="AR545" i="2"/>
  <c r="AL545" i="2"/>
  <c r="AC522" i="2"/>
  <c r="M470" i="2"/>
  <c r="AE462" i="2"/>
  <c r="U420" i="2"/>
  <c r="AQ429" i="2" s="1"/>
  <c r="AP429" i="2"/>
  <c r="AF567" i="2"/>
  <c r="AP420" i="2"/>
  <c r="U423" i="2"/>
  <c r="AQ420" i="2" s="1"/>
  <c r="M332" i="2"/>
  <c r="AE337" i="2"/>
  <c r="L375" i="2"/>
  <c r="AL345" i="2"/>
  <c r="AR345" i="2"/>
  <c r="AO345" i="2"/>
  <c r="AN345" i="2" s="1"/>
  <c r="AC279" i="2"/>
  <c r="P260" i="2"/>
  <c r="S260" i="2"/>
  <c r="R260" i="2" s="1"/>
  <c r="AI269" i="2"/>
  <c r="V260" i="2"/>
  <c r="AC369" i="2"/>
  <c r="U320" i="2"/>
  <c r="AQ305" i="2" s="1"/>
  <c r="AP305" i="2"/>
  <c r="AP324" i="2"/>
  <c r="AQ324" i="2" s="1"/>
  <c r="AR229" i="2"/>
  <c r="AO229" i="2"/>
  <c r="AN229" i="2" s="1"/>
  <c r="AL229" i="2"/>
  <c r="AC216" i="2"/>
  <c r="M396" i="2"/>
  <c r="AE264" i="2"/>
  <c r="AE270" i="2" s="1"/>
  <c r="I267" i="2"/>
  <c r="M249" i="2"/>
  <c r="AP184" i="2"/>
  <c r="U171" i="2"/>
  <c r="AQ184" i="2" s="1"/>
  <c r="AC126" i="2"/>
  <c r="AB423" i="2"/>
  <c r="AJ423" i="2" s="1"/>
  <c r="U237" i="2"/>
  <c r="AQ233" i="2" s="1"/>
  <c r="AP233" i="2"/>
  <c r="AJ372" i="2"/>
  <c r="AB378" i="2"/>
  <c r="AJ378" i="2" s="1"/>
  <c r="AB270" i="2"/>
  <c r="AJ270" i="2" s="1"/>
  <c r="AJ264" i="2"/>
  <c r="AP139" i="2"/>
  <c r="U147" i="2"/>
  <c r="AQ139" i="2" s="1"/>
  <c r="AP95" i="2"/>
  <c r="U91" i="2"/>
  <c r="AQ95" i="2" s="1"/>
  <c r="AO320" i="2"/>
  <c r="AN320" i="2" s="1"/>
  <c r="AR320" i="2"/>
  <c r="AL320" i="2"/>
  <c r="AP124" i="2"/>
  <c r="AP126" i="2" s="1"/>
  <c r="AQ126" i="2" s="1"/>
  <c r="U128" i="2"/>
  <c r="AQ124" i="2" s="1"/>
  <c r="AP170" i="2"/>
  <c r="U185" i="2"/>
  <c r="AQ170" i="2" s="1"/>
  <c r="S97" i="2"/>
  <c r="R97" i="2" s="1"/>
  <c r="P97" i="2"/>
  <c r="AI106" i="2"/>
  <c r="V97" i="2"/>
  <c r="N854" i="2"/>
  <c r="AJ863" i="2" s="1"/>
  <c r="AE5" i="2"/>
  <c r="M13" i="2"/>
  <c r="AJ859" i="2"/>
  <c r="M261" i="2"/>
  <c r="L852" i="2"/>
  <c r="AH861" i="2" s="1"/>
  <c r="AE171" i="2"/>
  <c r="M129" i="2"/>
  <c r="AE125" i="2"/>
  <c r="S102" i="2"/>
  <c r="R102" i="2" s="1"/>
  <c r="AI98" i="2"/>
  <c r="P102" i="2"/>
  <c r="V102" i="2"/>
  <c r="I856" i="2"/>
  <c r="AJ13" i="2"/>
  <c r="AR159" i="2"/>
  <c r="AO159" i="2"/>
  <c r="AN159" i="2" s="1"/>
  <c r="AL159" i="2"/>
  <c r="L78" i="2"/>
  <c r="AH75" i="2"/>
  <c r="AH81" i="2" s="1"/>
  <c r="AD783" i="1"/>
  <c r="P152" i="2"/>
  <c r="AI161" i="2"/>
  <c r="V152" i="2"/>
  <c r="S152" i="2"/>
  <c r="R152" i="2" s="1"/>
  <c r="L859" i="2"/>
  <c r="AH844" i="2" s="1"/>
  <c r="AC729" i="1"/>
  <c r="P279" i="2"/>
  <c r="AI292" i="2"/>
  <c r="V279" i="2"/>
  <c r="S279" i="2"/>
  <c r="R279" i="2" s="1"/>
  <c r="V104" i="2"/>
  <c r="S104" i="2"/>
  <c r="R104" i="2" s="1"/>
  <c r="AI89" i="2"/>
  <c r="P104" i="2"/>
  <c r="U68" i="2"/>
  <c r="AQ77" i="2" s="1"/>
  <c r="AP77" i="2"/>
  <c r="AP35" i="2"/>
  <c r="U50" i="2"/>
  <c r="AQ35" i="2" s="1"/>
  <c r="AJ852" i="2"/>
  <c r="AB18" i="2"/>
  <c r="AJ18" i="2" s="1"/>
  <c r="AJ12" i="2"/>
  <c r="AF864" i="2"/>
  <c r="AP822" i="1"/>
  <c r="AP828" i="1" s="1"/>
  <c r="AQ828" i="1" s="1"/>
  <c r="U817" i="1"/>
  <c r="AQ822" i="1" s="1"/>
  <c r="AJ769" i="1"/>
  <c r="AB774" i="1"/>
  <c r="AJ774" i="1" s="1"/>
  <c r="AP238" i="2"/>
  <c r="U225" i="2"/>
  <c r="AQ238" i="2" s="1"/>
  <c r="T159" i="2"/>
  <c r="U159" i="2" s="1"/>
  <c r="M87" i="2"/>
  <c r="L105" i="2"/>
  <c r="AH102" i="2"/>
  <c r="AH108" i="2" s="1"/>
  <c r="AB54" i="2"/>
  <c r="AJ54" i="2" s="1"/>
  <c r="AJ48" i="2"/>
  <c r="AP851" i="2"/>
  <c r="U847" i="2"/>
  <c r="AQ851" i="2" s="1"/>
  <c r="AP691" i="1"/>
  <c r="AP693" i="1" s="1"/>
  <c r="AQ693" i="1" s="1"/>
  <c r="U695" i="1"/>
  <c r="AQ691" i="1" s="1"/>
  <c r="P205" i="2"/>
  <c r="S205" i="2"/>
  <c r="R205" i="2" s="1"/>
  <c r="AI214" i="2"/>
  <c r="V205" i="2"/>
  <c r="AP52" i="2"/>
  <c r="U43" i="2"/>
  <c r="AQ52" i="2" s="1"/>
  <c r="AI781" i="1"/>
  <c r="V772" i="1"/>
  <c r="S772" i="1"/>
  <c r="R772" i="1" s="1"/>
  <c r="P772" i="1"/>
  <c r="AP671" i="1"/>
  <c r="AP675" i="1" s="1"/>
  <c r="AQ675" i="1" s="1"/>
  <c r="U662" i="1"/>
  <c r="AQ671" i="1" s="1"/>
  <c r="AP40" i="2"/>
  <c r="U35" i="2"/>
  <c r="AQ40" i="2" s="1"/>
  <c r="AE670" i="1"/>
  <c r="M657" i="1"/>
  <c r="AB288" i="2"/>
  <c r="AJ288" i="2" s="1"/>
  <c r="AR129" i="2"/>
  <c r="AO129" i="2"/>
  <c r="AN129" i="2" s="1"/>
  <c r="AL129" i="2"/>
  <c r="AE75" i="2"/>
  <c r="I78" i="2"/>
  <c r="M60" i="2"/>
  <c r="AE45" i="2"/>
  <c r="T807" i="1"/>
  <c r="U807" i="1" s="1"/>
  <c r="M720" i="1"/>
  <c r="AE717" i="1"/>
  <c r="AJ588" i="1"/>
  <c r="AB594" i="1"/>
  <c r="AJ594" i="1" s="1"/>
  <c r="AE759" i="1"/>
  <c r="AE765" i="1" s="1"/>
  <c r="M767" i="1"/>
  <c r="M735" i="1"/>
  <c r="I753" i="1"/>
  <c r="AE750" i="1"/>
  <c r="AE688" i="1"/>
  <c r="M683" i="1"/>
  <c r="AE579" i="1"/>
  <c r="AE585" i="1" s="1"/>
  <c r="M574" i="1"/>
  <c r="AC99" i="2"/>
  <c r="AB81" i="2"/>
  <c r="AJ81" i="2" s="1"/>
  <c r="P37" i="2"/>
  <c r="AI41" i="2"/>
  <c r="V37" i="2"/>
  <c r="S37" i="2"/>
  <c r="R37" i="2" s="1"/>
  <c r="M827" i="1"/>
  <c r="I780" i="1"/>
  <c r="M725" i="1"/>
  <c r="AE710" i="1"/>
  <c r="AP643" i="1"/>
  <c r="U630" i="1"/>
  <c r="AQ643" i="1" s="1"/>
  <c r="U535" i="1"/>
  <c r="AQ520" i="1" s="1"/>
  <c r="AP520" i="1"/>
  <c r="AP522" i="1" s="1"/>
  <c r="AQ522" i="1" s="1"/>
  <c r="AP481" i="1"/>
  <c r="U468" i="1"/>
  <c r="AQ481" i="1" s="1"/>
  <c r="AH444" i="1"/>
  <c r="AH450" i="1" s="1"/>
  <c r="L456" i="1"/>
  <c r="S33" i="2"/>
  <c r="R33" i="2" s="1"/>
  <c r="P33" i="2"/>
  <c r="AI48" i="2"/>
  <c r="V33" i="2"/>
  <c r="AF853" i="2"/>
  <c r="L857" i="2"/>
  <c r="AH853" i="2" s="1"/>
  <c r="AF702" i="1"/>
  <c r="AE180" i="2"/>
  <c r="U659" i="1"/>
  <c r="AQ651" i="1" s="1"/>
  <c r="AP651" i="1"/>
  <c r="AP657" i="1" s="1"/>
  <c r="AQ657" i="1" s="1"/>
  <c r="M627" i="1"/>
  <c r="I645" i="1"/>
  <c r="AE642" i="1"/>
  <c r="U605" i="1"/>
  <c r="AQ597" i="1" s="1"/>
  <c r="AP597" i="1"/>
  <c r="AP603" i="1" s="1"/>
  <c r="AQ603" i="1" s="1"/>
  <c r="AP544" i="1"/>
  <c r="U552" i="1"/>
  <c r="AQ544" i="1" s="1"/>
  <c r="AE456" i="1"/>
  <c r="AE459" i="1" s="1"/>
  <c r="M447" i="1"/>
  <c r="AE644" i="1"/>
  <c r="M635" i="1"/>
  <c r="V559" i="1"/>
  <c r="S559" i="1"/>
  <c r="R559" i="1" s="1"/>
  <c r="AI546" i="1"/>
  <c r="P559" i="1"/>
  <c r="V494" i="1"/>
  <c r="S494" i="1"/>
  <c r="R494" i="1" s="1"/>
  <c r="P494" i="1"/>
  <c r="AI499" i="1"/>
  <c r="P443" i="1"/>
  <c r="V443" i="1"/>
  <c r="AI435" i="1"/>
  <c r="S443" i="1"/>
  <c r="R443" i="1" s="1"/>
  <c r="AJ432" i="1"/>
  <c r="M828" i="1"/>
  <c r="AE825" i="1"/>
  <c r="P550" i="1"/>
  <c r="AI554" i="1"/>
  <c r="V550" i="1"/>
  <c r="S550" i="1"/>
  <c r="R550" i="1" s="1"/>
  <c r="AE536" i="1"/>
  <c r="M527" i="1"/>
  <c r="AE513" i="1"/>
  <c r="AP468" i="1"/>
  <c r="AQ468" i="1" s="1"/>
  <c r="P660" i="1"/>
  <c r="AI652" i="1"/>
  <c r="V660" i="1"/>
  <c r="S660" i="1"/>
  <c r="R660" i="1" s="1"/>
  <c r="I672" i="1"/>
  <c r="AB612" i="1"/>
  <c r="AJ612" i="1" s="1"/>
  <c r="V579" i="1"/>
  <c r="S579" i="1"/>
  <c r="R579" i="1" s="1"/>
  <c r="P579" i="1"/>
  <c r="AI571" i="1"/>
  <c r="V721" i="1"/>
  <c r="S721" i="1"/>
  <c r="R721" i="1" s="1"/>
  <c r="AI708" i="1"/>
  <c r="P721" i="1"/>
  <c r="M557" i="1"/>
  <c r="M529" i="1"/>
  <c r="M439" i="1"/>
  <c r="M456" i="1" s="1"/>
  <c r="T429" i="1"/>
  <c r="U429" i="1" s="1"/>
  <c r="AP426" i="1"/>
  <c r="AP432" i="1" s="1"/>
  <c r="AQ432" i="1" s="1"/>
  <c r="U411" i="1"/>
  <c r="AQ426" i="1" s="1"/>
  <c r="AF234" i="1"/>
  <c r="M44" i="2"/>
  <c r="P688" i="1"/>
  <c r="V688" i="1"/>
  <c r="S688" i="1"/>
  <c r="R688" i="1" s="1"/>
  <c r="AI680" i="1"/>
  <c r="AI653" i="1"/>
  <c r="V661" i="1"/>
  <c r="S661" i="1"/>
  <c r="R661" i="1" s="1"/>
  <c r="P661" i="1"/>
  <c r="M500" i="1"/>
  <c r="S423" i="1"/>
  <c r="R423" i="1" s="1"/>
  <c r="P423" i="1"/>
  <c r="AI420" i="1"/>
  <c r="V423" i="1"/>
  <c r="AP390" i="1"/>
  <c r="AP396" i="1" s="1"/>
  <c r="AQ396" i="1" s="1"/>
  <c r="U385" i="1"/>
  <c r="AQ390" i="1" s="1"/>
  <c r="AL719" i="1"/>
  <c r="AR719" i="1"/>
  <c r="AO719" i="1"/>
  <c r="AN719" i="1" s="1"/>
  <c r="M640" i="1"/>
  <c r="AI545" i="1"/>
  <c r="V553" i="1"/>
  <c r="S553" i="1"/>
  <c r="R553" i="1" s="1"/>
  <c r="P553" i="1"/>
  <c r="AP457" i="1"/>
  <c r="AP459" i="1" s="1"/>
  <c r="AQ459" i="1" s="1"/>
  <c r="U448" i="1"/>
  <c r="AQ457" i="1" s="1"/>
  <c r="AP410" i="1"/>
  <c r="U418" i="1"/>
  <c r="AQ410" i="1" s="1"/>
  <c r="AP367" i="1"/>
  <c r="U371" i="1"/>
  <c r="AQ367" i="1" s="1"/>
  <c r="V628" i="1"/>
  <c r="S628" i="1"/>
  <c r="R628" i="1" s="1"/>
  <c r="P628" i="1"/>
  <c r="AI633" i="1"/>
  <c r="AB450" i="1"/>
  <c r="AJ450" i="1" s="1"/>
  <c r="AP328" i="1"/>
  <c r="U336" i="1"/>
  <c r="AQ328" i="1" s="1"/>
  <c r="AJ336" i="1"/>
  <c r="AB342" i="1"/>
  <c r="AJ342" i="1" s="1"/>
  <c r="S260" i="1"/>
  <c r="R260" i="1" s="1"/>
  <c r="P260" i="1"/>
  <c r="AI269" i="1"/>
  <c r="V260" i="1"/>
  <c r="AP206" i="1"/>
  <c r="U210" i="1"/>
  <c r="AQ206" i="1" s="1"/>
  <c r="AP4" i="1"/>
  <c r="U12" i="1"/>
  <c r="AQ4" i="1" s="1"/>
  <c r="P421" i="1"/>
  <c r="V421" i="1"/>
  <c r="AI430" i="1"/>
  <c r="S421" i="1"/>
  <c r="R421" i="1" s="1"/>
  <c r="P389" i="1"/>
  <c r="V389" i="1"/>
  <c r="AI381" i="1"/>
  <c r="S389" i="1"/>
  <c r="R389" i="1" s="1"/>
  <c r="AB279" i="1"/>
  <c r="AJ279" i="1" s="1"/>
  <c r="AJ273" i="1"/>
  <c r="M266" i="1"/>
  <c r="M211" i="1"/>
  <c r="AI194" i="1"/>
  <c r="V202" i="1"/>
  <c r="S202" i="1"/>
  <c r="R202" i="1" s="1"/>
  <c r="P202" i="1"/>
  <c r="AD702" i="1"/>
  <c r="U427" i="1"/>
  <c r="AQ412" i="1" s="1"/>
  <c r="AP412" i="1"/>
  <c r="AP269" i="1"/>
  <c r="U260" i="1"/>
  <c r="AQ269" i="1" s="1"/>
  <c r="AD846" i="1"/>
  <c r="AP576" i="1"/>
  <c r="AQ576" i="1" s="1"/>
  <c r="AI374" i="1"/>
  <c r="S365" i="1"/>
  <c r="R365" i="1" s="1"/>
  <c r="P365" i="1"/>
  <c r="V365" i="1"/>
  <c r="AP196" i="1"/>
  <c r="AP198" i="1" s="1"/>
  <c r="AQ198" i="1" s="1"/>
  <c r="U211" i="1"/>
  <c r="AQ196" i="1" s="1"/>
  <c r="AE188" i="1"/>
  <c r="M179" i="1"/>
  <c r="AE26" i="1"/>
  <c r="M17" i="1"/>
  <c r="J861" i="1"/>
  <c r="AF858" i="1"/>
  <c r="L843" i="1"/>
  <c r="U419" i="1"/>
  <c r="AQ428" i="1" s="1"/>
  <c r="AP428" i="1"/>
  <c r="L375" i="1"/>
  <c r="AP265" i="1"/>
  <c r="U252" i="1"/>
  <c r="AQ265" i="1" s="1"/>
  <c r="AB108" i="1"/>
  <c r="AJ108" i="1" s="1"/>
  <c r="AJ102" i="1"/>
  <c r="AB54" i="1"/>
  <c r="AJ54" i="1" s="1"/>
  <c r="AJ48" i="1"/>
  <c r="U849" i="1"/>
  <c r="AQ841" i="1" s="1"/>
  <c r="AP841" i="1"/>
  <c r="M573" i="1"/>
  <c r="I591" i="1"/>
  <c r="AE588" i="1"/>
  <c r="AE594" i="1" s="1"/>
  <c r="V470" i="1"/>
  <c r="AI462" i="1"/>
  <c r="S470" i="1"/>
  <c r="R470" i="1" s="1"/>
  <c r="P470" i="1"/>
  <c r="AB396" i="1"/>
  <c r="AJ396" i="1" s="1"/>
  <c r="L321" i="1"/>
  <c r="AP178" i="1"/>
  <c r="U182" i="1"/>
  <c r="AQ178" i="1" s="1"/>
  <c r="S172" i="1"/>
  <c r="R172" i="1" s="1"/>
  <c r="P172" i="1"/>
  <c r="AI176" i="1"/>
  <c r="V172" i="1"/>
  <c r="AP124" i="1"/>
  <c r="U128" i="1"/>
  <c r="AQ124" i="1" s="1"/>
  <c r="S118" i="1"/>
  <c r="R118" i="1" s="1"/>
  <c r="P118" i="1"/>
  <c r="AI122" i="1"/>
  <c r="V118" i="1"/>
  <c r="AP70" i="1"/>
  <c r="U74" i="1"/>
  <c r="AQ70" i="1" s="1"/>
  <c r="S64" i="1"/>
  <c r="R64" i="1" s="1"/>
  <c r="P64" i="1"/>
  <c r="AI68" i="1"/>
  <c r="V64" i="1"/>
  <c r="AF853" i="1"/>
  <c r="L857" i="1"/>
  <c r="AH853" i="1" s="1"/>
  <c r="I851" i="1"/>
  <c r="AC860" i="1"/>
  <c r="AH369" i="1"/>
  <c r="U311" i="1"/>
  <c r="AQ320" i="1" s="1"/>
  <c r="AP320" i="1"/>
  <c r="M262" i="1"/>
  <c r="AE249" i="1"/>
  <c r="AE252" i="1" s="1"/>
  <c r="AE219" i="1"/>
  <c r="AE225" i="1" s="1"/>
  <c r="M227" i="1"/>
  <c r="AP158" i="1"/>
  <c r="U149" i="1"/>
  <c r="AQ158" i="1" s="1"/>
  <c r="AP53" i="1"/>
  <c r="U44" i="1"/>
  <c r="AQ53" i="1" s="1"/>
  <c r="N851" i="1"/>
  <c r="AJ860" i="1" s="1"/>
  <c r="AB860" i="1"/>
  <c r="T851" i="1"/>
  <c r="AE198" i="1"/>
  <c r="V99" i="1"/>
  <c r="S99" i="1"/>
  <c r="R99" i="1" s="1"/>
  <c r="P99" i="1"/>
  <c r="AI96" i="1"/>
  <c r="AI129" i="1"/>
  <c r="V114" i="1"/>
  <c r="S114" i="1"/>
  <c r="R114" i="1" s="1"/>
  <c r="P114" i="1"/>
  <c r="AJ129" i="1"/>
  <c r="AB135" i="1"/>
  <c r="AJ135" i="1" s="1"/>
  <c r="S47" i="1"/>
  <c r="R47" i="1" s="1"/>
  <c r="P47" i="1"/>
  <c r="AI43" i="1"/>
  <c r="V47" i="1"/>
  <c r="I159" i="1"/>
  <c r="M90" i="1"/>
  <c r="L51" i="1"/>
  <c r="AH48" i="1"/>
  <c r="AH54" i="1" s="1"/>
  <c r="F861" i="1"/>
  <c r="N861" i="1" s="1"/>
  <c r="AB858" i="1"/>
  <c r="N843" i="1"/>
  <c r="T843" i="1"/>
  <c r="M91" i="1"/>
  <c r="AS851" i="1" s="1"/>
  <c r="AE95" i="1"/>
  <c r="V399" i="1"/>
  <c r="S399" i="1"/>
  <c r="R399" i="1" s="1"/>
  <c r="AI395" i="1"/>
  <c r="P399" i="1"/>
  <c r="M19" i="1"/>
  <c r="M263" i="1"/>
  <c r="AE259" i="1"/>
  <c r="I240" i="1"/>
  <c r="AO86" i="1"/>
  <c r="AN86" i="1" s="1"/>
  <c r="AL86" i="1"/>
  <c r="AR86" i="1"/>
  <c r="M70" i="1"/>
  <c r="M78" i="1" s="1"/>
  <c r="AE79" i="1"/>
  <c r="AE81" i="1" s="1"/>
  <c r="M33" i="1"/>
  <c r="AS858" i="1" s="1"/>
  <c r="L852" i="1"/>
  <c r="AH861" i="1" s="1"/>
  <c r="AF861" i="1"/>
  <c r="AE333" i="1"/>
  <c r="L159" i="1"/>
  <c r="AH156" i="1"/>
  <c r="AH162" i="1" s="1"/>
  <c r="AG18" i="1"/>
  <c r="AC144" i="1"/>
  <c r="U96" i="1"/>
  <c r="AQ105" i="1" s="1"/>
  <c r="AP105" i="1"/>
  <c r="M77" i="1"/>
  <c r="AI302" i="1"/>
  <c r="V310" i="1"/>
  <c r="S310" i="1"/>
  <c r="R310" i="1" s="1"/>
  <c r="P310" i="1"/>
  <c r="P183" i="1"/>
  <c r="V183" i="1"/>
  <c r="S183" i="1"/>
  <c r="R183" i="1" s="1"/>
  <c r="AI179" i="1"/>
  <c r="AE18" i="1"/>
  <c r="AB810" i="3"/>
  <c r="AJ810" i="3" s="1"/>
  <c r="AJ804" i="3"/>
  <c r="AE795" i="3"/>
  <c r="AE801" i="3" s="1"/>
  <c r="M790" i="3"/>
  <c r="AP806" i="3"/>
  <c r="U797" i="3"/>
  <c r="AQ806" i="3" s="1"/>
  <c r="AI779" i="3"/>
  <c r="S770" i="3"/>
  <c r="R770" i="3" s="1"/>
  <c r="P770" i="3"/>
  <c r="V770" i="3"/>
  <c r="AF783" i="3"/>
  <c r="AB774" i="3"/>
  <c r="AJ774" i="3" s="1"/>
  <c r="AP751" i="3"/>
  <c r="U738" i="3"/>
  <c r="AQ751" i="3" s="1"/>
  <c r="S745" i="3"/>
  <c r="R745" i="3" s="1"/>
  <c r="P745" i="3"/>
  <c r="AI754" i="3"/>
  <c r="V745" i="3"/>
  <c r="U744" i="3"/>
  <c r="AQ753" i="3" s="1"/>
  <c r="AP753" i="3"/>
  <c r="AB756" i="3"/>
  <c r="AJ756" i="3" s="1"/>
  <c r="AJ750" i="3"/>
  <c r="M710" i="3"/>
  <c r="M726" i="3" s="1"/>
  <c r="AE715" i="3"/>
  <c r="AE720" i="3" s="1"/>
  <c r="M739" i="3"/>
  <c r="AE743" i="3"/>
  <c r="P767" i="3"/>
  <c r="V767" i="3"/>
  <c r="S767" i="3"/>
  <c r="R767" i="3" s="1"/>
  <c r="AI759" i="3"/>
  <c r="U713" i="3"/>
  <c r="AQ705" i="3" s="1"/>
  <c r="AP705" i="3"/>
  <c r="AP711" i="3" s="1"/>
  <c r="AQ711" i="3" s="1"/>
  <c r="P714" i="3"/>
  <c r="AI706" i="3"/>
  <c r="V714" i="3"/>
  <c r="S714" i="3"/>
  <c r="R714" i="3" s="1"/>
  <c r="T726" i="3"/>
  <c r="U726" i="3" s="1"/>
  <c r="AR761" i="3"/>
  <c r="AO761" i="3"/>
  <c r="AN761" i="3" s="1"/>
  <c r="AL761" i="3"/>
  <c r="M696" i="3"/>
  <c r="AP657" i="3"/>
  <c r="AQ657" i="3" s="1"/>
  <c r="V629" i="3"/>
  <c r="AI634" i="3"/>
  <c r="S629" i="3"/>
  <c r="R629" i="3" s="1"/>
  <c r="P629" i="3"/>
  <c r="P632" i="3"/>
  <c r="V632" i="3"/>
  <c r="S632" i="3"/>
  <c r="R632" i="3" s="1"/>
  <c r="AI624" i="3"/>
  <c r="AR602" i="3"/>
  <c r="AO602" i="3"/>
  <c r="AN602" i="3" s="1"/>
  <c r="AL602" i="3"/>
  <c r="AP673" i="3"/>
  <c r="U664" i="3"/>
  <c r="AQ673" i="3" s="1"/>
  <c r="AE627" i="3"/>
  <c r="AE630" i="3" s="1"/>
  <c r="M640" i="3"/>
  <c r="AH645" i="3"/>
  <c r="M636" i="3"/>
  <c r="AP579" i="3"/>
  <c r="AP585" i="3" s="1"/>
  <c r="AQ585" i="3" s="1"/>
  <c r="U574" i="3"/>
  <c r="AQ579" i="3" s="1"/>
  <c r="M616" i="3"/>
  <c r="M576" i="3"/>
  <c r="AE589" i="3"/>
  <c r="AP547" i="3"/>
  <c r="U562" i="3"/>
  <c r="AQ547" i="3" s="1"/>
  <c r="AP588" i="3"/>
  <c r="AP594" i="3" s="1"/>
  <c r="AQ594" i="3" s="1"/>
  <c r="T591" i="3"/>
  <c r="U591" i="3" s="1"/>
  <c r="U573" i="3"/>
  <c r="AQ588" i="3" s="1"/>
  <c r="AP521" i="3"/>
  <c r="U536" i="3"/>
  <c r="AQ521" i="3" s="1"/>
  <c r="AB549" i="3"/>
  <c r="AJ549" i="3" s="1"/>
  <c r="AJ543" i="3"/>
  <c r="U601" i="3"/>
  <c r="AQ606" i="3" s="1"/>
  <c r="AP606" i="3"/>
  <c r="AP612" i="3" s="1"/>
  <c r="AQ612" i="3" s="1"/>
  <c r="M520" i="3"/>
  <c r="AE525" i="3"/>
  <c r="AP529" i="3"/>
  <c r="U533" i="3"/>
  <c r="AQ529" i="3" s="1"/>
  <c r="AE499" i="3"/>
  <c r="AE504" i="3" s="1"/>
  <c r="M494" i="3"/>
  <c r="M510" i="3" s="1"/>
  <c r="U532" i="3"/>
  <c r="AQ519" i="3" s="1"/>
  <c r="AP519" i="3"/>
  <c r="AP522" i="3" s="1"/>
  <c r="AQ522" i="3" s="1"/>
  <c r="AP510" i="3"/>
  <c r="AP513" i="3" s="1"/>
  <c r="AQ513" i="3" s="1"/>
  <c r="U501" i="3"/>
  <c r="AQ510" i="3" s="1"/>
  <c r="V551" i="3"/>
  <c r="AI543" i="3"/>
  <c r="S551" i="3"/>
  <c r="R551" i="3" s="1"/>
  <c r="P551" i="3"/>
  <c r="AB513" i="3"/>
  <c r="AJ513" i="3" s="1"/>
  <c r="AJ507" i="3"/>
  <c r="AP500" i="3"/>
  <c r="U496" i="3"/>
  <c r="AQ500" i="3" s="1"/>
  <c r="AB486" i="3"/>
  <c r="AJ486" i="3" s="1"/>
  <c r="AJ480" i="3"/>
  <c r="AI475" i="3"/>
  <c r="V479" i="3"/>
  <c r="S479" i="3"/>
  <c r="R479" i="3" s="1"/>
  <c r="P479" i="3"/>
  <c r="M521" i="3"/>
  <c r="AE526" i="3"/>
  <c r="P474" i="3"/>
  <c r="S474" i="3"/>
  <c r="R474" i="3" s="1"/>
  <c r="AI483" i="3"/>
  <c r="V474" i="3"/>
  <c r="U502" i="3"/>
  <c r="AQ511" i="3" s="1"/>
  <c r="AP511" i="3"/>
  <c r="AP431" i="3"/>
  <c r="U422" i="3"/>
  <c r="AQ431" i="3" s="1"/>
  <c r="P441" i="3"/>
  <c r="AI454" i="3"/>
  <c r="V441" i="3"/>
  <c r="S441" i="3"/>
  <c r="R441" i="3" s="1"/>
  <c r="AH453" i="3"/>
  <c r="AH459" i="3" s="1"/>
  <c r="L456" i="3"/>
  <c r="M411" i="3"/>
  <c r="I429" i="3"/>
  <c r="AE426" i="3"/>
  <c r="M421" i="3"/>
  <c r="AE430" i="3"/>
  <c r="M453" i="3"/>
  <c r="AE449" i="3"/>
  <c r="M425" i="3"/>
  <c r="AE421" i="3"/>
  <c r="AJ408" i="3"/>
  <c r="AB414" i="3"/>
  <c r="AJ414" i="3" s="1"/>
  <c r="AH376" i="3"/>
  <c r="M367" i="3"/>
  <c r="T429" i="3"/>
  <c r="U429" i="3" s="1"/>
  <c r="AP426" i="3"/>
  <c r="U411" i="3"/>
  <c r="AQ426" i="3" s="1"/>
  <c r="AP367" i="3"/>
  <c r="U371" i="3"/>
  <c r="AQ367" i="3" s="1"/>
  <c r="M452" i="3"/>
  <c r="AE448" i="3"/>
  <c r="AB369" i="3"/>
  <c r="AJ369" i="3" s="1"/>
  <c r="AJ363" i="3"/>
  <c r="U339" i="3"/>
  <c r="AQ348" i="3" s="1"/>
  <c r="AP348" i="3"/>
  <c r="AP351" i="3" s="1"/>
  <c r="AQ351" i="3" s="1"/>
  <c r="P334" i="3"/>
  <c r="AI338" i="3"/>
  <c r="V334" i="3"/>
  <c r="S334" i="3"/>
  <c r="R334" i="3" s="1"/>
  <c r="AP336" i="3"/>
  <c r="U331" i="3"/>
  <c r="AQ336" i="3" s="1"/>
  <c r="S346" i="3"/>
  <c r="R346" i="3" s="1"/>
  <c r="P346" i="3"/>
  <c r="AI331" i="3"/>
  <c r="V346" i="3"/>
  <c r="AP309" i="3"/>
  <c r="U304" i="3"/>
  <c r="AQ309" i="3" s="1"/>
  <c r="AP257" i="3"/>
  <c r="U253" i="3"/>
  <c r="AQ257" i="3" s="1"/>
  <c r="AP201" i="3"/>
  <c r="AP207" i="3" s="1"/>
  <c r="AQ207" i="3" s="1"/>
  <c r="U196" i="3"/>
  <c r="AQ201" i="3" s="1"/>
  <c r="U291" i="3"/>
  <c r="AQ287" i="3" s="1"/>
  <c r="AP287" i="3"/>
  <c r="AP222" i="3"/>
  <c r="U235" i="3"/>
  <c r="AQ222" i="3" s="1"/>
  <c r="AI322" i="3"/>
  <c r="S313" i="3"/>
  <c r="R313" i="3" s="1"/>
  <c r="P313" i="3"/>
  <c r="V313" i="3"/>
  <c r="AP266" i="3"/>
  <c r="U257" i="3"/>
  <c r="AQ266" i="3" s="1"/>
  <c r="M232" i="3"/>
  <c r="AE241" i="3"/>
  <c r="AP215" i="3"/>
  <c r="U206" i="3"/>
  <c r="AQ215" i="3" s="1"/>
  <c r="M199" i="3"/>
  <c r="AE203" i="3"/>
  <c r="AJ129" i="3"/>
  <c r="AB135" i="3"/>
  <c r="AJ135" i="3" s="1"/>
  <c r="AI237" i="3"/>
  <c r="V222" i="3"/>
  <c r="S222" i="3"/>
  <c r="R222" i="3" s="1"/>
  <c r="P222" i="3"/>
  <c r="S256" i="3"/>
  <c r="R256" i="3" s="1"/>
  <c r="P256" i="3"/>
  <c r="AI248" i="3"/>
  <c r="V256" i="3"/>
  <c r="S202" i="3"/>
  <c r="R202" i="3" s="1"/>
  <c r="P202" i="3"/>
  <c r="AI194" i="3"/>
  <c r="V202" i="3"/>
  <c r="S282" i="3"/>
  <c r="R282" i="3" s="1"/>
  <c r="P282" i="3"/>
  <c r="AI274" i="3"/>
  <c r="V282" i="3"/>
  <c r="T240" i="3"/>
  <c r="U240" i="3" s="1"/>
  <c r="AP237" i="3"/>
  <c r="U222" i="3"/>
  <c r="AQ237" i="3" s="1"/>
  <c r="AB207" i="3"/>
  <c r="AJ207" i="3" s="1"/>
  <c r="AP150" i="3"/>
  <c r="AP153" i="3" s="1"/>
  <c r="AQ153" i="3" s="1"/>
  <c r="U153" i="3"/>
  <c r="AQ150" i="3" s="1"/>
  <c r="AP96" i="3"/>
  <c r="U99" i="3"/>
  <c r="AQ96" i="3" s="1"/>
  <c r="AJ291" i="3"/>
  <c r="AB297" i="3"/>
  <c r="AJ297" i="3" s="1"/>
  <c r="M253" i="3"/>
  <c r="AE257" i="3"/>
  <c r="V225" i="3"/>
  <c r="S225" i="3"/>
  <c r="R225" i="3" s="1"/>
  <c r="P225" i="3"/>
  <c r="AI238" i="3"/>
  <c r="U92" i="3"/>
  <c r="AQ84" i="3" s="1"/>
  <c r="AP84" i="3"/>
  <c r="AP90" i="3" s="1"/>
  <c r="AQ90" i="3" s="1"/>
  <c r="S288" i="3"/>
  <c r="R288" i="3" s="1"/>
  <c r="P288" i="3"/>
  <c r="AI285" i="3"/>
  <c r="V288" i="3"/>
  <c r="AP178" i="3"/>
  <c r="U182" i="3"/>
  <c r="AQ178" i="3" s="1"/>
  <c r="U73" i="3"/>
  <c r="AQ60" i="3" s="1"/>
  <c r="AP60" i="3"/>
  <c r="AP63" i="3" s="1"/>
  <c r="AQ63" i="3" s="1"/>
  <c r="AP77" i="3"/>
  <c r="U68" i="3"/>
  <c r="AQ77" i="3" s="1"/>
  <c r="AP349" i="3"/>
  <c r="U340" i="3"/>
  <c r="AQ349" i="3" s="1"/>
  <c r="AE99" i="3"/>
  <c r="AE40" i="3"/>
  <c r="M35" i="3"/>
  <c r="U22" i="3"/>
  <c r="AQ7" i="3" s="1"/>
  <c r="AP7" i="3"/>
  <c r="AF836" i="3"/>
  <c r="L827" i="3"/>
  <c r="AH836" i="3" s="1"/>
  <c r="AP130" i="3"/>
  <c r="U117" i="3"/>
  <c r="AQ130" i="3" s="1"/>
  <c r="AO94" i="3"/>
  <c r="AN94" i="3" s="1"/>
  <c r="AL94" i="3"/>
  <c r="AR94" i="3"/>
  <c r="T825" i="3"/>
  <c r="N825" i="3"/>
  <c r="AJ834" i="3" s="1"/>
  <c r="AB834" i="3"/>
  <c r="AC822" i="3"/>
  <c r="AC828" i="3" s="1"/>
  <c r="I817" i="3"/>
  <c r="M142" i="3"/>
  <c r="AE147" i="3"/>
  <c r="AE153" i="3" s="1"/>
  <c r="AB819" i="3"/>
  <c r="AJ819" i="3" s="1"/>
  <c r="AJ813" i="3"/>
  <c r="AO151" i="3"/>
  <c r="AN151" i="3" s="1"/>
  <c r="AL151" i="3"/>
  <c r="AR151" i="3"/>
  <c r="S87" i="3"/>
  <c r="R87" i="3" s="1"/>
  <c r="P87" i="3"/>
  <c r="AI102" i="3"/>
  <c r="V87" i="3"/>
  <c r="AP13" i="3"/>
  <c r="U8" i="3"/>
  <c r="AQ13" i="3" s="1"/>
  <c r="AL141" i="3"/>
  <c r="AR141" i="3"/>
  <c r="AO141" i="3"/>
  <c r="AN141" i="3" s="1"/>
  <c r="P74" i="3"/>
  <c r="AI70" i="3"/>
  <c r="V74" i="3"/>
  <c r="S74" i="3"/>
  <c r="R74" i="3" s="1"/>
  <c r="AC135" i="3"/>
  <c r="N24" i="3"/>
  <c r="F834" i="3"/>
  <c r="N834" i="3" s="1"/>
  <c r="AB831" i="3"/>
  <c r="T816" i="3"/>
  <c r="N816" i="3"/>
  <c r="AE833" i="2"/>
  <c r="M824" i="2"/>
  <c r="U184" i="3"/>
  <c r="AQ169" i="3" s="1"/>
  <c r="AP169" i="3"/>
  <c r="M827" i="2"/>
  <c r="AE836" i="2"/>
  <c r="M104" i="3"/>
  <c r="AE89" i="3"/>
  <c r="AH72" i="3"/>
  <c r="U50" i="3"/>
  <c r="AQ35" i="3" s="1"/>
  <c r="AP35" i="3"/>
  <c r="AP54" i="3"/>
  <c r="AQ54" i="3" s="1"/>
  <c r="AC810" i="2"/>
  <c r="M21" i="3"/>
  <c r="AE17" i="3"/>
  <c r="S800" i="2"/>
  <c r="R800" i="2" s="1"/>
  <c r="P800" i="2"/>
  <c r="AI809" i="2"/>
  <c r="V800" i="2"/>
  <c r="AE783" i="2"/>
  <c r="T753" i="2"/>
  <c r="U753" i="2" s="1"/>
  <c r="AI716" i="2"/>
  <c r="V712" i="2"/>
  <c r="S712" i="2"/>
  <c r="R712" i="2" s="1"/>
  <c r="P712" i="2"/>
  <c r="AP652" i="2"/>
  <c r="U660" i="2"/>
  <c r="AQ652" i="2" s="1"/>
  <c r="AE701" i="2"/>
  <c r="M692" i="2"/>
  <c r="AP788" i="2"/>
  <c r="U796" i="2"/>
  <c r="AQ788" i="2" s="1"/>
  <c r="U750" i="2"/>
  <c r="AQ746" i="2" s="1"/>
  <c r="AP746" i="2"/>
  <c r="P588" i="2"/>
  <c r="AI584" i="2"/>
  <c r="V588" i="2"/>
  <c r="S588" i="2"/>
  <c r="R588" i="2" s="1"/>
  <c r="M686" i="2"/>
  <c r="AE678" i="2"/>
  <c r="AE684" i="2" s="1"/>
  <c r="M834" i="2"/>
  <c r="AI831" i="2"/>
  <c r="V816" i="2"/>
  <c r="S816" i="2"/>
  <c r="R816" i="2" s="1"/>
  <c r="P816" i="2"/>
  <c r="M773" i="2"/>
  <c r="AE782" i="2"/>
  <c r="AE725" i="2"/>
  <c r="AE729" i="2" s="1"/>
  <c r="M716" i="2"/>
  <c r="AI655" i="2"/>
  <c r="P670" i="2"/>
  <c r="V670" i="2"/>
  <c r="S670" i="2"/>
  <c r="R670" i="2" s="1"/>
  <c r="M636" i="2"/>
  <c r="U822" i="2"/>
  <c r="AQ814" i="2" s="1"/>
  <c r="AP814" i="2"/>
  <c r="AE63" i="3"/>
  <c r="AH741" i="2"/>
  <c r="AH747" i="2" s="1"/>
  <c r="L753" i="2"/>
  <c r="M683" i="2"/>
  <c r="AE688" i="2"/>
  <c r="S644" i="2"/>
  <c r="R644" i="2" s="1"/>
  <c r="AI629" i="2"/>
  <c r="P644" i="2"/>
  <c r="V644" i="2"/>
  <c r="AH774" i="2"/>
  <c r="M736" i="2"/>
  <c r="M694" i="2"/>
  <c r="AE681" i="2"/>
  <c r="AJ759" i="2"/>
  <c r="AB765" i="2"/>
  <c r="AJ765" i="2" s="1"/>
  <c r="AC747" i="2"/>
  <c r="U694" i="2"/>
  <c r="AQ681" i="2" s="1"/>
  <c r="AP681" i="2"/>
  <c r="AP684" i="2" s="1"/>
  <c r="AQ684" i="2" s="1"/>
  <c r="U630" i="2"/>
  <c r="AQ643" i="2" s="1"/>
  <c r="AP643" i="2"/>
  <c r="AL644" i="2"/>
  <c r="AR644" i="2"/>
  <c r="AO644" i="2"/>
  <c r="AN644" i="2" s="1"/>
  <c r="M497" i="2"/>
  <c r="AE489" i="2"/>
  <c r="T537" i="2"/>
  <c r="U537" i="2" s="1"/>
  <c r="M495" i="2"/>
  <c r="AH508" i="2"/>
  <c r="M446" i="2"/>
  <c r="AE455" i="2"/>
  <c r="S48" i="3"/>
  <c r="R48" i="3" s="1"/>
  <c r="AI44" i="3"/>
  <c r="P48" i="3"/>
  <c r="V48" i="3"/>
  <c r="U576" i="2"/>
  <c r="AQ589" i="2" s="1"/>
  <c r="AP589" i="2"/>
  <c r="S506" i="2"/>
  <c r="R506" i="2" s="1"/>
  <c r="AI502" i="2"/>
  <c r="V506" i="2"/>
  <c r="P506" i="2"/>
  <c r="AP340" i="2"/>
  <c r="U344" i="2"/>
  <c r="AQ340" i="2" s="1"/>
  <c r="AP283" i="2"/>
  <c r="AP288" i="2" s="1"/>
  <c r="AQ288" i="2" s="1"/>
  <c r="U278" i="2"/>
  <c r="AQ283" i="2" s="1"/>
  <c r="P603" i="2"/>
  <c r="AI616" i="2"/>
  <c r="V603" i="2"/>
  <c r="S603" i="2"/>
  <c r="R603" i="2" s="1"/>
  <c r="AP466" i="2"/>
  <c r="U481" i="2"/>
  <c r="AQ466" i="2" s="1"/>
  <c r="AP377" i="2"/>
  <c r="U368" i="2"/>
  <c r="AQ377" i="2" s="1"/>
  <c r="M609" i="2"/>
  <c r="AE618" i="2"/>
  <c r="AE621" i="2" s="1"/>
  <c r="M501" i="2"/>
  <c r="AE510" i="2"/>
  <c r="S439" i="2"/>
  <c r="R439" i="2" s="1"/>
  <c r="P439" i="2"/>
  <c r="V439" i="2"/>
  <c r="AI444" i="2"/>
  <c r="P339" i="2"/>
  <c r="V339" i="2"/>
  <c r="AI348" i="2"/>
  <c r="S339" i="2"/>
  <c r="R339" i="2" s="1"/>
  <c r="AL636" i="2"/>
  <c r="AR636" i="2"/>
  <c r="AO636" i="2"/>
  <c r="AN636" i="2" s="1"/>
  <c r="AI534" i="2"/>
  <c r="V519" i="2"/>
  <c r="S519" i="2"/>
  <c r="R519" i="2" s="1"/>
  <c r="P519" i="2"/>
  <c r="P629" i="2"/>
  <c r="AI634" i="2"/>
  <c r="V629" i="2"/>
  <c r="S629" i="2"/>
  <c r="R629" i="2" s="1"/>
  <c r="P465" i="2"/>
  <c r="AI480" i="2"/>
  <c r="V465" i="2"/>
  <c r="S465" i="2"/>
  <c r="R465" i="2" s="1"/>
  <c r="S574" i="2"/>
  <c r="R574" i="2" s="1"/>
  <c r="P574" i="2"/>
  <c r="AI579" i="2"/>
  <c r="V574" i="2"/>
  <c r="V474" i="2"/>
  <c r="AI483" i="2"/>
  <c r="P474" i="2"/>
  <c r="S474" i="2"/>
  <c r="R474" i="2" s="1"/>
  <c r="AO601" i="2"/>
  <c r="AN601" i="2" s="1"/>
  <c r="AL601" i="2"/>
  <c r="AR601" i="2"/>
  <c r="V504" i="2"/>
  <c r="S504" i="2"/>
  <c r="R504" i="2" s="1"/>
  <c r="P504" i="2"/>
  <c r="AI501" i="2"/>
  <c r="L483" i="2"/>
  <c r="P450" i="2"/>
  <c r="AI447" i="2"/>
  <c r="V450" i="2"/>
  <c r="S450" i="2"/>
  <c r="R450" i="2" s="1"/>
  <c r="AI419" i="2"/>
  <c r="V415" i="2"/>
  <c r="S415" i="2"/>
  <c r="R415" i="2" s="1"/>
  <c r="P415" i="2"/>
  <c r="U285" i="2"/>
  <c r="AQ294" i="2" s="1"/>
  <c r="AP294" i="2"/>
  <c r="M498" i="2"/>
  <c r="AE490" i="2"/>
  <c r="M524" i="2"/>
  <c r="AE516" i="2"/>
  <c r="AE522" i="2" s="1"/>
  <c r="AC468" i="2"/>
  <c r="S614" i="2"/>
  <c r="R614" i="2" s="1"/>
  <c r="P614" i="2"/>
  <c r="AI610" i="2"/>
  <c r="V614" i="2"/>
  <c r="P419" i="2"/>
  <c r="AI428" i="2"/>
  <c r="V419" i="2"/>
  <c r="S419" i="2"/>
  <c r="R419" i="2" s="1"/>
  <c r="N429" i="2"/>
  <c r="M388" i="2"/>
  <c r="AP417" i="2"/>
  <c r="AP423" i="2" s="1"/>
  <c r="AQ423" i="2" s="1"/>
  <c r="U412" i="2"/>
  <c r="AQ417" i="2" s="1"/>
  <c r="M316" i="2"/>
  <c r="AE303" i="2"/>
  <c r="M281" i="2"/>
  <c r="AE273" i="2"/>
  <c r="AE279" i="2" s="1"/>
  <c r="AL223" i="2"/>
  <c r="AR223" i="2"/>
  <c r="AO223" i="2"/>
  <c r="AN223" i="2" s="1"/>
  <c r="M358" i="2"/>
  <c r="M375" i="2" s="1"/>
  <c r="AE363" i="2"/>
  <c r="AE369" i="2" s="1"/>
  <c r="AF378" i="2"/>
  <c r="U261" i="2"/>
  <c r="AQ258" i="2" s="1"/>
  <c r="AP258" i="2"/>
  <c r="AL318" i="2"/>
  <c r="AR318" i="2"/>
  <c r="AO318" i="2"/>
  <c r="AN318" i="2" s="1"/>
  <c r="AL426" i="2"/>
  <c r="AO426" i="2"/>
  <c r="AN426" i="2" s="1"/>
  <c r="AR426" i="2"/>
  <c r="N375" i="2"/>
  <c r="AP342" i="2"/>
  <c r="AQ342" i="2" s="1"/>
  <c r="U146" i="2"/>
  <c r="AQ138" i="2" s="1"/>
  <c r="AP138" i="2"/>
  <c r="AP144" i="2" s="1"/>
  <c r="AQ144" i="2" s="1"/>
  <c r="AP93" i="2"/>
  <c r="AP99" i="2" s="1"/>
  <c r="AQ99" i="2" s="1"/>
  <c r="U88" i="2"/>
  <c r="AQ93" i="2" s="1"/>
  <c r="AP315" i="2"/>
  <c r="AQ315" i="2" s="1"/>
  <c r="AP186" i="2"/>
  <c r="U177" i="2"/>
  <c r="AQ186" i="2" s="1"/>
  <c r="AC171" i="2"/>
  <c r="AP114" i="2"/>
  <c r="U127" i="2"/>
  <c r="AQ114" i="2" s="1"/>
  <c r="M337" i="2"/>
  <c r="AE329" i="2"/>
  <c r="M318" i="2"/>
  <c r="AE314" i="2"/>
  <c r="AP285" i="2"/>
  <c r="U288" i="2"/>
  <c r="AQ285" i="2" s="1"/>
  <c r="L294" i="2"/>
  <c r="AH291" i="2"/>
  <c r="AH297" i="2" s="1"/>
  <c r="M276" i="2"/>
  <c r="M231" i="2"/>
  <c r="S180" i="2"/>
  <c r="R180" i="2" s="1"/>
  <c r="P180" i="2"/>
  <c r="AI177" i="2"/>
  <c r="V180" i="2"/>
  <c r="AO374" i="2"/>
  <c r="AN374" i="2" s="1"/>
  <c r="AR374" i="2"/>
  <c r="AL374" i="2"/>
  <c r="S156" i="2"/>
  <c r="R156" i="2" s="1"/>
  <c r="AI152" i="2"/>
  <c r="P156" i="2"/>
  <c r="V156" i="2"/>
  <c r="AP50" i="2"/>
  <c r="U41" i="2"/>
  <c r="AQ50" i="2" s="1"/>
  <c r="AE25" i="2"/>
  <c r="M16" i="2"/>
  <c r="M8" i="2"/>
  <c r="AE13" i="2"/>
  <c r="U180" i="2"/>
  <c r="AQ177" i="2" s="1"/>
  <c r="AP177" i="2"/>
  <c r="AO134" i="2"/>
  <c r="AN134" i="2" s="1"/>
  <c r="AL134" i="2"/>
  <c r="AR134" i="2"/>
  <c r="AB864" i="2"/>
  <c r="AJ858" i="2"/>
  <c r="AJ804" i="1"/>
  <c r="AB810" i="1"/>
  <c r="AJ810" i="1" s="1"/>
  <c r="P149" i="2"/>
  <c r="V149" i="2"/>
  <c r="AI158" i="2"/>
  <c r="S149" i="2"/>
  <c r="R149" i="2" s="1"/>
  <c r="M128" i="2"/>
  <c r="AE124" i="2"/>
  <c r="AE126" i="2" s="1"/>
  <c r="S101" i="2"/>
  <c r="R101" i="2" s="1"/>
  <c r="P101" i="2"/>
  <c r="AI97" i="2"/>
  <c r="V101" i="2"/>
  <c r="AE15" i="2"/>
  <c r="M18" i="2"/>
  <c r="AE842" i="2"/>
  <c r="AP14" i="2"/>
  <c r="U10" i="2"/>
  <c r="AQ14" i="2" s="1"/>
  <c r="M95" i="2"/>
  <c r="AA27" i="2"/>
  <c r="M777" i="1"/>
  <c r="AE773" i="1"/>
  <c r="AB180" i="2"/>
  <c r="AJ180" i="2" s="1"/>
  <c r="AF774" i="1"/>
  <c r="AP717" i="1"/>
  <c r="U720" i="1"/>
  <c r="AQ717" i="1" s="1"/>
  <c r="AB171" i="2"/>
  <c r="AJ171" i="2" s="1"/>
  <c r="V96" i="2"/>
  <c r="AI105" i="2"/>
  <c r="S96" i="2"/>
  <c r="R96" i="2" s="1"/>
  <c r="P96" i="2"/>
  <c r="AE77" i="2"/>
  <c r="M68" i="2"/>
  <c r="AC54" i="2"/>
  <c r="N855" i="2"/>
  <c r="AE841" i="2"/>
  <c r="M849" i="2"/>
  <c r="S816" i="1"/>
  <c r="R816" i="1" s="1"/>
  <c r="P816" i="1"/>
  <c r="AI831" i="1"/>
  <c r="V816" i="1"/>
  <c r="S798" i="1"/>
  <c r="R798" i="1" s="1"/>
  <c r="P798" i="1"/>
  <c r="V798" i="1"/>
  <c r="AI807" i="1"/>
  <c r="AP760" i="1"/>
  <c r="U768" i="1"/>
  <c r="AQ760" i="1" s="1"/>
  <c r="AB729" i="1"/>
  <c r="AJ729" i="1" s="1"/>
  <c r="AJ723" i="1"/>
  <c r="AB369" i="2"/>
  <c r="AJ369" i="2" s="1"/>
  <c r="U150" i="2"/>
  <c r="AQ159" i="2" s="1"/>
  <c r="AP159" i="2"/>
  <c r="AP162" i="2" s="1"/>
  <c r="AQ162" i="2" s="1"/>
  <c r="M131" i="2"/>
  <c r="L132" i="2"/>
  <c r="AF108" i="2"/>
  <c r="U694" i="1"/>
  <c r="AQ681" i="1" s="1"/>
  <c r="AP681" i="1"/>
  <c r="V710" i="1"/>
  <c r="S710" i="1"/>
  <c r="R710" i="1" s="1"/>
  <c r="P710" i="1"/>
  <c r="AI715" i="1"/>
  <c r="P695" i="1"/>
  <c r="AI691" i="1"/>
  <c r="V695" i="1"/>
  <c r="S695" i="1"/>
  <c r="R695" i="1" s="1"/>
  <c r="AP617" i="1"/>
  <c r="AP621" i="1" s="1"/>
  <c r="AQ621" i="1" s="1"/>
  <c r="U608" i="1"/>
  <c r="AQ617" i="1" s="1"/>
  <c r="U48" i="2"/>
  <c r="AQ44" i="2" s="1"/>
  <c r="AP44" i="2"/>
  <c r="AF850" i="2"/>
  <c r="AF855" i="2" s="1"/>
  <c r="L845" i="2"/>
  <c r="AH850" i="2" s="1"/>
  <c r="AH855" i="2" s="1"/>
  <c r="AB801" i="1"/>
  <c r="AJ801" i="1" s="1"/>
  <c r="S744" i="1"/>
  <c r="R744" i="1" s="1"/>
  <c r="P744" i="1"/>
  <c r="V744" i="1"/>
  <c r="AI753" i="1"/>
  <c r="P34" i="2"/>
  <c r="AI39" i="2"/>
  <c r="V34" i="2"/>
  <c r="S34" i="2"/>
  <c r="R34" i="2" s="1"/>
  <c r="I834" i="1"/>
  <c r="M719" i="1"/>
  <c r="M709" i="1"/>
  <c r="M726" i="1" s="1"/>
  <c r="AE714" i="1"/>
  <c r="AE720" i="1" s="1"/>
  <c r="AJ642" i="1"/>
  <c r="AB648" i="1"/>
  <c r="AJ648" i="1" s="1"/>
  <c r="AC333" i="2"/>
  <c r="AF842" i="2"/>
  <c r="AF846" i="2" s="1"/>
  <c r="L850" i="2"/>
  <c r="AH842" i="2" s="1"/>
  <c r="AC756" i="1"/>
  <c r="M714" i="1"/>
  <c r="AE706" i="1"/>
  <c r="AE675" i="1"/>
  <c r="AE621" i="1"/>
  <c r="M88" i="2"/>
  <c r="AE93" i="2"/>
  <c r="AE99" i="2" s="1"/>
  <c r="U643" i="1"/>
  <c r="AQ628" i="1" s="1"/>
  <c r="AP628" i="1"/>
  <c r="AP630" i="1" s="1"/>
  <c r="AQ630" i="1" s="1"/>
  <c r="AP539" i="1"/>
  <c r="U530" i="1"/>
  <c r="AQ539" i="1" s="1"/>
  <c r="AE54" i="2"/>
  <c r="V805" i="1"/>
  <c r="S805" i="1"/>
  <c r="R805" i="1" s="1"/>
  <c r="AI790" i="1"/>
  <c r="P805" i="1"/>
  <c r="AI701" i="1"/>
  <c r="V692" i="1"/>
  <c r="S692" i="1"/>
  <c r="R692" i="1" s="1"/>
  <c r="P692" i="1"/>
  <c r="AC621" i="1"/>
  <c r="AP548" i="1"/>
  <c r="U563" i="1"/>
  <c r="AQ548" i="1" s="1"/>
  <c r="AP494" i="1"/>
  <c r="U509" i="1"/>
  <c r="AQ494" i="1" s="1"/>
  <c r="AP54" i="2"/>
  <c r="AQ54" i="2" s="1"/>
  <c r="T834" i="1"/>
  <c r="U834" i="1" s="1"/>
  <c r="M822" i="1"/>
  <c r="AE814" i="1"/>
  <c r="V792" i="1"/>
  <c r="S792" i="1"/>
  <c r="R792" i="1" s="1"/>
  <c r="P792" i="1"/>
  <c r="AI805" i="1"/>
  <c r="T726" i="1"/>
  <c r="U726" i="1" s="1"/>
  <c r="M690" i="1"/>
  <c r="AB675" i="1"/>
  <c r="AJ675" i="1" s="1"/>
  <c r="AJ669" i="1"/>
  <c r="AP662" i="1"/>
  <c r="U658" i="1"/>
  <c r="AQ662" i="1" s="1"/>
  <c r="AP608" i="1"/>
  <c r="U604" i="1"/>
  <c r="AQ608" i="1" s="1"/>
  <c r="U551" i="1"/>
  <c r="AQ543" i="1" s="1"/>
  <c r="AP543" i="1"/>
  <c r="AI511" i="1"/>
  <c r="V502" i="1"/>
  <c r="S502" i="1"/>
  <c r="R502" i="1" s="1"/>
  <c r="P502" i="1"/>
  <c r="AP805" i="1"/>
  <c r="AP810" i="1" s="1"/>
  <c r="AQ810" i="1" s="1"/>
  <c r="U792" i="1"/>
  <c r="AQ805" i="1" s="1"/>
  <c r="AP619" i="1"/>
  <c r="U610" i="1"/>
  <c r="AQ619" i="1" s="1"/>
  <c r="M481" i="1"/>
  <c r="AE466" i="1"/>
  <c r="AE468" i="1" s="1"/>
  <c r="AE441" i="1"/>
  <c r="V560" i="1"/>
  <c r="S560" i="1"/>
  <c r="R560" i="1" s="1"/>
  <c r="P560" i="1"/>
  <c r="AI556" i="1"/>
  <c r="I510" i="1"/>
  <c r="M118" i="2"/>
  <c r="P659" i="1"/>
  <c r="V659" i="1"/>
  <c r="AI651" i="1"/>
  <c r="S659" i="1"/>
  <c r="R659" i="1" s="1"/>
  <c r="S634" i="1"/>
  <c r="R634" i="1" s="1"/>
  <c r="P634" i="1"/>
  <c r="AI626" i="1"/>
  <c r="V634" i="1"/>
  <c r="AB504" i="1"/>
  <c r="AJ504" i="1" s="1"/>
  <c r="V452" i="1"/>
  <c r="S452" i="1"/>
  <c r="R452" i="1" s="1"/>
  <c r="P452" i="1"/>
  <c r="AI448" i="1"/>
  <c r="AI645" i="1"/>
  <c r="S636" i="1"/>
  <c r="R636" i="1" s="1"/>
  <c r="P636" i="1"/>
  <c r="V636" i="1"/>
  <c r="AP513" i="1"/>
  <c r="AQ513" i="1" s="1"/>
  <c r="U451" i="1"/>
  <c r="AQ438" i="1" s="1"/>
  <c r="AP438" i="1"/>
  <c r="T375" i="1"/>
  <c r="U375" i="1" s="1"/>
  <c r="AP372" i="1"/>
  <c r="AP378" i="1" s="1"/>
  <c r="AQ378" i="1" s="1"/>
  <c r="U357" i="1"/>
  <c r="AQ372" i="1" s="1"/>
  <c r="M306" i="1"/>
  <c r="AE319" i="1"/>
  <c r="T267" i="1"/>
  <c r="U267" i="1" s="1"/>
  <c r="AP264" i="1"/>
  <c r="U249" i="1"/>
  <c r="AQ264" i="1" s="1"/>
  <c r="M420" i="1"/>
  <c r="S384" i="1"/>
  <c r="R384" i="1" s="1"/>
  <c r="P384" i="1"/>
  <c r="AI399" i="1"/>
  <c r="V384" i="1"/>
  <c r="V633" i="1"/>
  <c r="S633" i="1"/>
  <c r="R633" i="1" s="1"/>
  <c r="P633" i="1"/>
  <c r="AI625" i="1"/>
  <c r="AH594" i="1"/>
  <c r="S549" i="1"/>
  <c r="R549" i="1" s="1"/>
  <c r="P549" i="1"/>
  <c r="AI562" i="1"/>
  <c r="V549" i="1"/>
  <c r="V471" i="1"/>
  <c r="S471" i="1"/>
  <c r="R471" i="1" s="1"/>
  <c r="P471" i="1"/>
  <c r="AI463" i="1"/>
  <c r="AP422" i="1"/>
  <c r="U426" i="1"/>
  <c r="AQ422" i="1" s="1"/>
  <c r="U370" i="1"/>
  <c r="AQ357" i="1" s="1"/>
  <c r="AP357" i="1"/>
  <c r="AP364" i="1"/>
  <c r="U359" i="1"/>
  <c r="AQ364" i="1" s="1"/>
  <c r="AP302" i="1"/>
  <c r="AP306" i="1" s="1"/>
  <c r="AQ306" i="1" s="1"/>
  <c r="U310" i="1"/>
  <c r="AQ302" i="1" s="1"/>
  <c r="AP268" i="1"/>
  <c r="U259" i="1"/>
  <c r="AQ268" i="1" s="1"/>
  <c r="AE639" i="1"/>
  <c r="M388" i="1"/>
  <c r="AE392" i="1"/>
  <c r="P366" i="1"/>
  <c r="V366" i="1"/>
  <c r="AI375" i="1"/>
  <c r="S366" i="1"/>
  <c r="R366" i="1" s="1"/>
  <c r="L849" i="1"/>
  <c r="AH841" i="1" s="1"/>
  <c r="AH846" i="1" s="1"/>
  <c r="AF841" i="1"/>
  <c r="AF846" i="1" s="1"/>
  <c r="I845" i="1"/>
  <c r="AC850" i="1"/>
  <c r="V548" i="1"/>
  <c r="S548" i="1"/>
  <c r="R548" i="1" s="1"/>
  <c r="P548" i="1"/>
  <c r="AI553" i="1"/>
  <c r="S358" i="1"/>
  <c r="R358" i="1" s="1"/>
  <c r="P358" i="1"/>
  <c r="AI363" i="1"/>
  <c r="V358" i="1"/>
  <c r="AP284" i="1"/>
  <c r="U280" i="1"/>
  <c r="AQ284" i="1" s="1"/>
  <c r="I213" i="1"/>
  <c r="AE210" i="1"/>
  <c r="AE216" i="1" s="1"/>
  <c r="M195" i="1"/>
  <c r="AI431" i="1"/>
  <c r="V422" i="1"/>
  <c r="S422" i="1"/>
  <c r="R422" i="1" s="1"/>
  <c r="P422" i="1"/>
  <c r="T348" i="1"/>
  <c r="U348" i="1" s="1"/>
  <c r="I855" i="1"/>
  <c r="AC852" i="1"/>
  <c r="M413" i="1"/>
  <c r="AE7" i="1"/>
  <c r="M22" i="1"/>
  <c r="AB18" i="1"/>
  <c r="AJ18" i="1" s="1"/>
  <c r="AJ12" i="1"/>
  <c r="M341" i="1"/>
  <c r="S265" i="1"/>
  <c r="R265" i="1" s="1"/>
  <c r="AI250" i="1"/>
  <c r="P265" i="1"/>
  <c r="V265" i="1"/>
  <c r="AI240" i="1"/>
  <c r="S231" i="1"/>
  <c r="R231" i="1" s="1"/>
  <c r="V231" i="1"/>
  <c r="P231" i="1"/>
  <c r="P201" i="1"/>
  <c r="AI193" i="1"/>
  <c r="S201" i="1"/>
  <c r="R201" i="1" s="1"/>
  <c r="V201" i="1"/>
  <c r="I24" i="1"/>
  <c r="AD594" i="1"/>
  <c r="AH468" i="1"/>
  <c r="AI411" i="1"/>
  <c r="P424" i="1"/>
  <c r="V424" i="1"/>
  <c r="S424" i="1"/>
  <c r="R424" i="1" s="1"/>
  <c r="AI403" i="1"/>
  <c r="V394" i="1"/>
  <c r="S394" i="1"/>
  <c r="R394" i="1" s="1"/>
  <c r="P394" i="1"/>
  <c r="P372" i="1"/>
  <c r="V372" i="1"/>
  <c r="S372" i="1"/>
  <c r="R372" i="1" s="1"/>
  <c r="AI368" i="1"/>
  <c r="AP369" i="1"/>
  <c r="AQ369" i="1" s="1"/>
  <c r="AE339" i="1"/>
  <c r="AE342" i="1" s="1"/>
  <c r="M342" i="1"/>
  <c r="V283" i="1"/>
  <c r="S283" i="1"/>
  <c r="R283" i="1" s="1"/>
  <c r="P283" i="1"/>
  <c r="AI275" i="1"/>
  <c r="AP168" i="1"/>
  <c r="U181" i="1"/>
  <c r="AQ168" i="1" s="1"/>
  <c r="AP114" i="1"/>
  <c r="U127" i="1"/>
  <c r="AQ114" i="1" s="1"/>
  <c r="AP121" i="1"/>
  <c r="AP126" i="1" s="1"/>
  <c r="AQ126" i="1" s="1"/>
  <c r="U116" i="1"/>
  <c r="AQ121" i="1" s="1"/>
  <c r="AP60" i="1"/>
  <c r="U73" i="1"/>
  <c r="AQ60" i="1" s="1"/>
  <c r="AP6" i="1"/>
  <c r="U19" i="1"/>
  <c r="AQ6" i="1" s="1"/>
  <c r="AP5" i="1"/>
  <c r="U13" i="1"/>
  <c r="AQ5" i="1" s="1"/>
  <c r="AC859" i="1"/>
  <c r="I846" i="1"/>
  <c r="S412" i="1"/>
  <c r="R412" i="1" s="1"/>
  <c r="P412" i="1"/>
  <c r="AI417" i="1"/>
  <c r="V412" i="1"/>
  <c r="V386" i="1"/>
  <c r="S386" i="1"/>
  <c r="R386" i="1" s="1"/>
  <c r="P386" i="1"/>
  <c r="AI391" i="1"/>
  <c r="L294" i="1"/>
  <c r="AH291" i="1"/>
  <c r="AH297" i="1" s="1"/>
  <c r="M237" i="1"/>
  <c r="M225" i="1"/>
  <c r="AE238" i="1"/>
  <c r="AP211" i="1"/>
  <c r="U198" i="1"/>
  <c r="AQ211" i="1" s="1"/>
  <c r="AB117" i="1"/>
  <c r="AJ117" i="1" s="1"/>
  <c r="AJ111" i="1"/>
  <c r="S97" i="1"/>
  <c r="R97" i="1" s="1"/>
  <c r="P97" i="1"/>
  <c r="AI106" i="1"/>
  <c r="V97" i="1"/>
  <c r="AH9" i="1"/>
  <c r="AB414" i="1"/>
  <c r="AJ414" i="1" s="1"/>
  <c r="AL221" i="1"/>
  <c r="AR221" i="1"/>
  <c r="AO221" i="1"/>
  <c r="AN221" i="1" s="1"/>
  <c r="V150" i="1"/>
  <c r="AI159" i="1"/>
  <c r="S150" i="1"/>
  <c r="R150" i="1" s="1"/>
  <c r="P150" i="1"/>
  <c r="P98" i="1"/>
  <c r="AI107" i="1"/>
  <c r="V98" i="1"/>
  <c r="S98" i="1"/>
  <c r="R98" i="1" s="1"/>
  <c r="S35" i="1"/>
  <c r="R35" i="1" s="1"/>
  <c r="P35" i="1"/>
  <c r="AI40" i="1"/>
  <c r="V35" i="1"/>
  <c r="AB486" i="2"/>
  <c r="AJ486" i="2" s="1"/>
  <c r="AA189" i="1"/>
  <c r="T78" i="1"/>
  <c r="U78" i="1" s="1"/>
  <c r="AP75" i="1"/>
  <c r="AP81" i="1" s="1"/>
  <c r="AQ81" i="1" s="1"/>
  <c r="U60" i="1"/>
  <c r="AQ75" i="1" s="1"/>
  <c r="T294" i="1"/>
  <c r="U294" i="1" s="1"/>
  <c r="S89" i="1"/>
  <c r="R89" i="1" s="1"/>
  <c r="P89" i="1"/>
  <c r="AI94" i="1"/>
  <c r="V89" i="1"/>
  <c r="S69" i="1"/>
  <c r="R69" i="1" s="1"/>
  <c r="P69" i="1"/>
  <c r="V69" i="1"/>
  <c r="AI78" i="1"/>
  <c r="V50" i="1"/>
  <c r="S50" i="1"/>
  <c r="R50" i="1" s="1"/>
  <c r="AI35" i="1"/>
  <c r="P50" i="1"/>
  <c r="AF852" i="1"/>
  <c r="L855" i="1"/>
  <c r="AH852" i="1" s="1"/>
  <c r="M374" i="1"/>
  <c r="AL338" i="1"/>
  <c r="AR338" i="1"/>
  <c r="AO338" i="1"/>
  <c r="AN338" i="1" s="1"/>
  <c r="AI80" i="1"/>
  <c r="V71" i="1"/>
  <c r="S71" i="1"/>
  <c r="R71" i="1" s="1"/>
  <c r="P71" i="1"/>
  <c r="AL169" i="1"/>
  <c r="AR169" i="1"/>
  <c r="AO169" i="1"/>
  <c r="AN169" i="1" s="1"/>
  <c r="AE243" i="1"/>
  <c r="AE54" i="1"/>
  <c r="I348" i="1"/>
  <c r="AI142" i="1"/>
  <c r="P157" i="1"/>
  <c r="V157" i="1"/>
  <c r="S157" i="1"/>
  <c r="R157" i="1" s="1"/>
  <c r="P67" i="1"/>
  <c r="AI59" i="1"/>
  <c r="V67" i="1"/>
  <c r="S67" i="1"/>
  <c r="R67" i="1" s="1"/>
  <c r="M36" i="1"/>
  <c r="AG855" i="1"/>
  <c r="M144" i="1"/>
  <c r="V506" i="1"/>
  <c r="S506" i="1"/>
  <c r="R506" i="1" s="1"/>
  <c r="P506" i="1"/>
  <c r="AI502" i="1"/>
  <c r="M182" i="1"/>
  <c r="AE178" i="1"/>
  <c r="AE180" i="1" s="1"/>
  <c r="L807" i="3"/>
  <c r="AH804" i="3"/>
  <c r="AH810" i="3" s="1"/>
  <c r="AP771" i="3"/>
  <c r="U774" i="3"/>
  <c r="AQ771" i="3" s="1"/>
  <c r="AJ801" i="3"/>
  <c r="V779" i="3"/>
  <c r="S779" i="3"/>
  <c r="R779" i="3" s="1"/>
  <c r="AI764" i="3"/>
  <c r="P779" i="3"/>
  <c r="I807" i="3"/>
  <c r="AE804" i="3"/>
  <c r="AE810" i="3" s="1"/>
  <c r="M789" i="3"/>
  <c r="M791" i="3"/>
  <c r="AP725" i="3"/>
  <c r="AP729" i="3" s="1"/>
  <c r="AQ729" i="3" s="1"/>
  <c r="U716" i="3"/>
  <c r="AQ725" i="3" s="1"/>
  <c r="N753" i="3"/>
  <c r="AH714" i="3"/>
  <c r="AH720" i="3" s="1"/>
  <c r="L726" i="3"/>
  <c r="AC729" i="3"/>
  <c r="AP716" i="3"/>
  <c r="U712" i="3"/>
  <c r="AQ716" i="3" s="1"/>
  <c r="M725" i="3"/>
  <c r="AE710" i="3"/>
  <c r="AE711" i="3" s="1"/>
  <c r="P713" i="3"/>
  <c r="V713" i="3"/>
  <c r="AI705" i="3"/>
  <c r="S713" i="3"/>
  <c r="R713" i="3" s="1"/>
  <c r="AI727" i="3"/>
  <c r="V718" i="3"/>
  <c r="S718" i="3"/>
  <c r="R718" i="3" s="1"/>
  <c r="P718" i="3"/>
  <c r="AP744" i="3"/>
  <c r="AP747" i="3" s="1"/>
  <c r="AQ747" i="3" s="1"/>
  <c r="U747" i="3"/>
  <c r="AQ744" i="3" s="1"/>
  <c r="U723" i="3"/>
  <c r="AQ719" i="3" s="1"/>
  <c r="AP719" i="3"/>
  <c r="AO689" i="3"/>
  <c r="AN689" i="3" s="1"/>
  <c r="AL689" i="3"/>
  <c r="AR689" i="3"/>
  <c r="V670" i="3"/>
  <c r="AI655" i="3"/>
  <c r="S670" i="3"/>
  <c r="R670" i="3" s="1"/>
  <c r="P670" i="3"/>
  <c r="AH702" i="3"/>
  <c r="AE673" i="3"/>
  <c r="AE675" i="3" s="1"/>
  <c r="M664" i="3"/>
  <c r="S662" i="3"/>
  <c r="R662" i="3" s="1"/>
  <c r="P662" i="3"/>
  <c r="V662" i="3"/>
  <c r="AI671" i="3"/>
  <c r="U642" i="3"/>
  <c r="AQ638" i="3" s="1"/>
  <c r="AP638" i="3"/>
  <c r="AE635" i="3"/>
  <c r="AE639" i="3" s="1"/>
  <c r="M631" i="3"/>
  <c r="AE615" i="3"/>
  <c r="AE621" i="3" s="1"/>
  <c r="I618" i="3"/>
  <c r="M600" i="3"/>
  <c r="M615" i="3"/>
  <c r="M666" i="3"/>
  <c r="AE648" i="3"/>
  <c r="M588" i="3"/>
  <c r="AD567" i="3"/>
  <c r="AI617" i="3"/>
  <c r="S608" i="3"/>
  <c r="R608" i="3" s="1"/>
  <c r="P608" i="3"/>
  <c r="V608" i="3"/>
  <c r="P587" i="3"/>
  <c r="V587" i="3"/>
  <c r="AI583" i="3"/>
  <c r="S587" i="3"/>
  <c r="R587" i="3" s="1"/>
  <c r="U644" i="3"/>
  <c r="AQ629" i="3" s="1"/>
  <c r="AP629" i="3"/>
  <c r="AP630" i="3" s="1"/>
  <c r="AQ630" i="3" s="1"/>
  <c r="M613" i="3"/>
  <c r="AE600" i="3"/>
  <c r="AE603" i="3" s="1"/>
  <c r="AB567" i="3"/>
  <c r="AJ567" i="3" s="1"/>
  <c r="AJ561" i="3"/>
  <c r="M612" i="3"/>
  <c r="AP566" i="3"/>
  <c r="U557" i="3"/>
  <c r="AQ566" i="3" s="1"/>
  <c r="P579" i="3"/>
  <c r="S579" i="3"/>
  <c r="R579" i="3" s="1"/>
  <c r="AI571" i="3"/>
  <c r="V579" i="3"/>
  <c r="AC540" i="3"/>
  <c r="AP544" i="3"/>
  <c r="U552" i="3"/>
  <c r="AQ544" i="3" s="1"/>
  <c r="AJ606" i="3"/>
  <c r="AB612" i="3"/>
  <c r="AJ612" i="3" s="1"/>
  <c r="M582" i="3"/>
  <c r="M534" i="3"/>
  <c r="AE530" i="3"/>
  <c r="AP573" i="3"/>
  <c r="AP576" i="3" s="1"/>
  <c r="AQ576" i="3" s="1"/>
  <c r="U586" i="3"/>
  <c r="AQ573" i="3" s="1"/>
  <c r="M559" i="3"/>
  <c r="AP540" i="3"/>
  <c r="AQ540" i="3" s="1"/>
  <c r="AH504" i="3"/>
  <c r="M583" i="3"/>
  <c r="M573" i="3"/>
  <c r="I591" i="3"/>
  <c r="AE588" i="3"/>
  <c r="AE594" i="3" s="1"/>
  <c r="AP531" i="3"/>
  <c r="AQ531" i="3" s="1"/>
  <c r="M470" i="3"/>
  <c r="AE462" i="3"/>
  <c r="AE468" i="3" s="1"/>
  <c r="AE574" i="3"/>
  <c r="AE576" i="3" s="1"/>
  <c r="M589" i="3"/>
  <c r="M526" i="3"/>
  <c r="AE518" i="3"/>
  <c r="AE522" i="3" s="1"/>
  <c r="M606" i="3"/>
  <c r="AI534" i="3"/>
  <c r="S519" i="3"/>
  <c r="R519" i="3" s="1"/>
  <c r="P519" i="3"/>
  <c r="V519" i="3"/>
  <c r="M537" i="3"/>
  <c r="I456" i="3"/>
  <c r="AE453" i="3"/>
  <c r="AE459" i="3" s="1"/>
  <c r="M438" i="3"/>
  <c r="P477" i="3"/>
  <c r="AI474" i="3"/>
  <c r="S477" i="3"/>
  <c r="R477" i="3" s="1"/>
  <c r="V477" i="3"/>
  <c r="U419" i="3"/>
  <c r="AQ428" i="3" s="1"/>
  <c r="AP428" i="3"/>
  <c r="AP502" i="3"/>
  <c r="U506" i="3"/>
  <c r="AQ502" i="3" s="1"/>
  <c r="M467" i="3"/>
  <c r="AE472" i="3"/>
  <c r="AP409" i="3"/>
  <c r="U417" i="3"/>
  <c r="AQ409" i="3" s="1"/>
  <c r="V455" i="3"/>
  <c r="P455" i="3"/>
  <c r="AI440" i="3"/>
  <c r="S455" i="3"/>
  <c r="R455" i="3" s="1"/>
  <c r="AB423" i="3"/>
  <c r="AJ423" i="3" s="1"/>
  <c r="AJ417" i="3"/>
  <c r="AH507" i="3"/>
  <c r="AH513" i="3" s="1"/>
  <c r="L510" i="3"/>
  <c r="M480" i="3"/>
  <c r="V399" i="3"/>
  <c r="AI395" i="3"/>
  <c r="S399" i="3"/>
  <c r="R399" i="3" s="1"/>
  <c r="P399" i="3"/>
  <c r="M398" i="3"/>
  <c r="AE394" i="3"/>
  <c r="AE396" i="3" s="1"/>
  <c r="U359" i="3"/>
  <c r="AQ364" i="3" s="1"/>
  <c r="AP364" i="3"/>
  <c r="AP369" i="3" s="1"/>
  <c r="AQ369" i="3" s="1"/>
  <c r="AE427" i="3"/>
  <c r="M414" i="3"/>
  <c r="U345" i="3"/>
  <c r="AQ341" i="3" s="1"/>
  <c r="AP341" i="3"/>
  <c r="M443" i="3"/>
  <c r="AJ426" i="3"/>
  <c r="AB432" i="3"/>
  <c r="AJ432" i="3" s="1"/>
  <c r="U392" i="3"/>
  <c r="AQ401" i="3" s="1"/>
  <c r="AP401" i="3"/>
  <c r="M368" i="3"/>
  <c r="M358" i="3"/>
  <c r="M375" i="3" s="1"/>
  <c r="AE363" i="3"/>
  <c r="AE369" i="3" s="1"/>
  <c r="M337" i="3"/>
  <c r="U374" i="3"/>
  <c r="AQ359" i="3" s="1"/>
  <c r="AP359" i="3"/>
  <c r="M284" i="3"/>
  <c r="AE293" i="3"/>
  <c r="AE297" i="3" s="1"/>
  <c r="M230" i="3"/>
  <c r="AE239" i="3"/>
  <c r="AE243" i="3" s="1"/>
  <c r="AP448" i="3"/>
  <c r="AP450" i="3" s="1"/>
  <c r="AQ450" i="3" s="1"/>
  <c r="U452" i="3"/>
  <c r="AQ448" i="3" s="1"/>
  <c r="AP400" i="3"/>
  <c r="U387" i="3"/>
  <c r="AQ400" i="3" s="1"/>
  <c r="AB351" i="3"/>
  <c r="AJ351" i="3" s="1"/>
  <c r="S303" i="3"/>
  <c r="R303" i="3" s="1"/>
  <c r="AI318" i="3"/>
  <c r="P303" i="3"/>
  <c r="V303" i="3"/>
  <c r="M321" i="3"/>
  <c r="AD279" i="3"/>
  <c r="AP255" i="3"/>
  <c r="AP261" i="3" s="1"/>
  <c r="AQ261" i="3" s="1"/>
  <c r="U250" i="3"/>
  <c r="AQ255" i="3" s="1"/>
  <c r="AB216" i="3"/>
  <c r="AJ216" i="3" s="1"/>
  <c r="AJ210" i="3"/>
  <c r="AF450" i="3"/>
  <c r="P339" i="3"/>
  <c r="V339" i="3"/>
  <c r="AI348" i="3"/>
  <c r="S339" i="3"/>
  <c r="R339" i="3" s="1"/>
  <c r="AP286" i="3"/>
  <c r="AP288" i="3" s="1"/>
  <c r="AQ288" i="3" s="1"/>
  <c r="U290" i="3"/>
  <c r="AQ286" i="3" s="1"/>
  <c r="AP241" i="3"/>
  <c r="U232" i="3"/>
  <c r="AQ241" i="3" s="1"/>
  <c r="P342" i="3"/>
  <c r="AI339" i="3"/>
  <c r="V342" i="3"/>
  <c r="S342" i="3"/>
  <c r="R342" i="3" s="1"/>
  <c r="AP320" i="3"/>
  <c r="AP324" i="3" s="1"/>
  <c r="AQ324" i="3" s="1"/>
  <c r="U311" i="3"/>
  <c r="AQ320" i="3" s="1"/>
  <c r="AP265" i="3"/>
  <c r="AP270" i="3" s="1"/>
  <c r="AQ270" i="3" s="1"/>
  <c r="U252" i="3"/>
  <c r="AQ265" i="3" s="1"/>
  <c r="S205" i="3"/>
  <c r="R205" i="3" s="1"/>
  <c r="P205" i="3"/>
  <c r="V205" i="3"/>
  <c r="AI214" i="3"/>
  <c r="AP312" i="3"/>
  <c r="U315" i="3"/>
  <c r="AQ312" i="3" s="1"/>
  <c r="AJ288" i="3"/>
  <c r="M236" i="3"/>
  <c r="AE232" i="3"/>
  <c r="AE234" i="3" s="1"/>
  <c r="AJ237" i="3"/>
  <c r="AB243" i="3"/>
  <c r="AJ243" i="3" s="1"/>
  <c r="S152" i="3"/>
  <c r="R152" i="3" s="1"/>
  <c r="P152" i="3"/>
  <c r="AI161" i="3"/>
  <c r="V152" i="3"/>
  <c r="M98" i="3"/>
  <c r="M293" i="3"/>
  <c r="AD171" i="3"/>
  <c r="AP95" i="3"/>
  <c r="U91" i="3"/>
  <c r="AQ95" i="3" s="1"/>
  <c r="AI320" i="3"/>
  <c r="P311" i="3"/>
  <c r="V311" i="3"/>
  <c r="S311" i="3"/>
  <c r="R311" i="3" s="1"/>
  <c r="M250" i="3"/>
  <c r="M267" i="3" s="1"/>
  <c r="AE255" i="3"/>
  <c r="AE261" i="3" s="1"/>
  <c r="AC207" i="3"/>
  <c r="AP168" i="3"/>
  <c r="U181" i="3"/>
  <c r="AQ168" i="3" s="1"/>
  <c r="L159" i="3"/>
  <c r="AH156" i="3"/>
  <c r="AH162" i="3" s="1"/>
  <c r="AP113" i="3"/>
  <c r="U121" i="3"/>
  <c r="AQ113" i="3" s="1"/>
  <c r="AP79" i="3"/>
  <c r="U70" i="3"/>
  <c r="AQ79" i="3" s="1"/>
  <c r="M23" i="3"/>
  <c r="AE8" i="3"/>
  <c r="M829" i="3"/>
  <c r="AE816" i="3"/>
  <c r="M9" i="3"/>
  <c r="AH22" i="3"/>
  <c r="AH27" i="3" s="1"/>
  <c r="V315" i="3"/>
  <c r="S315" i="3"/>
  <c r="R315" i="3" s="1"/>
  <c r="P315" i="3"/>
  <c r="AI312" i="3"/>
  <c r="P182" i="3"/>
  <c r="AI178" i="3"/>
  <c r="V182" i="3"/>
  <c r="S182" i="3"/>
  <c r="R182" i="3" s="1"/>
  <c r="S131" i="3"/>
  <c r="R131" i="3" s="1"/>
  <c r="AI116" i="3"/>
  <c r="P131" i="3"/>
  <c r="V131" i="3"/>
  <c r="AP117" i="3"/>
  <c r="AQ117" i="3" s="1"/>
  <c r="AE68" i="3"/>
  <c r="AE72" i="3" s="1"/>
  <c r="M64" i="3"/>
  <c r="AP826" i="3"/>
  <c r="U830" i="3"/>
  <c r="AQ826" i="3" s="1"/>
  <c r="AP835" i="3"/>
  <c r="U826" i="3"/>
  <c r="AQ835" i="3" s="1"/>
  <c r="S157" i="3"/>
  <c r="R157" i="3" s="1"/>
  <c r="AI142" i="3"/>
  <c r="P157" i="3"/>
  <c r="V157" i="3"/>
  <c r="V117" i="3"/>
  <c r="S117" i="3"/>
  <c r="R117" i="3" s="1"/>
  <c r="P117" i="3"/>
  <c r="AI130" i="3"/>
  <c r="P88" i="3"/>
  <c r="AI93" i="3"/>
  <c r="V88" i="3"/>
  <c r="S88" i="3"/>
  <c r="R88" i="3" s="1"/>
  <c r="AF817" i="3"/>
  <c r="AF819" i="3" s="1"/>
  <c r="L832" i="3"/>
  <c r="AH817" i="3" s="1"/>
  <c r="AH819" i="3" s="1"/>
  <c r="AD819" i="3"/>
  <c r="AO160" i="3"/>
  <c r="AN160" i="3" s="1"/>
  <c r="AL160" i="3"/>
  <c r="AR160" i="3"/>
  <c r="J834" i="3"/>
  <c r="AF831" i="3"/>
  <c r="L816" i="3"/>
  <c r="M168" i="3"/>
  <c r="I186" i="3"/>
  <c r="AE183" i="3"/>
  <c r="AE189" i="3" s="1"/>
  <c r="I78" i="3"/>
  <c r="AE75" i="3"/>
  <c r="AE81" i="3" s="1"/>
  <c r="M60" i="3"/>
  <c r="AP31" i="3"/>
  <c r="U39" i="3"/>
  <c r="AQ31" i="3" s="1"/>
  <c r="AB828" i="3"/>
  <c r="AJ828" i="3" s="1"/>
  <c r="AJ822" i="3"/>
  <c r="P124" i="3"/>
  <c r="AI133" i="3"/>
  <c r="V124" i="3"/>
  <c r="S124" i="3"/>
  <c r="R124" i="3" s="1"/>
  <c r="AP67" i="3"/>
  <c r="AP72" i="3" s="1"/>
  <c r="AQ72" i="3" s="1"/>
  <c r="U62" i="3"/>
  <c r="AQ67" i="3" s="1"/>
  <c r="AP16" i="3"/>
  <c r="U20" i="3"/>
  <c r="AQ16" i="3" s="1"/>
  <c r="M827" i="3"/>
  <c r="AE836" i="3"/>
  <c r="AP5" i="3"/>
  <c r="AP9" i="3" s="1"/>
  <c r="AQ9" i="3" s="1"/>
  <c r="U13" i="3"/>
  <c r="AQ5" i="3" s="1"/>
  <c r="AP817" i="2"/>
  <c r="U832" i="2"/>
  <c r="AQ817" i="2" s="1"/>
  <c r="AI134" i="3"/>
  <c r="V125" i="3"/>
  <c r="S125" i="3"/>
  <c r="R125" i="3" s="1"/>
  <c r="P125" i="3"/>
  <c r="M96" i="3"/>
  <c r="AE105" i="3"/>
  <c r="AE108" i="3" s="1"/>
  <c r="M39" i="3"/>
  <c r="AE31" i="3"/>
  <c r="AP806" i="2"/>
  <c r="AP810" i="2" s="1"/>
  <c r="AQ810" i="2" s="1"/>
  <c r="U797" i="2"/>
  <c r="AQ806" i="2" s="1"/>
  <c r="AJ36" i="3"/>
  <c r="P44" i="3"/>
  <c r="AI53" i="3"/>
  <c r="V44" i="3"/>
  <c r="S44" i="3"/>
  <c r="R44" i="3" s="1"/>
  <c r="M141" i="3"/>
  <c r="L833" i="3"/>
  <c r="AH818" i="3" s="1"/>
  <c r="AF818" i="3"/>
  <c r="T51" i="3"/>
  <c r="U51" i="3" s="1"/>
  <c r="AF834" i="3"/>
  <c r="L825" i="3"/>
  <c r="AH834" i="3" s="1"/>
  <c r="S823" i="2"/>
  <c r="R823" i="2" s="1"/>
  <c r="P823" i="2"/>
  <c r="AI815" i="2"/>
  <c r="V823" i="2"/>
  <c r="U724" i="2"/>
  <c r="AQ709" i="2" s="1"/>
  <c r="AP709" i="2"/>
  <c r="AB828" i="2"/>
  <c r="AJ828" i="2" s="1"/>
  <c r="AJ822" i="2"/>
  <c r="AP798" i="2"/>
  <c r="U801" i="2"/>
  <c r="AQ798" i="2" s="1"/>
  <c r="T780" i="2"/>
  <c r="U780" i="2" s="1"/>
  <c r="AP777" i="2"/>
  <c r="AP783" i="2" s="1"/>
  <c r="AQ783" i="2" s="1"/>
  <c r="U762" i="2"/>
  <c r="AQ777" i="2" s="1"/>
  <c r="M19" i="3"/>
  <c r="AE6" i="3"/>
  <c r="M791" i="2"/>
  <c r="AE796" i="2"/>
  <c r="AE801" i="2" s="1"/>
  <c r="AB819" i="2"/>
  <c r="AJ819" i="2" s="1"/>
  <c r="AJ813" i="2"/>
  <c r="M752" i="2"/>
  <c r="AE737" i="2"/>
  <c r="AE738" i="2" s="1"/>
  <c r="AP792" i="2"/>
  <c r="AQ792" i="2" s="1"/>
  <c r="P741" i="2"/>
  <c r="AI733" i="2"/>
  <c r="V741" i="2"/>
  <c r="S741" i="2"/>
  <c r="R741" i="2" s="1"/>
  <c r="AP801" i="2"/>
  <c r="AQ801" i="2" s="1"/>
  <c r="AP651" i="2"/>
  <c r="AP657" i="2" s="1"/>
  <c r="AQ657" i="2" s="1"/>
  <c r="U659" i="2"/>
  <c r="AQ651" i="2" s="1"/>
  <c r="U825" i="2"/>
  <c r="AQ834" i="2" s="1"/>
  <c r="AP834" i="2"/>
  <c r="AP837" i="2" s="1"/>
  <c r="AQ837" i="2" s="1"/>
  <c r="U802" i="2"/>
  <c r="AQ789" i="2" s="1"/>
  <c r="AP789" i="2"/>
  <c r="M778" i="2"/>
  <c r="AE763" i="2"/>
  <c r="AE765" i="2" s="1"/>
  <c r="AI778" i="2"/>
  <c r="V765" i="2"/>
  <c r="S765" i="2"/>
  <c r="R765" i="2" s="1"/>
  <c r="P765" i="2"/>
  <c r="M749" i="2"/>
  <c r="AE745" i="2"/>
  <c r="AI734" i="2"/>
  <c r="V742" i="2"/>
  <c r="S742" i="2"/>
  <c r="R742" i="2" s="1"/>
  <c r="P742" i="2"/>
  <c r="M601" i="2"/>
  <c r="AE606" i="2"/>
  <c r="S585" i="2"/>
  <c r="R585" i="2" s="1"/>
  <c r="P585" i="2"/>
  <c r="V585" i="2"/>
  <c r="AI582" i="2"/>
  <c r="AI697" i="2"/>
  <c r="V684" i="2"/>
  <c r="P684" i="2"/>
  <c r="S684" i="2"/>
  <c r="R684" i="2" s="1"/>
  <c r="AE633" i="2"/>
  <c r="AE639" i="2" s="1"/>
  <c r="M628" i="2"/>
  <c r="M645" i="2" s="1"/>
  <c r="M612" i="2"/>
  <c r="AE609" i="2"/>
  <c r="AJ554" i="2"/>
  <c r="AB558" i="2"/>
  <c r="AJ558" i="2" s="1"/>
  <c r="AE837" i="2"/>
  <c r="P611" i="2"/>
  <c r="AI620" i="2"/>
  <c r="V611" i="2"/>
  <c r="S611" i="2"/>
  <c r="R611" i="2" s="1"/>
  <c r="S582" i="2"/>
  <c r="R582" i="2" s="1"/>
  <c r="P582" i="2"/>
  <c r="V582" i="2"/>
  <c r="AI591" i="2"/>
  <c r="M590" i="2"/>
  <c r="M37" i="3"/>
  <c r="AE41" i="3"/>
  <c r="M764" i="2"/>
  <c r="AH693" i="2"/>
  <c r="M637" i="2"/>
  <c r="AE646" i="2"/>
  <c r="AE648" i="2" s="1"/>
  <c r="AE756" i="2"/>
  <c r="AH720" i="2"/>
  <c r="M640" i="2"/>
  <c r="AE627" i="2"/>
  <c r="M606" i="2"/>
  <c r="AE598" i="2"/>
  <c r="AP591" i="2"/>
  <c r="U582" i="2"/>
  <c r="AQ591" i="2" s="1"/>
  <c r="U534" i="2"/>
  <c r="AQ530" i="2" s="1"/>
  <c r="AP530" i="2"/>
  <c r="M737" i="2"/>
  <c r="AE742" i="2"/>
  <c r="AE747" i="2" s="1"/>
  <c r="M663" i="2"/>
  <c r="AE672" i="2"/>
  <c r="AE675" i="2" s="1"/>
  <c r="U563" i="2"/>
  <c r="AQ548" i="2" s="1"/>
  <c r="AP548" i="2"/>
  <c r="AP549" i="2" s="1"/>
  <c r="AQ549" i="2" s="1"/>
  <c r="U555" i="2"/>
  <c r="AQ564" i="2" s="1"/>
  <c r="AP564" i="2"/>
  <c r="AP567" i="2" s="1"/>
  <c r="AQ567" i="2" s="1"/>
  <c r="M608" i="2"/>
  <c r="AE525" i="2"/>
  <c r="AE531" i="2" s="1"/>
  <c r="M520" i="2"/>
  <c r="S47" i="3"/>
  <c r="R47" i="3" s="1"/>
  <c r="P47" i="3"/>
  <c r="AI43" i="3"/>
  <c r="V47" i="3"/>
  <c r="AE492" i="2"/>
  <c r="M505" i="2"/>
  <c r="AP330" i="2"/>
  <c r="U343" i="2"/>
  <c r="AQ330" i="2" s="1"/>
  <c r="AR665" i="2"/>
  <c r="AO665" i="2"/>
  <c r="AN665" i="2" s="1"/>
  <c r="AL665" i="2"/>
  <c r="AF540" i="2"/>
  <c r="M493" i="2"/>
  <c r="AE498" i="2"/>
  <c r="AE504" i="2" s="1"/>
  <c r="AP485" i="2"/>
  <c r="U476" i="2"/>
  <c r="AQ485" i="2" s="1"/>
  <c r="U365" i="2"/>
  <c r="AQ374" i="2" s="1"/>
  <c r="AP374" i="2"/>
  <c r="AP378" i="2" s="1"/>
  <c r="AQ378" i="2" s="1"/>
  <c r="AP304" i="2"/>
  <c r="U319" i="2"/>
  <c r="AQ304" i="2" s="1"/>
  <c r="AP555" i="2"/>
  <c r="AP558" i="2" s="1"/>
  <c r="AQ558" i="2" s="1"/>
  <c r="U558" i="2"/>
  <c r="AQ555" i="2" s="1"/>
  <c r="U470" i="2"/>
  <c r="AQ462" i="2" s="1"/>
  <c r="AP462" i="2"/>
  <c r="AP468" i="2" s="1"/>
  <c r="AQ468" i="2" s="1"/>
  <c r="AI399" i="2"/>
  <c r="V384" i="2"/>
  <c r="P384" i="2"/>
  <c r="M402" i="2"/>
  <c r="S384" i="2"/>
  <c r="R384" i="2" s="1"/>
  <c r="AJ306" i="2"/>
  <c r="M278" i="2"/>
  <c r="AE283" i="2"/>
  <c r="M448" i="2"/>
  <c r="AE457" i="2"/>
  <c r="U442" i="2"/>
  <c r="AQ446" i="2" s="1"/>
  <c r="AP446" i="2"/>
  <c r="AP450" i="2" s="1"/>
  <c r="AQ450" i="2" s="1"/>
  <c r="U663" i="2"/>
  <c r="AQ672" i="2" s="1"/>
  <c r="AP672" i="2"/>
  <c r="U522" i="2"/>
  <c r="AQ535" i="2" s="1"/>
  <c r="AP535" i="2"/>
  <c r="AP540" i="2" s="1"/>
  <c r="AQ540" i="2" s="1"/>
  <c r="AE585" i="2"/>
  <c r="AF504" i="2"/>
  <c r="V428" i="2"/>
  <c r="AI413" i="2"/>
  <c r="P428" i="2"/>
  <c r="S428" i="2"/>
  <c r="R428" i="2" s="1"/>
  <c r="L429" i="2"/>
  <c r="M361" i="2"/>
  <c r="M313" i="2"/>
  <c r="AE322" i="2"/>
  <c r="S280" i="2"/>
  <c r="R280" i="2" s="1"/>
  <c r="AI284" i="2"/>
  <c r="V280" i="2"/>
  <c r="P280" i="2"/>
  <c r="AL485" i="2"/>
  <c r="AR485" i="2"/>
  <c r="AO485" i="2"/>
  <c r="AN485" i="2" s="1"/>
  <c r="M471" i="2"/>
  <c r="M483" i="2" s="1"/>
  <c r="AE463" i="2"/>
  <c r="V374" i="2"/>
  <c r="AI359" i="2"/>
  <c r="P374" i="2"/>
  <c r="S374" i="2"/>
  <c r="R374" i="2" s="1"/>
  <c r="V522" i="2"/>
  <c r="P522" i="2"/>
  <c r="AI535" i="2"/>
  <c r="S522" i="2"/>
  <c r="R522" i="2" s="1"/>
  <c r="S418" i="2"/>
  <c r="R418" i="2" s="1"/>
  <c r="AI410" i="2"/>
  <c r="V418" i="2"/>
  <c r="P418" i="2"/>
  <c r="AP539" i="2"/>
  <c r="U530" i="2"/>
  <c r="AQ539" i="2" s="1"/>
  <c r="I402" i="2"/>
  <c r="M331" i="2"/>
  <c r="AE336" i="2"/>
  <c r="AE342" i="2" s="1"/>
  <c r="AO420" i="2"/>
  <c r="AN420" i="2" s="1"/>
  <c r="AL420" i="2"/>
  <c r="AR420" i="2"/>
  <c r="AP327" i="2"/>
  <c r="U335" i="2"/>
  <c r="AQ327" i="2" s="1"/>
  <c r="U389" i="2"/>
  <c r="AQ381" i="2" s="1"/>
  <c r="AP381" i="2"/>
  <c r="AP387" i="2" s="1"/>
  <c r="AQ387" i="2" s="1"/>
  <c r="M319" i="2"/>
  <c r="AE304" i="2"/>
  <c r="M308" i="2"/>
  <c r="AE300" i="2"/>
  <c r="AR293" i="2"/>
  <c r="AO293" i="2"/>
  <c r="AN293" i="2" s="1"/>
  <c r="AL293" i="2"/>
  <c r="M264" i="2"/>
  <c r="AE260" i="2"/>
  <c r="AP306" i="2"/>
  <c r="AQ306" i="2" s="1"/>
  <c r="P422" i="2"/>
  <c r="AI431" i="2"/>
  <c r="V422" i="2"/>
  <c r="S422" i="2"/>
  <c r="R422" i="2" s="1"/>
  <c r="AI340" i="2"/>
  <c r="S344" i="2"/>
  <c r="R344" i="2" s="1"/>
  <c r="V344" i="2"/>
  <c r="P344" i="2"/>
  <c r="P226" i="2"/>
  <c r="V226" i="2"/>
  <c r="S226" i="2"/>
  <c r="R226" i="2" s="1"/>
  <c r="AI230" i="2"/>
  <c r="AP149" i="2"/>
  <c r="U145" i="2"/>
  <c r="AQ149" i="2" s="1"/>
  <c r="AC288" i="2"/>
  <c r="P239" i="2"/>
  <c r="V239" i="2"/>
  <c r="S239" i="2"/>
  <c r="R239" i="2" s="1"/>
  <c r="AI224" i="2"/>
  <c r="AP133" i="2"/>
  <c r="U124" i="2"/>
  <c r="AQ133" i="2" s="1"/>
  <c r="AF405" i="2"/>
  <c r="AE356" i="2"/>
  <c r="M364" i="2"/>
  <c r="M124" i="2"/>
  <c r="AE133" i="2"/>
  <c r="AE135" i="2" s="1"/>
  <c r="AP88" i="2"/>
  <c r="U103" i="2"/>
  <c r="AQ88" i="2" s="1"/>
  <c r="S155" i="2"/>
  <c r="R155" i="2" s="1"/>
  <c r="P155" i="2"/>
  <c r="AI151" i="2"/>
  <c r="V155" i="2"/>
  <c r="L159" i="2"/>
  <c r="AH156" i="2"/>
  <c r="AH162" i="2" s="1"/>
  <c r="U96" i="2"/>
  <c r="AQ105" i="2" s="1"/>
  <c r="AP105" i="2"/>
  <c r="AP108" i="2" s="1"/>
  <c r="AQ108" i="2" s="1"/>
  <c r="M21" i="2"/>
  <c r="AE17" i="2"/>
  <c r="M197" i="2"/>
  <c r="AH202" i="2"/>
  <c r="AH207" i="2" s="1"/>
  <c r="M142" i="2"/>
  <c r="AE147" i="2"/>
  <c r="AE153" i="2" s="1"/>
  <c r="M123" i="2"/>
  <c r="AH132" i="2"/>
  <c r="AH135" i="2" s="1"/>
  <c r="F861" i="2"/>
  <c r="N861" i="2" s="1"/>
  <c r="AH205" i="2"/>
  <c r="M209" i="2"/>
  <c r="M127" i="2"/>
  <c r="AE114" i="2"/>
  <c r="AE117" i="2" s="1"/>
  <c r="AJ21" i="2"/>
  <c r="AB27" i="2"/>
  <c r="AJ27" i="2" s="1"/>
  <c r="AA864" i="2"/>
  <c r="AE783" i="1"/>
  <c r="AB243" i="2"/>
  <c r="AJ243" i="2" s="1"/>
  <c r="AJ237" i="2"/>
  <c r="S148" i="2"/>
  <c r="R148" i="2" s="1"/>
  <c r="P148" i="2"/>
  <c r="AI140" i="2"/>
  <c r="V148" i="2"/>
  <c r="P116" i="2"/>
  <c r="AI121" i="2"/>
  <c r="V116" i="2"/>
  <c r="S116" i="2"/>
  <c r="R116" i="2" s="1"/>
  <c r="T105" i="2"/>
  <c r="U105" i="2" s="1"/>
  <c r="I855" i="2"/>
  <c r="AE806" i="1"/>
  <c r="M797" i="1"/>
  <c r="AE752" i="1"/>
  <c r="M743" i="1"/>
  <c r="U717" i="1"/>
  <c r="AQ726" i="1" s="1"/>
  <c r="AP726" i="1"/>
  <c r="AP729" i="1" s="1"/>
  <c r="AQ729" i="1" s="1"/>
  <c r="AE698" i="1"/>
  <c r="M689" i="1"/>
  <c r="V266" i="2"/>
  <c r="AI251" i="2"/>
  <c r="P266" i="2"/>
  <c r="S266" i="2"/>
  <c r="R266" i="2" s="1"/>
  <c r="AO130" i="2"/>
  <c r="AN130" i="2" s="1"/>
  <c r="AL130" i="2"/>
  <c r="AR130" i="2"/>
  <c r="AB72" i="2"/>
  <c r="AJ72" i="2" s="1"/>
  <c r="AJ66" i="2"/>
  <c r="AP42" i="2"/>
  <c r="U45" i="2"/>
  <c r="AQ42" i="2" s="1"/>
  <c r="AB837" i="1"/>
  <c r="AJ837" i="1" s="1"/>
  <c r="AJ831" i="1"/>
  <c r="U767" i="1"/>
  <c r="AQ759" i="1" s="1"/>
  <c r="AP759" i="1"/>
  <c r="AP765" i="1" s="1"/>
  <c r="AQ765" i="1" s="1"/>
  <c r="U849" i="2"/>
  <c r="AQ841" i="2" s="1"/>
  <c r="AP841" i="2"/>
  <c r="AL62" i="2"/>
  <c r="AR62" i="2"/>
  <c r="AO62" i="2"/>
  <c r="AN62" i="2" s="1"/>
  <c r="M69" i="2"/>
  <c r="L834" i="1"/>
  <c r="AH831" i="1"/>
  <c r="AH837" i="1" s="1"/>
  <c r="V751" i="1"/>
  <c r="S751" i="1"/>
  <c r="R751" i="1" s="1"/>
  <c r="AI736" i="1"/>
  <c r="P751" i="1"/>
  <c r="P694" i="1"/>
  <c r="V694" i="1"/>
  <c r="AI681" i="1"/>
  <c r="S694" i="1"/>
  <c r="R694" i="1" s="1"/>
  <c r="AP563" i="1"/>
  <c r="AP567" i="1" s="1"/>
  <c r="AQ567" i="1" s="1"/>
  <c r="U554" i="1"/>
  <c r="AQ563" i="1" s="1"/>
  <c r="M71" i="2"/>
  <c r="AB828" i="1"/>
  <c r="AJ828" i="1" s="1"/>
  <c r="S795" i="1"/>
  <c r="R795" i="1" s="1"/>
  <c r="P795" i="1"/>
  <c r="AI787" i="1"/>
  <c r="V795" i="1"/>
  <c r="U751" i="1"/>
  <c r="AQ736" i="1" s="1"/>
  <c r="AP736" i="1"/>
  <c r="AP738" i="1" s="1"/>
  <c r="AQ738" i="1" s="1"/>
  <c r="M70" i="2"/>
  <c r="AE79" i="2"/>
  <c r="AO826" i="1"/>
  <c r="AN826" i="1" s="1"/>
  <c r="AL826" i="1"/>
  <c r="AR826" i="1"/>
  <c r="AP755" i="1"/>
  <c r="U746" i="1"/>
  <c r="AQ755" i="1" s="1"/>
  <c r="AD720" i="1"/>
  <c r="M335" i="2"/>
  <c r="AE327" i="2"/>
  <c r="AE333" i="2" s="1"/>
  <c r="AP63" i="2"/>
  <c r="AQ63" i="2" s="1"/>
  <c r="AA9" i="2"/>
  <c r="M817" i="1"/>
  <c r="AE822" i="1"/>
  <c r="AE828" i="1" s="1"/>
  <c r="M802" i="1"/>
  <c r="M778" i="1"/>
  <c r="M711" i="1"/>
  <c r="AE687" i="1"/>
  <c r="AE693" i="1" s="1"/>
  <c r="M682" i="1"/>
  <c r="AE567" i="1"/>
  <c r="AE525" i="1"/>
  <c r="AE531" i="1" s="1"/>
  <c r="M520" i="1"/>
  <c r="I105" i="2"/>
  <c r="M50" i="2"/>
  <c r="AE35" i="2"/>
  <c r="AE36" i="2" s="1"/>
  <c r="AF843" i="2"/>
  <c r="L856" i="2"/>
  <c r="AH843" i="2" s="1"/>
  <c r="M824" i="1"/>
  <c r="M750" i="1"/>
  <c r="S685" i="1"/>
  <c r="R685" i="1" s="1"/>
  <c r="P685" i="1"/>
  <c r="V685" i="1"/>
  <c r="AI689" i="1"/>
  <c r="AP648" i="1"/>
  <c r="AQ648" i="1" s="1"/>
  <c r="U527" i="1"/>
  <c r="AQ536" i="1" s="1"/>
  <c r="AP536" i="1"/>
  <c r="I51" i="2"/>
  <c r="M770" i="1"/>
  <c r="U689" i="1"/>
  <c r="AQ698" i="1" s="1"/>
  <c r="AP698" i="1"/>
  <c r="AC567" i="1"/>
  <c r="AC513" i="1"/>
  <c r="S67" i="2"/>
  <c r="R67" i="2" s="1"/>
  <c r="P67" i="2"/>
  <c r="AI59" i="2"/>
  <c r="V67" i="2"/>
  <c r="V46" i="2"/>
  <c r="S46" i="2"/>
  <c r="R46" i="2" s="1"/>
  <c r="AI33" i="2"/>
  <c r="P46" i="2"/>
  <c r="T51" i="2"/>
  <c r="U51" i="2" s="1"/>
  <c r="M833" i="1"/>
  <c r="AE818" i="1"/>
  <c r="M819" i="1"/>
  <c r="AI735" i="1"/>
  <c r="P748" i="1"/>
  <c r="V748" i="1"/>
  <c r="S748" i="1"/>
  <c r="R748" i="1" s="1"/>
  <c r="AJ682" i="1"/>
  <c r="AB684" i="1"/>
  <c r="AJ684" i="1" s="1"/>
  <c r="AP660" i="1"/>
  <c r="AP666" i="1" s="1"/>
  <c r="AQ666" i="1" s="1"/>
  <c r="U655" i="1"/>
  <c r="AQ660" i="1" s="1"/>
  <c r="AP606" i="1"/>
  <c r="AP612" i="1" s="1"/>
  <c r="AQ612" i="1" s="1"/>
  <c r="U601" i="1"/>
  <c r="AQ606" i="1" s="1"/>
  <c r="AP554" i="1"/>
  <c r="U550" i="1"/>
  <c r="AQ554" i="1" s="1"/>
  <c r="AP490" i="1"/>
  <c r="U498" i="1"/>
  <c r="AQ490" i="1" s="1"/>
  <c r="V507" i="1"/>
  <c r="S507" i="1"/>
  <c r="R507" i="1" s="1"/>
  <c r="AI503" i="1"/>
  <c r="P507" i="1"/>
  <c r="AP783" i="1"/>
  <c r="AQ783" i="1" s="1"/>
  <c r="AO581" i="1"/>
  <c r="AN581" i="1" s="1"/>
  <c r="AL581" i="1"/>
  <c r="AR581" i="1"/>
  <c r="M468" i="1"/>
  <c r="AE481" i="1"/>
  <c r="P442" i="1"/>
  <c r="AI446" i="1"/>
  <c r="V442" i="1"/>
  <c r="S442" i="1"/>
  <c r="R442" i="1" s="1"/>
  <c r="M608" i="1"/>
  <c r="M554" i="1"/>
  <c r="U507" i="1"/>
  <c r="AQ503" i="1" s="1"/>
  <c r="AP503" i="1"/>
  <c r="M467" i="1"/>
  <c r="V667" i="1"/>
  <c r="S667" i="1"/>
  <c r="R667" i="1" s="1"/>
  <c r="AI654" i="1"/>
  <c r="P667" i="1"/>
  <c r="AE657" i="1"/>
  <c r="P606" i="1"/>
  <c r="AI598" i="1"/>
  <c r="V606" i="1"/>
  <c r="S606" i="1"/>
  <c r="R606" i="1" s="1"/>
  <c r="M563" i="1"/>
  <c r="AE548" i="1"/>
  <c r="AE549" i="1" s="1"/>
  <c r="M449" i="1"/>
  <c r="V715" i="1"/>
  <c r="S715" i="1"/>
  <c r="R715" i="1" s="1"/>
  <c r="P715" i="1"/>
  <c r="AI707" i="1"/>
  <c r="V668" i="1"/>
  <c r="S668" i="1"/>
  <c r="R668" i="1" s="1"/>
  <c r="P668" i="1"/>
  <c r="AI664" i="1"/>
  <c r="S526" i="1"/>
  <c r="R526" i="1" s="1"/>
  <c r="P526" i="1"/>
  <c r="AI518" i="1"/>
  <c r="V526" i="1"/>
  <c r="T510" i="1"/>
  <c r="U510" i="1" s="1"/>
  <c r="AF342" i="1"/>
  <c r="T321" i="1"/>
  <c r="U321" i="1" s="1"/>
  <c r="AP318" i="1"/>
  <c r="U303" i="1"/>
  <c r="AQ318" i="1" s="1"/>
  <c r="P671" i="1"/>
  <c r="V671" i="1"/>
  <c r="S671" i="1"/>
  <c r="R671" i="1" s="1"/>
  <c r="AI656" i="1"/>
  <c r="M476" i="1"/>
  <c r="AE485" i="1"/>
  <c r="AB378" i="1"/>
  <c r="AJ378" i="1" s="1"/>
  <c r="AJ291" i="1"/>
  <c r="AB297" i="1"/>
  <c r="AJ297" i="1" s="1"/>
  <c r="V632" i="1"/>
  <c r="AI624" i="1"/>
  <c r="S632" i="1"/>
  <c r="R632" i="1" s="1"/>
  <c r="P632" i="1"/>
  <c r="M617" i="1"/>
  <c r="AE602" i="1"/>
  <c r="AE603" i="1" s="1"/>
  <c r="L591" i="1"/>
  <c r="AP421" i="1"/>
  <c r="AP423" i="1" s="1"/>
  <c r="AQ423" i="1" s="1"/>
  <c r="U425" i="1"/>
  <c r="AQ421" i="1" s="1"/>
  <c r="AI408" i="1"/>
  <c r="S416" i="1"/>
  <c r="R416" i="1" s="1"/>
  <c r="P416" i="1"/>
  <c r="V416" i="1"/>
  <c r="AI300" i="1"/>
  <c r="S308" i="1"/>
  <c r="R308" i="1" s="1"/>
  <c r="P308" i="1"/>
  <c r="V308" i="1"/>
  <c r="P799" i="1"/>
  <c r="AI808" i="1"/>
  <c r="V799" i="1"/>
  <c r="S799" i="1"/>
  <c r="R799" i="1" s="1"/>
  <c r="V524" i="1"/>
  <c r="AI516" i="1"/>
  <c r="S524" i="1"/>
  <c r="R524" i="1" s="1"/>
  <c r="P524" i="1"/>
  <c r="V427" i="1"/>
  <c r="S427" i="1"/>
  <c r="R427" i="1" s="1"/>
  <c r="AI412" i="1"/>
  <c r="P427" i="1"/>
  <c r="M385" i="1"/>
  <c r="M402" i="1" s="1"/>
  <c r="AE390" i="1"/>
  <c r="AE396" i="1" s="1"/>
  <c r="U335" i="1"/>
  <c r="AQ327" i="1" s="1"/>
  <c r="AP327" i="1"/>
  <c r="AP333" i="1" s="1"/>
  <c r="AQ333" i="1" s="1"/>
  <c r="AE278" i="1"/>
  <c r="M293" i="1"/>
  <c r="I267" i="1"/>
  <c r="AE264" i="1"/>
  <c r="AE270" i="1" s="1"/>
  <c r="M249" i="1"/>
  <c r="AP214" i="1"/>
  <c r="U205" i="1"/>
  <c r="AQ214" i="1" s="1"/>
  <c r="AH184" i="1"/>
  <c r="AH189" i="1" s="1"/>
  <c r="M171" i="1"/>
  <c r="M23" i="1"/>
  <c r="AE8" i="1"/>
  <c r="AP3" i="1"/>
  <c r="AP9" i="1" s="1"/>
  <c r="AQ9" i="1" s="1"/>
  <c r="U11" i="1"/>
  <c r="AQ3" i="1" s="1"/>
  <c r="AP12" i="1"/>
  <c r="U7" i="1"/>
  <c r="AQ12" i="1" s="1"/>
  <c r="V525" i="1"/>
  <c r="S525" i="1"/>
  <c r="R525" i="1" s="1"/>
  <c r="P525" i="1"/>
  <c r="AI517" i="1"/>
  <c r="P418" i="1"/>
  <c r="AI410" i="1"/>
  <c r="V418" i="1"/>
  <c r="S418" i="1"/>
  <c r="R418" i="1" s="1"/>
  <c r="S387" i="1"/>
  <c r="R387" i="1" s="1"/>
  <c r="P387" i="1"/>
  <c r="AI400" i="1"/>
  <c r="V387" i="1"/>
  <c r="AP323" i="1"/>
  <c r="U314" i="1"/>
  <c r="AQ323" i="1" s="1"/>
  <c r="I321" i="1"/>
  <c r="AE318" i="1"/>
  <c r="AE324" i="1" s="1"/>
  <c r="M303" i="1"/>
  <c r="AI293" i="1"/>
  <c r="S284" i="1"/>
  <c r="R284" i="1" s="1"/>
  <c r="P284" i="1"/>
  <c r="V284" i="1"/>
  <c r="S250" i="1"/>
  <c r="R250" i="1" s="1"/>
  <c r="P250" i="1"/>
  <c r="AI255" i="1"/>
  <c r="V250" i="1"/>
  <c r="AC216" i="1"/>
  <c r="AP854" i="1"/>
  <c r="U858" i="1"/>
  <c r="AQ854" i="1" s="1"/>
  <c r="U853" i="1"/>
  <c r="AQ862" i="1" s="1"/>
  <c r="AP862" i="1"/>
  <c r="M395" i="1"/>
  <c r="M390" i="1"/>
  <c r="AE382" i="1"/>
  <c r="AE387" i="1" s="1"/>
  <c r="AO340" i="1"/>
  <c r="AN340" i="1" s="1"/>
  <c r="AL340" i="1"/>
  <c r="AR340" i="1"/>
  <c r="AI268" i="1"/>
  <c r="V259" i="1"/>
  <c r="S259" i="1"/>
  <c r="R259" i="1" s="1"/>
  <c r="P259" i="1"/>
  <c r="L846" i="1"/>
  <c r="AH859" i="1" s="1"/>
  <c r="AF859" i="1"/>
  <c r="S319" i="1"/>
  <c r="R319" i="1" s="1"/>
  <c r="AI304" i="1"/>
  <c r="P319" i="1"/>
  <c r="V319" i="1"/>
  <c r="AP207" i="1"/>
  <c r="AQ207" i="1" s="1"/>
  <c r="AE185" i="1"/>
  <c r="AE189" i="1" s="1"/>
  <c r="M176" i="1"/>
  <c r="AG27" i="1"/>
  <c r="AC841" i="1"/>
  <c r="I849" i="1"/>
  <c r="V337" i="1"/>
  <c r="S337" i="1"/>
  <c r="R337" i="1" s="1"/>
  <c r="P337" i="1"/>
  <c r="AI329" i="1"/>
  <c r="AB261" i="1"/>
  <c r="AJ261" i="1" s="1"/>
  <c r="AF135" i="1"/>
  <c r="AP85" i="1"/>
  <c r="U93" i="1"/>
  <c r="AQ85" i="1" s="1"/>
  <c r="AP31" i="1"/>
  <c r="U39" i="1"/>
  <c r="AQ31" i="1" s="1"/>
  <c r="U319" i="1"/>
  <c r="AQ304" i="1" s="1"/>
  <c r="AP304" i="1"/>
  <c r="AP175" i="1"/>
  <c r="AP180" i="1" s="1"/>
  <c r="AQ180" i="1" s="1"/>
  <c r="U170" i="1"/>
  <c r="AQ175" i="1" s="1"/>
  <c r="S115" i="1"/>
  <c r="R115" i="1" s="1"/>
  <c r="P115" i="1"/>
  <c r="AI120" i="1"/>
  <c r="V115" i="1"/>
  <c r="AP67" i="1"/>
  <c r="AP72" i="1" s="1"/>
  <c r="AQ72" i="1" s="1"/>
  <c r="U62" i="1"/>
  <c r="AQ67" i="1" s="1"/>
  <c r="L856" i="1"/>
  <c r="AH843" i="1" s="1"/>
  <c r="AF843" i="1"/>
  <c r="AF842" i="1"/>
  <c r="L850" i="1"/>
  <c r="AH842" i="1" s="1"/>
  <c r="L845" i="1"/>
  <c r="AH850" i="1" s="1"/>
  <c r="AF850" i="1"/>
  <c r="P612" i="1"/>
  <c r="AI609" i="1"/>
  <c r="V612" i="1"/>
  <c r="S612" i="1"/>
  <c r="R612" i="1" s="1"/>
  <c r="L429" i="1"/>
  <c r="M292" i="1"/>
  <c r="AE277" i="1"/>
  <c r="AI266" i="1"/>
  <c r="S257" i="1"/>
  <c r="R257" i="1" s="1"/>
  <c r="P257" i="1"/>
  <c r="V257" i="1"/>
  <c r="M224" i="1"/>
  <c r="AP157" i="1"/>
  <c r="AP162" i="1" s="1"/>
  <c r="AQ162" i="1" s="1"/>
  <c r="U144" i="1"/>
  <c r="AQ157" i="1" s="1"/>
  <c r="AP104" i="1"/>
  <c r="U95" i="1"/>
  <c r="AQ104" i="1" s="1"/>
  <c r="S43" i="1"/>
  <c r="R43" i="1" s="1"/>
  <c r="P43" i="1"/>
  <c r="AI52" i="1"/>
  <c r="V43" i="1"/>
  <c r="T859" i="1"/>
  <c r="AB844" i="1"/>
  <c r="AJ844" i="1" s="1"/>
  <c r="N859" i="1"/>
  <c r="M392" i="1"/>
  <c r="AI183" i="1"/>
  <c r="V168" i="1"/>
  <c r="S168" i="1"/>
  <c r="R168" i="1" s="1"/>
  <c r="P168" i="1"/>
  <c r="S148" i="1"/>
  <c r="R148" i="1" s="1"/>
  <c r="P148" i="1"/>
  <c r="AI140" i="1"/>
  <c r="V148" i="1"/>
  <c r="M127" i="1"/>
  <c r="M132" i="1" s="1"/>
  <c r="AE114" i="1"/>
  <c r="AE117" i="1" s="1"/>
  <c r="AP13" i="1"/>
  <c r="U8" i="1"/>
  <c r="AQ13" i="1" s="1"/>
  <c r="M93" i="1"/>
  <c r="AE85" i="1"/>
  <c r="AE285" i="1"/>
  <c r="M288" i="1"/>
  <c r="M128" i="1"/>
  <c r="AE124" i="1"/>
  <c r="AE126" i="1" s="1"/>
  <c r="AP42" i="1"/>
  <c r="U45" i="1"/>
  <c r="AQ42" i="1" s="1"/>
  <c r="AJ75" i="1"/>
  <c r="AB81" i="1"/>
  <c r="AJ81" i="1" s="1"/>
  <c r="AL348" i="1"/>
  <c r="AR348" i="1"/>
  <c r="AO348" i="1"/>
  <c r="AN348" i="1" s="1"/>
  <c r="T186" i="1"/>
  <c r="U186" i="1" s="1"/>
  <c r="AP183" i="1"/>
  <c r="AP189" i="1" s="1"/>
  <c r="AQ189" i="1" s="1"/>
  <c r="U168" i="1"/>
  <c r="AQ183" i="1" s="1"/>
  <c r="S143" i="1"/>
  <c r="R143" i="1" s="1"/>
  <c r="P143" i="1"/>
  <c r="AI148" i="1"/>
  <c r="V143" i="1"/>
  <c r="V104" i="1"/>
  <c r="S104" i="1"/>
  <c r="R104" i="1" s="1"/>
  <c r="AI89" i="1"/>
  <c r="P104" i="1"/>
  <c r="M222" i="1"/>
  <c r="AB144" i="1"/>
  <c r="AJ144" i="1" s="1"/>
  <c r="S72" i="1"/>
  <c r="R72" i="1" s="1"/>
  <c r="P72" i="1"/>
  <c r="AI69" i="1"/>
  <c r="V72" i="1"/>
  <c r="M330" i="1"/>
  <c r="V209" i="1"/>
  <c r="AI205" i="1"/>
  <c r="S209" i="1"/>
  <c r="R209" i="1" s="1"/>
  <c r="P209" i="1"/>
  <c r="P181" i="1"/>
  <c r="V181" i="1"/>
  <c r="S181" i="1"/>
  <c r="R181" i="1" s="1"/>
  <c r="AI168" i="1"/>
  <c r="U104" i="1"/>
  <c r="AQ89" i="1" s="1"/>
  <c r="AP89" i="1"/>
  <c r="M428" i="1"/>
  <c r="M180" i="1"/>
  <c r="V158" i="1"/>
  <c r="S158" i="1"/>
  <c r="R158" i="1" s="1"/>
  <c r="AI143" i="1"/>
  <c r="P158" i="1"/>
  <c r="AC99" i="1"/>
  <c r="U257" i="1"/>
  <c r="AQ266" i="1" s="1"/>
  <c r="AP266" i="1"/>
  <c r="P44" i="1"/>
  <c r="AI53" i="1"/>
  <c r="V44" i="1"/>
  <c r="S44" i="1"/>
  <c r="R44" i="1" s="1"/>
  <c r="V213" i="2" l="1"/>
  <c r="S213" i="2"/>
  <c r="R213" i="2" s="1"/>
  <c r="P213" i="2"/>
  <c r="S726" i="1"/>
  <c r="R726" i="1" s="1"/>
  <c r="P726" i="1"/>
  <c r="V726" i="1"/>
  <c r="V510" i="3"/>
  <c r="S510" i="3"/>
  <c r="R510" i="3" s="1"/>
  <c r="P510" i="3"/>
  <c r="V132" i="1"/>
  <c r="S132" i="1"/>
  <c r="R132" i="1" s="1"/>
  <c r="P132" i="1"/>
  <c r="P375" i="2"/>
  <c r="V375" i="2"/>
  <c r="S375" i="2"/>
  <c r="R375" i="2" s="1"/>
  <c r="S726" i="3"/>
  <c r="R726" i="3" s="1"/>
  <c r="P726" i="3"/>
  <c r="V726" i="3"/>
  <c r="S456" i="1"/>
  <c r="R456" i="1" s="1"/>
  <c r="P456" i="1"/>
  <c r="V456" i="1"/>
  <c r="S375" i="3"/>
  <c r="R375" i="3" s="1"/>
  <c r="P375" i="3"/>
  <c r="V375" i="3"/>
  <c r="S402" i="1"/>
  <c r="R402" i="1" s="1"/>
  <c r="P402" i="1"/>
  <c r="V402" i="1"/>
  <c r="P483" i="2"/>
  <c r="S483" i="2"/>
  <c r="R483" i="2" s="1"/>
  <c r="V483" i="2"/>
  <c r="P267" i="3"/>
  <c r="V267" i="3"/>
  <c r="S267" i="3"/>
  <c r="R267" i="3" s="1"/>
  <c r="V645" i="2"/>
  <c r="P645" i="2"/>
  <c r="S645" i="2"/>
  <c r="R645" i="2" s="1"/>
  <c r="V78" i="1"/>
  <c r="S78" i="1"/>
  <c r="R78" i="1" s="1"/>
  <c r="P78" i="1"/>
  <c r="AR738" i="3"/>
  <c r="AO738" i="3"/>
  <c r="AN738" i="3" s="1"/>
  <c r="AL738" i="3"/>
  <c r="AO168" i="1"/>
  <c r="AN168" i="1" s="1"/>
  <c r="AL168" i="1"/>
  <c r="AR168" i="1"/>
  <c r="V224" i="1"/>
  <c r="S224" i="1"/>
  <c r="R224" i="1" s="1"/>
  <c r="P224" i="1"/>
  <c r="AI229" i="1"/>
  <c r="AO293" i="1"/>
  <c r="AN293" i="1" s="1"/>
  <c r="AL293" i="1"/>
  <c r="AR293" i="1"/>
  <c r="AI184" i="1"/>
  <c r="V171" i="1"/>
  <c r="S171" i="1"/>
  <c r="R171" i="1" s="1"/>
  <c r="P171" i="1"/>
  <c r="AO408" i="1"/>
  <c r="AN408" i="1" s="1"/>
  <c r="AL408" i="1"/>
  <c r="AR408" i="1"/>
  <c r="AR624" i="1"/>
  <c r="AO624" i="1"/>
  <c r="AN624" i="1" s="1"/>
  <c r="AL624" i="1"/>
  <c r="AO707" i="1"/>
  <c r="AN707" i="1" s="1"/>
  <c r="AL707" i="1"/>
  <c r="AR707" i="1"/>
  <c r="S467" i="1"/>
  <c r="R467" i="1" s="1"/>
  <c r="P467" i="1"/>
  <c r="AI472" i="1"/>
  <c r="V467" i="1"/>
  <c r="AL503" i="1"/>
  <c r="AR503" i="1"/>
  <c r="AO503" i="1"/>
  <c r="AN503" i="1" s="1"/>
  <c r="AO735" i="1"/>
  <c r="AN735" i="1" s="1"/>
  <c r="AL735" i="1"/>
  <c r="AR735" i="1"/>
  <c r="AI789" i="1"/>
  <c r="P802" i="1"/>
  <c r="V802" i="1"/>
  <c r="S802" i="1"/>
  <c r="R802" i="1" s="1"/>
  <c r="V689" i="1"/>
  <c r="AI698" i="1"/>
  <c r="S689" i="1"/>
  <c r="R689" i="1" s="1"/>
  <c r="P689" i="1"/>
  <c r="M855" i="2"/>
  <c r="AE852" i="2"/>
  <c r="AI147" i="2"/>
  <c r="V142" i="2"/>
  <c r="S142" i="2"/>
  <c r="R142" i="2" s="1"/>
  <c r="P142" i="2"/>
  <c r="P124" i="2"/>
  <c r="AI133" i="2"/>
  <c r="V124" i="2"/>
  <c r="S124" i="2"/>
  <c r="R124" i="2" s="1"/>
  <c r="V308" i="2"/>
  <c r="S308" i="2"/>
  <c r="R308" i="2" s="1"/>
  <c r="AI300" i="2"/>
  <c r="P308" i="2"/>
  <c r="S505" i="2"/>
  <c r="R505" i="2" s="1"/>
  <c r="V505" i="2"/>
  <c r="AI492" i="2"/>
  <c r="P505" i="2"/>
  <c r="P608" i="2"/>
  <c r="V608" i="2"/>
  <c r="S608" i="2"/>
  <c r="R608" i="2" s="1"/>
  <c r="AI617" i="2"/>
  <c r="V737" i="2"/>
  <c r="S737" i="2"/>
  <c r="R737" i="2" s="1"/>
  <c r="P737" i="2"/>
  <c r="AI742" i="2"/>
  <c r="P640" i="2"/>
  <c r="S640" i="2"/>
  <c r="R640" i="2" s="1"/>
  <c r="AI627" i="2"/>
  <c r="V640" i="2"/>
  <c r="AI41" i="3"/>
  <c r="V37" i="3"/>
  <c r="S37" i="3"/>
  <c r="R37" i="3" s="1"/>
  <c r="P37" i="3"/>
  <c r="AL620" i="2"/>
  <c r="AR620" i="2"/>
  <c r="AO620" i="2"/>
  <c r="AN620" i="2" s="1"/>
  <c r="V749" i="2"/>
  <c r="S749" i="2"/>
  <c r="R749" i="2" s="1"/>
  <c r="P749" i="2"/>
  <c r="AI745" i="2"/>
  <c r="AL733" i="2"/>
  <c r="AR733" i="2"/>
  <c r="AO733" i="2"/>
  <c r="AN733" i="2" s="1"/>
  <c r="V791" i="2"/>
  <c r="S791" i="2"/>
  <c r="R791" i="2" s="1"/>
  <c r="P791" i="2"/>
  <c r="AI796" i="2"/>
  <c r="AL53" i="3"/>
  <c r="AR53" i="3"/>
  <c r="AO53" i="3"/>
  <c r="AN53" i="3" s="1"/>
  <c r="V96" i="3"/>
  <c r="AI105" i="3"/>
  <c r="S96" i="3"/>
  <c r="R96" i="3" s="1"/>
  <c r="P96" i="3"/>
  <c r="M78" i="3"/>
  <c r="AI75" i="3"/>
  <c r="V60" i="3"/>
  <c r="S60" i="3"/>
  <c r="R60" i="3" s="1"/>
  <c r="P60" i="3"/>
  <c r="AR178" i="3"/>
  <c r="AO178" i="3"/>
  <c r="AN178" i="3" s="1"/>
  <c r="AL178" i="3"/>
  <c r="AO318" i="3"/>
  <c r="AN318" i="3" s="1"/>
  <c r="AR318" i="3"/>
  <c r="AL318" i="3"/>
  <c r="V230" i="3"/>
  <c r="AI239" i="3"/>
  <c r="S230" i="3"/>
  <c r="R230" i="3" s="1"/>
  <c r="P230" i="3"/>
  <c r="P368" i="3"/>
  <c r="AI377" i="3"/>
  <c r="V368" i="3"/>
  <c r="S368" i="3"/>
  <c r="R368" i="3" s="1"/>
  <c r="AI427" i="3"/>
  <c r="V414" i="3"/>
  <c r="S414" i="3"/>
  <c r="R414" i="3" s="1"/>
  <c r="P414" i="3"/>
  <c r="AL395" i="3"/>
  <c r="AR395" i="3"/>
  <c r="AO395" i="3"/>
  <c r="AN395" i="3" s="1"/>
  <c r="AL440" i="3"/>
  <c r="AO440" i="3"/>
  <c r="AN440" i="3" s="1"/>
  <c r="AR440" i="3"/>
  <c r="AI663" i="3"/>
  <c r="V666" i="3"/>
  <c r="S666" i="3"/>
  <c r="R666" i="3" s="1"/>
  <c r="P666" i="3"/>
  <c r="AL705" i="3"/>
  <c r="AR705" i="3"/>
  <c r="AO705" i="3"/>
  <c r="AN705" i="3" s="1"/>
  <c r="P144" i="1"/>
  <c r="AI157" i="1"/>
  <c r="V144" i="1"/>
  <c r="S144" i="1"/>
  <c r="R144" i="1" s="1"/>
  <c r="S374" i="1"/>
  <c r="R374" i="1" s="1"/>
  <c r="AI359" i="1"/>
  <c r="P374" i="1"/>
  <c r="V374" i="1"/>
  <c r="V237" i="1"/>
  <c r="S237" i="1"/>
  <c r="R237" i="1" s="1"/>
  <c r="AI233" i="1"/>
  <c r="P237" i="1"/>
  <c r="AL417" i="1"/>
  <c r="AR417" i="1"/>
  <c r="AO417" i="1"/>
  <c r="AN417" i="1" s="1"/>
  <c r="AL368" i="1"/>
  <c r="AR368" i="1"/>
  <c r="AO368" i="1"/>
  <c r="AN368" i="1" s="1"/>
  <c r="P413" i="1"/>
  <c r="AI418" i="1"/>
  <c r="V413" i="1"/>
  <c r="S413" i="1"/>
  <c r="R413" i="1" s="1"/>
  <c r="S195" i="1"/>
  <c r="R195" i="1" s="1"/>
  <c r="M213" i="1"/>
  <c r="V195" i="1"/>
  <c r="AI210" i="1"/>
  <c r="P195" i="1"/>
  <c r="AP270" i="1"/>
  <c r="AQ270" i="1" s="1"/>
  <c r="AL651" i="1"/>
  <c r="AI657" i="1"/>
  <c r="AR651" i="1"/>
  <c r="AO651" i="1"/>
  <c r="AN651" i="1" s="1"/>
  <c r="AL790" i="1"/>
  <c r="AR790" i="1"/>
  <c r="AO790" i="1"/>
  <c r="AN790" i="1" s="1"/>
  <c r="AO158" i="2"/>
  <c r="AN158" i="2" s="1"/>
  <c r="AL158" i="2"/>
  <c r="AR158" i="2"/>
  <c r="AL610" i="2"/>
  <c r="AR610" i="2"/>
  <c r="AO610" i="2"/>
  <c r="AN610" i="2" s="1"/>
  <c r="AL447" i="2"/>
  <c r="AR447" i="2"/>
  <c r="AO447" i="2"/>
  <c r="AN447" i="2" s="1"/>
  <c r="P495" i="2"/>
  <c r="AI508" i="2"/>
  <c r="S495" i="2"/>
  <c r="R495" i="2" s="1"/>
  <c r="V495" i="2"/>
  <c r="P736" i="2"/>
  <c r="AI741" i="2"/>
  <c r="V736" i="2"/>
  <c r="S736" i="2"/>
  <c r="R736" i="2" s="1"/>
  <c r="AO584" i="2"/>
  <c r="AN584" i="2" s="1"/>
  <c r="AR584" i="2"/>
  <c r="AL584" i="2"/>
  <c r="AR331" i="3"/>
  <c r="AO331" i="3"/>
  <c r="AN331" i="3" s="1"/>
  <c r="AL331" i="3"/>
  <c r="P411" i="3"/>
  <c r="M429" i="3"/>
  <c r="AI426" i="3"/>
  <c r="V411" i="3"/>
  <c r="S411" i="3"/>
  <c r="R411" i="3" s="1"/>
  <c r="S521" i="3"/>
  <c r="R521" i="3" s="1"/>
  <c r="V521" i="3"/>
  <c r="P521" i="3"/>
  <c r="AI526" i="3"/>
  <c r="AI525" i="3"/>
  <c r="V520" i="3"/>
  <c r="P520" i="3"/>
  <c r="S520" i="3"/>
  <c r="R520" i="3" s="1"/>
  <c r="AO634" i="3"/>
  <c r="AN634" i="3" s="1"/>
  <c r="AR634" i="3"/>
  <c r="AL634" i="3"/>
  <c r="S790" i="3"/>
  <c r="R790" i="3" s="1"/>
  <c r="P790" i="3"/>
  <c r="AI795" i="3"/>
  <c r="V790" i="3"/>
  <c r="AS843" i="1"/>
  <c r="P19" i="1"/>
  <c r="V19" i="1"/>
  <c r="S19" i="1"/>
  <c r="R19" i="1" s="1"/>
  <c r="AI6" i="1"/>
  <c r="AL43" i="1"/>
  <c r="AR43" i="1"/>
  <c r="AO43" i="1"/>
  <c r="AN43" i="1" s="1"/>
  <c r="AR129" i="1"/>
  <c r="AO129" i="1"/>
  <c r="AN129" i="1" s="1"/>
  <c r="AL129" i="1"/>
  <c r="U851" i="1"/>
  <c r="AQ860" i="1" s="1"/>
  <c r="AP860" i="1"/>
  <c r="AR462" i="1"/>
  <c r="AO462" i="1"/>
  <c r="AN462" i="1" s="1"/>
  <c r="AL462" i="1"/>
  <c r="L861" i="1"/>
  <c r="AH858" i="1"/>
  <c r="AH864" i="1" s="1"/>
  <c r="S211" i="1"/>
  <c r="R211" i="1" s="1"/>
  <c r="AI196" i="1"/>
  <c r="P211" i="1"/>
  <c r="V211" i="1"/>
  <c r="AP414" i="1"/>
  <c r="AQ414" i="1" s="1"/>
  <c r="S529" i="1"/>
  <c r="R529" i="1" s="1"/>
  <c r="P529" i="1"/>
  <c r="AI538" i="1"/>
  <c r="V529" i="1"/>
  <c r="S827" i="1"/>
  <c r="R827" i="1" s="1"/>
  <c r="P827" i="1"/>
  <c r="AI836" i="1"/>
  <c r="V827" i="1"/>
  <c r="V574" i="1"/>
  <c r="S574" i="1"/>
  <c r="R574" i="1" s="1"/>
  <c r="P574" i="1"/>
  <c r="AI579" i="1"/>
  <c r="M78" i="2"/>
  <c r="AI75" i="2"/>
  <c r="P60" i="2"/>
  <c r="V60" i="2"/>
  <c r="S60" i="2"/>
  <c r="R60" i="2" s="1"/>
  <c r="S657" i="1"/>
  <c r="R657" i="1" s="1"/>
  <c r="P657" i="1"/>
  <c r="AI670" i="1"/>
  <c r="V657" i="1"/>
  <c r="S87" i="2"/>
  <c r="R87" i="2" s="1"/>
  <c r="P87" i="2"/>
  <c r="M105" i="2"/>
  <c r="AI102" i="2"/>
  <c r="V87" i="2"/>
  <c r="AE843" i="2"/>
  <c r="M856" i="2"/>
  <c r="P287" i="2"/>
  <c r="AI296" i="2"/>
  <c r="V287" i="2"/>
  <c r="S287" i="2"/>
  <c r="R287" i="2" s="1"/>
  <c r="V312" i="2"/>
  <c r="AI321" i="2"/>
  <c r="P312" i="2"/>
  <c r="S312" i="2"/>
  <c r="R312" i="2" s="1"/>
  <c r="AE459" i="2"/>
  <c r="AO638" i="2"/>
  <c r="AN638" i="2" s="1"/>
  <c r="AR638" i="2"/>
  <c r="AL638" i="2"/>
  <c r="AI698" i="2"/>
  <c r="V689" i="2"/>
  <c r="P689" i="2"/>
  <c r="S689" i="2"/>
  <c r="R689" i="2" s="1"/>
  <c r="S826" i="2"/>
  <c r="R826" i="2" s="1"/>
  <c r="P826" i="2"/>
  <c r="AI835" i="2"/>
  <c r="V826" i="2"/>
  <c r="AE45" i="3"/>
  <c r="AI150" i="3"/>
  <c r="V153" i="3"/>
  <c r="S153" i="3"/>
  <c r="R153" i="3" s="1"/>
  <c r="P153" i="3"/>
  <c r="AO165" i="3"/>
  <c r="AN165" i="3" s="1"/>
  <c r="AL165" i="3"/>
  <c r="AR165" i="3"/>
  <c r="AO114" i="3"/>
  <c r="AN114" i="3" s="1"/>
  <c r="AL114" i="3"/>
  <c r="AR114" i="3"/>
  <c r="AR286" i="3"/>
  <c r="AO286" i="3"/>
  <c r="AN286" i="3" s="1"/>
  <c r="AL286" i="3"/>
  <c r="AO268" i="3"/>
  <c r="AN268" i="3" s="1"/>
  <c r="AL268" i="3"/>
  <c r="AR268" i="3"/>
  <c r="V332" i="3"/>
  <c r="S332" i="3"/>
  <c r="R332" i="3" s="1"/>
  <c r="P332" i="3"/>
  <c r="AI337" i="3"/>
  <c r="S423" i="3"/>
  <c r="R423" i="3" s="1"/>
  <c r="P423" i="3"/>
  <c r="AI420" i="3"/>
  <c r="V423" i="3"/>
  <c r="S508" i="3"/>
  <c r="R508" i="3" s="1"/>
  <c r="P508" i="3"/>
  <c r="V508" i="3"/>
  <c r="AI493" i="3"/>
  <c r="AL619" i="3"/>
  <c r="AR619" i="3"/>
  <c r="AO619" i="3"/>
  <c r="AN619" i="3" s="1"/>
  <c r="AL12" i="1"/>
  <c r="AR12" i="1"/>
  <c r="AO12" i="1"/>
  <c r="AN12" i="1" s="1"/>
  <c r="AR175" i="1"/>
  <c r="AO175" i="1"/>
  <c r="AN175" i="1" s="1"/>
  <c r="AL175" i="1"/>
  <c r="AR105" i="1"/>
  <c r="AO105" i="1"/>
  <c r="AN105" i="1" s="1"/>
  <c r="AL105" i="1"/>
  <c r="AL33" i="1"/>
  <c r="AR33" i="1"/>
  <c r="AO33" i="1"/>
  <c r="AN33" i="1" s="1"/>
  <c r="V235" i="1"/>
  <c r="S235" i="1"/>
  <c r="R235" i="1" s="1"/>
  <c r="AI222" i="1"/>
  <c r="P235" i="1"/>
  <c r="M850" i="1"/>
  <c r="AE842" i="1"/>
  <c r="AL492" i="1"/>
  <c r="AR492" i="1"/>
  <c r="AO492" i="1"/>
  <c r="AN492" i="1" s="1"/>
  <c r="AR555" i="1"/>
  <c r="AO555" i="1"/>
  <c r="AN555" i="1" s="1"/>
  <c r="AL555" i="1"/>
  <c r="AI647" i="1"/>
  <c r="V638" i="1"/>
  <c r="S638" i="1"/>
  <c r="R638" i="1" s="1"/>
  <c r="P638" i="1"/>
  <c r="P501" i="1"/>
  <c r="V501" i="1"/>
  <c r="AI510" i="1"/>
  <c r="S501" i="1"/>
  <c r="R501" i="1" s="1"/>
  <c r="S762" i="1"/>
  <c r="R762" i="1" s="1"/>
  <c r="P762" i="1"/>
  <c r="M780" i="1"/>
  <c r="AI777" i="1"/>
  <c r="V762" i="1"/>
  <c r="AO743" i="1"/>
  <c r="AN743" i="1" s="1"/>
  <c r="AL743" i="1"/>
  <c r="AR743" i="1"/>
  <c r="AE861" i="2"/>
  <c r="M852" i="2"/>
  <c r="S736" i="1"/>
  <c r="R736" i="1" s="1"/>
  <c r="P736" i="1"/>
  <c r="AI741" i="1"/>
  <c r="V736" i="1"/>
  <c r="AL553" i="2"/>
  <c r="AR553" i="2"/>
  <c r="AO553" i="2"/>
  <c r="AN553" i="2" s="1"/>
  <c r="P657" i="2"/>
  <c r="AI670" i="2"/>
  <c r="V657" i="2"/>
  <c r="S657" i="2"/>
  <c r="R657" i="2" s="1"/>
  <c r="AP675" i="2"/>
  <c r="AQ675" i="2" s="1"/>
  <c r="V695" i="2"/>
  <c r="S695" i="2"/>
  <c r="R695" i="2" s="1"/>
  <c r="P695" i="2"/>
  <c r="AI691" i="2"/>
  <c r="V802" i="2"/>
  <c r="S802" i="2"/>
  <c r="R802" i="2" s="1"/>
  <c r="AI789" i="2"/>
  <c r="P802" i="2"/>
  <c r="AR827" i="2"/>
  <c r="AO827" i="2"/>
  <c r="AN827" i="2" s="1"/>
  <c r="AL827" i="2"/>
  <c r="AP27" i="3"/>
  <c r="AQ27" i="3" s="1"/>
  <c r="M828" i="3"/>
  <c r="AE825" i="3"/>
  <c r="AI188" i="3"/>
  <c r="V179" i="3"/>
  <c r="S179" i="3"/>
  <c r="R179" i="3" s="1"/>
  <c r="P179" i="3"/>
  <c r="AO266" i="3"/>
  <c r="AN266" i="3" s="1"/>
  <c r="AL266" i="3"/>
  <c r="AR266" i="3"/>
  <c r="AL346" i="3"/>
  <c r="AR346" i="3"/>
  <c r="AO346" i="3"/>
  <c r="AN346" i="3" s="1"/>
  <c r="AL341" i="3"/>
  <c r="AR341" i="3"/>
  <c r="AO341" i="3"/>
  <c r="AN341" i="3" s="1"/>
  <c r="AE423" i="3"/>
  <c r="AI511" i="3"/>
  <c r="V502" i="3"/>
  <c r="S502" i="3"/>
  <c r="R502" i="3" s="1"/>
  <c r="P502" i="3"/>
  <c r="V584" i="3"/>
  <c r="S584" i="3"/>
  <c r="R584" i="3" s="1"/>
  <c r="P584" i="3"/>
  <c r="AI593" i="3"/>
  <c r="AL745" i="3"/>
  <c r="AR745" i="3"/>
  <c r="AO745" i="3"/>
  <c r="AN745" i="3" s="1"/>
  <c r="P799" i="3"/>
  <c r="AI808" i="3"/>
  <c r="V799" i="3"/>
  <c r="S799" i="3"/>
  <c r="R799" i="3" s="1"/>
  <c r="AL230" i="1"/>
  <c r="AO230" i="1"/>
  <c r="AN230" i="1" s="1"/>
  <c r="AR230" i="1"/>
  <c r="AO50" i="1"/>
  <c r="AN50" i="1" s="1"/>
  <c r="AL50" i="1"/>
  <c r="AR50" i="1"/>
  <c r="AL112" i="1"/>
  <c r="AR112" i="1"/>
  <c r="AO112" i="1"/>
  <c r="AN112" i="1" s="1"/>
  <c r="S503" i="1"/>
  <c r="R503" i="1" s="1"/>
  <c r="P503" i="1"/>
  <c r="AI512" i="1"/>
  <c r="V503" i="1"/>
  <c r="AO40" i="2"/>
  <c r="AN40" i="2" s="1"/>
  <c r="AL40" i="2"/>
  <c r="AR40" i="2"/>
  <c r="AJ855" i="2"/>
  <c r="P183" i="2"/>
  <c r="AI179" i="2"/>
  <c r="V183" i="2"/>
  <c r="S183" i="2"/>
  <c r="R183" i="2" s="1"/>
  <c r="AE9" i="2"/>
  <c r="AJ9" i="2"/>
  <c r="S310" i="2"/>
  <c r="R310" i="2" s="1"/>
  <c r="AI302" i="2"/>
  <c r="P310" i="2"/>
  <c r="V310" i="2"/>
  <c r="AR232" i="2"/>
  <c r="AL232" i="2"/>
  <c r="AO232" i="2"/>
  <c r="AN232" i="2" s="1"/>
  <c r="AI445" i="2"/>
  <c r="V440" i="2"/>
  <c r="S440" i="2"/>
  <c r="R440" i="2" s="1"/>
  <c r="P440" i="2"/>
  <c r="AE405" i="2"/>
  <c r="AR526" i="2"/>
  <c r="AL526" i="2"/>
  <c r="AO526" i="2"/>
  <c r="AN526" i="2" s="1"/>
  <c r="S502" i="2"/>
  <c r="R502" i="2" s="1"/>
  <c r="P502" i="2"/>
  <c r="V502" i="2"/>
  <c r="AI511" i="2"/>
  <c r="AL707" i="2"/>
  <c r="AR707" i="2"/>
  <c r="AO707" i="2"/>
  <c r="AN707" i="2" s="1"/>
  <c r="V803" i="2"/>
  <c r="S803" i="2"/>
  <c r="R803" i="2" s="1"/>
  <c r="AI799" i="2"/>
  <c r="P803" i="2"/>
  <c r="S69" i="3"/>
  <c r="R69" i="3" s="1"/>
  <c r="P69" i="3"/>
  <c r="V69" i="3"/>
  <c r="AI78" i="3"/>
  <c r="AI401" i="3"/>
  <c r="S392" i="3"/>
  <c r="R392" i="3" s="1"/>
  <c r="V392" i="3"/>
  <c r="P392" i="3"/>
  <c r="AL517" i="3"/>
  <c r="AR517" i="3"/>
  <c r="AO517" i="3"/>
  <c r="AN517" i="3" s="1"/>
  <c r="AL607" i="3"/>
  <c r="AR607" i="3"/>
  <c r="AO607" i="3"/>
  <c r="AN607" i="3" s="1"/>
  <c r="AL599" i="3"/>
  <c r="AR599" i="3"/>
  <c r="AO599" i="3"/>
  <c r="AN599" i="3" s="1"/>
  <c r="AP171" i="1"/>
  <c r="AQ171" i="1" s="1"/>
  <c r="AO422" i="1"/>
  <c r="AN422" i="1" s="1"/>
  <c r="AL422" i="1"/>
  <c r="AR422" i="1"/>
  <c r="AL258" i="1"/>
  <c r="AR258" i="1"/>
  <c r="AO258" i="1"/>
  <c r="AN258" i="1" s="1"/>
  <c r="AL265" i="1"/>
  <c r="AR265" i="1"/>
  <c r="AO265" i="1"/>
  <c r="AN265" i="1" s="1"/>
  <c r="AR223" i="1"/>
  <c r="AO223" i="1"/>
  <c r="AN223" i="1" s="1"/>
  <c r="AL223" i="1"/>
  <c r="AR201" i="1"/>
  <c r="AL201" i="1"/>
  <c r="AO201" i="1"/>
  <c r="AN201" i="1" s="1"/>
  <c r="AE378" i="1"/>
  <c r="AO437" i="1"/>
  <c r="AN437" i="1" s="1"/>
  <c r="AL437" i="1"/>
  <c r="AR437" i="1"/>
  <c r="AL529" i="1"/>
  <c r="AR529" i="1"/>
  <c r="AO529" i="1"/>
  <c r="AN529" i="1" s="1"/>
  <c r="AR683" i="1"/>
  <c r="AO683" i="1"/>
  <c r="AN683" i="1" s="1"/>
  <c r="AL683" i="1"/>
  <c r="P175" i="2"/>
  <c r="AI167" i="2"/>
  <c r="V175" i="2"/>
  <c r="S175" i="2"/>
  <c r="R175" i="2" s="1"/>
  <c r="P208" i="2"/>
  <c r="V208" i="2"/>
  <c r="AI195" i="2"/>
  <c r="S208" i="2"/>
  <c r="R208" i="2" s="1"/>
  <c r="P341" i="2"/>
  <c r="S341" i="2"/>
  <c r="R341" i="2" s="1"/>
  <c r="AI350" i="2"/>
  <c r="V341" i="2"/>
  <c r="V254" i="2"/>
  <c r="S254" i="2"/>
  <c r="R254" i="2" s="1"/>
  <c r="P254" i="2"/>
  <c r="AI246" i="2"/>
  <c r="AL386" i="2"/>
  <c r="AR386" i="2"/>
  <c r="AO386" i="2"/>
  <c r="AN386" i="2" s="1"/>
  <c r="S475" i="2"/>
  <c r="R475" i="2" s="1"/>
  <c r="AI484" i="2"/>
  <c r="V475" i="2"/>
  <c r="P475" i="2"/>
  <c r="AR544" i="2"/>
  <c r="AO544" i="2"/>
  <c r="AN544" i="2" s="1"/>
  <c r="AL544" i="2"/>
  <c r="AI652" i="2"/>
  <c r="V660" i="2"/>
  <c r="S660" i="2"/>
  <c r="R660" i="2" s="1"/>
  <c r="P660" i="2"/>
  <c r="AO176" i="3"/>
  <c r="AN176" i="3" s="1"/>
  <c r="AL176" i="3"/>
  <c r="AR176" i="3"/>
  <c r="S72" i="3"/>
  <c r="R72" i="3" s="1"/>
  <c r="P72" i="3"/>
  <c r="AI69" i="3"/>
  <c r="V72" i="3"/>
  <c r="S388" i="3"/>
  <c r="R388" i="3" s="1"/>
  <c r="P388" i="3"/>
  <c r="AI392" i="3"/>
  <c r="V388" i="3"/>
  <c r="AL545" i="3"/>
  <c r="AR545" i="3"/>
  <c r="AO545" i="3"/>
  <c r="AN545" i="3" s="1"/>
  <c r="AI590" i="3"/>
  <c r="V581" i="3"/>
  <c r="S581" i="3"/>
  <c r="R581" i="3" s="1"/>
  <c r="P581" i="3"/>
  <c r="V669" i="3"/>
  <c r="S669" i="3"/>
  <c r="R669" i="3" s="1"/>
  <c r="AI665" i="3"/>
  <c r="P669" i="3"/>
  <c r="S87" i="1"/>
  <c r="R87" i="1" s="1"/>
  <c r="P87" i="1"/>
  <c r="M105" i="1"/>
  <c r="AI102" i="1"/>
  <c r="V87" i="1"/>
  <c r="AS850" i="1"/>
  <c r="P8" i="1"/>
  <c r="AI13" i="1"/>
  <c r="V8" i="1"/>
  <c r="S8" i="1"/>
  <c r="R8" i="1" s="1"/>
  <c r="U845" i="1"/>
  <c r="AQ850" i="1" s="1"/>
  <c r="AP850" i="1"/>
  <c r="V401" i="1"/>
  <c r="S401" i="1"/>
  <c r="R401" i="1" s="1"/>
  <c r="AI386" i="1"/>
  <c r="P401" i="1"/>
  <c r="P204" i="1"/>
  <c r="V204" i="1"/>
  <c r="AI213" i="1"/>
  <c r="S204" i="1"/>
  <c r="R204" i="1" s="1"/>
  <c r="AO246" i="1"/>
  <c r="AN246" i="1" s="1"/>
  <c r="AL246" i="1"/>
  <c r="AR246" i="1"/>
  <c r="S587" i="1"/>
  <c r="R587" i="1" s="1"/>
  <c r="P587" i="1"/>
  <c r="AI583" i="1"/>
  <c r="V587" i="1"/>
  <c r="AI593" i="1"/>
  <c r="V584" i="1"/>
  <c r="S584" i="1"/>
  <c r="R584" i="1" s="1"/>
  <c r="P584" i="1"/>
  <c r="P821" i="1"/>
  <c r="V821" i="1"/>
  <c r="AI813" i="1"/>
  <c r="S821" i="1"/>
  <c r="R821" i="1" s="1"/>
  <c r="AL31" i="2"/>
  <c r="AR31" i="2"/>
  <c r="AO31" i="2"/>
  <c r="AN31" i="2" s="1"/>
  <c r="AP189" i="2"/>
  <c r="AQ189" i="2" s="1"/>
  <c r="U853" i="2"/>
  <c r="AQ862" i="2" s="1"/>
  <c r="AP862" i="2"/>
  <c r="AE423" i="2"/>
  <c r="V92" i="2"/>
  <c r="AI84" i="2"/>
  <c r="S92" i="2"/>
  <c r="R92" i="2" s="1"/>
  <c r="P92" i="2"/>
  <c r="M591" i="2"/>
  <c r="AI588" i="2"/>
  <c r="V573" i="2"/>
  <c r="S573" i="2"/>
  <c r="R573" i="2" s="1"/>
  <c r="P573" i="2"/>
  <c r="S494" i="2"/>
  <c r="R494" i="2" s="1"/>
  <c r="AI499" i="2"/>
  <c r="P494" i="2"/>
  <c r="V494" i="2"/>
  <c r="P447" i="2"/>
  <c r="V447" i="2"/>
  <c r="AI456" i="2"/>
  <c r="S447" i="2"/>
  <c r="R447" i="2" s="1"/>
  <c r="S668" i="2"/>
  <c r="R668" i="2" s="1"/>
  <c r="P668" i="2"/>
  <c r="AI664" i="2"/>
  <c r="V668" i="2"/>
  <c r="AS836" i="3"/>
  <c r="AI26" i="3"/>
  <c r="V17" i="3"/>
  <c r="S17" i="3"/>
  <c r="R17" i="3" s="1"/>
  <c r="P17" i="3"/>
  <c r="AL223" i="3"/>
  <c r="AR223" i="3"/>
  <c r="AO223" i="3"/>
  <c r="AN223" i="3" s="1"/>
  <c r="AO158" i="3"/>
  <c r="AN158" i="3" s="1"/>
  <c r="AL158" i="3"/>
  <c r="AR158" i="3"/>
  <c r="AL251" i="3"/>
  <c r="AR251" i="3"/>
  <c r="AO251" i="3"/>
  <c r="AN251" i="3" s="1"/>
  <c r="AO258" i="3"/>
  <c r="AN258" i="3" s="1"/>
  <c r="AL258" i="3"/>
  <c r="AR258" i="3"/>
  <c r="AL393" i="3"/>
  <c r="AR393" i="3"/>
  <c r="AO393" i="3"/>
  <c r="AN393" i="3" s="1"/>
  <c r="AR572" i="3"/>
  <c r="AO572" i="3"/>
  <c r="AN572" i="3" s="1"/>
  <c r="AL572" i="3"/>
  <c r="AO539" i="3"/>
  <c r="AN539" i="3" s="1"/>
  <c r="AL539" i="3"/>
  <c r="AR539" i="3"/>
  <c r="S548" i="3"/>
  <c r="R548" i="3" s="1"/>
  <c r="P548" i="3"/>
  <c r="AI553" i="3"/>
  <c r="V548" i="3"/>
  <c r="AL716" i="3"/>
  <c r="AR716" i="3"/>
  <c r="AO716" i="3"/>
  <c r="AN716" i="3" s="1"/>
  <c r="AL151" i="1"/>
  <c r="AR151" i="1"/>
  <c r="AO151" i="1"/>
  <c r="AN151" i="1" s="1"/>
  <c r="AI231" i="1"/>
  <c r="S234" i="1"/>
  <c r="R234" i="1" s="1"/>
  <c r="P234" i="1"/>
  <c r="V234" i="1"/>
  <c r="S454" i="1"/>
  <c r="R454" i="1" s="1"/>
  <c r="AI439" i="1"/>
  <c r="P454" i="1"/>
  <c r="V454" i="1"/>
  <c r="AO473" i="1"/>
  <c r="AN473" i="1" s="1"/>
  <c r="AL473" i="1"/>
  <c r="AR473" i="1"/>
  <c r="AF855" i="1"/>
  <c r="AO305" i="1"/>
  <c r="AN305" i="1" s="1"/>
  <c r="AL305" i="1"/>
  <c r="AR305" i="1"/>
  <c r="AL311" i="1"/>
  <c r="AR311" i="1"/>
  <c r="AO311" i="1"/>
  <c r="AN311" i="1" s="1"/>
  <c r="AO537" i="1"/>
  <c r="AN537" i="1" s="1"/>
  <c r="AL537" i="1"/>
  <c r="AR537" i="1"/>
  <c r="S508" i="1"/>
  <c r="R508" i="1" s="1"/>
  <c r="AI493" i="1"/>
  <c r="P508" i="1"/>
  <c r="V508" i="1"/>
  <c r="AP495" i="1"/>
  <c r="AQ495" i="1" s="1"/>
  <c r="AR175" i="2"/>
  <c r="AO175" i="2"/>
  <c r="AN175" i="2" s="1"/>
  <c r="AL175" i="2"/>
  <c r="M858" i="2"/>
  <c r="AE854" i="2"/>
  <c r="AE288" i="2"/>
  <c r="S467" i="2"/>
  <c r="R467" i="2" s="1"/>
  <c r="AI472" i="2"/>
  <c r="P467" i="2"/>
  <c r="V467" i="2"/>
  <c r="S633" i="2"/>
  <c r="R633" i="2" s="1"/>
  <c r="AI625" i="2"/>
  <c r="V633" i="2"/>
  <c r="P633" i="2"/>
  <c r="AE414" i="2"/>
  <c r="S631" i="2"/>
  <c r="R631" i="2" s="1"/>
  <c r="AI635" i="2"/>
  <c r="V631" i="2"/>
  <c r="P631" i="2"/>
  <c r="AO643" i="2"/>
  <c r="AN643" i="2" s="1"/>
  <c r="AR643" i="2"/>
  <c r="AL643" i="2"/>
  <c r="M753" i="2"/>
  <c r="V770" i="2"/>
  <c r="AI779" i="2"/>
  <c r="S770" i="2"/>
  <c r="R770" i="2" s="1"/>
  <c r="P770" i="2"/>
  <c r="AR754" i="2"/>
  <c r="AO754" i="2"/>
  <c r="AN754" i="2" s="1"/>
  <c r="AL754" i="2"/>
  <c r="S805" i="2"/>
  <c r="R805" i="2" s="1"/>
  <c r="AI790" i="2"/>
  <c r="P805" i="2"/>
  <c r="V805" i="2"/>
  <c r="S123" i="3"/>
  <c r="R123" i="3" s="1"/>
  <c r="P123" i="3"/>
  <c r="V123" i="3"/>
  <c r="AI132" i="3"/>
  <c r="AL157" i="3"/>
  <c r="AR157" i="3"/>
  <c r="AO157" i="3"/>
  <c r="AN157" i="3" s="1"/>
  <c r="AP36" i="3"/>
  <c r="AQ36" i="3" s="1"/>
  <c r="AL202" i="3"/>
  <c r="AR202" i="3"/>
  <c r="AO202" i="3"/>
  <c r="AN202" i="3" s="1"/>
  <c r="AI399" i="3"/>
  <c r="V384" i="3"/>
  <c r="S384" i="3"/>
  <c r="R384" i="3" s="1"/>
  <c r="M402" i="3"/>
  <c r="P384" i="3"/>
  <c r="AL561" i="3"/>
  <c r="AR561" i="3"/>
  <c r="AO561" i="3"/>
  <c r="AN561" i="3" s="1"/>
  <c r="AL521" i="3"/>
  <c r="AR521" i="3"/>
  <c r="AO521" i="3"/>
  <c r="AN521" i="3" s="1"/>
  <c r="V792" i="3"/>
  <c r="AI805" i="3"/>
  <c r="S792" i="3"/>
  <c r="R792" i="3" s="1"/>
  <c r="P792" i="3"/>
  <c r="AR210" i="2"/>
  <c r="AO210" i="2"/>
  <c r="AN210" i="2" s="1"/>
  <c r="AL210" i="2"/>
  <c r="AI162" i="2"/>
  <c r="AL156" i="2"/>
  <c r="AR156" i="2"/>
  <c r="AO156" i="2"/>
  <c r="AN156" i="2" s="1"/>
  <c r="AR714" i="3"/>
  <c r="AO714" i="3"/>
  <c r="AN714" i="3" s="1"/>
  <c r="AL714" i="3"/>
  <c r="AO723" i="1"/>
  <c r="AN723" i="1" s="1"/>
  <c r="AL723" i="1"/>
  <c r="AR723" i="1"/>
  <c r="AI185" i="1"/>
  <c r="V176" i="1"/>
  <c r="S176" i="1"/>
  <c r="R176" i="1" s="1"/>
  <c r="P176" i="1"/>
  <c r="AI318" i="1"/>
  <c r="V303" i="1"/>
  <c r="S303" i="1"/>
  <c r="R303" i="1" s="1"/>
  <c r="M321" i="1"/>
  <c r="P303" i="1"/>
  <c r="AL518" i="1"/>
  <c r="AR518" i="1"/>
  <c r="AO518" i="1"/>
  <c r="AN518" i="1" s="1"/>
  <c r="AL598" i="1"/>
  <c r="AR598" i="1"/>
  <c r="AO598" i="1"/>
  <c r="AN598" i="1" s="1"/>
  <c r="S819" i="1"/>
  <c r="R819" i="1" s="1"/>
  <c r="P819" i="1"/>
  <c r="AI832" i="1"/>
  <c r="V819" i="1"/>
  <c r="AI779" i="1"/>
  <c r="S770" i="1"/>
  <c r="R770" i="1" s="1"/>
  <c r="P770" i="1"/>
  <c r="V770" i="1"/>
  <c r="V520" i="1"/>
  <c r="S520" i="1"/>
  <c r="R520" i="1" s="1"/>
  <c r="P520" i="1"/>
  <c r="AI525" i="1"/>
  <c r="P127" i="2"/>
  <c r="V127" i="2"/>
  <c r="S127" i="2"/>
  <c r="R127" i="2" s="1"/>
  <c r="AI114" i="2"/>
  <c r="S364" i="2"/>
  <c r="R364" i="2" s="1"/>
  <c r="AI356" i="2"/>
  <c r="P364" i="2"/>
  <c r="V364" i="2"/>
  <c r="AL410" i="2"/>
  <c r="AR410" i="2"/>
  <c r="AO410" i="2"/>
  <c r="AN410" i="2" s="1"/>
  <c r="AL359" i="2"/>
  <c r="AR359" i="2"/>
  <c r="AO359" i="2"/>
  <c r="AN359" i="2" s="1"/>
  <c r="AI498" i="2"/>
  <c r="V493" i="2"/>
  <c r="S493" i="2"/>
  <c r="R493" i="2" s="1"/>
  <c r="P493" i="2"/>
  <c r="S590" i="2"/>
  <c r="R590" i="2" s="1"/>
  <c r="P590" i="2"/>
  <c r="V590" i="2"/>
  <c r="AI575" i="2"/>
  <c r="AE612" i="2"/>
  <c r="AR93" i="3"/>
  <c r="AO93" i="3"/>
  <c r="AN93" i="3" s="1"/>
  <c r="AL93" i="3"/>
  <c r="AR142" i="3"/>
  <c r="AO142" i="3"/>
  <c r="AN142" i="3" s="1"/>
  <c r="AL142" i="3"/>
  <c r="S829" i="3"/>
  <c r="R829" i="3" s="1"/>
  <c r="P829" i="3"/>
  <c r="V829" i="3"/>
  <c r="AI816" i="3"/>
  <c r="AL161" i="3"/>
  <c r="AR161" i="3"/>
  <c r="AO161" i="3"/>
  <c r="AN161" i="3" s="1"/>
  <c r="AI518" i="3"/>
  <c r="S526" i="3"/>
  <c r="R526" i="3" s="1"/>
  <c r="V526" i="3"/>
  <c r="P526" i="3"/>
  <c r="M591" i="3"/>
  <c r="P573" i="3"/>
  <c r="V573" i="3"/>
  <c r="AI588" i="3"/>
  <c r="S573" i="3"/>
  <c r="R573" i="3" s="1"/>
  <c r="V534" i="3"/>
  <c r="S534" i="3"/>
  <c r="R534" i="3" s="1"/>
  <c r="AI530" i="3"/>
  <c r="P534" i="3"/>
  <c r="AL571" i="3"/>
  <c r="AR571" i="3"/>
  <c r="AO571" i="3"/>
  <c r="AN571" i="3" s="1"/>
  <c r="S615" i="3"/>
  <c r="R615" i="3" s="1"/>
  <c r="P615" i="3"/>
  <c r="V615" i="3"/>
  <c r="AI611" i="3"/>
  <c r="AR671" i="3"/>
  <c r="AO671" i="3"/>
  <c r="AN671" i="3" s="1"/>
  <c r="AL671" i="3"/>
  <c r="AL275" i="1"/>
  <c r="AR275" i="1"/>
  <c r="AO275" i="1"/>
  <c r="AN275" i="1" s="1"/>
  <c r="AO193" i="1"/>
  <c r="AN193" i="1" s="1"/>
  <c r="AL193" i="1"/>
  <c r="AR193" i="1"/>
  <c r="AL250" i="1"/>
  <c r="AR250" i="1"/>
  <c r="AO250" i="1"/>
  <c r="AN250" i="1" s="1"/>
  <c r="AL562" i="1"/>
  <c r="AR562" i="1"/>
  <c r="AO562" i="1"/>
  <c r="AN562" i="1" s="1"/>
  <c r="AI93" i="2"/>
  <c r="V88" i="2"/>
  <c r="S88" i="2"/>
  <c r="R88" i="2" s="1"/>
  <c r="P88" i="2"/>
  <c r="AO831" i="1"/>
  <c r="AN831" i="1" s="1"/>
  <c r="AL831" i="1"/>
  <c r="AR831" i="1"/>
  <c r="AI77" i="2"/>
  <c r="P68" i="2"/>
  <c r="V68" i="2"/>
  <c r="S68" i="2"/>
  <c r="R68" i="2" s="1"/>
  <c r="P95" i="2"/>
  <c r="V95" i="2"/>
  <c r="S95" i="2"/>
  <c r="R95" i="2" s="1"/>
  <c r="AI104" i="2"/>
  <c r="S388" i="2"/>
  <c r="R388" i="2" s="1"/>
  <c r="AI392" i="2"/>
  <c r="V388" i="2"/>
  <c r="P388" i="2"/>
  <c r="AR634" i="2"/>
  <c r="AO634" i="2"/>
  <c r="AN634" i="2" s="1"/>
  <c r="AL634" i="2"/>
  <c r="AO655" i="2"/>
  <c r="AN655" i="2" s="1"/>
  <c r="AL655" i="2"/>
  <c r="AR655" i="2"/>
  <c r="AL831" i="2"/>
  <c r="AR831" i="2"/>
  <c r="AO831" i="2"/>
  <c r="AN831" i="2" s="1"/>
  <c r="AL809" i="2"/>
  <c r="AO809" i="2"/>
  <c r="AN809" i="2" s="1"/>
  <c r="AR809" i="2"/>
  <c r="AL285" i="3"/>
  <c r="AR285" i="3"/>
  <c r="AO285" i="3"/>
  <c r="AN285" i="3" s="1"/>
  <c r="S425" i="3"/>
  <c r="R425" i="3" s="1"/>
  <c r="P425" i="3"/>
  <c r="AI421" i="3"/>
  <c r="V425" i="3"/>
  <c r="AI645" i="3"/>
  <c r="V636" i="3"/>
  <c r="S636" i="3"/>
  <c r="R636" i="3" s="1"/>
  <c r="P636" i="3"/>
  <c r="P70" i="1"/>
  <c r="AI79" i="1"/>
  <c r="V70" i="1"/>
  <c r="S70" i="1"/>
  <c r="R70" i="1" s="1"/>
  <c r="AJ858" i="1"/>
  <c r="AB864" i="1"/>
  <c r="AJ864" i="1" s="1"/>
  <c r="AO122" i="1"/>
  <c r="AN122" i="1" s="1"/>
  <c r="AL122" i="1"/>
  <c r="AR122" i="1"/>
  <c r="AF864" i="1"/>
  <c r="AI251" i="1"/>
  <c r="P266" i="1"/>
  <c r="V266" i="1"/>
  <c r="S266" i="1"/>
  <c r="R266" i="1" s="1"/>
  <c r="AL430" i="1"/>
  <c r="AR430" i="1"/>
  <c r="AO430" i="1"/>
  <c r="AN430" i="1" s="1"/>
  <c r="AR269" i="1"/>
  <c r="AO269" i="1"/>
  <c r="AN269" i="1" s="1"/>
  <c r="AL269" i="1"/>
  <c r="AO633" i="1"/>
  <c r="AN633" i="1" s="1"/>
  <c r="AL633" i="1"/>
  <c r="AR633" i="1"/>
  <c r="AI509" i="1"/>
  <c r="S500" i="1"/>
  <c r="R500" i="1" s="1"/>
  <c r="P500" i="1"/>
  <c r="V500" i="1"/>
  <c r="S557" i="1"/>
  <c r="R557" i="1" s="1"/>
  <c r="P557" i="1"/>
  <c r="AI566" i="1"/>
  <c r="V557" i="1"/>
  <c r="AI825" i="1"/>
  <c r="V828" i="1"/>
  <c r="S828" i="1"/>
  <c r="R828" i="1" s="1"/>
  <c r="P828" i="1"/>
  <c r="P447" i="1"/>
  <c r="V447" i="1"/>
  <c r="AI456" i="1"/>
  <c r="S447" i="1"/>
  <c r="R447" i="1" s="1"/>
  <c r="P627" i="1"/>
  <c r="M645" i="1"/>
  <c r="AI642" i="1"/>
  <c r="V627" i="1"/>
  <c r="S627" i="1"/>
  <c r="R627" i="1" s="1"/>
  <c r="AO48" i="2"/>
  <c r="AN48" i="2" s="1"/>
  <c r="AL48" i="2"/>
  <c r="AR48" i="2"/>
  <c r="AO781" i="1"/>
  <c r="AN781" i="1" s="1"/>
  <c r="AL781" i="1"/>
  <c r="AR781" i="1"/>
  <c r="V261" i="2"/>
  <c r="P261" i="2"/>
  <c r="AI258" i="2"/>
  <c r="S261" i="2"/>
  <c r="R261" i="2" s="1"/>
  <c r="AO539" i="2"/>
  <c r="AN539" i="2" s="1"/>
  <c r="AL539" i="2"/>
  <c r="AR539" i="2"/>
  <c r="S390" i="2"/>
  <c r="R390" i="2" s="1"/>
  <c r="V390" i="2"/>
  <c r="AI382" i="2"/>
  <c r="P390" i="2"/>
  <c r="AR476" i="2"/>
  <c r="AO476" i="2"/>
  <c r="AN476" i="2" s="1"/>
  <c r="AL476" i="2"/>
  <c r="AE630" i="2"/>
  <c r="AO647" i="2"/>
  <c r="AN647" i="2" s="1"/>
  <c r="AL647" i="2"/>
  <c r="AR647" i="2"/>
  <c r="AS835" i="3"/>
  <c r="P16" i="3"/>
  <c r="AI25" i="3"/>
  <c r="V16" i="3"/>
  <c r="S16" i="3"/>
  <c r="R16" i="3" s="1"/>
  <c r="AI39" i="3"/>
  <c r="V34" i="3"/>
  <c r="S34" i="3"/>
  <c r="R34" i="3" s="1"/>
  <c r="P34" i="3"/>
  <c r="M824" i="3"/>
  <c r="AE833" i="3"/>
  <c r="AO296" i="3"/>
  <c r="AN296" i="3" s="1"/>
  <c r="AL296" i="3"/>
  <c r="AR296" i="3"/>
  <c r="AO250" i="3"/>
  <c r="AN250" i="3" s="1"/>
  <c r="AL250" i="3"/>
  <c r="AR250" i="3"/>
  <c r="AO381" i="3"/>
  <c r="AN381" i="3" s="1"/>
  <c r="AL381" i="3"/>
  <c r="AR381" i="3"/>
  <c r="AO455" i="3"/>
  <c r="AN455" i="3" s="1"/>
  <c r="AL455" i="3"/>
  <c r="AR455" i="3"/>
  <c r="AO437" i="3"/>
  <c r="AN437" i="3" s="1"/>
  <c r="AL437" i="3"/>
  <c r="AR437" i="3"/>
  <c r="AI565" i="3"/>
  <c r="S556" i="3"/>
  <c r="R556" i="3" s="1"/>
  <c r="P556" i="3"/>
  <c r="V556" i="3"/>
  <c r="AI566" i="3"/>
  <c r="P557" i="3"/>
  <c r="V557" i="3"/>
  <c r="S557" i="3"/>
  <c r="R557" i="3" s="1"/>
  <c r="V601" i="3"/>
  <c r="AI606" i="3"/>
  <c r="S601" i="3"/>
  <c r="R601" i="3" s="1"/>
  <c r="P601" i="3"/>
  <c r="V643" i="3"/>
  <c r="P643" i="3"/>
  <c r="S643" i="3"/>
  <c r="R643" i="3" s="1"/>
  <c r="AI628" i="3"/>
  <c r="AH648" i="3"/>
  <c r="AE288" i="1"/>
  <c r="S119" i="1"/>
  <c r="R119" i="1" s="1"/>
  <c r="P119" i="1"/>
  <c r="V119" i="1"/>
  <c r="AI111" i="1"/>
  <c r="AR421" i="1"/>
  <c r="AO421" i="1"/>
  <c r="AN421" i="1" s="1"/>
  <c r="AL421" i="1"/>
  <c r="AR320" i="1"/>
  <c r="AO320" i="1"/>
  <c r="AN320" i="1" s="1"/>
  <c r="AL320" i="1"/>
  <c r="AO528" i="1"/>
  <c r="AN528" i="1" s="1"/>
  <c r="AL528" i="1"/>
  <c r="AR528" i="1"/>
  <c r="S616" i="1"/>
  <c r="R616" i="1" s="1"/>
  <c r="AI601" i="1"/>
  <c r="P616" i="1"/>
  <c r="V616" i="1"/>
  <c r="S169" i="2"/>
  <c r="R169" i="2" s="1"/>
  <c r="P169" i="2"/>
  <c r="AI174" i="2"/>
  <c r="V169" i="2"/>
  <c r="AR745" i="1"/>
  <c r="AO745" i="1"/>
  <c r="AN745" i="1" s="1"/>
  <c r="AL745" i="1"/>
  <c r="V440" i="1"/>
  <c r="S440" i="1"/>
  <c r="R440" i="1" s="1"/>
  <c r="P440" i="1"/>
  <c r="AI445" i="1"/>
  <c r="M854" i="2"/>
  <c r="AE863" i="2"/>
  <c r="AO160" i="2"/>
  <c r="AN160" i="2" s="1"/>
  <c r="AL160" i="2"/>
  <c r="AR160" i="2"/>
  <c r="P233" i="2"/>
  <c r="AI242" i="2"/>
  <c r="V233" i="2"/>
  <c r="S233" i="2"/>
  <c r="R233" i="2" s="1"/>
  <c r="AS851" i="2"/>
  <c r="AI14" i="2"/>
  <c r="V10" i="2"/>
  <c r="S10" i="2"/>
  <c r="R10" i="2" s="1"/>
  <c r="P10" i="2"/>
  <c r="AR157" i="2"/>
  <c r="AO157" i="2"/>
  <c r="AN157" i="2" s="1"/>
  <c r="AL157" i="2"/>
  <c r="AI149" i="2"/>
  <c r="V145" i="2"/>
  <c r="S145" i="2"/>
  <c r="R145" i="2" s="1"/>
  <c r="P145" i="2"/>
  <c r="AP180" i="2"/>
  <c r="AQ180" i="2" s="1"/>
  <c r="V417" i="2"/>
  <c r="S417" i="2"/>
  <c r="R417" i="2" s="1"/>
  <c r="P417" i="2"/>
  <c r="AI409" i="2"/>
  <c r="S395" i="2"/>
  <c r="R395" i="2" s="1"/>
  <c r="P395" i="2"/>
  <c r="AI404" i="2"/>
  <c r="V395" i="2"/>
  <c r="V309" i="2"/>
  <c r="S309" i="2"/>
  <c r="R309" i="2" s="1"/>
  <c r="P309" i="2"/>
  <c r="AI301" i="2"/>
  <c r="AL494" i="2"/>
  <c r="AR494" i="2"/>
  <c r="AO494" i="2"/>
  <c r="AN494" i="2" s="1"/>
  <c r="S525" i="2"/>
  <c r="R525" i="2" s="1"/>
  <c r="AI517" i="2"/>
  <c r="V525" i="2"/>
  <c r="P525" i="2"/>
  <c r="AR637" i="2"/>
  <c r="AO637" i="2"/>
  <c r="AN637" i="2" s="1"/>
  <c r="AL637" i="2"/>
  <c r="S61" i="3"/>
  <c r="R61" i="3" s="1"/>
  <c r="P61" i="3"/>
  <c r="AI66" i="3"/>
  <c r="V61" i="3"/>
  <c r="AL818" i="2"/>
  <c r="AR818" i="2"/>
  <c r="AO818" i="2"/>
  <c r="AN818" i="2" s="1"/>
  <c r="AI832" i="3"/>
  <c r="S819" i="3"/>
  <c r="R819" i="3" s="1"/>
  <c r="V819" i="3"/>
  <c r="P819" i="3"/>
  <c r="AO166" i="3"/>
  <c r="AN166" i="3" s="1"/>
  <c r="AL166" i="3"/>
  <c r="AR166" i="3"/>
  <c r="AO122" i="3"/>
  <c r="AN122" i="3" s="1"/>
  <c r="AL122" i="3"/>
  <c r="AR122" i="3"/>
  <c r="AP198" i="3"/>
  <c r="AQ198" i="3" s="1"/>
  <c r="S426" i="3"/>
  <c r="R426" i="3" s="1"/>
  <c r="AI422" i="3"/>
  <c r="P426" i="3"/>
  <c r="V426" i="3"/>
  <c r="AL500" i="3"/>
  <c r="AR500" i="3"/>
  <c r="AO500" i="3"/>
  <c r="AN500" i="3" s="1"/>
  <c r="AI303" i="1"/>
  <c r="V316" i="1"/>
  <c r="S316" i="1"/>
  <c r="R316" i="1" s="1"/>
  <c r="P316" i="1"/>
  <c r="AO76" i="1"/>
  <c r="AN76" i="1" s="1"/>
  <c r="AL76" i="1"/>
  <c r="AR76" i="1"/>
  <c r="AR336" i="1"/>
  <c r="AO336" i="1"/>
  <c r="AN336" i="1" s="1"/>
  <c r="AL336" i="1"/>
  <c r="AO394" i="1"/>
  <c r="AN394" i="1" s="1"/>
  <c r="AL394" i="1"/>
  <c r="AR394" i="1"/>
  <c r="AO313" i="1"/>
  <c r="AN313" i="1" s="1"/>
  <c r="AR313" i="1"/>
  <c r="AL313" i="1"/>
  <c r="P369" i="1"/>
  <c r="AI366" i="1"/>
  <c r="V369" i="1"/>
  <c r="S369" i="1"/>
  <c r="R369" i="1" s="1"/>
  <c r="AO354" i="1"/>
  <c r="AN354" i="1" s="1"/>
  <c r="AL354" i="1"/>
  <c r="AR354" i="1"/>
  <c r="AL500" i="1"/>
  <c r="AR500" i="1"/>
  <c r="AO500" i="1"/>
  <c r="AN500" i="1" s="1"/>
  <c r="V414" i="1"/>
  <c r="S414" i="1"/>
  <c r="R414" i="1" s="1"/>
  <c r="P414" i="1"/>
  <c r="AI427" i="1"/>
  <c r="AI535" i="1"/>
  <c r="V522" i="1"/>
  <c r="S522" i="1"/>
  <c r="R522" i="1" s="1"/>
  <c r="P522" i="1"/>
  <c r="AR673" i="1"/>
  <c r="AO673" i="1"/>
  <c r="AN673" i="1" s="1"/>
  <c r="AL673" i="1"/>
  <c r="AR52" i="2"/>
  <c r="AO52" i="2"/>
  <c r="AN52" i="2" s="1"/>
  <c r="AL52" i="2"/>
  <c r="AL30" i="2"/>
  <c r="AR30" i="2"/>
  <c r="AO30" i="2"/>
  <c r="AN30" i="2" s="1"/>
  <c r="M845" i="2"/>
  <c r="S207" i="2"/>
  <c r="R207" i="2" s="1"/>
  <c r="P207" i="2"/>
  <c r="AI204" i="2"/>
  <c r="V207" i="2"/>
  <c r="AE360" i="2"/>
  <c r="AP297" i="2"/>
  <c r="AQ297" i="2" s="1"/>
  <c r="AP261" i="2"/>
  <c r="AQ261" i="2" s="1"/>
  <c r="AL556" i="2"/>
  <c r="AR556" i="2"/>
  <c r="AO556" i="2"/>
  <c r="AN556" i="2" s="1"/>
  <c r="AI403" i="2"/>
  <c r="S394" i="2"/>
  <c r="R394" i="2" s="1"/>
  <c r="P394" i="2"/>
  <c r="V394" i="2"/>
  <c r="AO719" i="2"/>
  <c r="AN719" i="2" s="1"/>
  <c r="AL719" i="2"/>
  <c r="AR719" i="2"/>
  <c r="AR762" i="2"/>
  <c r="AO762" i="2"/>
  <c r="AN762" i="2" s="1"/>
  <c r="AL762" i="2"/>
  <c r="AR175" i="3"/>
  <c r="AO175" i="3"/>
  <c r="AN175" i="3" s="1"/>
  <c r="AL175" i="3"/>
  <c r="P41" i="3"/>
  <c r="V41" i="3"/>
  <c r="AI50" i="3"/>
  <c r="S41" i="3"/>
  <c r="R41" i="3" s="1"/>
  <c r="AR124" i="3"/>
  <c r="AO124" i="3"/>
  <c r="AN124" i="3" s="1"/>
  <c r="AL124" i="3"/>
  <c r="V831" i="3"/>
  <c r="P831" i="3"/>
  <c r="AI827" i="3"/>
  <c r="S831" i="3"/>
  <c r="R831" i="3" s="1"/>
  <c r="P203" i="3"/>
  <c r="V203" i="3"/>
  <c r="S203" i="3"/>
  <c r="R203" i="3" s="1"/>
  <c r="AI212" i="3"/>
  <c r="AI311" i="3"/>
  <c r="V307" i="3"/>
  <c r="S307" i="3"/>
  <c r="R307" i="3" s="1"/>
  <c r="P307" i="3"/>
  <c r="S495" i="3"/>
  <c r="R495" i="3" s="1"/>
  <c r="P495" i="3"/>
  <c r="AI508" i="3"/>
  <c r="V495" i="3"/>
  <c r="AR670" i="3"/>
  <c r="AO670" i="3"/>
  <c r="AN670" i="3" s="1"/>
  <c r="AL670" i="3"/>
  <c r="S765" i="3"/>
  <c r="R765" i="3" s="1"/>
  <c r="P765" i="3"/>
  <c r="AI778" i="3"/>
  <c r="V765" i="3"/>
  <c r="V347" i="1"/>
  <c r="S347" i="1"/>
  <c r="R347" i="1" s="1"/>
  <c r="AI332" i="1"/>
  <c r="P347" i="1"/>
  <c r="AO347" i="1"/>
  <c r="AN347" i="1" s="1"/>
  <c r="AL347" i="1"/>
  <c r="AR347" i="1"/>
  <c r="AL87" i="1"/>
  <c r="AR87" i="1"/>
  <c r="AO87" i="1"/>
  <c r="AN87" i="1" s="1"/>
  <c r="AO32" i="1"/>
  <c r="AN32" i="1" s="1"/>
  <c r="AL32" i="1"/>
  <c r="AR32" i="1"/>
  <c r="S287" i="1"/>
  <c r="R287" i="1" s="1"/>
  <c r="P287" i="1"/>
  <c r="AI296" i="1"/>
  <c r="V287" i="1"/>
  <c r="AI239" i="1"/>
  <c r="S230" i="1"/>
  <c r="R230" i="1" s="1"/>
  <c r="V230" i="1"/>
  <c r="P230" i="1"/>
  <c r="AL608" i="1"/>
  <c r="AR608" i="1"/>
  <c r="AO608" i="1"/>
  <c r="AN608" i="1" s="1"/>
  <c r="AR570" i="1"/>
  <c r="AO570" i="1"/>
  <c r="AN570" i="1" s="1"/>
  <c r="AL570" i="1"/>
  <c r="AO591" i="1"/>
  <c r="AN591" i="1" s="1"/>
  <c r="AL591" i="1"/>
  <c r="AR591" i="1"/>
  <c r="AP540" i="1"/>
  <c r="AQ540" i="1" s="1"/>
  <c r="P820" i="1"/>
  <c r="AI824" i="1"/>
  <c r="V820" i="1"/>
  <c r="S820" i="1"/>
  <c r="R820" i="1" s="1"/>
  <c r="AS858" i="2"/>
  <c r="P6" i="2"/>
  <c r="M24" i="2"/>
  <c r="AI21" i="2"/>
  <c r="V6" i="2"/>
  <c r="S6" i="2"/>
  <c r="R6" i="2" s="1"/>
  <c r="U857" i="2"/>
  <c r="AQ853" i="2" s="1"/>
  <c r="AP853" i="2"/>
  <c r="S126" i="2"/>
  <c r="R126" i="2" s="1"/>
  <c r="P126" i="2"/>
  <c r="AI123" i="2"/>
  <c r="V126" i="2"/>
  <c r="S305" i="2"/>
  <c r="R305" i="2" s="1"/>
  <c r="AI310" i="2"/>
  <c r="P305" i="2"/>
  <c r="V305" i="2"/>
  <c r="V230" i="2"/>
  <c r="P230" i="2"/>
  <c r="S230" i="2"/>
  <c r="R230" i="2" s="1"/>
  <c r="AI239" i="2"/>
  <c r="AE315" i="2"/>
  <c r="AR238" i="2"/>
  <c r="AO238" i="2"/>
  <c r="AN238" i="2" s="1"/>
  <c r="AL238" i="2"/>
  <c r="AR311" i="2"/>
  <c r="AO311" i="2"/>
  <c r="AN311" i="2" s="1"/>
  <c r="AL311" i="2"/>
  <c r="AO458" i="2"/>
  <c r="AN458" i="2" s="1"/>
  <c r="AL458" i="2"/>
  <c r="AR458" i="2"/>
  <c r="S769" i="2"/>
  <c r="R769" i="2" s="1"/>
  <c r="P769" i="2"/>
  <c r="AI761" i="2"/>
  <c r="V769" i="2"/>
  <c r="AR759" i="2"/>
  <c r="AO759" i="2"/>
  <c r="AN759" i="2" s="1"/>
  <c r="AL759" i="2"/>
  <c r="AP585" i="2"/>
  <c r="AQ585" i="2" s="1"/>
  <c r="AL797" i="2"/>
  <c r="AR797" i="2"/>
  <c r="AO797" i="2"/>
  <c r="AN797" i="2" s="1"/>
  <c r="AL120" i="3"/>
  <c r="AI126" i="3"/>
  <c r="AR120" i="3"/>
  <c r="AO120" i="3"/>
  <c r="AN120" i="3" s="1"/>
  <c r="S280" i="3"/>
  <c r="R280" i="3" s="1"/>
  <c r="P280" i="3"/>
  <c r="AI284" i="3"/>
  <c r="V280" i="3"/>
  <c r="AE315" i="3"/>
  <c r="AL259" i="3"/>
  <c r="AR259" i="3"/>
  <c r="AO259" i="3"/>
  <c r="AN259" i="3" s="1"/>
  <c r="AO723" i="3"/>
  <c r="AN723" i="3" s="1"/>
  <c r="AL723" i="3"/>
  <c r="AR723" i="3"/>
  <c r="AO158" i="1"/>
  <c r="AN158" i="1" s="1"/>
  <c r="AL158" i="1"/>
  <c r="AR158" i="1"/>
  <c r="V318" i="1"/>
  <c r="P318" i="1"/>
  <c r="AI314" i="1"/>
  <c r="S318" i="1"/>
  <c r="R318" i="1" s="1"/>
  <c r="P207" i="1"/>
  <c r="AI204" i="1"/>
  <c r="AI207" i="1" s="1"/>
  <c r="V207" i="1"/>
  <c r="S207" i="1"/>
  <c r="R207" i="1" s="1"/>
  <c r="AI558" i="1"/>
  <c r="AR552" i="1"/>
  <c r="AO552" i="1"/>
  <c r="AN552" i="1" s="1"/>
  <c r="AL552" i="1"/>
  <c r="AE819" i="1"/>
  <c r="P768" i="1"/>
  <c r="AI760" i="1"/>
  <c r="V768" i="1"/>
  <c r="S768" i="1"/>
  <c r="R768" i="1" s="1"/>
  <c r="P712" i="1"/>
  <c r="AI716" i="1"/>
  <c r="V712" i="1"/>
  <c r="S712" i="1"/>
  <c r="R712" i="1" s="1"/>
  <c r="P182" i="2"/>
  <c r="V182" i="2"/>
  <c r="S182" i="2"/>
  <c r="R182" i="2" s="1"/>
  <c r="AI178" i="2"/>
  <c r="AP135" i="2"/>
  <c r="AQ135" i="2" s="1"/>
  <c r="AR220" i="2"/>
  <c r="AO220" i="2"/>
  <c r="AN220" i="2" s="1"/>
  <c r="AL220" i="2"/>
  <c r="V412" i="2"/>
  <c r="S412" i="2"/>
  <c r="R412" i="2" s="1"/>
  <c r="P412" i="2"/>
  <c r="AI417" i="2"/>
  <c r="M429" i="2"/>
  <c r="AH405" i="2"/>
  <c r="P285" i="2"/>
  <c r="V285" i="2"/>
  <c r="AI294" i="2"/>
  <c r="S285" i="2"/>
  <c r="R285" i="2" s="1"/>
  <c r="S372" i="2"/>
  <c r="R372" i="2" s="1"/>
  <c r="AI368" i="2"/>
  <c r="V372" i="2"/>
  <c r="P372" i="2"/>
  <c r="AR346" i="2"/>
  <c r="AO346" i="2"/>
  <c r="AN346" i="2" s="1"/>
  <c r="AL346" i="2"/>
  <c r="S492" i="2"/>
  <c r="R492" i="2" s="1"/>
  <c r="P492" i="2"/>
  <c r="AI507" i="2"/>
  <c r="V492" i="2"/>
  <c r="M510" i="2"/>
  <c r="AI554" i="2"/>
  <c r="V550" i="2"/>
  <c r="S550" i="2"/>
  <c r="R550" i="2" s="1"/>
  <c r="P550" i="2"/>
  <c r="V696" i="2"/>
  <c r="S696" i="2"/>
  <c r="R696" i="2" s="1"/>
  <c r="AI692" i="2"/>
  <c r="P696" i="2"/>
  <c r="AP819" i="2"/>
  <c r="AQ819" i="2" s="1"/>
  <c r="AL12" i="3"/>
  <c r="AR12" i="3"/>
  <c r="AO12" i="3"/>
  <c r="AN12" i="3" s="1"/>
  <c r="AR80" i="3"/>
  <c r="AO80" i="3"/>
  <c r="AN80" i="3" s="1"/>
  <c r="AL80" i="3"/>
  <c r="M822" i="3"/>
  <c r="AE814" i="3"/>
  <c r="AR121" i="3"/>
  <c r="AO121" i="3"/>
  <c r="AN121" i="3" s="1"/>
  <c r="AL121" i="3"/>
  <c r="V176" i="3"/>
  <c r="AI185" i="3"/>
  <c r="S176" i="3"/>
  <c r="R176" i="3" s="1"/>
  <c r="P176" i="3"/>
  <c r="V258" i="3"/>
  <c r="AI267" i="3"/>
  <c r="S258" i="3"/>
  <c r="R258" i="3" s="1"/>
  <c r="P258" i="3"/>
  <c r="AO332" i="3"/>
  <c r="AN332" i="3" s="1"/>
  <c r="AL332" i="3"/>
  <c r="AR332" i="3"/>
  <c r="AI509" i="3"/>
  <c r="S500" i="3"/>
  <c r="R500" i="3" s="1"/>
  <c r="P500" i="3"/>
  <c r="V500" i="3"/>
  <c r="AL651" i="3"/>
  <c r="AR651" i="3"/>
  <c r="AO651" i="3"/>
  <c r="AN651" i="3" s="1"/>
  <c r="P793" i="3"/>
  <c r="AI797" i="3"/>
  <c r="V793" i="3"/>
  <c r="S793" i="3"/>
  <c r="R793" i="3" s="1"/>
  <c r="AS854" i="1"/>
  <c r="P21" i="1"/>
  <c r="V21" i="1"/>
  <c r="S21" i="1"/>
  <c r="R21" i="1" s="1"/>
  <c r="AI17" i="1"/>
  <c r="AI356" i="1"/>
  <c r="V364" i="1"/>
  <c r="S364" i="1"/>
  <c r="R364" i="1" s="1"/>
  <c r="P364" i="1"/>
  <c r="AO88" i="1"/>
  <c r="AN88" i="1" s="1"/>
  <c r="AL88" i="1"/>
  <c r="AR88" i="1"/>
  <c r="AL66" i="1"/>
  <c r="AR66" i="1"/>
  <c r="AO66" i="1"/>
  <c r="AN66" i="1" s="1"/>
  <c r="AL174" i="1"/>
  <c r="AR174" i="1"/>
  <c r="AO174" i="1"/>
  <c r="AN174" i="1" s="1"/>
  <c r="AJ840" i="1"/>
  <c r="AB846" i="1"/>
  <c r="AJ846" i="1" s="1"/>
  <c r="AL195" i="1"/>
  <c r="AR195" i="1"/>
  <c r="AO195" i="1"/>
  <c r="AN195" i="1" s="1"/>
  <c r="AL662" i="1"/>
  <c r="AR662" i="1"/>
  <c r="AO662" i="1"/>
  <c r="AN662" i="1" s="1"/>
  <c r="P465" i="1"/>
  <c r="M483" i="1"/>
  <c r="AI480" i="1"/>
  <c r="V465" i="1"/>
  <c r="S465" i="1"/>
  <c r="R465" i="1" s="1"/>
  <c r="AO772" i="1"/>
  <c r="AN772" i="1" s="1"/>
  <c r="AL772" i="1"/>
  <c r="AR772" i="1"/>
  <c r="V717" i="1"/>
  <c r="AI726" i="1"/>
  <c r="S717" i="1"/>
  <c r="R717" i="1" s="1"/>
  <c r="P717" i="1"/>
  <c r="AS859" i="2"/>
  <c r="AI22" i="2"/>
  <c r="V9" i="2"/>
  <c r="S9" i="2"/>
  <c r="R9" i="2" s="1"/>
  <c r="P9" i="2"/>
  <c r="AL744" i="1"/>
  <c r="AR744" i="1"/>
  <c r="AO744" i="1"/>
  <c r="AN744" i="1" s="1"/>
  <c r="S277" i="2"/>
  <c r="R277" i="2" s="1"/>
  <c r="V277" i="2"/>
  <c r="P277" i="2"/>
  <c r="AI282" i="2"/>
  <c r="AP153" i="2"/>
  <c r="AQ153" i="2" s="1"/>
  <c r="AP234" i="2"/>
  <c r="AQ234" i="2" s="1"/>
  <c r="AL188" i="2"/>
  <c r="AO188" i="2"/>
  <c r="AN188" i="2" s="1"/>
  <c r="AR188" i="2"/>
  <c r="V416" i="2"/>
  <c r="AI408" i="2"/>
  <c r="S416" i="2"/>
  <c r="R416" i="2" s="1"/>
  <c r="P416" i="2"/>
  <c r="AO509" i="2"/>
  <c r="AN509" i="2" s="1"/>
  <c r="AL509" i="2"/>
  <c r="AR509" i="2"/>
  <c r="AO593" i="2"/>
  <c r="AN593" i="2" s="1"/>
  <c r="AL593" i="2"/>
  <c r="AR593" i="2"/>
  <c r="AO726" i="2"/>
  <c r="AN726" i="2" s="1"/>
  <c r="AL726" i="2"/>
  <c r="AR726" i="2"/>
  <c r="AP81" i="3"/>
  <c r="AQ81" i="3" s="1"/>
  <c r="AS825" i="3"/>
  <c r="S18" i="3"/>
  <c r="R18" i="3" s="1"/>
  <c r="P18" i="3"/>
  <c r="AI15" i="3"/>
  <c r="V18" i="3"/>
  <c r="P278" i="3"/>
  <c r="AI283" i="3"/>
  <c r="V278" i="3"/>
  <c r="S278" i="3"/>
  <c r="R278" i="3" s="1"/>
  <c r="AL256" i="3"/>
  <c r="AR256" i="3"/>
  <c r="AO256" i="3"/>
  <c r="AN256" i="3" s="1"/>
  <c r="AI347" i="3"/>
  <c r="S338" i="3"/>
  <c r="R338" i="3" s="1"/>
  <c r="P338" i="3"/>
  <c r="V338" i="3"/>
  <c r="AE405" i="3"/>
  <c r="AI403" i="3"/>
  <c r="V394" i="3"/>
  <c r="S394" i="3"/>
  <c r="R394" i="3" s="1"/>
  <c r="P394" i="3"/>
  <c r="S418" i="3"/>
  <c r="R418" i="3" s="1"/>
  <c r="P418" i="3"/>
  <c r="AI410" i="3"/>
  <c r="V418" i="3"/>
  <c r="AR446" i="3"/>
  <c r="AO446" i="3"/>
  <c r="AN446" i="3" s="1"/>
  <c r="AL446" i="3"/>
  <c r="S635" i="3"/>
  <c r="R635" i="3" s="1"/>
  <c r="P635" i="3"/>
  <c r="AI644" i="3"/>
  <c r="V635" i="3"/>
  <c r="AI647" i="3"/>
  <c r="S638" i="3"/>
  <c r="R638" i="3" s="1"/>
  <c r="V638" i="3"/>
  <c r="P638" i="3"/>
  <c r="S724" i="3"/>
  <c r="R724" i="3" s="1"/>
  <c r="AI709" i="3"/>
  <c r="P724" i="3"/>
  <c r="V724" i="3"/>
  <c r="M159" i="2"/>
  <c r="AL69" i="1"/>
  <c r="AR69" i="1"/>
  <c r="AO69" i="1"/>
  <c r="AN69" i="1" s="1"/>
  <c r="AR183" i="1"/>
  <c r="AO183" i="1"/>
  <c r="AN183" i="1" s="1"/>
  <c r="AL183" i="1"/>
  <c r="AR609" i="1"/>
  <c r="AO609" i="1"/>
  <c r="AN609" i="1" s="1"/>
  <c r="AL609" i="1"/>
  <c r="AL329" i="1"/>
  <c r="AR329" i="1"/>
  <c r="AO329" i="1"/>
  <c r="AN329" i="1" s="1"/>
  <c r="P390" i="1"/>
  <c r="AI382" i="1"/>
  <c r="V390" i="1"/>
  <c r="S390" i="1"/>
  <c r="R390" i="1" s="1"/>
  <c r="AL255" i="1"/>
  <c r="AR255" i="1"/>
  <c r="AO255" i="1"/>
  <c r="AN255" i="1" s="1"/>
  <c r="AI481" i="1"/>
  <c r="V468" i="1"/>
  <c r="S468" i="1"/>
  <c r="R468" i="1" s="1"/>
  <c r="P468" i="1"/>
  <c r="AL59" i="2"/>
  <c r="AR59" i="2"/>
  <c r="AO59" i="2"/>
  <c r="AN59" i="2" s="1"/>
  <c r="P750" i="1"/>
  <c r="V750" i="1"/>
  <c r="S750" i="1"/>
  <c r="R750" i="1" s="1"/>
  <c r="AI746" i="1"/>
  <c r="P817" i="1"/>
  <c r="AI822" i="1"/>
  <c r="V817" i="1"/>
  <c r="S817" i="1"/>
  <c r="R817" i="1" s="1"/>
  <c r="AO787" i="1"/>
  <c r="AN787" i="1" s="1"/>
  <c r="AL787" i="1"/>
  <c r="AR787" i="1"/>
  <c r="AR681" i="1"/>
  <c r="AO681" i="1"/>
  <c r="AN681" i="1" s="1"/>
  <c r="AL681" i="1"/>
  <c r="P209" i="2"/>
  <c r="AI205" i="2"/>
  <c r="V209" i="2"/>
  <c r="S209" i="2"/>
  <c r="R209" i="2" s="1"/>
  <c r="P197" i="2"/>
  <c r="AI202" i="2"/>
  <c r="V197" i="2"/>
  <c r="S197" i="2"/>
  <c r="R197" i="2" s="1"/>
  <c r="AL151" i="2"/>
  <c r="AR151" i="2"/>
  <c r="AO151" i="2"/>
  <c r="AN151" i="2" s="1"/>
  <c r="P319" i="2"/>
  <c r="AI304" i="2"/>
  <c r="V319" i="2"/>
  <c r="S319" i="2"/>
  <c r="R319" i="2" s="1"/>
  <c r="AR284" i="2"/>
  <c r="AO284" i="2"/>
  <c r="AN284" i="2" s="1"/>
  <c r="AL284" i="2"/>
  <c r="AL413" i="2"/>
  <c r="AR413" i="2"/>
  <c r="AO413" i="2"/>
  <c r="AN413" i="2" s="1"/>
  <c r="S402" i="2"/>
  <c r="R402" i="2" s="1"/>
  <c r="P402" i="2"/>
  <c r="V402" i="2"/>
  <c r="AO591" i="2"/>
  <c r="AN591" i="2" s="1"/>
  <c r="AR591" i="2"/>
  <c r="AL591" i="2"/>
  <c r="AI606" i="2"/>
  <c r="V601" i="2"/>
  <c r="S601" i="2"/>
  <c r="R601" i="2" s="1"/>
  <c r="P601" i="2"/>
  <c r="AS816" i="3"/>
  <c r="P19" i="3"/>
  <c r="V19" i="3"/>
  <c r="S19" i="3"/>
  <c r="R19" i="3" s="1"/>
  <c r="AI6" i="3"/>
  <c r="V827" i="3"/>
  <c r="AI836" i="3"/>
  <c r="P827" i="3"/>
  <c r="S827" i="3"/>
  <c r="R827" i="3" s="1"/>
  <c r="AL133" i="3"/>
  <c r="AR133" i="3"/>
  <c r="AO133" i="3"/>
  <c r="AN133" i="3" s="1"/>
  <c r="AO312" i="3"/>
  <c r="AN312" i="3" s="1"/>
  <c r="AL312" i="3"/>
  <c r="AR312" i="3"/>
  <c r="AL320" i="3"/>
  <c r="AR320" i="3"/>
  <c r="AO320" i="3"/>
  <c r="AN320" i="3" s="1"/>
  <c r="V284" i="3"/>
  <c r="AI293" i="3"/>
  <c r="S284" i="3"/>
  <c r="R284" i="3" s="1"/>
  <c r="P284" i="3"/>
  <c r="V480" i="3"/>
  <c r="AI476" i="3"/>
  <c r="S480" i="3"/>
  <c r="R480" i="3" s="1"/>
  <c r="P480" i="3"/>
  <c r="S537" i="3"/>
  <c r="R537" i="3" s="1"/>
  <c r="P537" i="3"/>
  <c r="V537" i="3"/>
  <c r="S589" i="3"/>
  <c r="R589" i="3" s="1"/>
  <c r="V589" i="3"/>
  <c r="P589" i="3"/>
  <c r="AI574" i="3"/>
  <c r="AI592" i="3"/>
  <c r="P583" i="3"/>
  <c r="V583" i="3"/>
  <c r="S583" i="3"/>
  <c r="R583" i="3" s="1"/>
  <c r="S582" i="3"/>
  <c r="R582" i="3" s="1"/>
  <c r="AI591" i="3"/>
  <c r="P582" i="3"/>
  <c r="V582" i="3"/>
  <c r="AI600" i="3"/>
  <c r="P613" i="3"/>
  <c r="V613" i="3"/>
  <c r="S613" i="3"/>
  <c r="R613" i="3" s="1"/>
  <c r="AI615" i="3"/>
  <c r="V600" i="3"/>
  <c r="M618" i="3"/>
  <c r="S600" i="3"/>
  <c r="R600" i="3" s="1"/>
  <c r="P600" i="3"/>
  <c r="AR655" i="3"/>
  <c r="AO655" i="3"/>
  <c r="AN655" i="3" s="1"/>
  <c r="AL655" i="3"/>
  <c r="AO764" i="3"/>
  <c r="AN764" i="3" s="1"/>
  <c r="AL764" i="3"/>
  <c r="AR764" i="3"/>
  <c r="P36" i="1"/>
  <c r="AI49" i="1"/>
  <c r="V36" i="1"/>
  <c r="S36" i="1"/>
  <c r="R36" i="1" s="1"/>
  <c r="AO142" i="1"/>
  <c r="AN142" i="1" s="1"/>
  <c r="AL142" i="1"/>
  <c r="AR142" i="1"/>
  <c r="AE852" i="1"/>
  <c r="M855" i="1"/>
  <c r="AO553" i="1"/>
  <c r="AN553" i="1" s="1"/>
  <c r="AL553" i="1"/>
  <c r="AR553" i="1"/>
  <c r="AO399" i="1"/>
  <c r="AN399" i="1" s="1"/>
  <c r="AL399" i="1"/>
  <c r="AR399" i="1"/>
  <c r="AR39" i="2"/>
  <c r="AO39" i="2"/>
  <c r="AN39" i="2" s="1"/>
  <c r="AL39" i="2"/>
  <c r="AR691" i="1"/>
  <c r="AO691" i="1"/>
  <c r="AN691" i="1" s="1"/>
  <c r="AL691" i="1"/>
  <c r="M834" i="1"/>
  <c r="AL97" i="2"/>
  <c r="AR97" i="2"/>
  <c r="AO97" i="2"/>
  <c r="AN97" i="2" s="1"/>
  <c r="AL177" i="2"/>
  <c r="AR177" i="2"/>
  <c r="AO177" i="2"/>
  <c r="AN177" i="2" s="1"/>
  <c r="AE495" i="2"/>
  <c r="V716" i="2"/>
  <c r="AI725" i="2"/>
  <c r="S716" i="2"/>
  <c r="R716" i="2" s="1"/>
  <c r="P716" i="2"/>
  <c r="P834" i="2"/>
  <c r="V834" i="2"/>
  <c r="S834" i="2"/>
  <c r="R834" i="2" s="1"/>
  <c r="P824" i="2"/>
  <c r="V824" i="2"/>
  <c r="AI833" i="2"/>
  <c r="S824" i="2"/>
  <c r="R824" i="2" s="1"/>
  <c r="AP18" i="3"/>
  <c r="AQ18" i="3" s="1"/>
  <c r="AI203" i="3"/>
  <c r="V199" i="3"/>
  <c r="S199" i="3"/>
  <c r="R199" i="3" s="1"/>
  <c r="P199" i="3"/>
  <c r="AP432" i="3"/>
  <c r="AQ432" i="3" s="1"/>
  <c r="AO624" i="3"/>
  <c r="AN624" i="3" s="1"/>
  <c r="AL624" i="3"/>
  <c r="AR624" i="3"/>
  <c r="AL706" i="3"/>
  <c r="AR706" i="3"/>
  <c r="AO706" i="3"/>
  <c r="AN706" i="3" s="1"/>
  <c r="AL395" i="1"/>
  <c r="AR395" i="1"/>
  <c r="AO395" i="1"/>
  <c r="AN395" i="1" s="1"/>
  <c r="AO96" i="1"/>
  <c r="AN96" i="1" s="1"/>
  <c r="AL96" i="1"/>
  <c r="AR96" i="1"/>
  <c r="AI249" i="1"/>
  <c r="AI252" i="1" s="1"/>
  <c r="V262" i="1"/>
  <c r="S262" i="1"/>
  <c r="R262" i="1" s="1"/>
  <c r="P262" i="1"/>
  <c r="S44" i="2"/>
  <c r="R44" i="2" s="1"/>
  <c r="P44" i="2"/>
  <c r="AI53" i="2"/>
  <c r="V44" i="2"/>
  <c r="V527" i="1"/>
  <c r="AI536" i="1"/>
  <c r="S527" i="1"/>
  <c r="R527" i="1" s="1"/>
  <c r="P527" i="1"/>
  <c r="M51" i="2"/>
  <c r="P683" i="1"/>
  <c r="AI688" i="1"/>
  <c r="V683" i="1"/>
  <c r="S683" i="1"/>
  <c r="R683" i="1" s="1"/>
  <c r="AE81" i="2"/>
  <c r="AL89" i="2"/>
  <c r="AR89" i="2"/>
  <c r="AO89" i="2"/>
  <c r="AN89" i="2" s="1"/>
  <c r="P396" i="2"/>
  <c r="V396" i="2"/>
  <c r="AI393" i="2"/>
  <c r="S396" i="2"/>
  <c r="R396" i="2" s="1"/>
  <c r="S413" i="2"/>
  <c r="R413" i="2" s="1"/>
  <c r="AI418" i="2"/>
  <c r="V413" i="2"/>
  <c r="P413" i="2"/>
  <c r="AL512" i="2"/>
  <c r="AR512" i="2"/>
  <c r="AO512" i="2"/>
  <c r="AN512" i="2" s="1"/>
  <c r="V363" i="2"/>
  <c r="S363" i="2"/>
  <c r="R363" i="2" s="1"/>
  <c r="P363" i="2"/>
  <c r="AI355" i="2"/>
  <c r="AI552" i="2"/>
  <c r="V547" i="2"/>
  <c r="S547" i="2"/>
  <c r="R547" i="2" s="1"/>
  <c r="P547" i="2"/>
  <c r="P67" i="3"/>
  <c r="V67" i="3"/>
  <c r="S67" i="3"/>
  <c r="R67" i="3" s="1"/>
  <c r="AI59" i="3"/>
  <c r="S632" i="2"/>
  <c r="R632" i="2" s="1"/>
  <c r="AI624" i="2"/>
  <c r="V632" i="2"/>
  <c r="P632" i="2"/>
  <c r="AI700" i="2"/>
  <c r="V691" i="2"/>
  <c r="S691" i="2"/>
  <c r="R691" i="2" s="1"/>
  <c r="P691" i="2"/>
  <c r="S829" i="2"/>
  <c r="R829" i="2" s="1"/>
  <c r="AI816" i="2"/>
  <c r="P829" i="2"/>
  <c r="V829" i="2"/>
  <c r="M132" i="3"/>
  <c r="AI129" i="3"/>
  <c r="V114" i="3"/>
  <c r="S114" i="3"/>
  <c r="R114" i="3" s="1"/>
  <c r="P114" i="3"/>
  <c r="AO179" i="3"/>
  <c r="AN179" i="3" s="1"/>
  <c r="AL179" i="3"/>
  <c r="AR179" i="3"/>
  <c r="V318" i="3"/>
  <c r="AI314" i="3"/>
  <c r="S318" i="3"/>
  <c r="R318" i="3" s="1"/>
  <c r="P318" i="3"/>
  <c r="V68" i="3"/>
  <c r="AI77" i="3"/>
  <c r="S68" i="3"/>
  <c r="R68" i="3" s="1"/>
  <c r="P68" i="3"/>
  <c r="AO240" i="3"/>
  <c r="AN240" i="3" s="1"/>
  <c r="AL240" i="3"/>
  <c r="AR240" i="3"/>
  <c r="AO429" i="3"/>
  <c r="AN429" i="3" s="1"/>
  <c r="AL429" i="3"/>
  <c r="AR429" i="3"/>
  <c r="AS849" i="1"/>
  <c r="AO283" i="1"/>
  <c r="AN283" i="1" s="1"/>
  <c r="AL283" i="1"/>
  <c r="AR283" i="1"/>
  <c r="P281" i="1"/>
  <c r="V281" i="1"/>
  <c r="AI273" i="1"/>
  <c r="S281" i="1"/>
  <c r="R281" i="1" s="1"/>
  <c r="S123" i="1"/>
  <c r="R123" i="1" s="1"/>
  <c r="P123" i="1"/>
  <c r="V123" i="1"/>
  <c r="AI132" i="1"/>
  <c r="AI135" i="1" s="1"/>
  <c r="AR796" i="1"/>
  <c r="AO796" i="1"/>
  <c r="AN796" i="1" s="1"/>
  <c r="AL796" i="1"/>
  <c r="P277" i="1"/>
  <c r="V277" i="1"/>
  <c r="S277" i="1"/>
  <c r="R277" i="1" s="1"/>
  <c r="AI282" i="1"/>
  <c r="AR116" i="1"/>
  <c r="AO116" i="1"/>
  <c r="AN116" i="1" s="1"/>
  <c r="AL116" i="1"/>
  <c r="AO160" i="1"/>
  <c r="AN160" i="1" s="1"/>
  <c r="AL160" i="1"/>
  <c r="AR160" i="1"/>
  <c r="AO453" i="1"/>
  <c r="AN453" i="1" s="1"/>
  <c r="AL453" i="1"/>
  <c r="AR453" i="1"/>
  <c r="AL700" i="1"/>
  <c r="AR700" i="1"/>
  <c r="AO700" i="1"/>
  <c r="AN700" i="1" s="1"/>
  <c r="V771" i="1"/>
  <c r="AI780" i="1"/>
  <c r="S771" i="1"/>
  <c r="R771" i="1" s="1"/>
  <c r="P771" i="1"/>
  <c r="AI771" i="1"/>
  <c r="V774" i="1"/>
  <c r="S774" i="1"/>
  <c r="R774" i="1" s="1"/>
  <c r="P774" i="1"/>
  <c r="AP18" i="2"/>
  <c r="AQ18" i="2" s="1"/>
  <c r="AR103" i="2"/>
  <c r="AO103" i="2"/>
  <c r="AN103" i="2" s="1"/>
  <c r="AL103" i="2"/>
  <c r="AE261" i="2"/>
  <c r="AO453" i="2"/>
  <c r="AN453" i="2" s="1"/>
  <c r="AL453" i="2"/>
  <c r="AR453" i="2"/>
  <c r="P314" i="3"/>
  <c r="V314" i="3"/>
  <c r="AI323" i="3"/>
  <c r="S314" i="3"/>
  <c r="R314" i="3" s="1"/>
  <c r="V750" i="2"/>
  <c r="S750" i="2"/>
  <c r="R750" i="2" s="1"/>
  <c r="AI746" i="2"/>
  <c r="P750" i="2"/>
  <c r="S830" i="2"/>
  <c r="R830" i="2" s="1"/>
  <c r="P830" i="2"/>
  <c r="AI826" i="2"/>
  <c r="V830" i="2"/>
  <c r="M816" i="3"/>
  <c r="AE831" i="3"/>
  <c r="I834" i="3"/>
  <c r="AR404" i="3"/>
  <c r="AO404" i="3"/>
  <c r="AN404" i="3" s="1"/>
  <c r="AL404" i="3"/>
  <c r="AR408" i="3"/>
  <c r="AO408" i="3"/>
  <c r="AN408" i="3" s="1"/>
  <c r="AL408" i="3"/>
  <c r="P509" i="3"/>
  <c r="V509" i="3"/>
  <c r="S509" i="3"/>
  <c r="R509" i="3" s="1"/>
  <c r="AI494" i="3"/>
  <c r="AR672" i="3"/>
  <c r="AO672" i="3"/>
  <c r="AN672" i="3" s="1"/>
  <c r="AL672" i="3"/>
  <c r="AO787" i="3"/>
  <c r="AN787" i="3" s="1"/>
  <c r="AL787" i="3"/>
  <c r="AR787" i="3"/>
  <c r="AR121" i="1"/>
  <c r="AO121" i="1"/>
  <c r="AN121" i="1" s="1"/>
  <c r="AL121" i="1"/>
  <c r="AR212" i="1"/>
  <c r="AO212" i="1"/>
  <c r="AN212" i="1" s="1"/>
  <c r="AL212" i="1"/>
  <c r="S400" i="1"/>
  <c r="R400" i="1" s="1"/>
  <c r="AI385" i="1"/>
  <c r="P400" i="1"/>
  <c r="V400" i="1"/>
  <c r="P666" i="1"/>
  <c r="AI663" i="1"/>
  <c r="V666" i="1"/>
  <c r="S666" i="1"/>
  <c r="R666" i="1" s="1"/>
  <c r="AL543" i="1"/>
  <c r="AR543" i="1"/>
  <c r="AO543" i="1"/>
  <c r="AN543" i="1" s="1"/>
  <c r="AP450" i="1"/>
  <c r="AQ450" i="1" s="1"/>
  <c r="AR742" i="1"/>
  <c r="AO742" i="1"/>
  <c r="AN742" i="1" s="1"/>
  <c r="AL742" i="1"/>
  <c r="AI50" i="2"/>
  <c r="S41" i="2"/>
  <c r="R41" i="2" s="1"/>
  <c r="P41" i="2"/>
  <c r="V41" i="2"/>
  <c r="AL120" i="2"/>
  <c r="AR120" i="2"/>
  <c r="AO120" i="2"/>
  <c r="AN120" i="2" s="1"/>
  <c r="AP720" i="1"/>
  <c r="AQ720" i="1" s="1"/>
  <c r="AR231" i="2"/>
  <c r="AO231" i="2"/>
  <c r="AN231" i="2" s="1"/>
  <c r="AL231" i="2"/>
  <c r="P338" i="2"/>
  <c r="S338" i="2"/>
  <c r="R338" i="2" s="1"/>
  <c r="V338" i="2"/>
  <c r="AI347" i="2"/>
  <c r="V362" i="2"/>
  <c r="S362" i="2"/>
  <c r="R362" i="2" s="1"/>
  <c r="P362" i="2"/>
  <c r="AI354" i="2"/>
  <c r="AR287" i="2"/>
  <c r="AL287" i="2"/>
  <c r="AO287" i="2"/>
  <c r="AN287" i="2" s="1"/>
  <c r="V563" i="2"/>
  <c r="S563" i="2"/>
  <c r="R563" i="2" s="1"/>
  <c r="AI548" i="2"/>
  <c r="P563" i="2"/>
  <c r="AL628" i="2"/>
  <c r="AR628" i="2"/>
  <c r="AO628" i="2"/>
  <c r="AN628" i="2" s="1"/>
  <c r="AP171" i="3"/>
  <c r="AQ171" i="3" s="1"/>
  <c r="AR484" i="3"/>
  <c r="AO484" i="3"/>
  <c r="AN484" i="3" s="1"/>
  <c r="AL484" i="3"/>
  <c r="AL458" i="3"/>
  <c r="AO458" i="3"/>
  <c r="AN458" i="3" s="1"/>
  <c r="AR458" i="3"/>
  <c r="S468" i="3"/>
  <c r="R468" i="3" s="1"/>
  <c r="AI481" i="3"/>
  <c r="P468" i="3"/>
  <c r="V468" i="3"/>
  <c r="V634" i="3"/>
  <c r="AI626" i="3"/>
  <c r="P634" i="3"/>
  <c r="S634" i="3"/>
  <c r="R634" i="3" s="1"/>
  <c r="AR597" i="3"/>
  <c r="AO597" i="3"/>
  <c r="AN597" i="3" s="1"/>
  <c r="AL597" i="3"/>
  <c r="AI701" i="3"/>
  <c r="V692" i="3"/>
  <c r="S692" i="3"/>
  <c r="R692" i="3" s="1"/>
  <c r="P692" i="3"/>
  <c r="AO707" i="3"/>
  <c r="AN707" i="3" s="1"/>
  <c r="AL707" i="3"/>
  <c r="AR707" i="3"/>
  <c r="AR70" i="1"/>
  <c r="AO70" i="1"/>
  <c r="AN70" i="1" s="1"/>
  <c r="AL70" i="1"/>
  <c r="AL3" i="1"/>
  <c r="AR3" i="1"/>
  <c r="AO3" i="1"/>
  <c r="AN3" i="1" s="1"/>
  <c r="U852" i="1"/>
  <c r="AQ861" i="1" s="1"/>
  <c r="AP861" i="1"/>
  <c r="AS861" i="1"/>
  <c r="S15" i="1"/>
  <c r="R15" i="1" s="1"/>
  <c r="P15" i="1"/>
  <c r="V15" i="1"/>
  <c r="AI24" i="1"/>
  <c r="AS860" i="2"/>
  <c r="V14" i="2"/>
  <c r="AI23" i="2"/>
  <c r="S14" i="2"/>
  <c r="R14" i="2" s="1"/>
  <c r="P14" i="2"/>
  <c r="AE845" i="2"/>
  <c r="M860" i="2"/>
  <c r="AR481" i="2"/>
  <c r="AO481" i="2"/>
  <c r="AN481" i="2" s="1"/>
  <c r="AL481" i="2"/>
  <c r="P580" i="2"/>
  <c r="AI572" i="2"/>
  <c r="V580" i="2"/>
  <c r="S580" i="2"/>
  <c r="R580" i="2" s="1"/>
  <c r="AR683" i="2"/>
  <c r="AO683" i="2"/>
  <c r="AN683" i="2" s="1"/>
  <c r="AL683" i="2"/>
  <c r="S777" i="2"/>
  <c r="R777" i="2" s="1"/>
  <c r="AI773" i="2"/>
  <c r="P777" i="2"/>
  <c r="V777" i="2"/>
  <c r="AR798" i="2"/>
  <c r="AO798" i="2"/>
  <c r="AN798" i="2" s="1"/>
  <c r="AL798" i="2"/>
  <c r="V821" i="2"/>
  <c r="AI813" i="2"/>
  <c r="S821" i="2"/>
  <c r="R821" i="2" s="1"/>
  <c r="P821" i="2"/>
  <c r="P832" i="2"/>
  <c r="V832" i="2"/>
  <c r="S832" i="2"/>
  <c r="R832" i="2" s="1"/>
  <c r="AI817" i="2"/>
  <c r="S77" i="3"/>
  <c r="R77" i="3" s="1"/>
  <c r="P77" i="3"/>
  <c r="V77" i="3"/>
  <c r="AI62" i="3"/>
  <c r="AR139" i="3"/>
  <c r="AO139" i="3"/>
  <c r="AN139" i="3" s="1"/>
  <c r="AL139" i="3"/>
  <c r="S285" i="3"/>
  <c r="R285" i="3" s="1"/>
  <c r="P285" i="3"/>
  <c r="V285" i="3"/>
  <c r="AI294" i="3"/>
  <c r="AI309" i="3"/>
  <c r="V304" i="3"/>
  <c r="S304" i="3"/>
  <c r="R304" i="3" s="1"/>
  <c r="P304" i="3"/>
  <c r="S400" i="3"/>
  <c r="R400" i="3" s="1"/>
  <c r="AI385" i="3"/>
  <c r="V400" i="3"/>
  <c r="P400" i="3"/>
  <c r="V374" i="3"/>
  <c r="S374" i="3"/>
  <c r="R374" i="3" s="1"/>
  <c r="P374" i="3"/>
  <c r="AI359" i="3"/>
  <c r="V427" i="3"/>
  <c r="S427" i="3"/>
  <c r="R427" i="3" s="1"/>
  <c r="P427" i="3"/>
  <c r="AI412" i="3"/>
  <c r="P493" i="3"/>
  <c r="AI498" i="3"/>
  <c r="V493" i="3"/>
  <c r="S493" i="3"/>
  <c r="R493" i="3" s="1"/>
  <c r="AR485" i="3"/>
  <c r="AO485" i="3"/>
  <c r="AN485" i="3" s="1"/>
  <c r="AL485" i="3"/>
  <c r="AO653" i="3"/>
  <c r="AN653" i="3" s="1"/>
  <c r="AR653" i="3"/>
  <c r="AL653" i="3"/>
  <c r="AO789" i="3"/>
  <c r="AN789" i="3" s="1"/>
  <c r="AL789" i="3"/>
  <c r="AR789" i="3"/>
  <c r="AL760" i="3"/>
  <c r="AR760" i="3"/>
  <c r="AO760" i="3"/>
  <c r="AN760" i="3" s="1"/>
  <c r="AL115" i="1"/>
  <c r="AR115" i="1"/>
  <c r="AO115" i="1"/>
  <c r="AN115" i="1" s="1"/>
  <c r="S475" i="1"/>
  <c r="R475" i="1" s="1"/>
  <c r="P475" i="1"/>
  <c r="AI484" i="1"/>
  <c r="V475" i="1"/>
  <c r="AI643" i="1"/>
  <c r="V630" i="1"/>
  <c r="S630" i="1"/>
  <c r="R630" i="1" s="1"/>
  <c r="P630" i="1"/>
  <c r="S534" i="1"/>
  <c r="R534" i="1" s="1"/>
  <c r="AI530" i="1"/>
  <c r="P534" i="1"/>
  <c r="V534" i="1"/>
  <c r="P663" i="1"/>
  <c r="V663" i="1"/>
  <c r="AI672" i="1"/>
  <c r="S663" i="1"/>
  <c r="R663" i="1" s="1"/>
  <c r="AO71" i="2"/>
  <c r="AN71" i="2" s="1"/>
  <c r="AR71" i="2"/>
  <c r="AL71" i="2"/>
  <c r="AP684" i="1"/>
  <c r="AQ684" i="1" s="1"/>
  <c r="AO86" i="2"/>
  <c r="AN86" i="2" s="1"/>
  <c r="AL86" i="2"/>
  <c r="AR86" i="2"/>
  <c r="S421" i="2"/>
  <c r="R421" i="2" s="1"/>
  <c r="P421" i="2"/>
  <c r="AI430" i="2"/>
  <c r="V421" i="2"/>
  <c r="AL196" i="2"/>
  <c r="AR196" i="2"/>
  <c r="AO196" i="2"/>
  <c r="AN196" i="2" s="1"/>
  <c r="AE513" i="2"/>
  <c r="V671" i="2"/>
  <c r="S671" i="2"/>
  <c r="R671" i="2" s="1"/>
  <c r="AI656" i="2"/>
  <c r="P671" i="2"/>
  <c r="AR583" i="2"/>
  <c r="AO583" i="2"/>
  <c r="AN583" i="2" s="1"/>
  <c r="AL583" i="2"/>
  <c r="P795" i="2"/>
  <c r="AI787" i="2"/>
  <c r="V795" i="2"/>
  <c r="S795" i="2"/>
  <c r="R795" i="2" s="1"/>
  <c r="V150" i="3"/>
  <c r="AI159" i="3"/>
  <c r="S150" i="3"/>
  <c r="R150" i="3" s="1"/>
  <c r="P150" i="3"/>
  <c r="S710" i="2"/>
  <c r="R710" i="2" s="1"/>
  <c r="P710" i="2"/>
  <c r="AI715" i="2"/>
  <c r="V710" i="2"/>
  <c r="M726" i="2"/>
  <c r="AS817" i="3"/>
  <c r="V22" i="3"/>
  <c r="S22" i="3"/>
  <c r="R22" i="3" s="1"/>
  <c r="AI7" i="3"/>
  <c r="P22" i="3"/>
  <c r="AO104" i="3"/>
  <c r="AN104" i="3" s="1"/>
  <c r="AL104" i="3"/>
  <c r="AR104" i="3"/>
  <c r="V312" i="3"/>
  <c r="AI321" i="3"/>
  <c r="AI324" i="3" s="1"/>
  <c r="S312" i="3"/>
  <c r="R312" i="3" s="1"/>
  <c r="P312" i="3"/>
  <c r="V472" i="3"/>
  <c r="S472" i="3"/>
  <c r="R472" i="3" s="1"/>
  <c r="AI464" i="3"/>
  <c r="P472" i="3"/>
  <c r="AL573" i="3"/>
  <c r="AR573" i="3"/>
  <c r="AO573" i="3"/>
  <c r="AN573" i="3" s="1"/>
  <c r="AO690" i="3"/>
  <c r="AN690" i="3" s="1"/>
  <c r="AL690" i="3"/>
  <c r="AR690" i="3"/>
  <c r="AP756" i="3"/>
  <c r="AQ756" i="3" s="1"/>
  <c r="AR377" i="1"/>
  <c r="AO377" i="1"/>
  <c r="AN377" i="1" s="1"/>
  <c r="AL377" i="1"/>
  <c r="S126" i="1"/>
  <c r="R126" i="1" s="1"/>
  <c r="P126" i="1"/>
  <c r="AI123" i="1"/>
  <c r="V126" i="1"/>
  <c r="AE315" i="1"/>
  <c r="AL4" i="1"/>
  <c r="AR4" i="1"/>
  <c r="AO4" i="1"/>
  <c r="AN4" i="1" s="1"/>
  <c r="AR276" i="1"/>
  <c r="AO276" i="1"/>
  <c r="AN276" i="1" s="1"/>
  <c r="AL276" i="1"/>
  <c r="AP840" i="1"/>
  <c r="U848" i="1"/>
  <c r="AQ840" i="1" s="1"/>
  <c r="AR547" i="1"/>
  <c r="AO547" i="1"/>
  <c r="AN547" i="1" s="1"/>
  <c r="AL547" i="1"/>
  <c r="AI241" i="1"/>
  <c r="V232" i="1"/>
  <c r="S232" i="1"/>
  <c r="R232" i="1" s="1"/>
  <c r="P232" i="1"/>
  <c r="AE862" i="1"/>
  <c r="M853" i="1"/>
  <c r="AO419" i="1"/>
  <c r="AN419" i="1" s="1"/>
  <c r="AL419" i="1"/>
  <c r="AR419" i="1"/>
  <c r="AR565" i="1"/>
  <c r="AO565" i="1"/>
  <c r="AN565" i="1" s="1"/>
  <c r="AL565" i="1"/>
  <c r="AL580" i="1"/>
  <c r="AR580" i="1"/>
  <c r="AO580" i="1"/>
  <c r="AN580" i="1" s="1"/>
  <c r="S441" i="1"/>
  <c r="R441" i="1" s="1"/>
  <c r="P441" i="1"/>
  <c r="AI454" i="1"/>
  <c r="V441" i="1"/>
  <c r="AP81" i="2"/>
  <c r="AQ81" i="2" s="1"/>
  <c r="AP854" i="2"/>
  <c r="U858" i="2"/>
  <c r="AQ854" i="2" s="1"/>
  <c r="AS853" i="2"/>
  <c r="S20" i="2"/>
  <c r="R20" i="2" s="1"/>
  <c r="P20" i="2"/>
  <c r="AI16" i="2"/>
  <c r="V20" i="2"/>
  <c r="AI278" i="2"/>
  <c r="P293" i="2"/>
  <c r="V293" i="2"/>
  <c r="S293" i="2"/>
  <c r="R293" i="2" s="1"/>
  <c r="S199" i="2"/>
  <c r="R199" i="2" s="1"/>
  <c r="P199" i="2"/>
  <c r="AI203" i="2"/>
  <c r="V199" i="2"/>
  <c r="AL520" i="2"/>
  <c r="AR520" i="2"/>
  <c r="AO520" i="2"/>
  <c r="AN520" i="2" s="1"/>
  <c r="S561" i="2"/>
  <c r="R561" i="2" s="1"/>
  <c r="AI557" i="2"/>
  <c r="P561" i="2"/>
  <c r="V561" i="2"/>
  <c r="AL169" i="3"/>
  <c r="AR169" i="3"/>
  <c r="AO169" i="3"/>
  <c r="AN169" i="3" s="1"/>
  <c r="V63" i="3"/>
  <c r="S63" i="3"/>
  <c r="R63" i="3" s="1"/>
  <c r="AI76" i="3"/>
  <c r="P63" i="3"/>
  <c r="AE207" i="3"/>
  <c r="AO345" i="3"/>
  <c r="AN345" i="3" s="1"/>
  <c r="AL345" i="3"/>
  <c r="AR345" i="3"/>
  <c r="S424" i="3"/>
  <c r="R424" i="3" s="1"/>
  <c r="P424" i="3"/>
  <c r="V424" i="3"/>
  <c r="AI411" i="3"/>
  <c r="V532" i="3"/>
  <c r="S532" i="3"/>
  <c r="R532" i="3" s="1"/>
  <c r="AI519" i="3"/>
  <c r="P532" i="3"/>
  <c r="AO656" i="3"/>
  <c r="AN656" i="3" s="1"/>
  <c r="AL656" i="3"/>
  <c r="AR656" i="3"/>
  <c r="S691" i="3"/>
  <c r="R691" i="3" s="1"/>
  <c r="P691" i="3"/>
  <c r="AI700" i="3"/>
  <c r="V691" i="3"/>
  <c r="AL742" i="3"/>
  <c r="AR742" i="3"/>
  <c r="AO742" i="3"/>
  <c r="AN742" i="3" s="1"/>
  <c r="AR183" i="2"/>
  <c r="AO183" i="2"/>
  <c r="AN183" i="2" s="1"/>
  <c r="AL183" i="2"/>
  <c r="AL89" i="1"/>
  <c r="AR89" i="1"/>
  <c r="AO89" i="1"/>
  <c r="AN89" i="1" s="1"/>
  <c r="AL143" i="1"/>
  <c r="AR143" i="1"/>
  <c r="AO143" i="1"/>
  <c r="AN143" i="1" s="1"/>
  <c r="AL53" i="1"/>
  <c r="AR53" i="1"/>
  <c r="AO53" i="1"/>
  <c r="AN53" i="1" s="1"/>
  <c r="M186" i="1"/>
  <c r="S395" i="1"/>
  <c r="R395" i="1" s="1"/>
  <c r="P395" i="1"/>
  <c r="AI404" i="1"/>
  <c r="V395" i="1"/>
  <c r="AI563" i="1"/>
  <c r="S554" i="1"/>
  <c r="R554" i="1" s="1"/>
  <c r="P554" i="1"/>
  <c r="V554" i="1"/>
  <c r="V833" i="1"/>
  <c r="S833" i="1"/>
  <c r="R833" i="1" s="1"/>
  <c r="AI818" i="1"/>
  <c r="P833" i="1"/>
  <c r="AI833" i="1"/>
  <c r="AI837" i="1" s="1"/>
  <c r="S824" i="1"/>
  <c r="R824" i="1" s="1"/>
  <c r="P824" i="1"/>
  <c r="V824" i="1"/>
  <c r="V69" i="2"/>
  <c r="AI78" i="2"/>
  <c r="S69" i="2"/>
  <c r="R69" i="2" s="1"/>
  <c r="P69" i="2"/>
  <c r="S264" i="2"/>
  <c r="R264" i="2" s="1"/>
  <c r="AI260" i="2"/>
  <c r="V264" i="2"/>
  <c r="P264" i="2"/>
  <c r="S331" i="2"/>
  <c r="R331" i="2" s="1"/>
  <c r="V331" i="2"/>
  <c r="AI336" i="2"/>
  <c r="P331" i="2"/>
  <c r="M348" i="2"/>
  <c r="AL43" i="3"/>
  <c r="AR43" i="3"/>
  <c r="AO43" i="3"/>
  <c r="AN43" i="3" s="1"/>
  <c r="AO130" i="3"/>
  <c r="AN130" i="3" s="1"/>
  <c r="AL130" i="3"/>
  <c r="AR130" i="3"/>
  <c r="AS818" i="3"/>
  <c r="S23" i="3"/>
  <c r="R23" i="3" s="1"/>
  <c r="AI8" i="3"/>
  <c r="P23" i="3"/>
  <c r="V23" i="3"/>
  <c r="AO214" i="3"/>
  <c r="AN214" i="3" s="1"/>
  <c r="AL214" i="3"/>
  <c r="AR214" i="3"/>
  <c r="P182" i="1"/>
  <c r="AI178" i="1"/>
  <c r="V182" i="1"/>
  <c r="S182" i="1"/>
  <c r="R182" i="1" s="1"/>
  <c r="AL107" i="1"/>
  <c r="AR107" i="1"/>
  <c r="AO107" i="1"/>
  <c r="AN107" i="1" s="1"/>
  <c r="AO391" i="1"/>
  <c r="AN391" i="1" s="1"/>
  <c r="AL391" i="1"/>
  <c r="AR391" i="1"/>
  <c r="AE859" i="1"/>
  <c r="M846" i="1"/>
  <c r="AO411" i="1"/>
  <c r="AN411" i="1" s="1"/>
  <c r="AL411" i="1"/>
  <c r="AR411" i="1"/>
  <c r="S341" i="1"/>
  <c r="R341" i="1" s="1"/>
  <c r="P341" i="1"/>
  <c r="AI350" i="1"/>
  <c r="V341" i="1"/>
  <c r="AO375" i="1"/>
  <c r="AN375" i="1" s="1"/>
  <c r="AL375" i="1"/>
  <c r="AR375" i="1"/>
  <c r="S306" i="1"/>
  <c r="R306" i="1" s="1"/>
  <c r="P306" i="1"/>
  <c r="AI319" i="1"/>
  <c r="V306" i="1"/>
  <c r="S118" i="2"/>
  <c r="R118" i="2" s="1"/>
  <c r="P118" i="2"/>
  <c r="AI122" i="2"/>
  <c r="V118" i="2"/>
  <c r="V481" i="1"/>
  <c r="S481" i="1"/>
  <c r="R481" i="1" s="1"/>
  <c r="AI466" i="1"/>
  <c r="P481" i="1"/>
  <c r="AR511" i="1"/>
  <c r="AO511" i="1"/>
  <c r="AN511" i="1" s="1"/>
  <c r="AL511" i="1"/>
  <c r="P822" i="1"/>
  <c r="AI814" i="1"/>
  <c r="V822" i="1"/>
  <c r="S822" i="1"/>
  <c r="R822" i="1" s="1"/>
  <c r="AO501" i="2"/>
  <c r="AN501" i="2" s="1"/>
  <c r="AL501" i="2"/>
  <c r="AR501" i="2"/>
  <c r="AR44" i="3"/>
  <c r="AO44" i="3"/>
  <c r="AN44" i="3" s="1"/>
  <c r="AL44" i="3"/>
  <c r="V497" i="2"/>
  <c r="S497" i="2"/>
  <c r="R497" i="2" s="1"/>
  <c r="P497" i="2"/>
  <c r="AI489" i="2"/>
  <c r="U825" i="3"/>
  <c r="AQ834" i="3" s="1"/>
  <c r="AP834" i="3"/>
  <c r="AI257" i="3"/>
  <c r="V253" i="3"/>
  <c r="S253" i="3"/>
  <c r="R253" i="3" s="1"/>
  <c r="P253" i="3"/>
  <c r="AO194" i="3"/>
  <c r="AN194" i="3" s="1"/>
  <c r="AL194" i="3"/>
  <c r="AR194" i="3"/>
  <c r="V453" i="3"/>
  <c r="S453" i="3"/>
  <c r="R453" i="3" s="1"/>
  <c r="AI449" i="3"/>
  <c r="P453" i="3"/>
  <c r="V494" i="3"/>
  <c r="S494" i="3"/>
  <c r="R494" i="3" s="1"/>
  <c r="P494" i="3"/>
  <c r="AI499" i="3"/>
  <c r="V640" i="3"/>
  <c r="AI627" i="3"/>
  <c r="S640" i="3"/>
  <c r="R640" i="3" s="1"/>
  <c r="P640" i="3"/>
  <c r="S696" i="3"/>
  <c r="R696" i="3" s="1"/>
  <c r="AI692" i="3"/>
  <c r="P696" i="3"/>
  <c r="V696" i="3"/>
  <c r="AI743" i="3"/>
  <c r="V739" i="3"/>
  <c r="S739" i="3"/>
  <c r="R739" i="3" s="1"/>
  <c r="P739" i="3"/>
  <c r="AO754" i="3"/>
  <c r="AN754" i="3" s="1"/>
  <c r="AL754" i="3"/>
  <c r="AR754" i="3"/>
  <c r="AO68" i="1"/>
  <c r="AN68" i="1" s="1"/>
  <c r="AL68" i="1"/>
  <c r="AR68" i="1"/>
  <c r="AS863" i="1"/>
  <c r="AI26" i="1"/>
  <c r="V17" i="1"/>
  <c r="S17" i="1"/>
  <c r="R17" i="1" s="1"/>
  <c r="P17" i="1"/>
  <c r="AL708" i="1"/>
  <c r="AR708" i="1"/>
  <c r="AO708" i="1"/>
  <c r="AN708" i="1" s="1"/>
  <c r="AL41" i="2"/>
  <c r="AR41" i="2"/>
  <c r="AO41" i="2"/>
  <c r="AN41" i="2" s="1"/>
  <c r="AP45" i="2"/>
  <c r="AQ45" i="2" s="1"/>
  <c r="AR98" i="2"/>
  <c r="AO98" i="2"/>
  <c r="AN98" i="2" s="1"/>
  <c r="AL98" i="2"/>
  <c r="AS842" i="2"/>
  <c r="S13" i="2"/>
  <c r="R13" i="2" s="1"/>
  <c r="P13" i="2"/>
  <c r="AI5" i="2"/>
  <c r="V13" i="2"/>
  <c r="P586" i="2"/>
  <c r="V586" i="2"/>
  <c r="S586" i="2"/>
  <c r="R586" i="2" s="1"/>
  <c r="AI573" i="2"/>
  <c r="P662" i="2"/>
  <c r="V662" i="2"/>
  <c r="AI671" i="2"/>
  <c r="S662" i="2"/>
  <c r="R662" i="2" s="1"/>
  <c r="S685" i="2"/>
  <c r="R685" i="2" s="1"/>
  <c r="V685" i="2"/>
  <c r="AI689" i="2"/>
  <c r="P685" i="2"/>
  <c r="AL167" i="3"/>
  <c r="AR167" i="3"/>
  <c r="AO167" i="3"/>
  <c r="AN167" i="3" s="1"/>
  <c r="P740" i="2"/>
  <c r="V740" i="2"/>
  <c r="AI732" i="2"/>
  <c r="S740" i="2"/>
  <c r="R740" i="2" s="1"/>
  <c r="AL303" i="3"/>
  <c r="AR303" i="3"/>
  <c r="AO303" i="3"/>
  <c r="AN303" i="3" s="1"/>
  <c r="P145" i="3"/>
  <c r="AI149" i="3"/>
  <c r="V145" i="3"/>
  <c r="S145" i="3"/>
  <c r="R145" i="3" s="1"/>
  <c r="AR291" i="3"/>
  <c r="AO291" i="3"/>
  <c r="AN291" i="3" s="1"/>
  <c r="AL291" i="3"/>
  <c r="V343" i="3"/>
  <c r="S343" i="3"/>
  <c r="R343" i="3" s="1"/>
  <c r="AI330" i="3"/>
  <c r="P343" i="3"/>
  <c r="AL402" i="3"/>
  <c r="AR402" i="3"/>
  <c r="AO402" i="3"/>
  <c r="AN402" i="3" s="1"/>
  <c r="AI456" i="3"/>
  <c r="P447" i="3"/>
  <c r="V447" i="3"/>
  <c r="S447" i="3"/>
  <c r="R447" i="3" s="1"/>
  <c r="S451" i="3"/>
  <c r="R451" i="3" s="1"/>
  <c r="AI438" i="3"/>
  <c r="V451" i="3"/>
  <c r="P451" i="3"/>
  <c r="AE477" i="3"/>
  <c r="V524" i="3"/>
  <c r="AI516" i="3"/>
  <c r="S524" i="3"/>
  <c r="R524" i="3" s="1"/>
  <c r="P524" i="3"/>
  <c r="AI579" i="3"/>
  <c r="P574" i="3"/>
  <c r="V574" i="3"/>
  <c r="S574" i="3"/>
  <c r="R574" i="3" s="1"/>
  <c r="P633" i="3"/>
  <c r="S633" i="3"/>
  <c r="R633" i="3" s="1"/>
  <c r="AI625" i="3"/>
  <c r="AI630" i="3" s="1"/>
  <c r="V633" i="3"/>
  <c r="P766" i="3"/>
  <c r="AI770" i="3"/>
  <c r="V766" i="3"/>
  <c r="S766" i="3"/>
  <c r="R766" i="3" s="1"/>
  <c r="AL77" i="1"/>
  <c r="AR77" i="1"/>
  <c r="AO77" i="1"/>
  <c r="AN77" i="1" s="1"/>
  <c r="AE279" i="1"/>
  <c r="AO286" i="1"/>
  <c r="AN286" i="1" s="1"/>
  <c r="AL286" i="1"/>
  <c r="AR286" i="1"/>
  <c r="AL192" i="1"/>
  <c r="AR192" i="1"/>
  <c r="AO192" i="1"/>
  <c r="AN192" i="1" s="1"/>
  <c r="AO57" i="1"/>
  <c r="AN57" i="1" s="1"/>
  <c r="AL57" i="1"/>
  <c r="AR57" i="1"/>
  <c r="S583" i="1"/>
  <c r="R583" i="1" s="1"/>
  <c r="P583" i="1"/>
  <c r="AI592" i="1"/>
  <c r="V583" i="1"/>
  <c r="U860" i="1"/>
  <c r="AQ845" i="1" s="1"/>
  <c r="AP845" i="1"/>
  <c r="AS852" i="1"/>
  <c r="S18" i="1"/>
  <c r="R18" i="1" s="1"/>
  <c r="P18" i="1"/>
  <c r="AI15" i="1"/>
  <c r="V18" i="1"/>
  <c r="S611" i="1"/>
  <c r="R611" i="1" s="1"/>
  <c r="P611" i="1"/>
  <c r="AI620" i="1"/>
  <c r="V611" i="1"/>
  <c r="AO474" i="1"/>
  <c r="AN474" i="1" s="1"/>
  <c r="AL474" i="1"/>
  <c r="AR474" i="1"/>
  <c r="AL600" i="1"/>
  <c r="AR600" i="1"/>
  <c r="AO600" i="1"/>
  <c r="AN600" i="1" s="1"/>
  <c r="V473" i="1"/>
  <c r="AI482" i="1"/>
  <c r="S473" i="1"/>
  <c r="R473" i="1" s="1"/>
  <c r="P473" i="1"/>
  <c r="AR519" i="1"/>
  <c r="AO519" i="1"/>
  <c r="AN519" i="1" s="1"/>
  <c r="AL519" i="1"/>
  <c r="P509" i="1"/>
  <c r="V509" i="1"/>
  <c r="S509" i="1"/>
  <c r="R509" i="1" s="1"/>
  <c r="AI494" i="1"/>
  <c r="AP486" i="1"/>
  <c r="AQ486" i="1" s="1"/>
  <c r="S806" i="1"/>
  <c r="R806" i="1" s="1"/>
  <c r="AI791" i="1"/>
  <c r="P806" i="1"/>
  <c r="V806" i="1"/>
  <c r="S173" i="2"/>
  <c r="R173" i="2" s="1"/>
  <c r="P173" i="2"/>
  <c r="V173" i="2"/>
  <c r="AI165" i="2"/>
  <c r="S185" i="2"/>
  <c r="R185" i="2" s="1"/>
  <c r="V185" i="2"/>
  <c r="P185" i="2"/>
  <c r="AI170" i="2"/>
  <c r="AR275" i="2"/>
  <c r="AL275" i="2"/>
  <c r="AO275" i="2"/>
  <c r="AN275" i="2" s="1"/>
  <c r="V250" i="2"/>
  <c r="S250" i="2"/>
  <c r="R250" i="2" s="1"/>
  <c r="P250" i="2"/>
  <c r="AI255" i="2"/>
  <c r="S385" i="2"/>
  <c r="R385" i="2" s="1"/>
  <c r="V385" i="2"/>
  <c r="P385" i="2"/>
  <c r="AI390" i="2"/>
  <c r="S317" i="2"/>
  <c r="R317" i="2" s="1"/>
  <c r="AI313" i="2"/>
  <c r="V317" i="2"/>
  <c r="P317" i="2"/>
  <c r="AL528" i="2"/>
  <c r="AR528" i="2"/>
  <c r="AO528" i="2"/>
  <c r="AN528" i="2" s="1"/>
  <c r="AO780" i="2"/>
  <c r="AN780" i="2" s="1"/>
  <c r="AL780" i="2"/>
  <c r="AR780" i="2"/>
  <c r="S682" i="2"/>
  <c r="R682" i="2" s="1"/>
  <c r="AI687" i="2"/>
  <c r="V682" i="2"/>
  <c r="P682" i="2"/>
  <c r="AL718" i="2"/>
  <c r="AR718" i="2"/>
  <c r="AO718" i="2"/>
  <c r="AN718" i="2" s="1"/>
  <c r="AO42" i="3"/>
  <c r="AN42" i="3" s="1"/>
  <c r="AL42" i="3"/>
  <c r="AR42" i="3"/>
  <c r="P146" i="3"/>
  <c r="V146" i="3"/>
  <c r="AI138" i="3"/>
  <c r="S146" i="3"/>
  <c r="R146" i="3" s="1"/>
  <c r="V254" i="3"/>
  <c r="AI246" i="3"/>
  <c r="S254" i="3"/>
  <c r="R254" i="3" s="1"/>
  <c r="P254" i="3"/>
  <c r="AR336" i="3"/>
  <c r="AO336" i="3"/>
  <c r="AN336" i="3" s="1"/>
  <c r="AL336" i="3"/>
  <c r="V317" i="3"/>
  <c r="S317" i="3"/>
  <c r="R317" i="3" s="1"/>
  <c r="P317" i="3"/>
  <c r="AI313" i="3"/>
  <c r="S341" i="3"/>
  <c r="R341" i="3" s="1"/>
  <c r="P341" i="3"/>
  <c r="V341" i="3"/>
  <c r="AI350" i="3"/>
  <c r="AP504" i="3"/>
  <c r="AQ504" i="3" s="1"/>
  <c r="AI482" i="3"/>
  <c r="S473" i="3"/>
  <c r="R473" i="3" s="1"/>
  <c r="V473" i="3"/>
  <c r="P473" i="3"/>
  <c r="AR660" i="3"/>
  <c r="AO660" i="3"/>
  <c r="AN660" i="3" s="1"/>
  <c r="AL660" i="3"/>
  <c r="AP774" i="3"/>
  <c r="AQ774" i="3" s="1"/>
  <c r="AL161" i="1"/>
  <c r="AR161" i="1"/>
  <c r="AO161" i="1"/>
  <c r="AN161" i="1" s="1"/>
  <c r="AE261" i="1"/>
  <c r="AR331" i="1"/>
  <c r="AO331" i="1"/>
  <c r="AN331" i="1" s="1"/>
  <c r="AL331" i="1"/>
  <c r="AL376" i="1"/>
  <c r="AR376" i="1"/>
  <c r="AO376" i="1"/>
  <c r="AN376" i="1" s="1"/>
  <c r="AI539" i="1"/>
  <c r="V530" i="1"/>
  <c r="S530" i="1"/>
  <c r="R530" i="1" s="1"/>
  <c r="P530" i="1"/>
  <c r="AL438" i="1"/>
  <c r="AR438" i="1"/>
  <c r="AO438" i="1"/>
  <c r="AN438" i="1" s="1"/>
  <c r="AR455" i="1"/>
  <c r="AO455" i="1"/>
  <c r="AN455" i="1" s="1"/>
  <c r="AL455" i="1"/>
  <c r="S773" i="1"/>
  <c r="R773" i="1" s="1"/>
  <c r="P773" i="1"/>
  <c r="AI782" i="1"/>
  <c r="V773" i="1"/>
  <c r="S752" i="1"/>
  <c r="R752" i="1" s="1"/>
  <c r="AI737" i="1"/>
  <c r="P752" i="1"/>
  <c r="V752" i="1"/>
  <c r="AL94" i="2"/>
  <c r="AR94" i="2"/>
  <c r="AO94" i="2"/>
  <c r="AN94" i="2" s="1"/>
  <c r="AQ9" i="2"/>
  <c r="S62" i="2"/>
  <c r="R62" i="2" s="1"/>
  <c r="P62" i="2"/>
  <c r="AI67" i="2"/>
  <c r="V62" i="2"/>
  <c r="AE351" i="2"/>
  <c r="S204" i="2"/>
  <c r="R204" i="2" s="1"/>
  <c r="V204" i="2"/>
  <c r="AI213" i="2"/>
  <c r="P204" i="2"/>
  <c r="P526" i="2"/>
  <c r="AI518" i="2"/>
  <c r="S526" i="2"/>
  <c r="R526" i="2" s="1"/>
  <c r="V526" i="2"/>
  <c r="P342" i="2"/>
  <c r="V342" i="2"/>
  <c r="AI339" i="2"/>
  <c r="S342" i="2"/>
  <c r="R342" i="2" s="1"/>
  <c r="S499" i="2"/>
  <c r="R499" i="2" s="1"/>
  <c r="AI491" i="2"/>
  <c r="V499" i="2"/>
  <c r="P499" i="2"/>
  <c r="AR626" i="2"/>
  <c r="AO626" i="2"/>
  <c r="AN626" i="2" s="1"/>
  <c r="AL626" i="2"/>
  <c r="AR49" i="3"/>
  <c r="AO49" i="3"/>
  <c r="AN49" i="3" s="1"/>
  <c r="AL49" i="3"/>
  <c r="P744" i="2"/>
  <c r="V744" i="2"/>
  <c r="AI753" i="2"/>
  <c r="S744" i="2"/>
  <c r="R744" i="2" s="1"/>
  <c r="AO14" i="3"/>
  <c r="AN14" i="3" s="1"/>
  <c r="AL14" i="3"/>
  <c r="AR14" i="3"/>
  <c r="AO196" i="3"/>
  <c r="AN196" i="3" s="1"/>
  <c r="AL196" i="3"/>
  <c r="AR196" i="3"/>
  <c r="S185" i="3"/>
  <c r="R185" i="3" s="1"/>
  <c r="AI170" i="3"/>
  <c r="P185" i="3"/>
  <c r="V185" i="3"/>
  <c r="AO184" i="3"/>
  <c r="AN184" i="3" s="1"/>
  <c r="AL184" i="3"/>
  <c r="AR184" i="3"/>
  <c r="S319" i="3"/>
  <c r="R319" i="3" s="1"/>
  <c r="P319" i="3"/>
  <c r="AI304" i="3"/>
  <c r="V319" i="3"/>
  <c r="V344" i="3"/>
  <c r="S344" i="3"/>
  <c r="R344" i="3" s="1"/>
  <c r="AI340" i="3"/>
  <c r="P344" i="3"/>
  <c r="AI431" i="3"/>
  <c r="V422" i="3"/>
  <c r="S422" i="3"/>
  <c r="R422" i="3" s="1"/>
  <c r="P422" i="3"/>
  <c r="S469" i="3"/>
  <c r="R469" i="3" s="1"/>
  <c r="P469" i="3"/>
  <c r="V469" i="3"/>
  <c r="AI473" i="3"/>
  <c r="S585" i="3"/>
  <c r="R585" i="3" s="1"/>
  <c r="P585" i="3"/>
  <c r="AI582" i="3"/>
  <c r="V585" i="3"/>
  <c r="P720" i="3"/>
  <c r="AI717" i="3"/>
  <c r="V720" i="3"/>
  <c r="S720" i="3"/>
  <c r="R720" i="3" s="1"/>
  <c r="AO781" i="3"/>
  <c r="AN781" i="3" s="1"/>
  <c r="AL781" i="3"/>
  <c r="AR781" i="3"/>
  <c r="AL186" i="1"/>
  <c r="AO186" i="1"/>
  <c r="AN186" i="1" s="1"/>
  <c r="AR186" i="1"/>
  <c r="P228" i="1"/>
  <c r="V228" i="1"/>
  <c r="S228" i="1"/>
  <c r="R228" i="1" s="1"/>
  <c r="AI220" i="1"/>
  <c r="AP504" i="1"/>
  <c r="AQ504" i="1" s="1"/>
  <c r="AS863" i="2"/>
  <c r="AI26" i="2"/>
  <c r="V17" i="2"/>
  <c r="S17" i="2"/>
  <c r="R17" i="2" s="1"/>
  <c r="P17" i="2"/>
  <c r="AL187" i="2"/>
  <c r="AO187" i="2"/>
  <c r="AN187" i="2" s="1"/>
  <c r="AR187" i="2"/>
  <c r="S263" i="2"/>
  <c r="R263" i="2" s="1"/>
  <c r="AI259" i="2"/>
  <c r="P263" i="2"/>
  <c r="V263" i="2"/>
  <c r="AO366" i="2"/>
  <c r="AN366" i="2" s="1"/>
  <c r="AL366" i="2"/>
  <c r="AR366" i="2"/>
  <c r="V304" i="2"/>
  <c r="S304" i="2"/>
  <c r="R304" i="2" s="1"/>
  <c r="AI309" i="2"/>
  <c r="P304" i="2"/>
  <c r="M321" i="2"/>
  <c r="P575" i="2"/>
  <c r="AI580" i="2"/>
  <c r="V575" i="2"/>
  <c r="S575" i="2"/>
  <c r="R575" i="2" s="1"/>
  <c r="M807" i="2"/>
  <c r="AE27" i="3"/>
  <c r="AO111" i="3"/>
  <c r="AN111" i="3" s="1"/>
  <c r="AL111" i="3"/>
  <c r="AI117" i="3"/>
  <c r="AR111" i="3"/>
  <c r="AR206" i="3"/>
  <c r="AO206" i="3"/>
  <c r="AN206" i="3" s="1"/>
  <c r="AL206" i="3"/>
  <c r="S169" i="3"/>
  <c r="R169" i="3" s="1"/>
  <c r="P169" i="3"/>
  <c r="AI174" i="3"/>
  <c r="V169" i="3"/>
  <c r="AR354" i="3"/>
  <c r="AL354" i="3"/>
  <c r="AO354" i="3"/>
  <c r="AN354" i="3" s="1"/>
  <c r="AR492" i="3"/>
  <c r="AO492" i="3"/>
  <c r="AN492" i="3" s="1"/>
  <c r="AL492" i="3"/>
  <c r="V533" i="3"/>
  <c r="S533" i="3"/>
  <c r="R533" i="3" s="1"/>
  <c r="AI529" i="3"/>
  <c r="P533" i="3"/>
  <c r="P658" i="3"/>
  <c r="AI662" i="3"/>
  <c r="V658" i="3"/>
  <c r="S658" i="3"/>
  <c r="R658" i="3" s="1"/>
  <c r="P717" i="3"/>
  <c r="V717" i="3"/>
  <c r="AI726" i="3"/>
  <c r="S717" i="3"/>
  <c r="R717" i="3" s="1"/>
  <c r="AR768" i="3"/>
  <c r="AO768" i="3"/>
  <c r="AN768" i="3" s="1"/>
  <c r="AL768" i="3"/>
  <c r="V38" i="1"/>
  <c r="AI30" i="1"/>
  <c r="S38" i="1"/>
  <c r="R38" i="1" s="1"/>
  <c r="P38" i="1"/>
  <c r="AO134" i="1"/>
  <c r="AN134" i="1" s="1"/>
  <c r="AL134" i="1"/>
  <c r="AR134" i="1"/>
  <c r="AR167" i="1"/>
  <c r="AO167" i="1"/>
  <c r="AN167" i="1" s="1"/>
  <c r="AL167" i="1"/>
  <c r="AR51" i="1"/>
  <c r="AO51" i="1"/>
  <c r="AN51" i="1" s="1"/>
  <c r="AL51" i="1"/>
  <c r="M854" i="1"/>
  <c r="AE863" i="1"/>
  <c r="AB855" i="1"/>
  <c r="AJ855" i="1" s="1"/>
  <c r="AJ849" i="1"/>
  <c r="AL267" i="1"/>
  <c r="AR267" i="1"/>
  <c r="AO267" i="1"/>
  <c r="AN267" i="1" s="1"/>
  <c r="AP288" i="1"/>
  <c r="AQ288" i="1" s="1"/>
  <c r="S233" i="1"/>
  <c r="R233" i="1" s="1"/>
  <c r="AI242" i="1"/>
  <c r="V233" i="1"/>
  <c r="P233" i="1"/>
  <c r="AO440" i="1"/>
  <c r="AN440" i="1" s="1"/>
  <c r="AL440" i="1"/>
  <c r="AR440" i="1"/>
  <c r="AO561" i="1"/>
  <c r="AN561" i="1" s="1"/>
  <c r="AL561" i="1"/>
  <c r="AR561" i="1"/>
  <c r="V669" i="1"/>
  <c r="S669" i="1"/>
  <c r="R669" i="1" s="1"/>
  <c r="AI665" i="1"/>
  <c r="P669" i="1"/>
  <c r="V779" i="1"/>
  <c r="S779" i="1"/>
  <c r="R779" i="1" s="1"/>
  <c r="AI764" i="1"/>
  <c r="P779" i="1"/>
  <c r="AI95" i="2"/>
  <c r="V91" i="2"/>
  <c r="S91" i="2"/>
  <c r="R91" i="2" s="1"/>
  <c r="P91" i="2"/>
  <c r="AR60" i="2"/>
  <c r="AO60" i="2"/>
  <c r="AN60" i="2" s="1"/>
  <c r="AL60" i="2"/>
  <c r="AI85" i="2"/>
  <c r="V93" i="2"/>
  <c r="S93" i="2"/>
  <c r="R93" i="2" s="1"/>
  <c r="P93" i="2"/>
  <c r="AH243" i="2"/>
  <c r="S443" i="2"/>
  <c r="R443" i="2" s="1"/>
  <c r="P443" i="2"/>
  <c r="V443" i="2"/>
  <c r="AI435" i="2"/>
  <c r="V555" i="2"/>
  <c r="AI564" i="2"/>
  <c r="S555" i="2"/>
  <c r="R555" i="2" s="1"/>
  <c r="P555" i="2"/>
  <c r="AS814" i="3"/>
  <c r="S12" i="3"/>
  <c r="R12" i="3" s="1"/>
  <c r="P12" i="3"/>
  <c r="AI4" i="3"/>
  <c r="AI9" i="3" s="1"/>
  <c r="V12" i="3"/>
  <c r="AI808" i="2"/>
  <c r="V799" i="2"/>
  <c r="S799" i="2"/>
  <c r="R799" i="2" s="1"/>
  <c r="P799" i="2"/>
  <c r="AO724" i="2"/>
  <c r="AN724" i="2" s="1"/>
  <c r="AL724" i="2"/>
  <c r="AR724" i="2"/>
  <c r="AO788" i="2"/>
  <c r="AN788" i="2" s="1"/>
  <c r="AL788" i="2"/>
  <c r="AR788" i="2"/>
  <c r="AI34" i="3"/>
  <c r="P49" i="3"/>
  <c r="V49" i="3"/>
  <c r="S49" i="3"/>
  <c r="R49" i="3" s="1"/>
  <c r="P93" i="3"/>
  <c r="AI85" i="3"/>
  <c r="V93" i="3"/>
  <c r="S93" i="3"/>
  <c r="R93" i="3" s="1"/>
  <c r="U833" i="3"/>
  <c r="AQ818" i="3" s="1"/>
  <c r="AP818" i="3"/>
  <c r="AE834" i="3"/>
  <c r="M825" i="3"/>
  <c r="AI349" i="3"/>
  <c r="V340" i="3"/>
  <c r="S340" i="3"/>
  <c r="R340" i="3" s="1"/>
  <c r="P340" i="3"/>
  <c r="P501" i="3"/>
  <c r="V501" i="3"/>
  <c r="S501" i="3"/>
  <c r="R501" i="3" s="1"/>
  <c r="AI510" i="3"/>
  <c r="V547" i="3"/>
  <c r="S547" i="3"/>
  <c r="R547" i="3" s="1"/>
  <c r="P547" i="3"/>
  <c r="AI552" i="3"/>
  <c r="AR751" i="3"/>
  <c r="AO751" i="3"/>
  <c r="AN751" i="3" s="1"/>
  <c r="AL751" i="3"/>
  <c r="AE90" i="1"/>
  <c r="AI31" i="1"/>
  <c r="V39" i="1"/>
  <c r="S39" i="1"/>
  <c r="R39" i="1" s="1"/>
  <c r="P39" i="1"/>
  <c r="AS842" i="1"/>
  <c r="P13" i="1"/>
  <c r="AI5" i="1"/>
  <c r="V13" i="1"/>
  <c r="S13" i="1"/>
  <c r="R13" i="1" s="1"/>
  <c r="AI310" i="1"/>
  <c r="V305" i="1"/>
  <c r="S305" i="1"/>
  <c r="R305" i="1" s="1"/>
  <c r="P305" i="1"/>
  <c r="AP36" i="1"/>
  <c r="AQ36" i="1" s="1"/>
  <c r="AH243" i="1"/>
  <c r="AL490" i="1"/>
  <c r="AR490" i="1"/>
  <c r="AO490" i="1"/>
  <c r="AN490" i="1" s="1"/>
  <c r="S588" i="1"/>
  <c r="R588" i="1" s="1"/>
  <c r="AI584" i="1"/>
  <c r="P588" i="1"/>
  <c r="V588" i="1"/>
  <c r="S665" i="1"/>
  <c r="R665" i="1" s="1"/>
  <c r="P665" i="1"/>
  <c r="AI674" i="1"/>
  <c r="V665" i="1"/>
  <c r="AP558" i="1"/>
  <c r="AQ558" i="1" s="1"/>
  <c r="AO669" i="1"/>
  <c r="AN669" i="1" s="1"/>
  <c r="AL669" i="1"/>
  <c r="AR669" i="1"/>
  <c r="S724" i="1"/>
  <c r="R724" i="1" s="1"/>
  <c r="AI709" i="1"/>
  <c r="P724" i="1"/>
  <c r="V724" i="1"/>
  <c r="P766" i="1"/>
  <c r="AI770" i="1"/>
  <c r="V766" i="1"/>
  <c r="S766" i="1"/>
  <c r="R766" i="1" s="1"/>
  <c r="AL148" i="2"/>
  <c r="AR148" i="2"/>
  <c r="AO148" i="2"/>
  <c r="AN148" i="2" s="1"/>
  <c r="M848" i="2"/>
  <c r="AE840" i="2"/>
  <c r="AP864" i="2"/>
  <c r="AQ864" i="2" s="1"/>
  <c r="AO111" i="2"/>
  <c r="AN111" i="2" s="1"/>
  <c r="AL111" i="2"/>
  <c r="AR111" i="2"/>
  <c r="S343" i="2"/>
  <c r="R343" i="2" s="1"/>
  <c r="P343" i="2"/>
  <c r="AI330" i="2"/>
  <c r="V343" i="2"/>
  <c r="S400" i="2"/>
  <c r="R400" i="2" s="1"/>
  <c r="P400" i="2"/>
  <c r="V400" i="2"/>
  <c r="AI385" i="2"/>
  <c r="AO474" i="2"/>
  <c r="AN474" i="2" s="1"/>
  <c r="AL474" i="2"/>
  <c r="AR474" i="2"/>
  <c r="V804" i="2"/>
  <c r="S804" i="2"/>
  <c r="R804" i="2" s="1"/>
  <c r="AI800" i="2"/>
  <c r="P804" i="2"/>
  <c r="AR708" i="2"/>
  <c r="AO708" i="2"/>
  <c r="AN708" i="2" s="1"/>
  <c r="AL708" i="2"/>
  <c r="AI801" i="2"/>
  <c r="AR795" i="2"/>
  <c r="AO795" i="2"/>
  <c r="AN795" i="2" s="1"/>
  <c r="AL795" i="2"/>
  <c r="AL823" i="2"/>
  <c r="AR823" i="2"/>
  <c r="AO823" i="2"/>
  <c r="AN823" i="2" s="1"/>
  <c r="AE18" i="3"/>
  <c r="S180" i="3"/>
  <c r="R180" i="3" s="1"/>
  <c r="P180" i="3"/>
  <c r="AI177" i="3"/>
  <c r="V180" i="3"/>
  <c r="AI96" i="3"/>
  <c r="V99" i="3"/>
  <c r="S99" i="3"/>
  <c r="R99" i="3" s="1"/>
  <c r="P99" i="3"/>
  <c r="AI201" i="3"/>
  <c r="V196" i="3"/>
  <c r="S196" i="3"/>
  <c r="R196" i="3" s="1"/>
  <c r="P196" i="3"/>
  <c r="S228" i="3"/>
  <c r="R228" i="3" s="1"/>
  <c r="P228" i="3"/>
  <c r="AI220" i="3"/>
  <c r="V228" i="3"/>
  <c r="V122" i="3"/>
  <c r="AI131" i="3"/>
  <c r="S122" i="3"/>
  <c r="R122" i="3" s="1"/>
  <c r="P122" i="3"/>
  <c r="S234" i="3"/>
  <c r="R234" i="3" s="1"/>
  <c r="P234" i="3"/>
  <c r="AI231" i="3"/>
  <c r="V234" i="3"/>
  <c r="S364" i="3"/>
  <c r="R364" i="3" s="1"/>
  <c r="P364" i="3"/>
  <c r="AI356" i="3"/>
  <c r="AI360" i="3" s="1"/>
  <c r="V364" i="3"/>
  <c r="AH378" i="3"/>
  <c r="P800" i="3"/>
  <c r="AI809" i="3"/>
  <c r="V800" i="3"/>
  <c r="S800" i="3"/>
  <c r="R800" i="3" s="1"/>
  <c r="P128" i="1"/>
  <c r="AI124" i="1"/>
  <c r="V128" i="1"/>
  <c r="S128" i="1"/>
  <c r="R128" i="1" s="1"/>
  <c r="AI285" i="1"/>
  <c r="V288" i="1"/>
  <c r="S288" i="1"/>
  <c r="R288" i="1" s="1"/>
  <c r="P288" i="1"/>
  <c r="AP18" i="1"/>
  <c r="AQ18" i="1" s="1"/>
  <c r="AR516" i="1"/>
  <c r="AO516" i="1"/>
  <c r="AN516" i="1" s="1"/>
  <c r="AL516" i="1"/>
  <c r="S180" i="1"/>
  <c r="R180" i="1" s="1"/>
  <c r="P180" i="1"/>
  <c r="AI177" i="1"/>
  <c r="V180" i="1"/>
  <c r="AL148" i="1"/>
  <c r="AR148" i="1"/>
  <c r="AO148" i="1"/>
  <c r="AN148" i="1" s="1"/>
  <c r="AO140" i="1"/>
  <c r="AN140" i="1" s="1"/>
  <c r="AL140" i="1"/>
  <c r="AR140" i="1"/>
  <c r="AI401" i="1"/>
  <c r="S392" i="1"/>
  <c r="R392" i="1" s="1"/>
  <c r="P392" i="1"/>
  <c r="V392" i="1"/>
  <c r="AR266" i="1"/>
  <c r="AO266" i="1"/>
  <c r="AN266" i="1" s="1"/>
  <c r="AL266" i="1"/>
  <c r="AL410" i="1"/>
  <c r="AR410" i="1"/>
  <c r="AO410" i="1"/>
  <c r="AN410" i="1" s="1"/>
  <c r="AI264" i="1"/>
  <c r="V249" i="1"/>
  <c r="S249" i="1"/>
  <c r="R249" i="1" s="1"/>
  <c r="M267" i="1"/>
  <c r="P249" i="1"/>
  <c r="P385" i="1"/>
  <c r="AI390" i="1"/>
  <c r="V385" i="1"/>
  <c r="S385" i="1"/>
  <c r="R385" i="1" s="1"/>
  <c r="AO300" i="1"/>
  <c r="AN300" i="1" s="1"/>
  <c r="AL300" i="1"/>
  <c r="AI306" i="1"/>
  <c r="AR300" i="1"/>
  <c r="AP324" i="1"/>
  <c r="AQ324" i="1" s="1"/>
  <c r="AO664" i="1"/>
  <c r="AN664" i="1" s="1"/>
  <c r="AL664" i="1"/>
  <c r="AR664" i="1"/>
  <c r="S449" i="1"/>
  <c r="R449" i="1" s="1"/>
  <c r="P449" i="1"/>
  <c r="AI458" i="1"/>
  <c r="V449" i="1"/>
  <c r="AI617" i="1"/>
  <c r="S608" i="1"/>
  <c r="R608" i="1" s="1"/>
  <c r="P608" i="1"/>
  <c r="V608" i="1"/>
  <c r="AI687" i="1"/>
  <c r="V682" i="1"/>
  <c r="S682" i="1"/>
  <c r="R682" i="1" s="1"/>
  <c r="P682" i="1"/>
  <c r="V743" i="1"/>
  <c r="AI752" i="1"/>
  <c r="S743" i="1"/>
  <c r="R743" i="1" s="1"/>
  <c r="P743" i="1"/>
  <c r="AR121" i="2"/>
  <c r="AO121" i="2"/>
  <c r="AN121" i="2" s="1"/>
  <c r="AL121" i="2"/>
  <c r="AS854" i="2"/>
  <c r="S21" i="2"/>
  <c r="R21" i="2" s="1"/>
  <c r="AI17" i="2"/>
  <c r="P21" i="2"/>
  <c r="V21" i="2"/>
  <c r="AL340" i="2"/>
  <c r="AO340" i="2"/>
  <c r="AN340" i="2" s="1"/>
  <c r="AR340" i="2"/>
  <c r="AO535" i="2"/>
  <c r="AN535" i="2" s="1"/>
  <c r="AR535" i="2"/>
  <c r="AL535" i="2"/>
  <c r="V471" i="2"/>
  <c r="S471" i="2"/>
  <c r="R471" i="2" s="1"/>
  <c r="P471" i="2"/>
  <c r="AI463" i="2"/>
  <c r="P637" i="2"/>
  <c r="V637" i="2"/>
  <c r="S637" i="2"/>
  <c r="R637" i="2" s="1"/>
  <c r="AI646" i="2"/>
  <c r="AL697" i="2"/>
  <c r="AR697" i="2"/>
  <c r="AO697" i="2"/>
  <c r="AN697" i="2" s="1"/>
  <c r="AO778" i="2"/>
  <c r="AN778" i="2" s="1"/>
  <c r="AL778" i="2"/>
  <c r="AR778" i="2"/>
  <c r="P752" i="2"/>
  <c r="V752" i="2"/>
  <c r="S752" i="2"/>
  <c r="R752" i="2" s="1"/>
  <c r="AI737" i="2"/>
  <c r="AR134" i="3"/>
  <c r="AO134" i="3"/>
  <c r="AN134" i="3" s="1"/>
  <c r="AL134" i="3"/>
  <c r="AR116" i="3"/>
  <c r="AO116" i="3"/>
  <c r="AN116" i="3" s="1"/>
  <c r="AL116" i="3"/>
  <c r="AL348" i="3"/>
  <c r="AR348" i="3"/>
  <c r="AO348" i="3"/>
  <c r="AN348" i="3" s="1"/>
  <c r="AL617" i="3"/>
  <c r="AR617" i="3"/>
  <c r="AO617" i="3"/>
  <c r="AN617" i="3" s="1"/>
  <c r="P725" i="3"/>
  <c r="V725" i="3"/>
  <c r="S725" i="3"/>
  <c r="R725" i="3" s="1"/>
  <c r="AI710" i="3"/>
  <c r="AO502" i="1"/>
  <c r="AN502" i="1" s="1"/>
  <c r="AL502" i="1"/>
  <c r="AR502" i="1"/>
  <c r="AO80" i="1"/>
  <c r="AN80" i="1" s="1"/>
  <c r="AL80" i="1"/>
  <c r="AR80" i="1"/>
  <c r="AL35" i="1"/>
  <c r="AR35" i="1"/>
  <c r="AO35" i="1"/>
  <c r="AN35" i="1" s="1"/>
  <c r="AL94" i="1"/>
  <c r="AR94" i="1"/>
  <c r="AO94" i="1"/>
  <c r="AN94" i="1" s="1"/>
  <c r="AO463" i="1"/>
  <c r="AN463" i="1" s="1"/>
  <c r="AL463" i="1"/>
  <c r="AR463" i="1"/>
  <c r="AL626" i="1"/>
  <c r="AR626" i="1"/>
  <c r="AO626" i="1"/>
  <c r="AN626" i="1" s="1"/>
  <c r="AP549" i="1"/>
  <c r="AQ549" i="1" s="1"/>
  <c r="S690" i="1"/>
  <c r="R690" i="1" s="1"/>
  <c r="P690" i="1"/>
  <c r="V690" i="1"/>
  <c r="AI699" i="1"/>
  <c r="M132" i="2"/>
  <c r="AO715" i="1"/>
  <c r="AN715" i="1" s="1"/>
  <c r="AL715" i="1"/>
  <c r="AR715" i="1"/>
  <c r="S131" i="2"/>
  <c r="R131" i="2" s="1"/>
  <c r="AI116" i="2"/>
  <c r="P131" i="2"/>
  <c r="V131" i="2"/>
  <c r="AO807" i="1"/>
  <c r="AN807" i="1" s="1"/>
  <c r="AL807" i="1"/>
  <c r="AR807" i="1"/>
  <c r="AR152" i="2"/>
  <c r="AO152" i="2"/>
  <c r="AN152" i="2" s="1"/>
  <c r="AL152" i="2"/>
  <c r="S318" i="2"/>
  <c r="R318" i="2" s="1"/>
  <c r="AI314" i="2"/>
  <c r="P318" i="2"/>
  <c r="V318" i="2"/>
  <c r="S281" i="2"/>
  <c r="R281" i="2" s="1"/>
  <c r="V281" i="2"/>
  <c r="P281" i="2"/>
  <c r="AI273" i="2"/>
  <c r="AR483" i="2"/>
  <c r="AL483" i="2"/>
  <c r="AO483" i="2"/>
  <c r="AN483" i="2" s="1"/>
  <c r="AR348" i="2"/>
  <c r="AO348" i="2"/>
  <c r="AN348" i="2" s="1"/>
  <c r="AL348" i="2"/>
  <c r="V501" i="2"/>
  <c r="AI510" i="2"/>
  <c r="P501" i="2"/>
  <c r="S501" i="2"/>
  <c r="R501" i="2" s="1"/>
  <c r="AR629" i="2"/>
  <c r="AO629" i="2"/>
  <c r="AN629" i="2" s="1"/>
  <c r="AL629" i="2"/>
  <c r="S686" i="2"/>
  <c r="R686" i="2" s="1"/>
  <c r="V686" i="2"/>
  <c r="P686" i="2"/>
  <c r="AI678" i="2"/>
  <c r="AR70" i="3"/>
  <c r="AO70" i="3"/>
  <c r="AN70" i="3" s="1"/>
  <c r="AL70" i="3"/>
  <c r="AO102" i="3"/>
  <c r="AN102" i="3" s="1"/>
  <c r="AI108" i="3"/>
  <c r="AL102" i="3"/>
  <c r="AR102" i="3"/>
  <c r="AP243" i="3"/>
  <c r="AQ243" i="3" s="1"/>
  <c r="AR322" i="3"/>
  <c r="AO322" i="3"/>
  <c r="AN322" i="3" s="1"/>
  <c r="AL322" i="3"/>
  <c r="AP342" i="3"/>
  <c r="AQ342" i="3" s="1"/>
  <c r="AI376" i="3"/>
  <c r="S367" i="3"/>
  <c r="R367" i="3" s="1"/>
  <c r="P367" i="3"/>
  <c r="V367" i="3"/>
  <c r="AL483" i="3"/>
  <c r="AR483" i="3"/>
  <c r="AO483" i="3"/>
  <c r="AN483" i="3" s="1"/>
  <c r="AO475" i="3"/>
  <c r="AN475" i="3" s="1"/>
  <c r="AR475" i="3"/>
  <c r="AL475" i="3"/>
  <c r="AL302" i="1"/>
  <c r="AR302" i="1"/>
  <c r="AO302" i="1"/>
  <c r="AN302" i="1" s="1"/>
  <c r="P573" i="1"/>
  <c r="M591" i="1"/>
  <c r="AI588" i="1"/>
  <c r="V573" i="1"/>
  <c r="S573" i="1"/>
  <c r="R573" i="1" s="1"/>
  <c r="AL374" i="1"/>
  <c r="AR374" i="1"/>
  <c r="AO374" i="1"/>
  <c r="AN374" i="1" s="1"/>
  <c r="AL435" i="1"/>
  <c r="AI441" i="1"/>
  <c r="AR435" i="1"/>
  <c r="AO435" i="1"/>
  <c r="AN435" i="1" s="1"/>
  <c r="AL546" i="1"/>
  <c r="AR546" i="1"/>
  <c r="AO546" i="1"/>
  <c r="AN546" i="1" s="1"/>
  <c r="AE756" i="1"/>
  <c r="AI717" i="1"/>
  <c r="V720" i="1"/>
  <c r="S720" i="1"/>
  <c r="R720" i="1" s="1"/>
  <c r="P720" i="1"/>
  <c r="AL269" i="2"/>
  <c r="AO269" i="2"/>
  <c r="AN269" i="2" s="1"/>
  <c r="AR269" i="2"/>
  <c r="AE468" i="2"/>
  <c r="AR338" i="2"/>
  <c r="AL338" i="2"/>
  <c r="AO338" i="2"/>
  <c r="AN338" i="2" s="1"/>
  <c r="S664" i="2"/>
  <c r="R664" i="2" s="1"/>
  <c r="P664" i="2"/>
  <c r="AI673" i="2"/>
  <c r="V664" i="2"/>
  <c r="AL682" i="2"/>
  <c r="AR682" i="2"/>
  <c r="AO682" i="2"/>
  <c r="AN682" i="2" s="1"/>
  <c r="AL113" i="3"/>
  <c r="AR113" i="3"/>
  <c r="AO113" i="3"/>
  <c r="AN113" i="3" s="1"/>
  <c r="AL123" i="3"/>
  <c r="AR123" i="3"/>
  <c r="AO123" i="3"/>
  <c r="AN123" i="3" s="1"/>
  <c r="S103" i="3"/>
  <c r="R103" i="3" s="1"/>
  <c r="AI88" i="3"/>
  <c r="P103" i="3"/>
  <c r="V103" i="3"/>
  <c r="AR260" i="3"/>
  <c r="AO260" i="3"/>
  <c r="AN260" i="3" s="1"/>
  <c r="AL260" i="3"/>
  <c r="AO222" i="3"/>
  <c r="AN222" i="3" s="1"/>
  <c r="AL222" i="3"/>
  <c r="AR222" i="3"/>
  <c r="M294" i="3"/>
  <c r="S466" i="3"/>
  <c r="R466" i="3" s="1"/>
  <c r="AI471" i="3"/>
  <c r="V466" i="3"/>
  <c r="P466" i="3"/>
  <c r="V641" i="3"/>
  <c r="S641" i="3"/>
  <c r="R641" i="3" s="1"/>
  <c r="AI637" i="3"/>
  <c r="P641" i="3"/>
  <c r="M645" i="3"/>
  <c r="AI642" i="3"/>
  <c r="P627" i="3"/>
  <c r="V627" i="3"/>
  <c r="S627" i="3"/>
  <c r="R627" i="3" s="1"/>
  <c r="AE144" i="1"/>
  <c r="M843" i="1"/>
  <c r="I861" i="1"/>
  <c r="AE858" i="1"/>
  <c r="AE864" i="1" s="1"/>
  <c r="AO165" i="1"/>
  <c r="AN165" i="1" s="1"/>
  <c r="AL165" i="1"/>
  <c r="AI171" i="1"/>
  <c r="AR165" i="1"/>
  <c r="AL384" i="1"/>
  <c r="AR384" i="1"/>
  <c r="AO384" i="1"/>
  <c r="AN384" i="1" s="1"/>
  <c r="AC855" i="1"/>
  <c r="S360" i="1"/>
  <c r="R360" i="1" s="1"/>
  <c r="P360" i="1"/>
  <c r="V360" i="1"/>
  <c r="AI373" i="1"/>
  <c r="V589" i="1"/>
  <c r="S589" i="1"/>
  <c r="R589" i="1" s="1"/>
  <c r="AI574" i="1"/>
  <c r="P589" i="1"/>
  <c r="AI612" i="1"/>
  <c r="AR606" i="1"/>
  <c r="AO606" i="1"/>
  <c r="AN606" i="1" s="1"/>
  <c r="AL606" i="1"/>
  <c r="AO815" i="1"/>
  <c r="AN815" i="1" s="1"/>
  <c r="AL815" i="1"/>
  <c r="AR815" i="1"/>
  <c r="P713" i="1"/>
  <c r="V713" i="1"/>
  <c r="AI705" i="1"/>
  <c r="S713" i="1"/>
  <c r="R713" i="1" s="1"/>
  <c r="AH864" i="2"/>
  <c r="AH846" i="2"/>
  <c r="S289" i="2"/>
  <c r="R289" i="2" s="1"/>
  <c r="P289" i="2"/>
  <c r="V289" i="2"/>
  <c r="AI276" i="2"/>
  <c r="AO266" i="2"/>
  <c r="AN266" i="2" s="1"/>
  <c r="AR266" i="2"/>
  <c r="AL266" i="2"/>
  <c r="AP90" i="2"/>
  <c r="AQ90" i="2" s="1"/>
  <c r="AI500" i="2"/>
  <c r="V496" i="2"/>
  <c r="S496" i="2"/>
  <c r="R496" i="2" s="1"/>
  <c r="P496" i="2"/>
  <c r="AL561" i="2"/>
  <c r="AR561" i="2"/>
  <c r="AO561" i="2"/>
  <c r="AN561" i="2" s="1"/>
  <c r="AL602" i="2"/>
  <c r="AR602" i="2"/>
  <c r="AO602" i="2"/>
  <c r="AN602" i="2" s="1"/>
  <c r="AE693" i="2"/>
  <c r="S772" i="2"/>
  <c r="R772" i="2" s="1"/>
  <c r="P772" i="2"/>
  <c r="AI781" i="2"/>
  <c r="V772" i="2"/>
  <c r="AE36" i="3"/>
  <c r="V42" i="3"/>
  <c r="AI51" i="3"/>
  <c r="S42" i="3"/>
  <c r="R42" i="3" s="1"/>
  <c r="P42" i="3"/>
  <c r="AR275" i="3"/>
  <c r="AO275" i="3"/>
  <c r="AN275" i="3" s="1"/>
  <c r="AL275" i="3"/>
  <c r="AE144" i="3"/>
  <c r="AL215" i="3"/>
  <c r="AR215" i="3"/>
  <c r="AO215" i="3"/>
  <c r="AN215" i="3" s="1"/>
  <c r="AO382" i="3"/>
  <c r="AN382" i="3" s="1"/>
  <c r="AL382" i="3"/>
  <c r="AR382" i="3"/>
  <c r="AR527" i="3"/>
  <c r="AO527" i="3"/>
  <c r="AN527" i="3" s="1"/>
  <c r="AL527" i="3"/>
  <c r="AP567" i="3"/>
  <c r="AQ567" i="3" s="1"/>
  <c r="S611" i="3"/>
  <c r="R611" i="3" s="1"/>
  <c r="P611" i="3"/>
  <c r="V611" i="3"/>
  <c r="AI620" i="3"/>
  <c r="AI697" i="3"/>
  <c r="V684" i="3"/>
  <c r="S684" i="3"/>
  <c r="R684" i="3" s="1"/>
  <c r="P684" i="3"/>
  <c r="S719" i="3"/>
  <c r="R719" i="3" s="1"/>
  <c r="P719" i="3"/>
  <c r="AI728" i="3"/>
  <c r="V719" i="3"/>
  <c r="AI792" i="3"/>
  <c r="P75" i="1"/>
  <c r="V75" i="1"/>
  <c r="S75" i="1"/>
  <c r="R75" i="1" s="1"/>
  <c r="AI71" i="1"/>
  <c r="AI72" i="1" s="1"/>
  <c r="AI256" i="1"/>
  <c r="V251" i="1"/>
  <c r="S251" i="1"/>
  <c r="R251" i="1" s="1"/>
  <c r="P251" i="1"/>
  <c r="AL58" i="1"/>
  <c r="AR58" i="1"/>
  <c r="AO58" i="1"/>
  <c r="AN58" i="1" s="1"/>
  <c r="AL166" i="1"/>
  <c r="AR166" i="1"/>
  <c r="AO166" i="1"/>
  <c r="AN166" i="1" s="1"/>
  <c r="M856" i="1"/>
  <c r="AE843" i="1"/>
  <c r="AL464" i="1"/>
  <c r="AR464" i="1"/>
  <c r="AO464" i="1"/>
  <c r="AN464" i="1" s="1"/>
  <c r="AP216" i="1"/>
  <c r="AQ216" i="1" s="1"/>
  <c r="AL521" i="1"/>
  <c r="AR521" i="1"/>
  <c r="AO521" i="1"/>
  <c r="AN521" i="1" s="1"/>
  <c r="AE774" i="1"/>
  <c r="AO797" i="1"/>
  <c r="AN797" i="1" s="1"/>
  <c r="AL797" i="1"/>
  <c r="AR797" i="1"/>
  <c r="AI76" i="2"/>
  <c r="V63" i="2"/>
  <c r="S63" i="2"/>
  <c r="R63" i="2" s="1"/>
  <c r="P63" i="2"/>
  <c r="AR755" i="1"/>
  <c r="AO755" i="1"/>
  <c r="AN755" i="1" s="1"/>
  <c r="AL755" i="1"/>
  <c r="S340" i="2"/>
  <c r="R340" i="2" s="1"/>
  <c r="V340" i="2"/>
  <c r="P340" i="2"/>
  <c r="AI349" i="2"/>
  <c r="AO88" i="2"/>
  <c r="AN88" i="2" s="1"/>
  <c r="AL88" i="2"/>
  <c r="AR88" i="2"/>
  <c r="S371" i="2"/>
  <c r="R371" i="2" s="1"/>
  <c r="AI367" i="2"/>
  <c r="P371" i="2"/>
  <c r="V371" i="2"/>
  <c r="AR422" i="2"/>
  <c r="AL422" i="2"/>
  <c r="AO422" i="2"/>
  <c r="AN422" i="2" s="1"/>
  <c r="AL751" i="2"/>
  <c r="AR751" i="2"/>
  <c r="AO751" i="2"/>
  <c r="AN751" i="2" s="1"/>
  <c r="V576" i="2"/>
  <c r="AI589" i="2"/>
  <c r="S576" i="2"/>
  <c r="R576" i="2" s="1"/>
  <c r="P576" i="2"/>
  <c r="AR806" i="2"/>
  <c r="AO806" i="2"/>
  <c r="AN806" i="2" s="1"/>
  <c r="AL806" i="2"/>
  <c r="AL805" i="2"/>
  <c r="AR805" i="2"/>
  <c r="AO805" i="2"/>
  <c r="AN805" i="2" s="1"/>
  <c r="AI810" i="2"/>
  <c r="U827" i="3"/>
  <c r="AQ836" i="3" s="1"/>
  <c r="AP836" i="3"/>
  <c r="AR327" i="3"/>
  <c r="AO327" i="3"/>
  <c r="AN327" i="3" s="1"/>
  <c r="AL327" i="3"/>
  <c r="AI247" i="3"/>
  <c r="V255" i="3"/>
  <c r="S255" i="3"/>
  <c r="R255" i="3" s="1"/>
  <c r="P255" i="3"/>
  <c r="AO355" i="3"/>
  <c r="AN355" i="3" s="1"/>
  <c r="AR355" i="3"/>
  <c r="AL355" i="3"/>
  <c r="AL372" i="3"/>
  <c r="AR372" i="3"/>
  <c r="AO372" i="3"/>
  <c r="AN372" i="3" s="1"/>
  <c r="AI391" i="3"/>
  <c r="V386" i="3"/>
  <c r="S386" i="3"/>
  <c r="R386" i="3" s="1"/>
  <c r="P386" i="3"/>
  <c r="AI538" i="3"/>
  <c r="S529" i="3"/>
  <c r="R529" i="3" s="1"/>
  <c r="V529" i="3"/>
  <c r="P529" i="3"/>
  <c r="AP639" i="3"/>
  <c r="AQ639" i="3" s="1"/>
  <c r="V656" i="3"/>
  <c r="S656" i="3"/>
  <c r="R656" i="3" s="1"/>
  <c r="AI661" i="3"/>
  <c r="AI666" i="3" s="1"/>
  <c r="P656" i="3"/>
  <c r="AI725" i="3"/>
  <c r="S716" i="3"/>
  <c r="R716" i="3" s="1"/>
  <c r="P716" i="3"/>
  <c r="V716" i="3"/>
  <c r="AL782" i="3"/>
  <c r="AR782" i="3"/>
  <c r="AO782" i="3"/>
  <c r="AN782" i="3" s="1"/>
  <c r="P124" i="1"/>
  <c r="AI133" i="1"/>
  <c r="V124" i="1"/>
  <c r="S124" i="1"/>
  <c r="R124" i="1" s="1"/>
  <c r="P280" i="1"/>
  <c r="AI284" i="1"/>
  <c r="V280" i="1"/>
  <c r="S280" i="1"/>
  <c r="R280" i="1" s="1"/>
  <c r="AO328" i="1"/>
  <c r="AN328" i="1" s="1"/>
  <c r="AR328" i="1"/>
  <c r="AL328" i="1"/>
  <c r="AP63" i="1"/>
  <c r="AQ63" i="1" s="1"/>
  <c r="AO301" i="1"/>
  <c r="AN301" i="1" s="1"/>
  <c r="AL301" i="1"/>
  <c r="AR301" i="1"/>
  <c r="AR457" i="1"/>
  <c r="AO457" i="1"/>
  <c r="AN457" i="1" s="1"/>
  <c r="AL457" i="1"/>
  <c r="AL557" i="1"/>
  <c r="AR557" i="1"/>
  <c r="AO557" i="1"/>
  <c r="AN557" i="1" s="1"/>
  <c r="P504" i="1"/>
  <c r="AI501" i="1"/>
  <c r="V504" i="1"/>
  <c r="S504" i="1"/>
  <c r="R504" i="1" s="1"/>
  <c r="P42" i="2"/>
  <c r="V42" i="2"/>
  <c r="AI51" i="2"/>
  <c r="S42" i="2"/>
  <c r="R42" i="2" s="1"/>
  <c r="AP594" i="1"/>
  <c r="AQ594" i="1" s="1"/>
  <c r="AR34" i="2"/>
  <c r="AO34" i="2"/>
  <c r="AN34" i="2" s="1"/>
  <c r="AL34" i="2"/>
  <c r="V48" i="2"/>
  <c r="S48" i="2"/>
  <c r="R48" i="2" s="1"/>
  <c r="AI44" i="2"/>
  <c r="P48" i="2"/>
  <c r="AL228" i="2"/>
  <c r="AR228" i="2"/>
  <c r="AO228" i="2"/>
  <c r="AN228" i="2" s="1"/>
  <c r="AS861" i="2"/>
  <c r="AI24" i="2"/>
  <c r="S15" i="2"/>
  <c r="R15" i="2" s="1"/>
  <c r="P15" i="2"/>
  <c r="V15" i="2"/>
  <c r="AL391" i="2"/>
  <c r="AR391" i="2"/>
  <c r="AO391" i="2"/>
  <c r="AN391" i="2" s="1"/>
  <c r="V397" i="2"/>
  <c r="S397" i="2"/>
  <c r="R397" i="2" s="1"/>
  <c r="AI384" i="2"/>
  <c r="P397" i="2"/>
  <c r="S523" i="2"/>
  <c r="R523" i="2" s="1"/>
  <c r="V523" i="2"/>
  <c r="P523" i="2"/>
  <c r="AI527" i="2"/>
  <c r="AH675" i="2"/>
  <c r="AR744" i="2"/>
  <c r="AO744" i="2"/>
  <c r="AN744" i="2" s="1"/>
  <c r="AL744" i="2"/>
  <c r="S577" i="2"/>
  <c r="R577" i="2" s="1"/>
  <c r="AI581" i="2"/>
  <c r="P577" i="2"/>
  <c r="V577" i="2"/>
  <c r="AL743" i="2"/>
  <c r="AR743" i="2"/>
  <c r="AO743" i="2"/>
  <c r="AN743" i="2" s="1"/>
  <c r="AL79" i="3"/>
  <c r="AR79" i="3"/>
  <c r="AO79" i="3"/>
  <c r="AN79" i="3" s="1"/>
  <c r="AP135" i="3"/>
  <c r="AQ135" i="3" s="1"/>
  <c r="P224" i="3"/>
  <c r="AI229" i="3"/>
  <c r="V224" i="3"/>
  <c r="S224" i="3"/>
  <c r="R224" i="3" s="1"/>
  <c r="AI384" i="3"/>
  <c r="V397" i="3"/>
  <c r="S397" i="3"/>
  <c r="R397" i="3" s="1"/>
  <c r="P397" i="3"/>
  <c r="AR373" i="3"/>
  <c r="AO373" i="3"/>
  <c r="AN373" i="3" s="1"/>
  <c r="AL373" i="3"/>
  <c r="AL548" i="3"/>
  <c r="AR548" i="3"/>
  <c r="AO548" i="3"/>
  <c r="AN548" i="3" s="1"/>
  <c r="P549" i="3"/>
  <c r="AI562" i="3"/>
  <c r="V549" i="3"/>
  <c r="S549" i="3"/>
  <c r="R549" i="3" s="1"/>
  <c r="AO60" i="1"/>
  <c r="AN60" i="1" s="1"/>
  <c r="AL60" i="1"/>
  <c r="AR60" i="1"/>
  <c r="AO150" i="1"/>
  <c r="AN150" i="1" s="1"/>
  <c r="AL150" i="1"/>
  <c r="AR150" i="1"/>
  <c r="P282" i="1"/>
  <c r="V282" i="1"/>
  <c r="S282" i="1"/>
  <c r="R282" i="1" s="1"/>
  <c r="AI274" i="1"/>
  <c r="AI187" i="1"/>
  <c r="AI189" i="1" s="1"/>
  <c r="P178" i="1"/>
  <c r="V178" i="1"/>
  <c r="S178" i="1"/>
  <c r="R178" i="1" s="1"/>
  <c r="AL611" i="1"/>
  <c r="AR611" i="1"/>
  <c r="AO611" i="1"/>
  <c r="AN611" i="1" s="1"/>
  <c r="AL489" i="1"/>
  <c r="AI495" i="1"/>
  <c r="AR489" i="1"/>
  <c r="AO489" i="1"/>
  <c r="AN489" i="1" s="1"/>
  <c r="AO636" i="1"/>
  <c r="AN636" i="1" s="1"/>
  <c r="AL636" i="1"/>
  <c r="AR636" i="1"/>
  <c r="M699" i="1"/>
  <c r="AI696" i="1"/>
  <c r="P681" i="1"/>
  <c r="V681" i="1"/>
  <c r="S681" i="1"/>
  <c r="R681" i="1" s="1"/>
  <c r="P45" i="2"/>
  <c r="AI42" i="2"/>
  <c r="V45" i="2"/>
  <c r="S45" i="2"/>
  <c r="R45" i="2" s="1"/>
  <c r="AO751" i="1"/>
  <c r="AN751" i="1" s="1"/>
  <c r="AL751" i="1"/>
  <c r="AR751" i="1"/>
  <c r="M846" i="2"/>
  <c r="AE859" i="2"/>
  <c r="AE864" i="2" s="1"/>
  <c r="AS849" i="2"/>
  <c r="V7" i="2"/>
  <c r="S7" i="2"/>
  <c r="R7" i="2" s="1"/>
  <c r="P7" i="2"/>
  <c r="AI12" i="2"/>
  <c r="V146" i="2"/>
  <c r="AI138" i="2"/>
  <c r="S146" i="2"/>
  <c r="R146" i="2" s="1"/>
  <c r="P146" i="2"/>
  <c r="V255" i="2"/>
  <c r="S255" i="2"/>
  <c r="R255" i="2" s="1"/>
  <c r="P255" i="2"/>
  <c r="AI247" i="2"/>
  <c r="AP279" i="2"/>
  <c r="AQ279" i="2" s="1"/>
  <c r="AL372" i="2"/>
  <c r="AR372" i="2"/>
  <c r="AO372" i="2"/>
  <c r="AN372" i="2" s="1"/>
  <c r="V659" i="2"/>
  <c r="S659" i="2"/>
  <c r="R659" i="2" s="1"/>
  <c r="P659" i="2"/>
  <c r="AI651" i="2"/>
  <c r="AE549" i="2"/>
  <c r="AE702" i="2"/>
  <c r="S602" i="2"/>
  <c r="R602" i="2" s="1"/>
  <c r="P602" i="2"/>
  <c r="AI607" i="2"/>
  <c r="V602" i="2"/>
  <c r="AL786" i="2"/>
  <c r="AI792" i="2"/>
  <c r="AR786" i="2"/>
  <c r="AO786" i="2"/>
  <c r="AN786" i="2" s="1"/>
  <c r="S751" i="2"/>
  <c r="R751" i="2" s="1"/>
  <c r="AI736" i="2"/>
  <c r="P751" i="2"/>
  <c r="V751" i="2"/>
  <c r="AL48" i="3"/>
  <c r="AR48" i="3"/>
  <c r="AO48" i="3"/>
  <c r="AN48" i="3" s="1"/>
  <c r="AS822" i="3"/>
  <c r="AO302" i="3"/>
  <c r="AN302" i="3" s="1"/>
  <c r="AL302" i="3"/>
  <c r="AR302" i="3"/>
  <c r="AL197" i="3"/>
  <c r="AR197" i="3"/>
  <c r="AO197" i="3"/>
  <c r="AN197" i="3" s="1"/>
  <c r="AO204" i="3"/>
  <c r="AN204" i="3" s="1"/>
  <c r="AL204" i="3"/>
  <c r="AR204" i="3"/>
  <c r="P291" i="3"/>
  <c r="V291" i="3"/>
  <c r="S291" i="3"/>
  <c r="R291" i="3" s="1"/>
  <c r="AI287" i="3"/>
  <c r="AE387" i="3"/>
  <c r="AO457" i="3"/>
  <c r="AN457" i="3" s="1"/>
  <c r="AL457" i="3"/>
  <c r="AR457" i="3"/>
  <c r="AL680" i="3"/>
  <c r="AR680" i="3"/>
  <c r="AO680" i="3"/>
  <c r="AN680" i="3" s="1"/>
  <c r="M780" i="3"/>
  <c r="AI777" i="3"/>
  <c r="V762" i="3"/>
  <c r="S762" i="3"/>
  <c r="R762" i="3" s="1"/>
  <c r="P762" i="3"/>
  <c r="V92" i="1"/>
  <c r="AI84" i="1"/>
  <c r="S92" i="1"/>
  <c r="R92" i="1" s="1"/>
  <c r="P92" i="1"/>
  <c r="AR113" i="1"/>
  <c r="AO113" i="1"/>
  <c r="AN113" i="1" s="1"/>
  <c r="AL113" i="1"/>
  <c r="M848" i="1"/>
  <c r="AE840" i="1"/>
  <c r="AL309" i="1"/>
  <c r="AI315" i="1"/>
  <c r="AR309" i="1"/>
  <c r="AO309" i="1"/>
  <c r="AN309" i="1" s="1"/>
  <c r="AL428" i="1"/>
  <c r="AR428" i="1"/>
  <c r="AO428" i="1"/>
  <c r="AN428" i="1" s="1"/>
  <c r="AO635" i="1"/>
  <c r="AN635" i="1" s="1"/>
  <c r="AL635" i="1"/>
  <c r="AR635" i="1"/>
  <c r="S629" i="1"/>
  <c r="R629" i="1" s="1"/>
  <c r="P629" i="1"/>
  <c r="AI634" i="1"/>
  <c r="V629" i="1"/>
  <c r="AE810" i="1"/>
  <c r="AL597" i="1"/>
  <c r="AR597" i="1"/>
  <c r="AO597" i="1"/>
  <c r="AN597" i="1" s="1"/>
  <c r="AO761" i="1"/>
  <c r="AN761" i="1" s="1"/>
  <c r="AL761" i="1"/>
  <c r="AR761" i="1"/>
  <c r="AP243" i="2"/>
  <c r="AQ243" i="2" s="1"/>
  <c r="AC846" i="2"/>
  <c r="S177" i="2"/>
  <c r="R177" i="2" s="1"/>
  <c r="V177" i="2"/>
  <c r="AI186" i="2"/>
  <c r="P177" i="2"/>
  <c r="AI267" i="2"/>
  <c r="P258" i="2"/>
  <c r="V258" i="2"/>
  <c r="S258" i="2"/>
  <c r="R258" i="2" s="1"/>
  <c r="AR248" i="2"/>
  <c r="AL248" i="2"/>
  <c r="AO248" i="2"/>
  <c r="AN248" i="2" s="1"/>
  <c r="AO565" i="2"/>
  <c r="AN565" i="2" s="1"/>
  <c r="AL565" i="2"/>
  <c r="AR565" i="2"/>
  <c r="AR690" i="2"/>
  <c r="AO690" i="2"/>
  <c r="AN690" i="2" s="1"/>
  <c r="AL690" i="2"/>
  <c r="S656" i="2"/>
  <c r="R656" i="2" s="1"/>
  <c r="P656" i="2"/>
  <c r="AI661" i="2"/>
  <c r="V656" i="2"/>
  <c r="AI728" i="2"/>
  <c r="V719" i="2"/>
  <c r="S719" i="2"/>
  <c r="R719" i="2" s="1"/>
  <c r="P719" i="2"/>
  <c r="AS823" i="3"/>
  <c r="P8" i="3"/>
  <c r="AI13" i="3"/>
  <c r="V8" i="3"/>
  <c r="S8" i="3"/>
  <c r="R8" i="3" s="1"/>
  <c r="P819" i="2"/>
  <c r="AI832" i="2"/>
  <c r="V819" i="2"/>
  <c r="S819" i="2"/>
  <c r="R819" i="2" s="1"/>
  <c r="AO273" i="3"/>
  <c r="AN273" i="3" s="1"/>
  <c r="AL273" i="3"/>
  <c r="AI279" i="3"/>
  <c r="AR273" i="3"/>
  <c r="AI193" i="3"/>
  <c r="V201" i="3"/>
  <c r="S201" i="3"/>
  <c r="R201" i="3" s="1"/>
  <c r="P201" i="3"/>
  <c r="AL319" i="3"/>
  <c r="AR319" i="3"/>
  <c r="AO319" i="3"/>
  <c r="AN319" i="3" s="1"/>
  <c r="P562" i="3"/>
  <c r="V562" i="3"/>
  <c r="S562" i="3"/>
  <c r="R562" i="3" s="1"/>
  <c r="AI547" i="3"/>
  <c r="P660" i="3"/>
  <c r="AI652" i="3"/>
  <c r="AI657" i="3" s="1"/>
  <c r="V660" i="3"/>
  <c r="S660" i="3"/>
  <c r="R660" i="3" s="1"/>
  <c r="AO230" i="2"/>
  <c r="AN230" i="2" s="1"/>
  <c r="AR230" i="2"/>
  <c r="AL230" i="2"/>
  <c r="S313" i="2"/>
  <c r="R313" i="2" s="1"/>
  <c r="V313" i="2"/>
  <c r="AI322" i="2"/>
  <c r="P313" i="2"/>
  <c r="AI457" i="2"/>
  <c r="V448" i="2"/>
  <c r="S448" i="2"/>
  <c r="R448" i="2" s="1"/>
  <c r="P448" i="2"/>
  <c r="AO399" i="2"/>
  <c r="AN399" i="2" s="1"/>
  <c r="AL399" i="2"/>
  <c r="AR399" i="2"/>
  <c r="AL582" i="2"/>
  <c r="AR582" i="2"/>
  <c r="AO582" i="2"/>
  <c r="AN582" i="2" s="1"/>
  <c r="AL815" i="2"/>
  <c r="AR815" i="2"/>
  <c r="AO815" i="2"/>
  <c r="AN815" i="2" s="1"/>
  <c r="S141" i="3"/>
  <c r="R141" i="3" s="1"/>
  <c r="P141" i="3"/>
  <c r="M159" i="3"/>
  <c r="AI156" i="3"/>
  <c r="V141" i="3"/>
  <c r="M186" i="3"/>
  <c r="AI183" i="3"/>
  <c r="V168" i="3"/>
  <c r="S168" i="3"/>
  <c r="R168" i="3" s="1"/>
  <c r="P168" i="3"/>
  <c r="AR339" i="3"/>
  <c r="AO339" i="3"/>
  <c r="AN339" i="3" s="1"/>
  <c r="AL339" i="3"/>
  <c r="S321" i="3"/>
  <c r="R321" i="3" s="1"/>
  <c r="V321" i="3"/>
  <c r="P321" i="3"/>
  <c r="AI329" i="3"/>
  <c r="V337" i="3"/>
  <c r="S337" i="3"/>
  <c r="R337" i="3" s="1"/>
  <c r="P337" i="3"/>
  <c r="V443" i="3"/>
  <c r="AI435" i="3"/>
  <c r="S443" i="3"/>
  <c r="R443" i="3" s="1"/>
  <c r="P443" i="3"/>
  <c r="AI394" i="3"/>
  <c r="V398" i="3"/>
  <c r="S398" i="3"/>
  <c r="R398" i="3" s="1"/>
  <c r="P398" i="3"/>
  <c r="AL474" i="3"/>
  <c r="AR474" i="3"/>
  <c r="AO474" i="3"/>
  <c r="AN474" i="3" s="1"/>
  <c r="S470" i="3"/>
  <c r="R470" i="3" s="1"/>
  <c r="P470" i="3"/>
  <c r="V470" i="3"/>
  <c r="AI462" i="3"/>
  <c r="S559" i="3"/>
  <c r="R559" i="3" s="1"/>
  <c r="AI546" i="3"/>
  <c r="P559" i="3"/>
  <c r="V559" i="3"/>
  <c r="P631" i="3"/>
  <c r="AI635" i="3"/>
  <c r="V631" i="3"/>
  <c r="S631" i="3"/>
  <c r="R631" i="3" s="1"/>
  <c r="AI673" i="3"/>
  <c r="V664" i="3"/>
  <c r="S664" i="3"/>
  <c r="R664" i="3" s="1"/>
  <c r="P664" i="3"/>
  <c r="AI796" i="3"/>
  <c r="P791" i="3"/>
  <c r="V791" i="3"/>
  <c r="S791" i="3"/>
  <c r="R791" i="3" s="1"/>
  <c r="AR59" i="1"/>
  <c r="AO59" i="1"/>
  <c r="AN59" i="1" s="1"/>
  <c r="AL59" i="1"/>
  <c r="AI339" i="1"/>
  <c r="V342" i="1"/>
  <c r="S342" i="1"/>
  <c r="R342" i="1" s="1"/>
  <c r="P342" i="1"/>
  <c r="AO625" i="1"/>
  <c r="AN625" i="1" s="1"/>
  <c r="AL625" i="1"/>
  <c r="AR625" i="1"/>
  <c r="AO645" i="1"/>
  <c r="AN645" i="1" s="1"/>
  <c r="AL645" i="1"/>
  <c r="AR645" i="1"/>
  <c r="AO556" i="1"/>
  <c r="AN556" i="1" s="1"/>
  <c r="AL556" i="1"/>
  <c r="AR556" i="1"/>
  <c r="P714" i="1"/>
  <c r="AI706" i="1"/>
  <c r="V714" i="1"/>
  <c r="S714" i="1"/>
  <c r="R714" i="1" s="1"/>
  <c r="P709" i="1"/>
  <c r="AI714" i="1"/>
  <c r="V709" i="1"/>
  <c r="S709" i="1"/>
  <c r="R709" i="1" s="1"/>
  <c r="AO753" i="1"/>
  <c r="AN753" i="1" s="1"/>
  <c r="AL753" i="1"/>
  <c r="AR753" i="1"/>
  <c r="S849" i="2"/>
  <c r="R849" i="2" s="1"/>
  <c r="AI841" i="2"/>
  <c r="P849" i="2"/>
  <c r="V849" i="2"/>
  <c r="AR105" i="2"/>
  <c r="AO105" i="2"/>
  <c r="AN105" i="2" s="1"/>
  <c r="AL105" i="2"/>
  <c r="AS850" i="2"/>
  <c r="S8" i="2"/>
  <c r="R8" i="2" s="1"/>
  <c r="P8" i="2"/>
  <c r="AI13" i="2"/>
  <c r="V8" i="2"/>
  <c r="AI240" i="2"/>
  <c r="S231" i="2"/>
  <c r="R231" i="2" s="1"/>
  <c r="V231" i="2"/>
  <c r="P231" i="2"/>
  <c r="AO428" i="2"/>
  <c r="AN428" i="2" s="1"/>
  <c r="AR428" i="2"/>
  <c r="AL428" i="2"/>
  <c r="S524" i="2"/>
  <c r="R524" i="2" s="1"/>
  <c r="P524" i="2"/>
  <c r="AI516" i="2"/>
  <c r="V524" i="2"/>
  <c r="AR419" i="2"/>
  <c r="AO419" i="2"/>
  <c r="AN419" i="2" s="1"/>
  <c r="AL419" i="2"/>
  <c r="AI486" i="2"/>
  <c r="AL480" i="2"/>
  <c r="AR480" i="2"/>
  <c r="AO480" i="2"/>
  <c r="AN480" i="2" s="1"/>
  <c r="AR616" i="2"/>
  <c r="AO616" i="2"/>
  <c r="AN616" i="2" s="1"/>
  <c r="AL616" i="2"/>
  <c r="AL502" i="2"/>
  <c r="AO502" i="2"/>
  <c r="AN502" i="2" s="1"/>
  <c r="AR502" i="2"/>
  <c r="S636" i="2"/>
  <c r="R636" i="2" s="1"/>
  <c r="P636" i="2"/>
  <c r="V636" i="2"/>
  <c r="AI645" i="2"/>
  <c r="AI782" i="2"/>
  <c r="V773" i="2"/>
  <c r="S773" i="2"/>
  <c r="R773" i="2" s="1"/>
  <c r="P773" i="2"/>
  <c r="AO716" i="2"/>
  <c r="AN716" i="2" s="1"/>
  <c r="AL716" i="2"/>
  <c r="AR716" i="2"/>
  <c r="AS827" i="3"/>
  <c r="P21" i="3"/>
  <c r="V21" i="3"/>
  <c r="S21" i="3"/>
  <c r="R21" i="3" s="1"/>
  <c r="AI17" i="3"/>
  <c r="V104" i="3"/>
  <c r="S104" i="3"/>
  <c r="R104" i="3" s="1"/>
  <c r="AI89" i="3"/>
  <c r="P104" i="3"/>
  <c r="AP831" i="3"/>
  <c r="AP837" i="3" s="1"/>
  <c r="AQ837" i="3" s="1"/>
  <c r="T834" i="3"/>
  <c r="U834" i="3" s="1"/>
  <c r="U816" i="3"/>
  <c r="AQ831" i="3" s="1"/>
  <c r="M105" i="3"/>
  <c r="S35" i="3"/>
  <c r="R35" i="3" s="1"/>
  <c r="P35" i="3"/>
  <c r="AI40" i="3"/>
  <c r="V35" i="3"/>
  <c r="AR237" i="3"/>
  <c r="AO237" i="3"/>
  <c r="AN237" i="3" s="1"/>
  <c r="AL237" i="3"/>
  <c r="S421" i="3"/>
  <c r="R421" i="3" s="1"/>
  <c r="P421" i="3"/>
  <c r="AI430" i="3"/>
  <c r="V421" i="3"/>
  <c r="AL454" i="3"/>
  <c r="AR454" i="3"/>
  <c r="AO454" i="3"/>
  <c r="AN454" i="3" s="1"/>
  <c r="AI549" i="3"/>
  <c r="AR543" i="3"/>
  <c r="AO543" i="3"/>
  <c r="AN543" i="3" s="1"/>
  <c r="AL543" i="3"/>
  <c r="V576" i="3"/>
  <c r="AI589" i="3"/>
  <c r="S576" i="3"/>
  <c r="R576" i="3" s="1"/>
  <c r="P576" i="3"/>
  <c r="V710" i="3"/>
  <c r="S710" i="3"/>
  <c r="R710" i="3" s="1"/>
  <c r="P710" i="3"/>
  <c r="AI715" i="3"/>
  <c r="AO779" i="3"/>
  <c r="AN779" i="3" s="1"/>
  <c r="AL779" i="3"/>
  <c r="AR779" i="3"/>
  <c r="AO179" i="1"/>
  <c r="AN179" i="1" s="1"/>
  <c r="AL179" i="1"/>
  <c r="AR179" i="1"/>
  <c r="S77" i="1"/>
  <c r="R77" i="1" s="1"/>
  <c r="AI62" i="1"/>
  <c r="P77" i="1"/>
  <c r="V77" i="1"/>
  <c r="P90" i="1"/>
  <c r="AI103" i="1"/>
  <c r="V90" i="1"/>
  <c r="S90" i="1"/>
  <c r="R90" i="1" s="1"/>
  <c r="AI188" i="1"/>
  <c r="V179" i="1"/>
  <c r="S179" i="1"/>
  <c r="R179" i="1" s="1"/>
  <c r="P179" i="1"/>
  <c r="AL381" i="1"/>
  <c r="AI387" i="1"/>
  <c r="AR381" i="1"/>
  <c r="AO381" i="1"/>
  <c r="AN381" i="1" s="1"/>
  <c r="AO653" i="1"/>
  <c r="AN653" i="1" s="1"/>
  <c r="AL653" i="1"/>
  <c r="AR653" i="1"/>
  <c r="AL214" i="2"/>
  <c r="AR214" i="2"/>
  <c r="AO214" i="2"/>
  <c r="AN214" i="2" s="1"/>
  <c r="AL161" i="2"/>
  <c r="AR161" i="2"/>
  <c r="AO161" i="2"/>
  <c r="AN161" i="2" s="1"/>
  <c r="V470" i="2"/>
  <c r="AI462" i="2"/>
  <c r="S470" i="2"/>
  <c r="R470" i="2" s="1"/>
  <c r="P470" i="2"/>
  <c r="AR429" i="2"/>
  <c r="AO429" i="2"/>
  <c r="AN429" i="2" s="1"/>
  <c r="AL429" i="2"/>
  <c r="S239" i="3"/>
  <c r="R239" i="3" s="1"/>
  <c r="AI224" i="3"/>
  <c r="P239" i="3"/>
  <c r="V239" i="3"/>
  <c r="AR357" i="3"/>
  <c r="AO357" i="3"/>
  <c r="AN357" i="3" s="1"/>
  <c r="AL357" i="3"/>
  <c r="AO502" i="3"/>
  <c r="AN502" i="3" s="1"/>
  <c r="AL502" i="3"/>
  <c r="AR502" i="3"/>
  <c r="AP558" i="3"/>
  <c r="AQ558" i="3" s="1"/>
  <c r="S630" i="3"/>
  <c r="R630" i="3" s="1"/>
  <c r="V630" i="3"/>
  <c r="P630" i="3"/>
  <c r="AI643" i="3"/>
  <c r="AO736" i="3"/>
  <c r="AN736" i="3" s="1"/>
  <c r="AL736" i="3"/>
  <c r="AR736" i="3"/>
  <c r="AO762" i="3"/>
  <c r="AN762" i="3" s="1"/>
  <c r="AL762" i="3"/>
  <c r="AR762" i="3"/>
  <c r="V146" i="1"/>
  <c r="AI138" i="1"/>
  <c r="S146" i="1"/>
  <c r="R146" i="1" s="1"/>
  <c r="P146" i="1"/>
  <c r="AI39" i="1"/>
  <c r="V34" i="1"/>
  <c r="S34" i="1"/>
  <c r="R34" i="1" s="1"/>
  <c r="P34" i="1"/>
  <c r="AR323" i="1"/>
  <c r="AO323" i="1"/>
  <c r="AN323" i="1" s="1"/>
  <c r="AL323" i="1"/>
  <c r="AI147" i="1"/>
  <c r="V142" i="1"/>
  <c r="S142" i="1"/>
  <c r="R142" i="1" s="1"/>
  <c r="P142" i="1"/>
  <c r="AC864" i="1"/>
  <c r="AO14" i="1"/>
  <c r="AN14" i="1" s="1"/>
  <c r="AL14" i="1"/>
  <c r="AR14" i="1"/>
  <c r="S279" i="1"/>
  <c r="R279" i="1" s="1"/>
  <c r="P279" i="1"/>
  <c r="AI292" i="1"/>
  <c r="V279" i="1"/>
  <c r="AE849" i="1"/>
  <c r="M844" i="1"/>
  <c r="S333" i="1"/>
  <c r="R333" i="1" s="1"/>
  <c r="P333" i="1"/>
  <c r="AI346" i="1"/>
  <c r="V333" i="1"/>
  <c r="AO599" i="1"/>
  <c r="AN599" i="1" s="1"/>
  <c r="AL599" i="1"/>
  <c r="AR599" i="1"/>
  <c r="S641" i="1"/>
  <c r="R641" i="1" s="1"/>
  <c r="P641" i="1"/>
  <c r="AI637" i="1"/>
  <c r="V641" i="1"/>
  <c r="AE540" i="1"/>
  <c r="AO507" i="1"/>
  <c r="AN507" i="1" s="1"/>
  <c r="AI513" i="1"/>
  <c r="AL507" i="1"/>
  <c r="AR507" i="1"/>
  <c r="AO607" i="1"/>
  <c r="AN607" i="1" s="1"/>
  <c r="AL607" i="1"/>
  <c r="AR607" i="1"/>
  <c r="V535" i="1"/>
  <c r="S535" i="1"/>
  <c r="R535" i="1" s="1"/>
  <c r="AI520" i="1"/>
  <c r="P535" i="1"/>
  <c r="AE711" i="1"/>
  <c r="AE860" i="2"/>
  <c r="M851" i="2"/>
  <c r="M861" i="2" s="1"/>
  <c r="AO168" i="2"/>
  <c r="AN168" i="2" s="1"/>
  <c r="AL168" i="2"/>
  <c r="AR168" i="2"/>
  <c r="L861" i="2"/>
  <c r="AP843" i="2"/>
  <c r="U856" i="2"/>
  <c r="AQ843" i="2" s="1"/>
  <c r="S237" i="2"/>
  <c r="R237" i="2" s="1"/>
  <c r="AI233" i="2"/>
  <c r="P237" i="2"/>
  <c r="V237" i="2"/>
  <c r="S262" i="2"/>
  <c r="R262" i="2" s="1"/>
  <c r="V262" i="2"/>
  <c r="P262" i="2"/>
  <c r="AI249" i="2"/>
  <c r="S479" i="2"/>
  <c r="R479" i="2" s="1"/>
  <c r="AI475" i="2"/>
  <c r="P479" i="2"/>
  <c r="V479" i="2"/>
  <c r="AR257" i="2"/>
  <c r="AO257" i="2"/>
  <c r="AN257" i="2" s="1"/>
  <c r="AL257" i="2"/>
  <c r="M564" i="2"/>
  <c r="AR642" i="2"/>
  <c r="AI648" i="2"/>
  <c r="AO642" i="2"/>
  <c r="AN642" i="2" s="1"/>
  <c r="AL642" i="2"/>
  <c r="V38" i="3"/>
  <c r="AI30" i="3"/>
  <c r="S38" i="3"/>
  <c r="R38" i="3" s="1"/>
  <c r="P38" i="3"/>
  <c r="AP825" i="3"/>
  <c r="U828" i="3"/>
  <c r="AQ825" i="3" s="1"/>
  <c r="AS834" i="3"/>
  <c r="S15" i="3"/>
  <c r="R15" i="3" s="1"/>
  <c r="P15" i="3"/>
  <c r="V15" i="3"/>
  <c r="AI24" i="3"/>
  <c r="S413" i="3"/>
  <c r="R413" i="3" s="1"/>
  <c r="P413" i="3"/>
  <c r="AI418" i="3"/>
  <c r="V413" i="3"/>
  <c r="AR501" i="3"/>
  <c r="AO501" i="3"/>
  <c r="AN501" i="3" s="1"/>
  <c r="AL501" i="3"/>
  <c r="AL535" i="3"/>
  <c r="AR535" i="3"/>
  <c r="AO535" i="3"/>
  <c r="AN535" i="3" s="1"/>
  <c r="AO608" i="3"/>
  <c r="AN608" i="3" s="1"/>
  <c r="AL608" i="3"/>
  <c r="AR608" i="3"/>
  <c r="V682" i="3"/>
  <c r="S682" i="3"/>
  <c r="R682" i="3" s="1"/>
  <c r="P682" i="3"/>
  <c r="AI687" i="3"/>
  <c r="AI769" i="3"/>
  <c r="P764" i="3"/>
  <c r="V764" i="3"/>
  <c r="S764" i="3"/>
  <c r="R764" i="3" s="1"/>
  <c r="AI214" i="1"/>
  <c r="V205" i="1"/>
  <c r="S205" i="1"/>
  <c r="R205" i="1" s="1"/>
  <c r="P205" i="1"/>
  <c r="AO125" i="1"/>
  <c r="AN125" i="1" s="1"/>
  <c r="AL125" i="1"/>
  <c r="AR125" i="1"/>
  <c r="AI162" i="1"/>
  <c r="AL156" i="1"/>
  <c r="AR156" i="1"/>
  <c r="AO156" i="1"/>
  <c r="AN156" i="1" s="1"/>
  <c r="AO295" i="1"/>
  <c r="AN295" i="1" s="1"/>
  <c r="AL295" i="1"/>
  <c r="AR295" i="1"/>
  <c r="AS860" i="1"/>
  <c r="V14" i="1"/>
  <c r="AI23" i="1"/>
  <c r="S14" i="1"/>
  <c r="R14" i="1" s="1"/>
  <c r="P14" i="1"/>
  <c r="P763" i="1"/>
  <c r="AI768" i="1"/>
  <c r="V763" i="1"/>
  <c r="S763" i="1"/>
  <c r="R763" i="1" s="1"/>
  <c r="P804" i="1"/>
  <c r="V804" i="1"/>
  <c r="AI800" i="1"/>
  <c r="S804" i="1"/>
  <c r="R804" i="1" s="1"/>
  <c r="AQ27" i="2"/>
  <c r="M857" i="2"/>
  <c r="AR197" i="2"/>
  <c r="AO197" i="2"/>
  <c r="AN197" i="2" s="1"/>
  <c r="AL197" i="2"/>
  <c r="P393" i="2"/>
  <c r="V393" i="2"/>
  <c r="AI402" i="2"/>
  <c r="S393" i="2"/>
  <c r="R393" i="2" s="1"/>
  <c r="S259" i="2"/>
  <c r="R259" i="2" s="1"/>
  <c r="V259" i="2"/>
  <c r="AI268" i="2"/>
  <c r="P259" i="2"/>
  <c r="S687" i="2"/>
  <c r="R687" i="2" s="1"/>
  <c r="AI679" i="2"/>
  <c r="P687" i="2"/>
  <c r="V687" i="2"/>
  <c r="AP648" i="2"/>
  <c r="AQ648" i="2" s="1"/>
  <c r="AE666" i="2"/>
  <c r="AE450" i="3"/>
  <c r="AO512" i="3"/>
  <c r="AN512" i="3" s="1"/>
  <c r="AL512" i="3"/>
  <c r="AR512" i="3"/>
  <c r="AI669" i="3"/>
  <c r="M672" i="3"/>
  <c r="S654" i="3"/>
  <c r="R654" i="3" s="1"/>
  <c r="P654" i="3"/>
  <c r="V654" i="3"/>
  <c r="P797" i="3"/>
  <c r="V797" i="3"/>
  <c r="AI806" i="3"/>
  <c r="S797" i="3"/>
  <c r="R797" i="3" s="1"/>
  <c r="P212" i="1"/>
  <c r="V212" i="1"/>
  <c r="S212" i="1"/>
  <c r="R212" i="1" s="1"/>
  <c r="AI197" i="1"/>
  <c r="AR152" i="1"/>
  <c r="AO152" i="1"/>
  <c r="AN152" i="1" s="1"/>
  <c r="AL152" i="1"/>
  <c r="AL61" i="1"/>
  <c r="AR61" i="1"/>
  <c r="AO61" i="1"/>
  <c r="AN61" i="1" s="1"/>
  <c r="V210" i="1"/>
  <c r="S210" i="1"/>
  <c r="R210" i="1" s="1"/>
  <c r="P210" i="1"/>
  <c r="AI206" i="1"/>
  <c r="AI393" i="1"/>
  <c r="V396" i="1"/>
  <c r="S396" i="1"/>
  <c r="R396" i="1" s="1"/>
  <c r="P396" i="1"/>
  <c r="AL312" i="1"/>
  <c r="AR312" i="1"/>
  <c r="AO312" i="1"/>
  <c r="AN312" i="1" s="1"/>
  <c r="AE853" i="1"/>
  <c r="M857" i="1"/>
  <c r="AO527" i="1"/>
  <c r="AN527" i="1" s="1"/>
  <c r="AL527" i="1"/>
  <c r="AR527" i="1"/>
  <c r="AR465" i="1"/>
  <c r="AO465" i="1"/>
  <c r="AN465" i="1" s="1"/>
  <c r="AL465" i="1"/>
  <c r="AL544" i="1"/>
  <c r="AR544" i="1"/>
  <c r="AO544" i="1"/>
  <c r="AN544" i="1" s="1"/>
  <c r="AL778" i="1"/>
  <c r="AR778" i="1"/>
  <c r="AO778" i="1"/>
  <c r="AN778" i="1" s="1"/>
  <c r="AO732" i="1"/>
  <c r="AN732" i="1" s="1"/>
  <c r="AL732" i="1"/>
  <c r="AR732" i="1"/>
  <c r="AI738" i="1"/>
  <c r="AE849" i="2"/>
  <c r="M844" i="2"/>
  <c r="V64" i="2"/>
  <c r="S64" i="2"/>
  <c r="R64" i="2" s="1"/>
  <c r="AI68" i="2"/>
  <c r="P64" i="2"/>
  <c r="AL112" i="2"/>
  <c r="AR112" i="2"/>
  <c r="AO112" i="2"/>
  <c r="AN112" i="2" s="1"/>
  <c r="AL305" i="2"/>
  <c r="AR305" i="2"/>
  <c r="AO305" i="2"/>
  <c r="AN305" i="2" s="1"/>
  <c r="AO530" i="2"/>
  <c r="AN530" i="2" s="1"/>
  <c r="AR530" i="2"/>
  <c r="AL530" i="2"/>
  <c r="AE477" i="2"/>
  <c r="AP729" i="2"/>
  <c r="AQ729" i="2" s="1"/>
  <c r="AS831" i="3"/>
  <c r="M24" i="3"/>
  <c r="AI21" i="3"/>
  <c r="V6" i="3"/>
  <c r="S6" i="3"/>
  <c r="R6" i="3" s="1"/>
  <c r="P6" i="3"/>
  <c r="S227" i="3"/>
  <c r="R227" i="3" s="1"/>
  <c r="P227" i="3"/>
  <c r="V227" i="3"/>
  <c r="AI219" i="3"/>
  <c r="P286" i="3"/>
  <c r="AI295" i="3"/>
  <c r="AI297" i="3" s="1"/>
  <c r="V286" i="3"/>
  <c r="S286" i="3"/>
  <c r="R286" i="3" s="1"/>
  <c r="V417" i="3"/>
  <c r="S417" i="3"/>
  <c r="R417" i="3" s="1"/>
  <c r="P417" i="3"/>
  <c r="AI409" i="3"/>
  <c r="AI495" i="3"/>
  <c r="AR489" i="3"/>
  <c r="AL489" i="3"/>
  <c r="AO489" i="3"/>
  <c r="AN489" i="3" s="1"/>
  <c r="P577" i="3"/>
  <c r="S577" i="3"/>
  <c r="R577" i="3" s="1"/>
  <c r="AI581" i="3"/>
  <c r="V577" i="3"/>
  <c r="S694" i="3"/>
  <c r="R694" i="3" s="1"/>
  <c r="AI681" i="3"/>
  <c r="P694" i="3"/>
  <c r="V694" i="3"/>
  <c r="AO618" i="3"/>
  <c r="AN618" i="3" s="1"/>
  <c r="AR618" i="3"/>
  <c r="AL618" i="3"/>
  <c r="AE747" i="3"/>
  <c r="AI771" i="3"/>
  <c r="V774" i="3"/>
  <c r="S774" i="3"/>
  <c r="R774" i="3" s="1"/>
  <c r="P774" i="3"/>
  <c r="AP849" i="1"/>
  <c r="U844" i="1"/>
  <c r="AQ849" i="1" s="1"/>
  <c r="P655" i="1"/>
  <c r="AI660" i="1"/>
  <c r="V655" i="1"/>
  <c r="S655" i="1"/>
  <c r="R655" i="1" s="1"/>
  <c r="AR655" i="1"/>
  <c r="AO655" i="1"/>
  <c r="AN655" i="1" s="1"/>
  <c r="AL655" i="1"/>
  <c r="M564" i="1"/>
  <c r="AE702" i="1"/>
  <c r="AB846" i="2"/>
  <c r="AJ846" i="2" s="1"/>
  <c r="AP711" i="1"/>
  <c r="AQ711" i="1" s="1"/>
  <c r="AP756" i="1"/>
  <c r="AQ756" i="1" s="1"/>
  <c r="AE18" i="2"/>
  <c r="V198" i="2"/>
  <c r="S198" i="2"/>
  <c r="R198" i="2" s="1"/>
  <c r="P198" i="2"/>
  <c r="AI211" i="2"/>
  <c r="AI216" i="2" s="1"/>
  <c r="S200" i="2"/>
  <c r="R200" i="2" s="1"/>
  <c r="V200" i="2"/>
  <c r="AI192" i="2"/>
  <c r="P200" i="2"/>
  <c r="AO250" i="2"/>
  <c r="AN250" i="2" s="1"/>
  <c r="AL250" i="2"/>
  <c r="AR250" i="2"/>
  <c r="V399" i="2"/>
  <c r="S399" i="2"/>
  <c r="R399" i="2" s="1"/>
  <c r="AI395" i="2"/>
  <c r="P399" i="2"/>
  <c r="V551" i="2"/>
  <c r="S551" i="2"/>
  <c r="R551" i="2" s="1"/>
  <c r="AI543" i="2"/>
  <c r="P551" i="2"/>
  <c r="AO493" i="2"/>
  <c r="AN493" i="2" s="1"/>
  <c r="AL493" i="2"/>
  <c r="AR493" i="2"/>
  <c r="M699" i="2"/>
  <c r="AI696" i="2"/>
  <c r="V681" i="2"/>
  <c r="S681" i="2"/>
  <c r="R681" i="2" s="1"/>
  <c r="P681" i="2"/>
  <c r="AL807" i="2"/>
  <c r="AR807" i="2"/>
  <c r="AO807" i="2"/>
  <c r="AN807" i="2" s="1"/>
  <c r="AL772" i="2"/>
  <c r="AR772" i="2"/>
  <c r="AO772" i="2"/>
  <c r="AN772" i="2" s="1"/>
  <c r="V822" i="2"/>
  <c r="S822" i="2"/>
  <c r="R822" i="2" s="1"/>
  <c r="P822" i="2"/>
  <c r="AI814" i="2"/>
  <c r="M51" i="3"/>
  <c r="AO3" i="3"/>
  <c r="AN3" i="3" s="1"/>
  <c r="AL3" i="3"/>
  <c r="AR3" i="3"/>
  <c r="V50" i="3"/>
  <c r="S50" i="3"/>
  <c r="R50" i="3" s="1"/>
  <c r="AI35" i="3"/>
  <c r="P50" i="3"/>
  <c r="AO168" i="3"/>
  <c r="AN168" i="3" s="1"/>
  <c r="AL168" i="3"/>
  <c r="AR168" i="3"/>
  <c r="AE306" i="3"/>
  <c r="AP333" i="3"/>
  <c r="AQ333" i="3" s="1"/>
  <c r="AI383" i="3"/>
  <c r="AI387" i="3" s="1"/>
  <c r="V391" i="3"/>
  <c r="S391" i="3"/>
  <c r="R391" i="3" s="1"/>
  <c r="P391" i="3"/>
  <c r="AL364" i="3"/>
  <c r="AR364" i="3"/>
  <c r="AO364" i="3"/>
  <c r="AN364" i="3" s="1"/>
  <c r="AR536" i="3"/>
  <c r="AO536" i="3"/>
  <c r="AN536" i="3" s="1"/>
  <c r="AL536" i="3"/>
  <c r="AR580" i="3"/>
  <c r="AO580" i="3"/>
  <c r="AN580" i="3" s="1"/>
  <c r="AL580" i="3"/>
  <c r="V697" i="3"/>
  <c r="S697" i="3"/>
  <c r="R697" i="3" s="1"/>
  <c r="AI682" i="3"/>
  <c r="P697" i="3"/>
  <c r="S644" i="3"/>
  <c r="R644" i="3" s="1"/>
  <c r="P644" i="3"/>
  <c r="AI629" i="3"/>
  <c r="V644" i="3"/>
  <c r="AI674" i="3"/>
  <c r="S665" i="3"/>
  <c r="R665" i="3" s="1"/>
  <c r="P665" i="3"/>
  <c r="V665" i="3"/>
  <c r="AI699" i="3"/>
  <c r="S690" i="3"/>
  <c r="R690" i="3" s="1"/>
  <c r="P690" i="3"/>
  <c r="V690" i="3"/>
  <c r="AO744" i="3"/>
  <c r="AN744" i="3" s="1"/>
  <c r="AL744" i="3"/>
  <c r="AR744" i="3"/>
  <c r="AE783" i="3"/>
  <c r="AE99" i="1"/>
  <c r="AL616" i="1"/>
  <c r="AR616" i="1"/>
  <c r="AO616" i="1"/>
  <c r="AN616" i="1" s="1"/>
  <c r="AS841" i="1"/>
  <c r="AP90" i="1"/>
  <c r="AQ90" i="1" s="1"/>
  <c r="AC846" i="1"/>
  <c r="AR447" i="1"/>
  <c r="AO447" i="1"/>
  <c r="AN447" i="1" s="1"/>
  <c r="AL447" i="1"/>
  <c r="S36" i="2"/>
  <c r="R36" i="2" s="1"/>
  <c r="P36" i="2"/>
  <c r="AI49" i="2"/>
  <c r="V36" i="2"/>
  <c r="AO615" i="1"/>
  <c r="AN615" i="1" s="1"/>
  <c r="AL615" i="1"/>
  <c r="AR615" i="1"/>
  <c r="M672" i="1"/>
  <c r="V656" i="1"/>
  <c r="S656" i="1"/>
  <c r="R656" i="1" s="1"/>
  <c r="P656" i="1"/>
  <c r="AI661" i="1"/>
  <c r="AO733" i="1"/>
  <c r="AN733" i="1" s="1"/>
  <c r="AL733" i="1"/>
  <c r="AR733" i="1"/>
  <c r="AP850" i="2"/>
  <c r="AP855" i="2" s="1"/>
  <c r="AQ855" i="2" s="1"/>
  <c r="U845" i="2"/>
  <c r="AQ850" i="2" s="1"/>
  <c r="AL87" i="2"/>
  <c r="AR87" i="2"/>
  <c r="AO87" i="2"/>
  <c r="AN87" i="2" s="1"/>
  <c r="AI201" i="2"/>
  <c r="S196" i="2"/>
  <c r="R196" i="2" s="1"/>
  <c r="V196" i="2"/>
  <c r="P196" i="2"/>
  <c r="AL286" i="2"/>
  <c r="AR286" i="2"/>
  <c r="AO286" i="2"/>
  <c r="AN286" i="2" s="1"/>
  <c r="AP369" i="2"/>
  <c r="AQ369" i="2" s="1"/>
  <c r="AR473" i="2"/>
  <c r="AO473" i="2"/>
  <c r="AN473" i="2" s="1"/>
  <c r="AL473" i="2"/>
  <c r="S424" i="2"/>
  <c r="R424" i="2" s="1"/>
  <c r="AI411" i="2"/>
  <c r="V424" i="2"/>
  <c r="P424" i="2"/>
  <c r="AL464" i="2"/>
  <c r="AR464" i="2"/>
  <c r="AO464" i="2"/>
  <c r="AN464" i="2" s="1"/>
  <c r="S536" i="2"/>
  <c r="R536" i="2" s="1"/>
  <c r="AI521" i="2"/>
  <c r="P536" i="2"/>
  <c r="V536" i="2"/>
  <c r="V748" i="2"/>
  <c r="S748" i="2"/>
  <c r="R748" i="2" s="1"/>
  <c r="AI735" i="2"/>
  <c r="P748" i="2"/>
  <c r="AO112" i="3"/>
  <c r="AN112" i="3" s="1"/>
  <c r="AL112" i="3"/>
  <c r="AR112" i="3"/>
  <c r="AO52" i="3"/>
  <c r="AN52" i="3" s="1"/>
  <c r="AL52" i="3"/>
  <c r="AR52" i="3"/>
  <c r="AP828" i="3"/>
  <c r="AQ828" i="3" s="1"/>
  <c r="P91" i="3"/>
  <c r="AI95" i="3"/>
  <c r="AI99" i="3" s="1"/>
  <c r="V91" i="3"/>
  <c r="S91" i="3"/>
  <c r="R91" i="3" s="1"/>
  <c r="AI301" i="3"/>
  <c r="V309" i="3"/>
  <c r="S309" i="3"/>
  <c r="R309" i="3" s="1"/>
  <c r="P309" i="3"/>
  <c r="V204" i="3"/>
  <c r="AI213" i="3"/>
  <c r="S204" i="3"/>
  <c r="R204" i="3" s="1"/>
  <c r="P204" i="3"/>
  <c r="P365" i="3"/>
  <c r="V365" i="3"/>
  <c r="AI374" i="3"/>
  <c r="AI378" i="3" s="1"/>
  <c r="S365" i="3"/>
  <c r="R365" i="3" s="1"/>
  <c r="AL610" i="3"/>
  <c r="AR610" i="3"/>
  <c r="AO610" i="3"/>
  <c r="AN610" i="3" s="1"/>
  <c r="AE702" i="3"/>
  <c r="AP720" i="3"/>
  <c r="AQ720" i="3" s="1"/>
  <c r="V798" i="3"/>
  <c r="AI807" i="3"/>
  <c r="S798" i="3"/>
  <c r="R798" i="3" s="1"/>
  <c r="P798" i="3"/>
  <c r="P330" i="1"/>
  <c r="M348" i="1"/>
  <c r="AI345" i="1"/>
  <c r="V330" i="1"/>
  <c r="S330" i="1"/>
  <c r="R330" i="1" s="1"/>
  <c r="AO52" i="1"/>
  <c r="AN52" i="1" s="1"/>
  <c r="AL52" i="1"/>
  <c r="AR52" i="1"/>
  <c r="P127" i="1"/>
  <c r="V127" i="1"/>
  <c r="S127" i="1"/>
  <c r="R127" i="1" s="1"/>
  <c r="AI114" i="1"/>
  <c r="S428" i="1"/>
  <c r="R428" i="1" s="1"/>
  <c r="AI413" i="1"/>
  <c r="AI414" i="1" s="1"/>
  <c r="P428" i="1"/>
  <c r="V428" i="1"/>
  <c r="AL120" i="1"/>
  <c r="AI126" i="1"/>
  <c r="AR120" i="1"/>
  <c r="AO120" i="1"/>
  <c r="AN120" i="1" s="1"/>
  <c r="AR268" i="1"/>
  <c r="AO268" i="1"/>
  <c r="AN268" i="1" s="1"/>
  <c r="AL268" i="1"/>
  <c r="P617" i="1"/>
  <c r="V617" i="1"/>
  <c r="S617" i="1"/>
  <c r="R617" i="1" s="1"/>
  <c r="AI602" i="1"/>
  <c r="AI603" i="1" s="1"/>
  <c r="AL654" i="1"/>
  <c r="AR654" i="1"/>
  <c r="AO654" i="1"/>
  <c r="AN654" i="1" s="1"/>
  <c r="AO205" i="1"/>
  <c r="AN205" i="1" s="1"/>
  <c r="AR205" i="1"/>
  <c r="AL205" i="1"/>
  <c r="P222" i="1"/>
  <c r="M240" i="1"/>
  <c r="AI237" i="1"/>
  <c r="V222" i="1"/>
  <c r="S222" i="1"/>
  <c r="R222" i="1" s="1"/>
  <c r="AI85" i="1"/>
  <c r="V93" i="1"/>
  <c r="S93" i="1"/>
  <c r="R93" i="1" s="1"/>
  <c r="P93" i="1"/>
  <c r="S292" i="1"/>
  <c r="R292" i="1" s="1"/>
  <c r="P292" i="1"/>
  <c r="V292" i="1"/>
  <c r="AI277" i="1"/>
  <c r="AE841" i="1"/>
  <c r="M849" i="1"/>
  <c r="AL304" i="1"/>
  <c r="AR304" i="1"/>
  <c r="AO304" i="1"/>
  <c r="AN304" i="1" s="1"/>
  <c r="AO517" i="1"/>
  <c r="AN517" i="1" s="1"/>
  <c r="AL517" i="1"/>
  <c r="AR517" i="1"/>
  <c r="AL412" i="1"/>
  <c r="AR412" i="1"/>
  <c r="AO412" i="1"/>
  <c r="AN412" i="1" s="1"/>
  <c r="AI485" i="1"/>
  <c r="V476" i="1"/>
  <c r="S476" i="1"/>
  <c r="R476" i="1" s="1"/>
  <c r="P476" i="1"/>
  <c r="P563" i="1"/>
  <c r="V563" i="1"/>
  <c r="S563" i="1"/>
  <c r="R563" i="1" s="1"/>
  <c r="AI548" i="1"/>
  <c r="AI549" i="1" s="1"/>
  <c r="AL33" i="2"/>
  <c r="AR33" i="2"/>
  <c r="AO33" i="2"/>
  <c r="AN33" i="2" s="1"/>
  <c r="AO689" i="1"/>
  <c r="AN689" i="1" s="1"/>
  <c r="AL689" i="1"/>
  <c r="AR689" i="1"/>
  <c r="S711" i="1"/>
  <c r="R711" i="1" s="1"/>
  <c r="P711" i="1"/>
  <c r="AI724" i="1"/>
  <c r="V711" i="1"/>
  <c r="S335" i="2"/>
  <c r="R335" i="2" s="1"/>
  <c r="V335" i="2"/>
  <c r="AI327" i="2"/>
  <c r="P335" i="2"/>
  <c r="AI79" i="2"/>
  <c r="P70" i="2"/>
  <c r="V70" i="2"/>
  <c r="S70" i="2"/>
  <c r="R70" i="2" s="1"/>
  <c r="AI80" i="2"/>
  <c r="V71" i="2"/>
  <c r="P71" i="2"/>
  <c r="S71" i="2"/>
  <c r="R71" i="2" s="1"/>
  <c r="AL736" i="1"/>
  <c r="AR736" i="1"/>
  <c r="AO736" i="1"/>
  <c r="AN736" i="1" s="1"/>
  <c r="AL251" i="2"/>
  <c r="AR251" i="2"/>
  <c r="AO251" i="2"/>
  <c r="AN251" i="2" s="1"/>
  <c r="V797" i="1"/>
  <c r="AI806" i="1"/>
  <c r="S797" i="1"/>
  <c r="R797" i="1" s="1"/>
  <c r="P797" i="1"/>
  <c r="S123" i="2"/>
  <c r="R123" i="2" s="1"/>
  <c r="P123" i="2"/>
  <c r="V123" i="2"/>
  <c r="AI132" i="2"/>
  <c r="AR224" i="2"/>
  <c r="AO224" i="2"/>
  <c r="AN224" i="2" s="1"/>
  <c r="AL224" i="2"/>
  <c r="AP333" i="2"/>
  <c r="AQ333" i="2" s="1"/>
  <c r="AI365" i="2"/>
  <c r="V361" i="2"/>
  <c r="S361" i="2"/>
  <c r="R361" i="2" s="1"/>
  <c r="P361" i="2"/>
  <c r="S520" i="2"/>
  <c r="R520" i="2" s="1"/>
  <c r="AI525" i="2"/>
  <c r="P520" i="2"/>
  <c r="V520" i="2"/>
  <c r="V663" i="2"/>
  <c r="AI672" i="2"/>
  <c r="S663" i="2"/>
  <c r="R663" i="2" s="1"/>
  <c r="P663" i="2"/>
  <c r="AI598" i="2"/>
  <c r="V606" i="2"/>
  <c r="S606" i="2"/>
  <c r="R606" i="2" s="1"/>
  <c r="P606" i="2"/>
  <c r="S764" i="2"/>
  <c r="R764" i="2" s="1"/>
  <c r="P764" i="2"/>
  <c r="AI769" i="2"/>
  <c r="V764" i="2"/>
  <c r="M780" i="2"/>
  <c r="V612" i="2"/>
  <c r="S612" i="2"/>
  <c r="R612" i="2" s="1"/>
  <c r="AI609" i="2"/>
  <c r="P612" i="2"/>
  <c r="AO734" i="2"/>
  <c r="AN734" i="2" s="1"/>
  <c r="AL734" i="2"/>
  <c r="AR734" i="2"/>
  <c r="V778" i="2"/>
  <c r="S778" i="2"/>
  <c r="R778" i="2" s="1"/>
  <c r="P778" i="2"/>
  <c r="AI763" i="2"/>
  <c r="AI31" i="3"/>
  <c r="V39" i="3"/>
  <c r="S39" i="3"/>
  <c r="R39" i="3" s="1"/>
  <c r="P39" i="3"/>
  <c r="L834" i="3"/>
  <c r="AH831" i="3"/>
  <c r="AH837" i="3" s="1"/>
  <c r="AI255" i="3"/>
  <c r="V250" i="3"/>
  <c r="S250" i="3"/>
  <c r="R250" i="3" s="1"/>
  <c r="P250" i="3"/>
  <c r="S293" i="3"/>
  <c r="R293" i="3" s="1"/>
  <c r="AI278" i="3"/>
  <c r="P293" i="3"/>
  <c r="V293" i="3"/>
  <c r="AI472" i="3"/>
  <c r="P467" i="3"/>
  <c r="V467" i="3"/>
  <c r="S467" i="3"/>
  <c r="R467" i="3" s="1"/>
  <c r="AO534" i="3"/>
  <c r="AN534" i="3" s="1"/>
  <c r="AL534" i="3"/>
  <c r="AR534" i="3"/>
  <c r="V612" i="3"/>
  <c r="AI609" i="3"/>
  <c r="S612" i="3"/>
  <c r="R612" i="3" s="1"/>
  <c r="P612" i="3"/>
  <c r="AR583" i="3"/>
  <c r="AO583" i="3"/>
  <c r="AN583" i="3" s="1"/>
  <c r="AL583" i="3"/>
  <c r="P588" i="3"/>
  <c r="V588" i="3"/>
  <c r="S588" i="3"/>
  <c r="R588" i="3" s="1"/>
  <c r="AI584" i="3"/>
  <c r="AR727" i="3"/>
  <c r="AO727" i="3"/>
  <c r="AN727" i="3" s="1"/>
  <c r="AL727" i="3"/>
  <c r="M807" i="3"/>
  <c r="AI804" i="3"/>
  <c r="V789" i="3"/>
  <c r="S789" i="3"/>
  <c r="R789" i="3" s="1"/>
  <c r="P789" i="3"/>
  <c r="AL40" i="1"/>
  <c r="AR40" i="1"/>
  <c r="AO40" i="1"/>
  <c r="AN40" i="1" s="1"/>
  <c r="AL240" i="1"/>
  <c r="AO240" i="1"/>
  <c r="AN240" i="1" s="1"/>
  <c r="AR240" i="1"/>
  <c r="AS844" i="1"/>
  <c r="V22" i="1"/>
  <c r="S22" i="1"/>
  <c r="R22" i="1" s="1"/>
  <c r="AI7" i="1"/>
  <c r="P22" i="1"/>
  <c r="AL363" i="1"/>
  <c r="AR363" i="1"/>
  <c r="AO363" i="1"/>
  <c r="AN363" i="1" s="1"/>
  <c r="AI429" i="1"/>
  <c r="S420" i="1"/>
  <c r="R420" i="1" s="1"/>
  <c r="P420" i="1"/>
  <c r="V420" i="1"/>
  <c r="AO448" i="1"/>
  <c r="AN448" i="1" s="1"/>
  <c r="AL448" i="1"/>
  <c r="AR448" i="1"/>
  <c r="AO805" i="1"/>
  <c r="AN805" i="1" s="1"/>
  <c r="AL805" i="1"/>
  <c r="AR805" i="1"/>
  <c r="AR701" i="1"/>
  <c r="AO701" i="1"/>
  <c r="AN701" i="1" s="1"/>
  <c r="AL701" i="1"/>
  <c r="S719" i="1"/>
  <c r="R719" i="1" s="1"/>
  <c r="P719" i="1"/>
  <c r="AI728" i="1"/>
  <c r="V719" i="1"/>
  <c r="V777" i="1"/>
  <c r="S777" i="1"/>
  <c r="R777" i="1" s="1"/>
  <c r="AI773" i="1"/>
  <c r="P777" i="1"/>
  <c r="M850" i="2"/>
  <c r="P128" i="2"/>
  <c r="AI124" i="2"/>
  <c r="V128" i="2"/>
  <c r="S128" i="2"/>
  <c r="R128" i="2" s="1"/>
  <c r="AJ864" i="2"/>
  <c r="AS862" i="2"/>
  <c r="S16" i="2"/>
  <c r="R16" i="2" s="1"/>
  <c r="P16" i="2"/>
  <c r="AI25" i="2"/>
  <c r="V16" i="2"/>
  <c r="AI291" i="2"/>
  <c r="V276" i="2"/>
  <c r="P276" i="2"/>
  <c r="M294" i="2"/>
  <c r="S276" i="2"/>
  <c r="R276" i="2" s="1"/>
  <c r="AI329" i="2"/>
  <c r="S337" i="2"/>
  <c r="R337" i="2" s="1"/>
  <c r="P337" i="2"/>
  <c r="V337" i="2"/>
  <c r="AI432" i="2"/>
  <c r="S316" i="2"/>
  <c r="R316" i="2" s="1"/>
  <c r="V316" i="2"/>
  <c r="AI303" i="2"/>
  <c r="P316" i="2"/>
  <c r="AR534" i="2"/>
  <c r="AI540" i="2"/>
  <c r="AO534" i="2"/>
  <c r="AN534" i="2" s="1"/>
  <c r="AL534" i="2"/>
  <c r="V609" i="2"/>
  <c r="AI618" i="2"/>
  <c r="S609" i="2"/>
  <c r="R609" i="2" s="1"/>
  <c r="P609" i="2"/>
  <c r="AI455" i="2"/>
  <c r="S446" i="2"/>
  <c r="R446" i="2" s="1"/>
  <c r="P446" i="2"/>
  <c r="V446" i="2"/>
  <c r="S692" i="2"/>
  <c r="R692" i="2" s="1"/>
  <c r="P692" i="2"/>
  <c r="AI701" i="2"/>
  <c r="V692" i="2"/>
  <c r="AB837" i="3"/>
  <c r="AJ837" i="3" s="1"/>
  <c r="AJ831" i="3"/>
  <c r="P142" i="3"/>
  <c r="AI147" i="3"/>
  <c r="V142" i="3"/>
  <c r="S142" i="3"/>
  <c r="R142" i="3" s="1"/>
  <c r="AO238" i="3"/>
  <c r="AN238" i="3" s="1"/>
  <c r="AL238" i="3"/>
  <c r="AR238" i="3"/>
  <c r="M240" i="3"/>
  <c r="P232" i="3"/>
  <c r="AI241" i="3"/>
  <c r="V232" i="3"/>
  <c r="S232" i="3"/>
  <c r="R232" i="3" s="1"/>
  <c r="AP315" i="3"/>
  <c r="AQ315" i="3" s="1"/>
  <c r="V452" i="3"/>
  <c r="S452" i="3"/>
  <c r="R452" i="3" s="1"/>
  <c r="P452" i="3"/>
  <c r="AI448" i="3"/>
  <c r="AE432" i="3"/>
  <c r="V616" i="3"/>
  <c r="P616" i="3"/>
  <c r="AI601" i="3"/>
  <c r="S616" i="3"/>
  <c r="R616" i="3" s="1"/>
  <c r="AI765" i="3"/>
  <c r="AO759" i="3"/>
  <c r="AN759" i="3" s="1"/>
  <c r="AL759" i="3"/>
  <c r="AR759" i="3"/>
  <c r="AI95" i="1"/>
  <c r="V91" i="1"/>
  <c r="S91" i="1"/>
  <c r="R91" i="1" s="1"/>
  <c r="P91" i="1"/>
  <c r="AO545" i="1"/>
  <c r="AN545" i="1" s="1"/>
  <c r="AL545" i="1"/>
  <c r="AR545" i="1"/>
  <c r="AL420" i="1"/>
  <c r="AR420" i="1"/>
  <c r="AO420" i="1"/>
  <c r="AN420" i="1" s="1"/>
  <c r="AL680" i="1"/>
  <c r="AR680" i="1"/>
  <c r="AO680" i="1"/>
  <c r="AN680" i="1" s="1"/>
  <c r="AI684" i="1"/>
  <c r="AO571" i="1"/>
  <c r="AN571" i="1" s="1"/>
  <c r="AL571" i="1"/>
  <c r="AR571" i="1"/>
  <c r="AL652" i="1"/>
  <c r="AR652" i="1"/>
  <c r="AO652" i="1"/>
  <c r="AN652" i="1" s="1"/>
  <c r="AL554" i="1"/>
  <c r="AR554" i="1"/>
  <c r="AO554" i="1"/>
  <c r="AN554" i="1" s="1"/>
  <c r="V725" i="1"/>
  <c r="S725" i="1"/>
  <c r="R725" i="1" s="1"/>
  <c r="AI710" i="1"/>
  <c r="P725" i="1"/>
  <c r="M753" i="1"/>
  <c r="AI750" i="1"/>
  <c r="V735" i="1"/>
  <c r="S735" i="1"/>
  <c r="R735" i="1" s="1"/>
  <c r="P735" i="1"/>
  <c r="P129" i="2"/>
  <c r="V129" i="2"/>
  <c r="S129" i="2"/>
  <c r="R129" i="2" s="1"/>
  <c r="AI125" i="2"/>
  <c r="AI337" i="2"/>
  <c r="S332" i="2"/>
  <c r="R332" i="2" s="1"/>
  <c r="V332" i="2"/>
  <c r="P332" i="2"/>
  <c r="S389" i="2"/>
  <c r="R389" i="2" s="1"/>
  <c r="V389" i="2"/>
  <c r="P389" i="2"/>
  <c r="AI381" i="2"/>
  <c r="V366" i="2"/>
  <c r="AI375" i="2"/>
  <c r="P366" i="2"/>
  <c r="S366" i="2"/>
  <c r="R366" i="2" s="1"/>
  <c r="AL571" i="2"/>
  <c r="AR571" i="2"/>
  <c r="AO571" i="2"/>
  <c r="AN571" i="2" s="1"/>
  <c r="S65" i="3"/>
  <c r="R65" i="3" s="1"/>
  <c r="P65" i="3"/>
  <c r="V65" i="3"/>
  <c r="AI57" i="3"/>
  <c r="S600" i="2"/>
  <c r="R600" i="2" s="1"/>
  <c r="P600" i="2"/>
  <c r="M618" i="2"/>
  <c r="AI615" i="2"/>
  <c r="V600" i="2"/>
  <c r="AR824" i="2"/>
  <c r="AO824" i="2"/>
  <c r="AN824" i="2" s="1"/>
  <c r="AL824" i="2"/>
  <c r="AI67" i="3"/>
  <c r="P62" i="3"/>
  <c r="V62" i="3"/>
  <c r="S62" i="3"/>
  <c r="R62" i="3" s="1"/>
  <c r="AE9" i="3"/>
  <c r="AS833" i="3"/>
  <c r="V14" i="3"/>
  <c r="AI23" i="3"/>
  <c r="S14" i="3"/>
  <c r="R14" i="3" s="1"/>
  <c r="P14" i="3"/>
  <c r="AL466" i="3"/>
  <c r="AR466" i="3"/>
  <c r="AO466" i="3"/>
  <c r="AN466" i="3" s="1"/>
  <c r="AI616" i="3"/>
  <c r="V603" i="3"/>
  <c r="S603" i="3"/>
  <c r="R603" i="3" s="1"/>
  <c r="P603" i="3"/>
  <c r="AI139" i="1"/>
  <c r="V147" i="1"/>
  <c r="S147" i="1"/>
  <c r="R147" i="1" s="1"/>
  <c r="P147" i="1"/>
  <c r="AO104" i="1"/>
  <c r="AN104" i="1" s="1"/>
  <c r="AL104" i="1"/>
  <c r="AR104" i="1"/>
  <c r="AL141" i="1"/>
  <c r="AR141" i="1"/>
  <c r="AO141" i="1"/>
  <c r="AN141" i="1" s="1"/>
  <c r="U855" i="1"/>
  <c r="AQ852" i="1" s="1"/>
  <c r="AP852" i="1"/>
  <c r="V581" i="1"/>
  <c r="AI590" i="1"/>
  <c r="S581" i="1"/>
  <c r="R581" i="1" s="1"/>
  <c r="P581" i="1"/>
  <c r="S361" i="1"/>
  <c r="R361" i="1" s="1"/>
  <c r="P361" i="1"/>
  <c r="AI365" i="1"/>
  <c r="V361" i="1"/>
  <c r="AO483" i="1"/>
  <c r="AN483" i="1" s="1"/>
  <c r="AL483" i="1"/>
  <c r="AR483" i="1"/>
  <c r="AI671" i="1"/>
  <c r="AI675" i="1" s="1"/>
  <c r="S662" i="1"/>
  <c r="R662" i="1" s="1"/>
  <c r="P662" i="1"/>
  <c r="V662" i="1"/>
  <c r="S586" i="1"/>
  <c r="R586" i="1" s="1"/>
  <c r="AI573" i="1"/>
  <c r="AI576" i="1" s="1"/>
  <c r="P586" i="1"/>
  <c r="V586" i="1"/>
  <c r="M510" i="1"/>
  <c r="AI725" i="1"/>
  <c r="S716" i="1"/>
  <c r="R716" i="1" s="1"/>
  <c r="P716" i="1"/>
  <c r="V716" i="1"/>
  <c r="AL754" i="1"/>
  <c r="AR754" i="1"/>
  <c r="AO754" i="1"/>
  <c r="AN754" i="1" s="1"/>
  <c r="AO692" i="1"/>
  <c r="AN692" i="1" s="1"/>
  <c r="AL692" i="1"/>
  <c r="AR692" i="1"/>
  <c r="AO215" i="2"/>
  <c r="AN215" i="2" s="1"/>
  <c r="AL215" i="2"/>
  <c r="AR215" i="2"/>
  <c r="V61" i="2"/>
  <c r="S61" i="2"/>
  <c r="R61" i="2" s="1"/>
  <c r="P61" i="2"/>
  <c r="AI66" i="2"/>
  <c r="AS845" i="2"/>
  <c r="S23" i="2"/>
  <c r="R23" i="2" s="1"/>
  <c r="AI8" i="2"/>
  <c r="P23" i="2"/>
  <c r="V23" i="2"/>
  <c r="AR70" i="2"/>
  <c r="AO70" i="2"/>
  <c r="AN70" i="2" s="1"/>
  <c r="AL70" i="2"/>
  <c r="P288" i="2"/>
  <c r="V288" i="2"/>
  <c r="AI285" i="2"/>
  <c r="S288" i="2"/>
  <c r="R288" i="2" s="1"/>
  <c r="V453" i="2"/>
  <c r="S453" i="2"/>
  <c r="R453" i="2" s="1"/>
  <c r="AI449" i="2"/>
  <c r="P453" i="2"/>
  <c r="AR437" i="2"/>
  <c r="AO437" i="2"/>
  <c r="AN437" i="2" s="1"/>
  <c r="AL437" i="2"/>
  <c r="AI608" i="2"/>
  <c r="V604" i="2"/>
  <c r="S604" i="2"/>
  <c r="R604" i="2" s="1"/>
  <c r="P604" i="2"/>
  <c r="AI699" i="2"/>
  <c r="V690" i="2"/>
  <c r="S690" i="2"/>
  <c r="R690" i="2" s="1"/>
  <c r="P690" i="2"/>
  <c r="AO71" i="3"/>
  <c r="AN71" i="3" s="1"/>
  <c r="AL71" i="3"/>
  <c r="AR71" i="3"/>
  <c r="AL115" i="3"/>
  <c r="AR115" i="3"/>
  <c r="AO115" i="3"/>
  <c r="AN115" i="3" s="1"/>
  <c r="V158" i="3"/>
  <c r="S158" i="3"/>
  <c r="R158" i="3" s="1"/>
  <c r="AI143" i="3"/>
  <c r="P158" i="3"/>
  <c r="AP180" i="3"/>
  <c r="AQ180" i="3" s="1"/>
  <c r="AO292" i="3"/>
  <c r="AN292" i="3" s="1"/>
  <c r="AL292" i="3"/>
  <c r="AR292" i="3"/>
  <c r="AI186" i="3"/>
  <c r="S177" i="3"/>
  <c r="R177" i="3" s="1"/>
  <c r="P177" i="3"/>
  <c r="V177" i="3"/>
  <c r="AI365" i="3"/>
  <c r="V361" i="3"/>
  <c r="P361" i="3"/>
  <c r="S361" i="3"/>
  <c r="R361" i="3" s="1"/>
  <c r="AO419" i="3"/>
  <c r="AN419" i="3" s="1"/>
  <c r="AL419" i="3"/>
  <c r="AR419" i="3"/>
  <c r="AL556" i="3"/>
  <c r="AR556" i="3"/>
  <c r="AO556" i="3"/>
  <c r="AN556" i="3" s="1"/>
  <c r="AP675" i="3"/>
  <c r="AQ675" i="3" s="1"/>
  <c r="P743" i="3"/>
  <c r="V743" i="3"/>
  <c r="S743" i="3"/>
  <c r="R743" i="3" s="1"/>
  <c r="AI752" i="3"/>
  <c r="S735" i="3"/>
  <c r="R735" i="3" s="1"/>
  <c r="M753" i="3"/>
  <c r="AI750" i="3"/>
  <c r="V735" i="3"/>
  <c r="P735" i="3"/>
  <c r="V744" i="3"/>
  <c r="AI753" i="3"/>
  <c r="S744" i="3"/>
  <c r="R744" i="3" s="1"/>
  <c r="P744" i="3"/>
  <c r="AI41" i="1"/>
  <c r="V37" i="1"/>
  <c r="S37" i="1"/>
  <c r="R37" i="1" s="1"/>
  <c r="P37" i="1"/>
  <c r="AR21" i="1"/>
  <c r="AO21" i="1"/>
  <c r="AN21" i="1" s="1"/>
  <c r="AI27" i="1"/>
  <c r="AL21" i="1"/>
  <c r="M159" i="1"/>
  <c r="M860" i="1"/>
  <c r="AE845" i="1"/>
  <c r="S239" i="1"/>
  <c r="R239" i="1" s="1"/>
  <c r="AI224" i="1"/>
  <c r="V239" i="1"/>
  <c r="P239" i="1"/>
  <c r="AL629" i="1"/>
  <c r="AR629" i="1"/>
  <c r="AO629" i="1"/>
  <c r="AN629" i="1" s="1"/>
  <c r="AO491" i="1"/>
  <c r="AN491" i="1" s="1"/>
  <c r="AL491" i="1"/>
  <c r="AR491" i="1"/>
  <c r="AI504" i="1"/>
  <c r="AR498" i="1"/>
  <c r="AO498" i="1"/>
  <c r="AN498" i="1" s="1"/>
  <c r="AL498" i="1"/>
  <c r="P555" i="1"/>
  <c r="V555" i="1"/>
  <c r="AI564" i="1"/>
  <c r="AI567" i="1" s="1"/>
  <c r="S555" i="1"/>
  <c r="R555" i="1" s="1"/>
  <c r="AO835" i="1"/>
  <c r="AN835" i="1" s="1"/>
  <c r="AL835" i="1"/>
  <c r="AR835" i="1"/>
  <c r="AO786" i="1"/>
  <c r="AN786" i="1" s="1"/>
  <c r="AL786" i="1"/>
  <c r="AR786" i="1"/>
  <c r="AI792" i="1"/>
  <c r="P306" i="2"/>
  <c r="AI319" i="2"/>
  <c r="V306" i="2"/>
  <c r="S306" i="2"/>
  <c r="R306" i="2" s="1"/>
  <c r="AO142" i="2"/>
  <c r="AN142" i="2" s="1"/>
  <c r="AL142" i="2"/>
  <c r="AR142" i="2"/>
  <c r="S425" i="2"/>
  <c r="R425" i="2" s="1"/>
  <c r="AI421" i="2"/>
  <c r="V425" i="2"/>
  <c r="P425" i="2"/>
  <c r="AL256" i="2"/>
  <c r="AR256" i="2"/>
  <c r="AO256" i="2"/>
  <c r="AN256" i="2" s="1"/>
  <c r="S359" i="2"/>
  <c r="R359" i="2" s="1"/>
  <c r="AI364" i="2"/>
  <c r="P359" i="2"/>
  <c r="V359" i="2"/>
  <c r="AR383" i="2"/>
  <c r="AL383" i="2"/>
  <c r="AO383" i="2"/>
  <c r="AN383" i="2" s="1"/>
  <c r="AR427" i="2"/>
  <c r="AO427" i="2"/>
  <c r="AN427" i="2" s="1"/>
  <c r="AL427" i="2"/>
  <c r="S507" i="2"/>
  <c r="R507" i="2" s="1"/>
  <c r="AI503" i="2"/>
  <c r="P507" i="2"/>
  <c r="V507" i="2"/>
  <c r="AO771" i="2"/>
  <c r="AN771" i="2" s="1"/>
  <c r="AL771" i="2"/>
  <c r="AR771" i="2"/>
  <c r="AI660" i="2"/>
  <c r="V655" i="2"/>
  <c r="S655" i="2"/>
  <c r="R655" i="2" s="1"/>
  <c r="P655" i="2"/>
  <c r="AS826" i="3"/>
  <c r="P20" i="3"/>
  <c r="AI16" i="3"/>
  <c r="V20" i="3"/>
  <c r="S20" i="3"/>
  <c r="R20" i="3" s="1"/>
  <c r="AS824" i="3"/>
  <c r="M820" i="3"/>
  <c r="AE824" i="3"/>
  <c r="AI835" i="3"/>
  <c r="S826" i="3"/>
  <c r="R826" i="3" s="1"/>
  <c r="V826" i="3"/>
  <c r="P826" i="3"/>
  <c r="S277" i="3"/>
  <c r="R277" i="3" s="1"/>
  <c r="P277" i="3"/>
  <c r="AI282" i="3"/>
  <c r="V277" i="3"/>
  <c r="S440" i="3"/>
  <c r="R440" i="3" s="1"/>
  <c r="V440" i="3"/>
  <c r="P440" i="3"/>
  <c r="AI445" i="3"/>
  <c r="AO465" i="3"/>
  <c r="AN465" i="3" s="1"/>
  <c r="AL465" i="3"/>
  <c r="AR465" i="3"/>
  <c r="AE486" i="3"/>
  <c r="S561" i="3"/>
  <c r="R561" i="3" s="1"/>
  <c r="AI557" i="3"/>
  <c r="P561" i="3"/>
  <c r="V561" i="3"/>
  <c r="V667" i="3"/>
  <c r="S667" i="3"/>
  <c r="R667" i="3" s="1"/>
  <c r="P667" i="3"/>
  <c r="AI654" i="3"/>
  <c r="AR746" i="3"/>
  <c r="AO746" i="3"/>
  <c r="AN746" i="3" s="1"/>
  <c r="AL746" i="3"/>
  <c r="AS853" i="1"/>
  <c r="P20" i="1"/>
  <c r="AI16" i="1"/>
  <c r="V20" i="1"/>
  <c r="S20" i="1"/>
  <c r="R20" i="1" s="1"/>
  <c r="AS840" i="1"/>
  <c r="AP117" i="1"/>
  <c r="AQ117" i="1" s="1"/>
  <c r="AO357" i="1"/>
  <c r="AN357" i="1" s="1"/>
  <c r="AL357" i="1"/>
  <c r="AR357" i="1"/>
  <c r="AS859" i="1"/>
  <c r="V9" i="1"/>
  <c r="S9" i="1"/>
  <c r="R9" i="1" s="1"/>
  <c r="P9" i="1"/>
  <c r="AI22" i="1"/>
  <c r="V393" i="1"/>
  <c r="AI402" i="1"/>
  <c r="S393" i="1"/>
  <c r="R393" i="1" s="1"/>
  <c r="P393" i="1"/>
  <c r="AL257" i="1"/>
  <c r="AR257" i="1"/>
  <c r="AO257" i="1"/>
  <c r="AN257" i="1" s="1"/>
  <c r="AP360" i="1"/>
  <c r="AQ360" i="1" s="1"/>
  <c r="AO582" i="1"/>
  <c r="AN582" i="1" s="1"/>
  <c r="AL582" i="1"/>
  <c r="AR582" i="1"/>
  <c r="AO610" i="1"/>
  <c r="AN610" i="1" s="1"/>
  <c r="AL610" i="1"/>
  <c r="AR610" i="1"/>
  <c r="P609" i="1"/>
  <c r="V609" i="1"/>
  <c r="AI618" i="1"/>
  <c r="S609" i="1"/>
  <c r="R609" i="1" s="1"/>
  <c r="AL107" i="2"/>
  <c r="AR107" i="2"/>
  <c r="AO107" i="2"/>
  <c r="AN107" i="2" s="1"/>
  <c r="AP171" i="2"/>
  <c r="AQ171" i="2" s="1"/>
  <c r="V466" i="2"/>
  <c r="S466" i="2"/>
  <c r="R466" i="2" s="1"/>
  <c r="AI471" i="2"/>
  <c r="P466" i="2"/>
  <c r="S367" i="2"/>
  <c r="R367" i="2" s="1"/>
  <c r="V367" i="2"/>
  <c r="P367" i="2"/>
  <c r="AI376" i="2"/>
  <c r="AO563" i="2"/>
  <c r="AN563" i="2" s="1"/>
  <c r="AL563" i="2"/>
  <c r="AR563" i="2"/>
  <c r="S746" i="2"/>
  <c r="R746" i="2" s="1"/>
  <c r="P746" i="2"/>
  <c r="V746" i="2"/>
  <c r="AI755" i="2"/>
  <c r="AI675" i="2"/>
  <c r="AL669" i="2"/>
  <c r="AR669" i="2"/>
  <c r="AO669" i="2"/>
  <c r="AN669" i="2" s="1"/>
  <c r="V724" i="2"/>
  <c r="S724" i="2"/>
  <c r="R724" i="2" s="1"/>
  <c r="P724" i="2"/>
  <c r="AI709" i="2"/>
  <c r="AR834" i="2"/>
  <c r="AO834" i="2"/>
  <c r="AN834" i="2" s="1"/>
  <c r="AL834" i="2"/>
  <c r="AL33" i="3"/>
  <c r="AR33" i="3"/>
  <c r="AO33" i="3"/>
  <c r="AN33" i="3" s="1"/>
  <c r="P92" i="3"/>
  <c r="V92" i="3"/>
  <c r="AI84" i="3"/>
  <c r="S92" i="3"/>
  <c r="R92" i="3" s="1"/>
  <c r="AC819" i="3"/>
  <c r="AL269" i="3"/>
  <c r="AR269" i="3"/>
  <c r="AO269" i="3"/>
  <c r="AN269" i="3" s="1"/>
  <c r="V200" i="3"/>
  <c r="AI192" i="3"/>
  <c r="S200" i="3"/>
  <c r="R200" i="3" s="1"/>
  <c r="P200" i="3"/>
  <c r="AE441" i="3"/>
  <c r="AL390" i="3"/>
  <c r="AI396" i="3"/>
  <c r="AR390" i="3"/>
  <c r="AO390" i="3"/>
  <c r="AN390" i="3" s="1"/>
  <c r="S428" i="3"/>
  <c r="R428" i="3" s="1"/>
  <c r="AI413" i="3"/>
  <c r="P428" i="3"/>
  <c r="V428" i="3"/>
  <c r="AO444" i="3"/>
  <c r="AN444" i="3" s="1"/>
  <c r="AL444" i="3"/>
  <c r="AI450" i="3"/>
  <c r="AR444" i="3"/>
  <c r="AO544" i="3"/>
  <c r="AN544" i="3" s="1"/>
  <c r="AL544" i="3"/>
  <c r="AR544" i="3"/>
  <c r="P590" i="3"/>
  <c r="V590" i="3"/>
  <c r="S590" i="3"/>
  <c r="R590" i="3" s="1"/>
  <c r="AI575" i="3"/>
  <c r="P628" i="3"/>
  <c r="AI633" i="3"/>
  <c r="V628" i="3"/>
  <c r="S628" i="3"/>
  <c r="R628" i="3" s="1"/>
  <c r="AL708" i="3"/>
  <c r="AR708" i="3"/>
  <c r="AO708" i="3"/>
  <c r="AN708" i="3" s="1"/>
  <c r="AI741" i="3"/>
  <c r="V736" i="3"/>
  <c r="S736" i="3"/>
  <c r="R736" i="3" s="1"/>
  <c r="P736" i="3"/>
  <c r="AR800" i="3"/>
  <c r="AO800" i="3"/>
  <c r="AN800" i="3" s="1"/>
  <c r="AL800" i="3"/>
  <c r="P803" i="3"/>
  <c r="AI799" i="3"/>
  <c r="V803" i="3"/>
  <c r="S803" i="3"/>
  <c r="R803" i="3" s="1"/>
  <c r="AR330" i="1"/>
  <c r="AO330" i="1"/>
  <c r="AN330" i="1" s="1"/>
  <c r="AL330" i="1"/>
  <c r="AR67" i="1"/>
  <c r="AO67" i="1"/>
  <c r="AN67" i="1" s="1"/>
  <c r="AL67" i="1"/>
  <c r="AI364" i="1"/>
  <c r="AI369" i="1" s="1"/>
  <c r="V359" i="1"/>
  <c r="S359" i="1"/>
  <c r="R359" i="1" s="1"/>
  <c r="P359" i="1"/>
  <c r="AL97" i="1"/>
  <c r="AR97" i="1"/>
  <c r="AO97" i="1"/>
  <c r="AN97" i="1" s="1"/>
  <c r="AO42" i="1"/>
  <c r="AN42" i="1" s="1"/>
  <c r="AL42" i="1"/>
  <c r="AR42" i="1"/>
  <c r="AI149" i="1"/>
  <c r="V145" i="1"/>
  <c r="S145" i="1"/>
  <c r="R145" i="1" s="1"/>
  <c r="P145" i="1"/>
  <c r="AO34" i="1"/>
  <c r="AN34" i="1" s="1"/>
  <c r="AL34" i="1"/>
  <c r="AR34" i="1"/>
  <c r="M847" i="1"/>
  <c r="AE851" i="1"/>
  <c r="AO291" i="1"/>
  <c r="AN291" i="1" s="1"/>
  <c r="AI297" i="1"/>
  <c r="AL291" i="1"/>
  <c r="AR291" i="1"/>
  <c r="S479" i="1"/>
  <c r="R479" i="1" s="1"/>
  <c r="P479" i="1"/>
  <c r="AI475" i="1"/>
  <c r="V479" i="1"/>
  <c r="AL646" i="1"/>
  <c r="AR646" i="1"/>
  <c r="AO646" i="1"/>
  <c r="AN646" i="1" s="1"/>
  <c r="V466" i="1"/>
  <c r="S466" i="1"/>
  <c r="R466" i="1" s="1"/>
  <c r="P466" i="1"/>
  <c r="AI471" i="1"/>
  <c r="AR817" i="1"/>
  <c r="AO817" i="1"/>
  <c r="AN817" i="1" s="1"/>
  <c r="AL817" i="1"/>
  <c r="AS843" i="2"/>
  <c r="S19" i="2"/>
  <c r="R19" i="2" s="1"/>
  <c r="AI6" i="2"/>
  <c r="P19" i="2"/>
  <c r="V19" i="2"/>
  <c r="AP117" i="2"/>
  <c r="AQ117" i="2" s="1"/>
  <c r="AE198" i="2"/>
  <c r="AL467" i="2"/>
  <c r="AR467" i="2"/>
  <c r="AO467" i="2"/>
  <c r="AN467" i="2" s="1"/>
  <c r="S345" i="2"/>
  <c r="R345" i="2" s="1"/>
  <c r="AI341" i="2"/>
  <c r="V345" i="2"/>
  <c r="P345" i="2"/>
  <c r="AE603" i="2"/>
  <c r="AR529" i="2"/>
  <c r="AO529" i="2"/>
  <c r="AN529" i="2" s="1"/>
  <c r="AL529" i="2"/>
  <c r="AJ810" i="2"/>
  <c r="AO32" i="3"/>
  <c r="AN32" i="3" s="1"/>
  <c r="AL32" i="3"/>
  <c r="AR32" i="3"/>
  <c r="AO125" i="3"/>
  <c r="AN125" i="3" s="1"/>
  <c r="AL125" i="3"/>
  <c r="AR125" i="3"/>
  <c r="P818" i="3"/>
  <c r="V818" i="3"/>
  <c r="AI823" i="3"/>
  <c r="S818" i="3"/>
  <c r="R818" i="3" s="1"/>
  <c r="S195" i="3"/>
  <c r="R195" i="3" s="1"/>
  <c r="P195" i="3"/>
  <c r="M213" i="3"/>
  <c r="AI210" i="3"/>
  <c r="V195" i="3"/>
  <c r="V308" i="3"/>
  <c r="AI300" i="3"/>
  <c r="S308" i="3"/>
  <c r="R308" i="3" s="1"/>
  <c r="P308" i="3"/>
  <c r="AL310" i="3"/>
  <c r="AR310" i="3"/>
  <c r="AO310" i="3"/>
  <c r="AN310" i="3" s="1"/>
  <c r="AP225" i="3"/>
  <c r="AQ225" i="3" s="1"/>
  <c r="AO358" i="3"/>
  <c r="AN358" i="3" s="1"/>
  <c r="AR358" i="3"/>
  <c r="AL358" i="3"/>
  <c r="AR636" i="3"/>
  <c r="AO636" i="3"/>
  <c r="AN636" i="3" s="1"/>
  <c r="AL636" i="3"/>
  <c r="P554" i="3"/>
  <c r="V554" i="3"/>
  <c r="AI563" i="3"/>
  <c r="S554" i="3"/>
  <c r="R554" i="3" s="1"/>
  <c r="AR570" i="3"/>
  <c r="AO570" i="3"/>
  <c r="AN570" i="3" s="1"/>
  <c r="AI576" i="3"/>
  <c r="AL570" i="3"/>
  <c r="V771" i="3"/>
  <c r="AI780" i="3"/>
  <c r="S771" i="3"/>
  <c r="R771" i="3" s="1"/>
  <c r="P771" i="3"/>
  <c r="AI93" i="1"/>
  <c r="V88" i="1"/>
  <c r="S88" i="1"/>
  <c r="R88" i="1" s="1"/>
  <c r="P88" i="1"/>
  <c r="AO482" i="2"/>
  <c r="AN482" i="2" s="1"/>
  <c r="AR482" i="2"/>
  <c r="AL482" i="2"/>
  <c r="AJ189" i="1"/>
  <c r="P223" i="1"/>
  <c r="V223" i="1"/>
  <c r="S223" i="1"/>
  <c r="R223" i="1" s="1"/>
  <c r="AI228" i="1"/>
  <c r="AO367" i="1"/>
  <c r="AN367" i="1" s="1"/>
  <c r="AR367" i="1"/>
  <c r="AL367" i="1"/>
  <c r="AR619" i="1"/>
  <c r="AO619" i="1"/>
  <c r="AN619" i="1" s="1"/>
  <c r="AL619" i="1"/>
  <c r="AP252" i="1"/>
  <c r="AQ252" i="1" s="1"/>
  <c r="V825" i="1"/>
  <c r="AI834" i="1"/>
  <c r="S825" i="1"/>
  <c r="R825" i="1" s="1"/>
  <c r="P825" i="1"/>
  <c r="AL827" i="1"/>
  <c r="AR827" i="1"/>
  <c r="AO827" i="1"/>
  <c r="AN827" i="1" s="1"/>
  <c r="M807" i="1"/>
  <c r="AI804" i="1"/>
  <c r="V789" i="1"/>
  <c r="S789" i="1"/>
  <c r="R789" i="1" s="1"/>
  <c r="P789" i="1"/>
  <c r="AL508" i="1"/>
  <c r="AR508" i="1"/>
  <c r="AO508" i="1"/>
  <c r="AN508" i="1" s="1"/>
  <c r="M618" i="1"/>
  <c r="AR799" i="1"/>
  <c r="AO799" i="1"/>
  <c r="AN799" i="1" s="1"/>
  <c r="AL799" i="1"/>
  <c r="I861" i="2"/>
  <c r="AE207" i="2"/>
  <c r="V315" i="2"/>
  <c r="P315" i="2"/>
  <c r="S315" i="2"/>
  <c r="R315" i="2" s="1"/>
  <c r="AI312" i="2"/>
  <c r="AE297" i="2"/>
  <c r="AL436" i="2"/>
  <c r="AR436" i="2"/>
  <c r="AO436" i="2"/>
  <c r="AN436" i="2" s="1"/>
  <c r="AO440" i="2"/>
  <c r="AN440" i="2" s="1"/>
  <c r="AL440" i="2"/>
  <c r="AR440" i="2"/>
  <c r="AO714" i="2"/>
  <c r="AN714" i="2" s="1"/>
  <c r="AL714" i="2"/>
  <c r="AI720" i="2"/>
  <c r="AR714" i="2"/>
  <c r="AR752" i="2"/>
  <c r="AO752" i="2"/>
  <c r="AN752" i="2" s="1"/>
  <c r="AL752" i="2"/>
  <c r="AO791" i="2"/>
  <c r="AN791" i="2" s="1"/>
  <c r="AL791" i="2"/>
  <c r="AR791" i="2"/>
  <c r="AP817" i="3"/>
  <c r="U832" i="3"/>
  <c r="AQ817" i="3" s="1"/>
  <c r="AP819" i="3"/>
  <c r="AQ819" i="3" s="1"/>
  <c r="AP99" i="3"/>
  <c r="AQ99" i="3" s="1"/>
  <c r="S387" i="3"/>
  <c r="R387" i="3" s="1"/>
  <c r="P387" i="3"/>
  <c r="AI400" i="3"/>
  <c r="V387" i="3"/>
  <c r="V419" i="3"/>
  <c r="AI428" i="3"/>
  <c r="S419" i="3"/>
  <c r="R419" i="3" s="1"/>
  <c r="P419" i="3"/>
  <c r="M564" i="3"/>
  <c r="AR554" i="3"/>
  <c r="AO554" i="3"/>
  <c r="AN554" i="3" s="1"/>
  <c r="AL554" i="3"/>
  <c r="M186" i="2"/>
  <c r="AP844" i="1"/>
  <c r="U859" i="1"/>
  <c r="AQ844" i="1" s="1"/>
  <c r="AL400" i="1"/>
  <c r="AR400" i="1"/>
  <c r="AO400" i="1"/>
  <c r="AN400" i="1" s="1"/>
  <c r="AS845" i="1"/>
  <c r="S23" i="1"/>
  <c r="R23" i="1" s="1"/>
  <c r="P23" i="1"/>
  <c r="V23" i="1"/>
  <c r="AI8" i="1"/>
  <c r="V293" i="1"/>
  <c r="S293" i="1"/>
  <c r="R293" i="1" s="1"/>
  <c r="AI278" i="1"/>
  <c r="P293" i="1"/>
  <c r="AL808" i="1"/>
  <c r="AR808" i="1"/>
  <c r="AO808" i="1"/>
  <c r="AN808" i="1" s="1"/>
  <c r="AO656" i="1"/>
  <c r="AN656" i="1" s="1"/>
  <c r="AL656" i="1"/>
  <c r="AR656" i="1"/>
  <c r="AL446" i="1"/>
  <c r="AR446" i="1"/>
  <c r="AO446" i="1"/>
  <c r="AN446" i="1" s="1"/>
  <c r="P50" i="2"/>
  <c r="V50" i="2"/>
  <c r="S50" i="2"/>
  <c r="R50" i="2" s="1"/>
  <c r="AI35" i="2"/>
  <c r="S778" i="1"/>
  <c r="R778" i="1" s="1"/>
  <c r="AI763" i="1"/>
  <c r="P778" i="1"/>
  <c r="V778" i="1"/>
  <c r="AO140" i="2"/>
  <c r="AN140" i="2" s="1"/>
  <c r="AL140" i="2"/>
  <c r="AR140" i="2"/>
  <c r="AL431" i="2"/>
  <c r="AR431" i="2"/>
  <c r="AO431" i="2"/>
  <c r="AN431" i="2" s="1"/>
  <c r="AE306" i="2"/>
  <c r="AI283" i="2"/>
  <c r="S278" i="2"/>
  <c r="R278" i="2" s="1"/>
  <c r="V278" i="2"/>
  <c r="P278" i="2"/>
  <c r="S628" i="2"/>
  <c r="R628" i="2" s="1"/>
  <c r="AI633" i="2"/>
  <c r="V628" i="2"/>
  <c r="P628" i="2"/>
  <c r="AF837" i="3"/>
  <c r="S64" i="3"/>
  <c r="R64" i="3" s="1"/>
  <c r="P64" i="3"/>
  <c r="AI68" i="3"/>
  <c r="V64" i="3"/>
  <c r="AS832" i="3"/>
  <c r="V9" i="3"/>
  <c r="S9" i="3"/>
  <c r="R9" i="3" s="1"/>
  <c r="P9" i="3"/>
  <c r="AI22" i="3"/>
  <c r="S98" i="3"/>
  <c r="R98" i="3" s="1"/>
  <c r="P98" i="3"/>
  <c r="AI107" i="3"/>
  <c r="V98" i="3"/>
  <c r="P236" i="3"/>
  <c r="AI232" i="3"/>
  <c r="V236" i="3"/>
  <c r="S236" i="3"/>
  <c r="R236" i="3" s="1"/>
  <c r="V358" i="3"/>
  <c r="S358" i="3"/>
  <c r="R358" i="3" s="1"/>
  <c r="P358" i="3"/>
  <c r="AI363" i="3"/>
  <c r="M456" i="3"/>
  <c r="AI453" i="3"/>
  <c r="S438" i="3"/>
  <c r="R438" i="3" s="1"/>
  <c r="P438" i="3"/>
  <c r="V438" i="3"/>
  <c r="AI598" i="3"/>
  <c r="AI603" i="3" s="1"/>
  <c r="V606" i="3"/>
  <c r="S606" i="3"/>
  <c r="R606" i="3" s="1"/>
  <c r="P606" i="3"/>
  <c r="AO78" i="1"/>
  <c r="AN78" i="1" s="1"/>
  <c r="AL78" i="1"/>
  <c r="AR78" i="1"/>
  <c r="AR159" i="1"/>
  <c r="AO159" i="1"/>
  <c r="AN159" i="1" s="1"/>
  <c r="AL159" i="1"/>
  <c r="AO106" i="1"/>
  <c r="AN106" i="1" s="1"/>
  <c r="AL106" i="1"/>
  <c r="AR106" i="1"/>
  <c r="S225" i="1"/>
  <c r="R225" i="1" s="1"/>
  <c r="AI238" i="1"/>
  <c r="V225" i="1"/>
  <c r="P225" i="1"/>
  <c r="AO403" i="1"/>
  <c r="AN403" i="1" s="1"/>
  <c r="AL403" i="1"/>
  <c r="AR403" i="1"/>
  <c r="AE9" i="1"/>
  <c r="AR431" i="1"/>
  <c r="AO431" i="1"/>
  <c r="AN431" i="1" s="1"/>
  <c r="AL431" i="1"/>
  <c r="M845" i="1"/>
  <c r="AE850" i="1"/>
  <c r="P388" i="1"/>
  <c r="AI392" i="1"/>
  <c r="V388" i="1"/>
  <c r="S388" i="1"/>
  <c r="R388" i="1" s="1"/>
  <c r="AS852" i="2"/>
  <c r="S18" i="2"/>
  <c r="R18" i="2" s="1"/>
  <c r="P18" i="2"/>
  <c r="AI15" i="2"/>
  <c r="V18" i="2"/>
  <c r="V358" i="2"/>
  <c r="S358" i="2"/>
  <c r="R358" i="2" s="1"/>
  <c r="AI363" i="2"/>
  <c r="P358" i="2"/>
  <c r="V498" i="2"/>
  <c r="S498" i="2"/>
  <c r="R498" i="2" s="1"/>
  <c r="P498" i="2"/>
  <c r="AI490" i="2"/>
  <c r="AL579" i="2"/>
  <c r="AR579" i="2"/>
  <c r="AI585" i="2"/>
  <c r="AO579" i="2"/>
  <c r="AN579" i="2" s="1"/>
  <c r="M537" i="2"/>
  <c r="AL444" i="2"/>
  <c r="AR444" i="2"/>
  <c r="AO444" i="2"/>
  <c r="AN444" i="2" s="1"/>
  <c r="V694" i="2"/>
  <c r="S694" i="2"/>
  <c r="R694" i="2" s="1"/>
  <c r="P694" i="2"/>
  <c r="AI681" i="2"/>
  <c r="P683" i="2"/>
  <c r="AI688" i="2"/>
  <c r="V683" i="2"/>
  <c r="S683" i="2"/>
  <c r="R683" i="2" s="1"/>
  <c r="P827" i="2"/>
  <c r="AI836" i="2"/>
  <c r="V827" i="2"/>
  <c r="S827" i="2"/>
  <c r="R827" i="2" s="1"/>
  <c r="AE822" i="3"/>
  <c r="M817" i="3"/>
  <c r="AL274" i="3"/>
  <c r="AR274" i="3"/>
  <c r="AO274" i="3"/>
  <c r="AN274" i="3" s="1"/>
  <c r="AO248" i="3"/>
  <c r="AN248" i="3" s="1"/>
  <c r="AL248" i="3"/>
  <c r="AR248" i="3"/>
  <c r="AL338" i="3"/>
  <c r="AR338" i="3"/>
  <c r="AO338" i="3"/>
  <c r="AN338" i="3" s="1"/>
  <c r="AE531" i="3"/>
  <c r="S33" i="1"/>
  <c r="R33" i="1" s="1"/>
  <c r="P33" i="1"/>
  <c r="M51" i="1"/>
  <c r="AI48" i="1"/>
  <c r="V33" i="1"/>
  <c r="AI259" i="1"/>
  <c r="V263" i="1"/>
  <c r="S263" i="1"/>
  <c r="R263" i="1" s="1"/>
  <c r="P263" i="1"/>
  <c r="AP858" i="1"/>
  <c r="T861" i="1"/>
  <c r="U861" i="1" s="1"/>
  <c r="U843" i="1"/>
  <c r="AQ858" i="1" s="1"/>
  <c r="P227" i="1"/>
  <c r="V227" i="1"/>
  <c r="AI219" i="1"/>
  <c r="S227" i="1"/>
  <c r="R227" i="1" s="1"/>
  <c r="AE860" i="1"/>
  <c r="M851" i="1"/>
  <c r="AO176" i="1"/>
  <c r="AN176" i="1" s="1"/>
  <c r="AL176" i="1"/>
  <c r="AR176" i="1"/>
  <c r="AL194" i="1"/>
  <c r="AO194" i="1"/>
  <c r="AN194" i="1" s="1"/>
  <c r="AR194" i="1"/>
  <c r="S640" i="1"/>
  <c r="R640" i="1" s="1"/>
  <c r="AI627" i="1"/>
  <c r="P640" i="1"/>
  <c r="V640" i="1"/>
  <c r="P439" i="1"/>
  <c r="AI444" i="1"/>
  <c r="V439" i="1"/>
  <c r="S439" i="1"/>
  <c r="R439" i="1" s="1"/>
  <c r="AO499" i="1"/>
  <c r="AN499" i="1" s="1"/>
  <c r="AL499" i="1"/>
  <c r="AR499" i="1"/>
  <c r="V635" i="1"/>
  <c r="AI644" i="1"/>
  <c r="S635" i="1"/>
  <c r="R635" i="1" s="1"/>
  <c r="P635" i="1"/>
  <c r="AE648" i="1"/>
  <c r="P767" i="1"/>
  <c r="V767" i="1"/>
  <c r="AI759" i="1"/>
  <c r="S767" i="1"/>
  <c r="R767" i="1" s="1"/>
  <c r="AR292" i="2"/>
  <c r="AL292" i="2"/>
  <c r="AO292" i="2"/>
  <c r="AN292" i="2" s="1"/>
  <c r="AO106" i="2"/>
  <c r="AN106" i="2" s="1"/>
  <c r="AL106" i="2"/>
  <c r="AR106" i="2"/>
  <c r="P249" i="2"/>
  <c r="AI264" i="2"/>
  <c r="V249" i="2"/>
  <c r="M267" i="2"/>
  <c r="S249" i="2"/>
  <c r="R249" i="2" s="1"/>
  <c r="S441" i="2"/>
  <c r="R441" i="2" s="1"/>
  <c r="P441" i="2"/>
  <c r="AI454" i="2"/>
  <c r="V441" i="2"/>
  <c r="S613" i="2"/>
  <c r="R613" i="2" s="1"/>
  <c r="P613" i="2"/>
  <c r="V613" i="2"/>
  <c r="AI600" i="2"/>
  <c r="AS815" i="3"/>
  <c r="P13" i="3"/>
  <c r="AI5" i="3"/>
  <c r="V13" i="3"/>
  <c r="S13" i="3"/>
  <c r="R13" i="3" s="1"/>
  <c r="AR265" i="3"/>
  <c r="AO265" i="3"/>
  <c r="AN265" i="3" s="1"/>
  <c r="AL265" i="3"/>
  <c r="M833" i="3"/>
  <c r="AE818" i="3"/>
  <c r="AL205" i="3"/>
  <c r="AR205" i="3"/>
  <c r="AO205" i="3"/>
  <c r="AN205" i="3" s="1"/>
  <c r="P237" i="3"/>
  <c r="V237" i="3"/>
  <c r="S237" i="3"/>
  <c r="R237" i="3" s="1"/>
  <c r="AI233" i="3"/>
  <c r="AP414" i="3"/>
  <c r="AQ414" i="3" s="1"/>
  <c r="AP549" i="3"/>
  <c r="AQ549" i="3" s="1"/>
  <c r="V689" i="3"/>
  <c r="AI698" i="3"/>
  <c r="S689" i="3"/>
  <c r="R689" i="3" s="1"/>
  <c r="P689" i="3"/>
  <c r="AL737" i="3"/>
  <c r="AR737" i="3"/>
  <c r="AO737" i="3"/>
  <c r="AN737" i="3" s="1"/>
  <c r="AR75" i="1"/>
  <c r="AO75" i="1"/>
  <c r="AN75" i="1" s="1"/>
  <c r="AI81" i="1"/>
  <c r="AL75" i="1"/>
  <c r="AI333" i="1"/>
  <c r="AR327" i="1"/>
  <c r="AO327" i="1"/>
  <c r="AN327" i="1" s="1"/>
  <c r="AL327" i="1"/>
  <c r="AO409" i="1"/>
  <c r="AN409" i="1" s="1"/>
  <c r="AL409" i="1"/>
  <c r="AR409" i="1"/>
  <c r="M429" i="1"/>
  <c r="AI426" i="1"/>
  <c r="V411" i="1"/>
  <c r="S411" i="1"/>
  <c r="R411" i="1" s="1"/>
  <c r="P411" i="1"/>
  <c r="AI589" i="1"/>
  <c r="V576" i="1"/>
  <c r="S576" i="1"/>
  <c r="R576" i="1" s="1"/>
  <c r="P576" i="1"/>
  <c r="AL449" i="1"/>
  <c r="AR449" i="1"/>
  <c r="AO449" i="1"/>
  <c r="AN449" i="1" s="1"/>
  <c r="V643" i="1"/>
  <c r="S643" i="1"/>
  <c r="R643" i="1" s="1"/>
  <c r="AI628" i="1"/>
  <c r="P643" i="1"/>
  <c r="P519" i="1"/>
  <c r="M537" i="1"/>
  <c r="AI534" i="1"/>
  <c r="V519" i="1"/>
  <c r="S519" i="1"/>
  <c r="R519" i="1" s="1"/>
  <c r="AL436" i="1"/>
  <c r="AR436" i="1"/>
  <c r="AO436" i="1"/>
  <c r="AN436" i="1" s="1"/>
  <c r="AL572" i="1"/>
  <c r="AR572" i="1"/>
  <c r="AO572" i="1"/>
  <c r="AN572" i="1" s="1"/>
  <c r="V684" i="1"/>
  <c r="S684" i="1"/>
  <c r="R684" i="1" s="1"/>
  <c r="P684" i="1"/>
  <c r="AI697" i="1"/>
  <c r="AI193" i="2"/>
  <c r="S201" i="2"/>
  <c r="R201" i="2" s="1"/>
  <c r="P201" i="2"/>
  <c r="V201" i="2"/>
  <c r="AO448" i="2"/>
  <c r="AN448" i="2" s="1"/>
  <c r="AL448" i="2"/>
  <c r="AR448" i="2"/>
  <c r="AH513" i="2"/>
  <c r="M456" i="2"/>
  <c r="AL566" i="2"/>
  <c r="AR566" i="2"/>
  <c r="AO566" i="2"/>
  <c r="AN566" i="2" s="1"/>
  <c r="V666" i="2"/>
  <c r="S666" i="2"/>
  <c r="R666" i="2" s="1"/>
  <c r="P666" i="2"/>
  <c r="AI663" i="2"/>
  <c r="P830" i="3"/>
  <c r="S830" i="3"/>
  <c r="R830" i="3" s="1"/>
  <c r="AI826" i="3"/>
  <c r="V830" i="3"/>
  <c r="AO230" i="3"/>
  <c r="AN230" i="3" s="1"/>
  <c r="AL230" i="3"/>
  <c r="AR230" i="3"/>
  <c r="V366" i="3"/>
  <c r="AI375" i="3"/>
  <c r="S366" i="3"/>
  <c r="R366" i="3" s="1"/>
  <c r="P366" i="3"/>
  <c r="V412" i="3"/>
  <c r="S412" i="3"/>
  <c r="R412" i="3" s="1"/>
  <c r="P412" i="3"/>
  <c r="AI417" i="3"/>
  <c r="AO718" i="3"/>
  <c r="AN718" i="3" s="1"/>
  <c r="AL718" i="3"/>
  <c r="AR718" i="3"/>
  <c r="M24" i="1"/>
  <c r="AR98" i="1"/>
  <c r="AO98" i="1"/>
  <c r="AN98" i="1" s="1"/>
  <c r="AL98" i="1"/>
  <c r="AP45" i="1"/>
  <c r="AQ45" i="1" s="1"/>
  <c r="V345" i="1"/>
  <c r="S345" i="1"/>
  <c r="R345" i="1" s="1"/>
  <c r="AI341" i="1"/>
  <c r="P345" i="1"/>
  <c r="AO202" i="1"/>
  <c r="AN202" i="1" s="1"/>
  <c r="AR202" i="1"/>
  <c r="AL202" i="1"/>
  <c r="P312" i="1"/>
  <c r="V312" i="1"/>
  <c r="AI321" i="1"/>
  <c r="S312" i="1"/>
  <c r="R312" i="1" s="1"/>
  <c r="AO638" i="1"/>
  <c r="AN638" i="1" s="1"/>
  <c r="AL638" i="1"/>
  <c r="AR638" i="1"/>
  <c r="AL795" i="1"/>
  <c r="AI801" i="1"/>
  <c r="AR795" i="1"/>
  <c r="AO795" i="1"/>
  <c r="AN795" i="1" s="1"/>
  <c r="AE324" i="2"/>
  <c r="AR809" i="1"/>
  <c r="AO809" i="1"/>
  <c r="AN809" i="1" s="1"/>
  <c r="AL809" i="1"/>
  <c r="AL798" i="1"/>
  <c r="AR798" i="1"/>
  <c r="AO798" i="1"/>
  <c r="AN798" i="1" s="1"/>
  <c r="AL277" i="2"/>
  <c r="AO277" i="2"/>
  <c r="AN277" i="2" s="1"/>
  <c r="AR277" i="2"/>
  <c r="AS840" i="2"/>
  <c r="V11" i="2"/>
  <c r="AI3" i="2"/>
  <c r="S11" i="2"/>
  <c r="R11" i="2" s="1"/>
  <c r="P11" i="2"/>
  <c r="AO150" i="2"/>
  <c r="AN150" i="2" s="1"/>
  <c r="AL150" i="2"/>
  <c r="AR150" i="2"/>
  <c r="AI394" i="2"/>
  <c r="V398" i="2"/>
  <c r="S398" i="2"/>
  <c r="R398" i="2" s="1"/>
  <c r="P398" i="2"/>
  <c r="AL446" i="2"/>
  <c r="AR446" i="2"/>
  <c r="AO446" i="2"/>
  <c r="AN446" i="2" s="1"/>
  <c r="AL674" i="2"/>
  <c r="AR674" i="2"/>
  <c r="AO674" i="2"/>
  <c r="AN674" i="2" s="1"/>
  <c r="AE450" i="2"/>
  <c r="S282" i="2"/>
  <c r="R282" i="2" s="1"/>
  <c r="V282" i="2"/>
  <c r="P282" i="2"/>
  <c r="AI274" i="2"/>
  <c r="AO547" i="2"/>
  <c r="AN547" i="2" s="1"/>
  <c r="AL547" i="2"/>
  <c r="AR547" i="2"/>
  <c r="V558" i="2"/>
  <c r="S558" i="2"/>
  <c r="R558" i="2" s="1"/>
  <c r="P558" i="2"/>
  <c r="AI555" i="2"/>
  <c r="AO706" i="2"/>
  <c r="AN706" i="2" s="1"/>
  <c r="AL706" i="2"/>
  <c r="AR706" i="2"/>
  <c r="S66" i="3"/>
  <c r="R66" i="3" s="1"/>
  <c r="P66" i="3"/>
  <c r="AI58" i="3"/>
  <c r="V66" i="3"/>
  <c r="AI662" i="2"/>
  <c r="V658" i="2"/>
  <c r="S658" i="2"/>
  <c r="R658" i="2" s="1"/>
  <c r="P658" i="2"/>
  <c r="M832" i="3"/>
  <c r="AL103" i="3"/>
  <c r="AR103" i="3"/>
  <c r="AO103" i="3"/>
  <c r="AN103" i="3" s="1"/>
  <c r="AI480" i="3"/>
  <c r="V465" i="3"/>
  <c r="S465" i="3"/>
  <c r="R465" i="3" s="1"/>
  <c r="M483" i="3"/>
  <c r="P465" i="3"/>
  <c r="P528" i="3"/>
  <c r="V528" i="3"/>
  <c r="AI537" i="3"/>
  <c r="S528" i="3"/>
  <c r="R528" i="3" s="1"/>
  <c r="AL724" i="3"/>
  <c r="AR724" i="3"/>
  <c r="AO724" i="3"/>
  <c r="AN724" i="3" s="1"/>
  <c r="V801" i="3"/>
  <c r="S801" i="3"/>
  <c r="R801" i="3" s="1"/>
  <c r="P801" i="3"/>
  <c r="AI798" i="3"/>
  <c r="AP225" i="1"/>
  <c r="AQ225" i="1" s="1"/>
  <c r="S206" i="1"/>
  <c r="R206" i="1" s="1"/>
  <c r="P206" i="1"/>
  <c r="AI215" i="1"/>
  <c r="V206" i="1"/>
  <c r="AP863" i="1"/>
  <c r="U854" i="1"/>
  <c r="AQ863" i="1" s="1"/>
  <c r="M852" i="1"/>
  <c r="M375" i="1"/>
  <c r="AI372" i="1"/>
  <c r="V357" i="1"/>
  <c r="S357" i="1"/>
  <c r="R357" i="1" s="1"/>
  <c r="P357" i="1"/>
  <c r="M859" i="2"/>
  <c r="AE844" i="2"/>
  <c r="AE27" i="2"/>
  <c r="AO32" i="2"/>
  <c r="AN32" i="2" s="1"/>
  <c r="AL32" i="2"/>
  <c r="AR32" i="2"/>
  <c r="AS841" i="2"/>
  <c r="V12" i="2"/>
  <c r="S12" i="2"/>
  <c r="R12" i="2" s="1"/>
  <c r="P12" i="2"/>
  <c r="AI4" i="2"/>
  <c r="AL166" i="2"/>
  <c r="AR166" i="2"/>
  <c r="AO166" i="2"/>
  <c r="AN166" i="2" s="1"/>
  <c r="P360" i="2"/>
  <c r="AI373" i="2"/>
  <c r="V360" i="2"/>
  <c r="S360" i="2"/>
  <c r="R360" i="2" s="1"/>
  <c r="S336" i="2"/>
  <c r="R336" i="2" s="1"/>
  <c r="V336" i="2"/>
  <c r="AI328" i="2"/>
  <c r="P336" i="2"/>
  <c r="P549" i="2"/>
  <c r="AI562" i="2"/>
  <c r="AI567" i="2" s="1"/>
  <c r="V549" i="2"/>
  <c r="S549" i="2"/>
  <c r="R549" i="2" s="1"/>
  <c r="AL538" i="2"/>
  <c r="AR538" i="2"/>
  <c r="AO538" i="2"/>
  <c r="AN538" i="2" s="1"/>
  <c r="M672" i="2"/>
  <c r="S718" i="2"/>
  <c r="R718" i="2" s="1"/>
  <c r="P718" i="2"/>
  <c r="AI727" i="2"/>
  <c r="V718" i="2"/>
  <c r="AE90" i="3"/>
  <c r="M821" i="3"/>
  <c r="AE813" i="3"/>
  <c r="AO276" i="3"/>
  <c r="AN276" i="3" s="1"/>
  <c r="AL276" i="3"/>
  <c r="AR276" i="3"/>
  <c r="AP189" i="3"/>
  <c r="AQ189" i="3" s="1"/>
  <c r="S223" i="3"/>
  <c r="R223" i="3" s="1"/>
  <c r="P223" i="3"/>
  <c r="AI228" i="3"/>
  <c r="V223" i="3"/>
  <c r="AP234" i="3"/>
  <c r="AQ234" i="3" s="1"/>
  <c r="AI436" i="3"/>
  <c r="V444" i="3"/>
  <c r="S444" i="3"/>
  <c r="R444" i="3" s="1"/>
  <c r="P444" i="3"/>
  <c r="AO439" i="3"/>
  <c r="AN439" i="3" s="1"/>
  <c r="AR439" i="3"/>
  <c r="AL439" i="3"/>
  <c r="AI513" i="3"/>
  <c r="AO507" i="3"/>
  <c r="AN507" i="3" s="1"/>
  <c r="AL507" i="3"/>
  <c r="AR507" i="3"/>
  <c r="S683" i="3"/>
  <c r="R683" i="3" s="1"/>
  <c r="P683" i="3"/>
  <c r="AI688" i="3"/>
  <c r="V683" i="3"/>
  <c r="AL755" i="3"/>
  <c r="AR755" i="3"/>
  <c r="AO755" i="3"/>
  <c r="AN755" i="3" s="1"/>
  <c r="U846" i="1"/>
  <c r="AQ859" i="1" s="1"/>
  <c r="AP859" i="1"/>
  <c r="AL260" i="1"/>
  <c r="AR260" i="1"/>
  <c r="AO260" i="1"/>
  <c r="AN260" i="1" s="1"/>
  <c r="AR322" i="1"/>
  <c r="AO322" i="1"/>
  <c r="AN322" i="1" s="1"/>
  <c r="AL322" i="1"/>
  <c r="M858" i="1"/>
  <c r="AE854" i="1"/>
  <c r="M294" i="1"/>
  <c r="S521" i="1"/>
  <c r="R521" i="1" s="1"/>
  <c r="P521" i="1"/>
  <c r="AI526" i="1"/>
  <c r="V521" i="1"/>
  <c r="AO43" i="2"/>
  <c r="AN43" i="2" s="1"/>
  <c r="AL43" i="2"/>
  <c r="AR43" i="2"/>
  <c r="AP441" i="1"/>
  <c r="AQ441" i="1" s="1"/>
  <c r="AO718" i="1"/>
  <c r="AN718" i="1" s="1"/>
  <c r="AL718" i="1"/>
  <c r="AR718" i="1"/>
  <c r="AI63" i="2"/>
  <c r="AR57" i="2"/>
  <c r="AO57" i="2"/>
  <c r="AN57" i="2" s="1"/>
  <c r="AL57" i="2"/>
  <c r="M847" i="2"/>
  <c r="AE851" i="2"/>
  <c r="AI139" i="2"/>
  <c r="V147" i="2"/>
  <c r="S147" i="2"/>
  <c r="R147" i="2" s="1"/>
  <c r="P147" i="2"/>
  <c r="AE90" i="2"/>
  <c r="S222" i="2"/>
  <c r="R222" i="2" s="1"/>
  <c r="P222" i="2"/>
  <c r="M240" i="2"/>
  <c r="V222" i="2"/>
  <c r="AI237" i="2"/>
  <c r="AI176" i="2"/>
  <c r="S172" i="2"/>
  <c r="R172" i="2" s="1"/>
  <c r="P172" i="2"/>
  <c r="V172" i="2"/>
  <c r="S370" i="2"/>
  <c r="R370" i="2" s="1"/>
  <c r="V370" i="2"/>
  <c r="P370" i="2"/>
  <c r="AI357" i="2"/>
  <c r="V605" i="2"/>
  <c r="S605" i="2"/>
  <c r="R605" i="2" s="1"/>
  <c r="P605" i="2"/>
  <c r="AI597" i="2"/>
  <c r="AO570" i="2"/>
  <c r="AN570" i="2" s="1"/>
  <c r="AL570" i="2"/>
  <c r="AI576" i="2"/>
  <c r="AR570" i="2"/>
  <c r="S667" i="2"/>
  <c r="R667" i="2" s="1"/>
  <c r="P667" i="2"/>
  <c r="AI654" i="2"/>
  <c r="V667" i="2"/>
  <c r="S559" i="2"/>
  <c r="R559" i="2" s="1"/>
  <c r="P559" i="2"/>
  <c r="AI546" i="2"/>
  <c r="V559" i="2"/>
  <c r="S817" i="2"/>
  <c r="R817" i="2" s="1"/>
  <c r="V817" i="2"/>
  <c r="AI822" i="2"/>
  <c r="P817" i="2"/>
  <c r="AI187" i="3"/>
  <c r="P178" i="3"/>
  <c r="V178" i="3"/>
  <c r="S178" i="3"/>
  <c r="R178" i="3" s="1"/>
  <c r="AR211" i="3"/>
  <c r="AO211" i="3"/>
  <c r="AN211" i="3" s="1"/>
  <c r="AL211" i="3"/>
  <c r="P336" i="3"/>
  <c r="V336" i="3"/>
  <c r="S336" i="3"/>
  <c r="R336" i="3" s="1"/>
  <c r="AI328" i="3"/>
  <c r="AP405" i="3"/>
  <c r="AQ405" i="3" s="1"/>
  <c r="AL491" i="3"/>
  <c r="AO491" i="3"/>
  <c r="AN491" i="3" s="1"/>
  <c r="AR491" i="3"/>
  <c r="AO490" i="3"/>
  <c r="AN490" i="3" s="1"/>
  <c r="AR490" i="3"/>
  <c r="AL490" i="3"/>
  <c r="AO528" i="3"/>
  <c r="AN528" i="3" s="1"/>
  <c r="AR528" i="3"/>
  <c r="AL528" i="3"/>
  <c r="AO520" i="3"/>
  <c r="AN520" i="3" s="1"/>
  <c r="AR520" i="3"/>
  <c r="AL520" i="3"/>
  <c r="P642" i="3"/>
  <c r="V642" i="3"/>
  <c r="S642" i="3"/>
  <c r="R642" i="3" s="1"/>
  <c r="AI638" i="3"/>
  <c r="AS862" i="1"/>
  <c r="P16" i="1"/>
  <c r="AI25" i="1"/>
  <c r="V16" i="1"/>
  <c r="S16" i="1"/>
  <c r="R16" i="1" s="1"/>
  <c r="AE844" i="1"/>
  <c r="M859" i="1"/>
  <c r="AL211" i="1"/>
  <c r="AR211" i="1"/>
  <c r="AO211" i="1"/>
  <c r="AN211" i="1" s="1"/>
  <c r="AL203" i="1"/>
  <c r="AR203" i="1"/>
  <c r="AO203" i="1"/>
  <c r="AN203" i="1" s="1"/>
  <c r="AH855" i="1"/>
  <c r="S480" i="1"/>
  <c r="R480" i="1" s="1"/>
  <c r="AI476" i="1"/>
  <c r="P480" i="1"/>
  <c r="V480" i="1"/>
  <c r="AE486" i="1"/>
  <c r="AS844" i="2"/>
  <c r="V22" i="2"/>
  <c r="S22" i="2"/>
  <c r="R22" i="2" s="1"/>
  <c r="AI7" i="2"/>
  <c r="P22" i="2"/>
  <c r="S693" i="1"/>
  <c r="R693" i="1" s="1"/>
  <c r="P693" i="1"/>
  <c r="AI690" i="1"/>
  <c r="V693" i="1"/>
  <c r="U850" i="2"/>
  <c r="AQ842" i="2" s="1"/>
  <c r="AP842" i="2"/>
  <c r="AP846" i="2" s="1"/>
  <c r="AQ846" i="2" s="1"/>
  <c r="AR113" i="2"/>
  <c r="AO113" i="2"/>
  <c r="AN113" i="2" s="1"/>
  <c r="AL113" i="2"/>
  <c r="AE862" i="2"/>
  <c r="M853" i="2"/>
  <c r="AI858" i="2"/>
  <c r="V843" i="2"/>
  <c r="S843" i="2"/>
  <c r="R843" i="2" s="1"/>
  <c r="P843" i="2"/>
  <c r="S235" i="2"/>
  <c r="R235" i="2" s="1"/>
  <c r="P235" i="2"/>
  <c r="AI222" i="2"/>
  <c r="V235" i="2"/>
  <c r="AR401" i="2"/>
  <c r="AO401" i="2"/>
  <c r="AN401" i="2" s="1"/>
  <c r="AL401" i="2"/>
  <c r="S478" i="2"/>
  <c r="R478" i="2" s="1"/>
  <c r="AI465" i="2"/>
  <c r="V478" i="2"/>
  <c r="P478" i="2"/>
  <c r="S286" i="2"/>
  <c r="R286" i="2" s="1"/>
  <c r="P286" i="2"/>
  <c r="V286" i="2"/>
  <c r="AI295" i="2"/>
  <c r="AO537" i="2"/>
  <c r="AN537" i="2" s="1"/>
  <c r="AR537" i="2"/>
  <c r="AL537" i="2"/>
  <c r="V451" i="2"/>
  <c r="S451" i="2"/>
  <c r="R451" i="2" s="1"/>
  <c r="AI438" i="2"/>
  <c r="P451" i="2"/>
  <c r="V581" i="2"/>
  <c r="P581" i="2"/>
  <c r="AI590" i="2"/>
  <c r="S581" i="2"/>
  <c r="R581" i="2" s="1"/>
  <c r="AP594" i="2"/>
  <c r="AQ594" i="2" s="1"/>
  <c r="AR680" i="2"/>
  <c r="AO680" i="2"/>
  <c r="AN680" i="2" s="1"/>
  <c r="AL680" i="2"/>
  <c r="AO750" i="2"/>
  <c r="AN750" i="2" s="1"/>
  <c r="AI756" i="2"/>
  <c r="AL750" i="2"/>
  <c r="AR750" i="2"/>
  <c r="AP711" i="2"/>
  <c r="AQ711" i="2" s="1"/>
  <c r="M823" i="3"/>
  <c r="AE815" i="3"/>
  <c r="P229" i="3"/>
  <c r="AI221" i="3"/>
  <c r="V229" i="3"/>
  <c r="S229" i="3"/>
  <c r="R229" i="3" s="1"/>
  <c r="AI270" i="3"/>
  <c r="AL264" i="3"/>
  <c r="AR264" i="3"/>
  <c r="AO264" i="3"/>
  <c r="AN264" i="3" s="1"/>
  <c r="M348" i="3"/>
  <c r="AO447" i="3"/>
  <c r="AN447" i="3" s="1"/>
  <c r="AR447" i="3"/>
  <c r="AL447" i="3"/>
  <c r="AL503" i="3"/>
  <c r="AR503" i="3"/>
  <c r="AO503" i="3"/>
  <c r="AN503" i="3" s="1"/>
  <c r="AI564" i="3"/>
  <c r="V555" i="3"/>
  <c r="S555" i="3"/>
  <c r="R555" i="3" s="1"/>
  <c r="P555" i="3"/>
  <c r="AI646" i="3"/>
  <c r="V637" i="3"/>
  <c r="P637" i="3"/>
  <c r="S637" i="3"/>
  <c r="R637" i="3" s="1"/>
  <c r="P681" i="3"/>
  <c r="M699" i="3"/>
  <c r="AI696" i="3"/>
  <c r="V681" i="3"/>
  <c r="S681" i="3"/>
  <c r="R681" i="3" s="1"/>
  <c r="AL691" i="3"/>
  <c r="AR691" i="3"/>
  <c r="AO691" i="3"/>
  <c r="AN691" i="3" s="1"/>
  <c r="AL567" i="1" l="1"/>
  <c r="AR567" i="1"/>
  <c r="AO567" i="1"/>
  <c r="AN567" i="1" s="1"/>
  <c r="AL603" i="1"/>
  <c r="AR603" i="1"/>
  <c r="AO603" i="1"/>
  <c r="AN603" i="1" s="1"/>
  <c r="V861" i="2"/>
  <c r="S861" i="2"/>
  <c r="R861" i="2" s="1"/>
  <c r="P861" i="2"/>
  <c r="AL657" i="3"/>
  <c r="AR657" i="3"/>
  <c r="AO657" i="3"/>
  <c r="AN657" i="3" s="1"/>
  <c r="AR360" i="3"/>
  <c r="AO360" i="3"/>
  <c r="AN360" i="3" s="1"/>
  <c r="AL360" i="3"/>
  <c r="AL675" i="1"/>
  <c r="AR675" i="1"/>
  <c r="AO675" i="1"/>
  <c r="AN675" i="1" s="1"/>
  <c r="AL549" i="1"/>
  <c r="AR549" i="1"/>
  <c r="AO549" i="1"/>
  <c r="AN549" i="1" s="1"/>
  <c r="AR99" i="3"/>
  <c r="AO99" i="3"/>
  <c r="AN99" i="3" s="1"/>
  <c r="AL99" i="3"/>
  <c r="AO216" i="2"/>
  <c r="AN216" i="2" s="1"/>
  <c r="AR216" i="2"/>
  <c r="AL216" i="2"/>
  <c r="AR666" i="3"/>
  <c r="AO666" i="3"/>
  <c r="AN666" i="3" s="1"/>
  <c r="AL666" i="3"/>
  <c r="AO387" i="3"/>
  <c r="AN387" i="3" s="1"/>
  <c r="AL387" i="3"/>
  <c r="AR387" i="3"/>
  <c r="AO9" i="3"/>
  <c r="AN9" i="3" s="1"/>
  <c r="AL9" i="3"/>
  <c r="AR9" i="3"/>
  <c r="AO135" i="1"/>
  <c r="AN135" i="1" s="1"/>
  <c r="AL135" i="1"/>
  <c r="AR135" i="1"/>
  <c r="AR207" i="1"/>
  <c r="AO207" i="1"/>
  <c r="AN207" i="1" s="1"/>
  <c r="AL207" i="1"/>
  <c r="AR567" i="2"/>
  <c r="AO567" i="2"/>
  <c r="AN567" i="2" s="1"/>
  <c r="AL567" i="2"/>
  <c r="AR576" i="1"/>
  <c r="AO576" i="1"/>
  <c r="AN576" i="1" s="1"/>
  <c r="AL576" i="1"/>
  <c r="AO414" i="1"/>
  <c r="AN414" i="1" s="1"/>
  <c r="AL414" i="1"/>
  <c r="AR414" i="1"/>
  <c r="AR378" i="3"/>
  <c r="AO378" i="3"/>
  <c r="AN378" i="3" s="1"/>
  <c r="AL378" i="3"/>
  <c r="AO252" i="1"/>
  <c r="AN252" i="1" s="1"/>
  <c r="AL252" i="1"/>
  <c r="AR252" i="1"/>
  <c r="AO189" i="1"/>
  <c r="AN189" i="1" s="1"/>
  <c r="AL189" i="1"/>
  <c r="AR189" i="1"/>
  <c r="AL630" i="3"/>
  <c r="AO630" i="3"/>
  <c r="AN630" i="3" s="1"/>
  <c r="AR630" i="3"/>
  <c r="AR837" i="1"/>
  <c r="AO837" i="1"/>
  <c r="AN837" i="1" s="1"/>
  <c r="AL837" i="1"/>
  <c r="AR603" i="3"/>
  <c r="AL603" i="3"/>
  <c r="AO603" i="3"/>
  <c r="AN603" i="3" s="1"/>
  <c r="AR369" i="1"/>
  <c r="AO369" i="1"/>
  <c r="AN369" i="1" s="1"/>
  <c r="AL369" i="1"/>
  <c r="AO297" i="3"/>
  <c r="AN297" i="3" s="1"/>
  <c r="AL297" i="3"/>
  <c r="AR297" i="3"/>
  <c r="AL72" i="1"/>
  <c r="AR72" i="1"/>
  <c r="AO72" i="1"/>
  <c r="AN72" i="1" s="1"/>
  <c r="AL324" i="3"/>
  <c r="AR324" i="3"/>
  <c r="AO324" i="3"/>
  <c r="AN324" i="3" s="1"/>
  <c r="AR215" i="1"/>
  <c r="AO215" i="1"/>
  <c r="AN215" i="1" s="1"/>
  <c r="AL215" i="1"/>
  <c r="AL633" i="2"/>
  <c r="AI639" i="2"/>
  <c r="AR633" i="2"/>
  <c r="AO633" i="2"/>
  <c r="AN633" i="2" s="1"/>
  <c r="AR675" i="2"/>
  <c r="AO675" i="2"/>
  <c r="AN675" i="2" s="1"/>
  <c r="AL675" i="2"/>
  <c r="AR750" i="1"/>
  <c r="AO750" i="1"/>
  <c r="AN750" i="1" s="1"/>
  <c r="AI756" i="1"/>
  <c r="AL750" i="1"/>
  <c r="AL25" i="2"/>
  <c r="AR25" i="2"/>
  <c r="AO25" i="2"/>
  <c r="AN25" i="2" s="1"/>
  <c r="AO255" i="3"/>
  <c r="AN255" i="3" s="1"/>
  <c r="AL255" i="3"/>
  <c r="AR255" i="3"/>
  <c r="AI261" i="3"/>
  <c r="V849" i="1"/>
  <c r="S849" i="1"/>
  <c r="R849" i="1" s="1"/>
  <c r="AI841" i="1"/>
  <c r="P849" i="1"/>
  <c r="S348" i="3"/>
  <c r="R348" i="3" s="1"/>
  <c r="P348" i="3"/>
  <c r="V348" i="3"/>
  <c r="AR564" i="3"/>
  <c r="AO564" i="3"/>
  <c r="AN564" i="3" s="1"/>
  <c r="AL564" i="3"/>
  <c r="AO438" i="2"/>
  <c r="AN438" i="2" s="1"/>
  <c r="AR438" i="2"/>
  <c r="AL438" i="2"/>
  <c r="AO858" i="2"/>
  <c r="AN858" i="2" s="1"/>
  <c r="AL858" i="2"/>
  <c r="AR858" i="2"/>
  <c r="AL187" i="3"/>
  <c r="AR187" i="3"/>
  <c r="AO187" i="3"/>
  <c r="AN187" i="3" s="1"/>
  <c r="P847" i="2"/>
  <c r="AI851" i="2"/>
  <c r="V847" i="2"/>
  <c r="S847" i="2"/>
  <c r="R847" i="2" s="1"/>
  <c r="S294" i="1"/>
  <c r="R294" i="1" s="1"/>
  <c r="P294" i="1"/>
  <c r="V294" i="1"/>
  <c r="AO4" i="2"/>
  <c r="AN4" i="2" s="1"/>
  <c r="AL4" i="2"/>
  <c r="AR4" i="2"/>
  <c r="AI861" i="1"/>
  <c r="S852" i="1"/>
  <c r="R852" i="1" s="1"/>
  <c r="P852" i="1"/>
  <c r="V852" i="1"/>
  <c r="AL798" i="3"/>
  <c r="AR798" i="3"/>
  <c r="AO798" i="3"/>
  <c r="AN798" i="3" s="1"/>
  <c r="AL537" i="3"/>
  <c r="AR537" i="3"/>
  <c r="AO537" i="3"/>
  <c r="AN537" i="3" s="1"/>
  <c r="AO663" i="2"/>
  <c r="AN663" i="2" s="1"/>
  <c r="AL663" i="2"/>
  <c r="AR663" i="2"/>
  <c r="AO697" i="1"/>
  <c r="AN697" i="1" s="1"/>
  <c r="AL697" i="1"/>
  <c r="AR697" i="1"/>
  <c r="AO628" i="1"/>
  <c r="AN628" i="1" s="1"/>
  <c r="AL628" i="1"/>
  <c r="AR628" i="1"/>
  <c r="AL759" i="1"/>
  <c r="AI765" i="1"/>
  <c r="AR759" i="1"/>
  <c r="AO759" i="1"/>
  <c r="AN759" i="1" s="1"/>
  <c r="P51" i="1"/>
  <c r="V51" i="1"/>
  <c r="S51" i="1"/>
  <c r="R51" i="1" s="1"/>
  <c r="AL238" i="1"/>
  <c r="AO238" i="1"/>
  <c r="AN238" i="1" s="1"/>
  <c r="AR238" i="1"/>
  <c r="AO22" i="3"/>
  <c r="AN22" i="3" s="1"/>
  <c r="AL22" i="3"/>
  <c r="AR22" i="3"/>
  <c r="V186" i="2"/>
  <c r="P186" i="2"/>
  <c r="S186" i="2"/>
  <c r="R186" i="2" s="1"/>
  <c r="AO720" i="2"/>
  <c r="AN720" i="2" s="1"/>
  <c r="AL720" i="2"/>
  <c r="AR720" i="2"/>
  <c r="AL780" i="3"/>
  <c r="AR780" i="3"/>
  <c r="AO780" i="3"/>
  <c r="AN780" i="3" s="1"/>
  <c r="AR396" i="3"/>
  <c r="AO396" i="3"/>
  <c r="AN396" i="3" s="1"/>
  <c r="AL396" i="3"/>
  <c r="AL402" i="1"/>
  <c r="AR402" i="1"/>
  <c r="AO402" i="1"/>
  <c r="AN402" i="1" s="1"/>
  <c r="AL445" i="3"/>
  <c r="AR445" i="3"/>
  <c r="AO445" i="3"/>
  <c r="AN445" i="3" s="1"/>
  <c r="AL699" i="2"/>
  <c r="AR699" i="2"/>
  <c r="AO699" i="2"/>
  <c r="AN699" i="2" s="1"/>
  <c r="AO66" i="2"/>
  <c r="AN66" i="2" s="1"/>
  <c r="AI72" i="2"/>
  <c r="AL66" i="2"/>
  <c r="AR66" i="2"/>
  <c r="AO725" i="1"/>
  <c r="AN725" i="1" s="1"/>
  <c r="AL725" i="1"/>
  <c r="AR725" i="1"/>
  <c r="AR139" i="1"/>
  <c r="AO139" i="1"/>
  <c r="AN139" i="1" s="1"/>
  <c r="AL139" i="1"/>
  <c r="AR95" i="1"/>
  <c r="AO95" i="1"/>
  <c r="AN95" i="1" s="1"/>
  <c r="AL95" i="1"/>
  <c r="AR7" i="1"/>
  <c r="AO7" i="1"/>
  <c r="AN7" i="1" s="1"/>
  <c r="AL7" i="1"/>
  <c r="AL769" i="2"/>
  <c r="AR769" i="2"/>
  <c r="AO769" i="2"/>
  <c r="AN769" i="2" s="1"/>
  <c r="AI774" i="2"/>
  <c r="AO80" i="2"/>
  <c r="AN80" i="2" s="1"/>
  <c r="AL80" i="2"/>
  <c r="AR80" i="2"/>
  <c r="AO237" i="1"/>
  <c r="AN237" i="1" s="1"/>
  <c r="AI243" i="1"/>
  <c r="AL237" i="1"/>
  <c r="AR237" i="1"/>
  <c r="AO114" i="1"/>
  <c r="AN114" i="1" s="1"/>
  <c r="AL114" i="1"/>
  <c r="AR114" i="1"/>
  <c r="AR301" i="3"/>
  <c r="AO301" i="3"/>
  <c r="AN301" i="3" s="1"/>
  <c r="AL301" i="3"/>
  <c r="AL543" i="2"/>
  <c r="AI549" i="2"/>
  <c r="AR543" i="2"/>
  <c r="AO543" i="2"/>
  <c r="AN543" i="2" s="1"/>
  <c r="AP855" i="1"/>
  <c r="AQ855" i="1" s="1"/>
  <c r="AO738" i="1"/>
  <c r="AN738" i="1" s="1"/>
  <c r="AL738" i="1"/>
  <c r="AR738" i="1"/>
  <c r="S857" i="1"/>
  <c r="R857" i="1" s="1"/>
  <c r="P857" i="1"/>
  <c r="V857" i="1"/>
  <c r="AI853" i="1"/>
  <c r="AR393" i="1"/>
  <c r="AO393" i="1"/>
  <c r="AN393" i="1" s="1"/>
  <c r="AL393" i="1"/>
  <c r="AO806" i="3"/>
  <c r="AN806" i="3" s="1"/>
  <c r="AL806" i="3"/>
  <c r="AR806" i="3"/>
  <c r="AL679" i="2"/>
  <c r="AR679" i="2"/>
  <c r="AO679" i="2"/>
  <c r="AN679" i="2" s="1"/>
  <c r="AO800" i="1"/>
  <c r="AN800" i="1" s="1"/>
  <c r="AL800" i="1"/>
  <c r="AR800" i="1"/>
  <c r="AL30" i="3"/>
  <c r="AI36" i="3"/>
  <c r="AR30" i="3"/>
  <c r="AO30" i="3"/>
  <c r="AN30" i="3" s="1"/>
  <c r="AO520" i="1"/>
  <c r="AN520" i="1" s="1"/>
  <c r="AL520" i="1"/>
  <c r="AR520" i="1"/>
  <c r="AL513" i="1"/>
  <c r="AR513" i="1"/>
  <c r="AO513" i="1"/>
  <c r="AN513" i="1" s="1"/>
  <c r="AL589" i="3"/>
  <c r="AR589" i="3"/>
  <c r="AO589" i="3"/>
  <c r="AN589" i="3" s="1"/>
  <c r="AR782" i="2"/>
  <c r="AO782" i="2"/>
  <c r="AN782" i="2" s="1"/>
  <c r="AL782" i="2"/>
  <c r="AR339" i="1"/>
  <c r="AO339" i="1"/>
  <c r="AN339" i="1" s="1"/>
  <c r="AL339" i="1"/>
  <c r="AI189" i="3"/>
  <c r="AR183" i="3"/>
  <c r="AO183" i="3"/>
  <c r="AN183" i="3" s="1"/>
  <c r="AL183" i="3"/>
  <c r="AO547" i="3"/>
  <c r="AN547" i="3" s="1"/>
  <c r="AL547" i="3"/>
  <c r="AR547" i="3"/>
  <c r="AL84" i="1"/>
  <c r="AI90" i="1"/>
  <c r="AR84" i="1"/>
  <c r="AO84" i="1"/>
  <c r="AN84" i="1" s="1"/>
  <c r="AR696" i="1"/>
  <c r="AO696" i="1"/>
  <c r="AN696" i="1" s="1"/>
  <c r="AI702" i="1"/>
  <c r="AL696" i="1"/>
  <c r="AO274" i="1"/>
  <c r="AN274" i="1" s="1"/>
  <c r="AR274" i="1"/>
  <c r="AL274" i="1"/>
  <c r="AO384" i="2"/>
  <c r="AN384" i="2" s="1"/>
  <c r="AR384" i="2"/>
  <c r="AL384" i="2"/>
  <c r="AL44" i="2"/>
  <c r="AR44" i="2"/>
  <c r="AO44" i="2"/>
  <c r="AN44" i="2" s="1"/>
  <c r="AL51" i="2"/>
  <c r="AR51" i="2"/>
  <c r="AO51" i="2"/>
  <c r="AN51" i="2" s="1"/>
  <c r="V856" i="1"/>
  <c r="AI843" i="1"/>
  <c r="S856" i="1"/>
  <c r="R856" i="1" s="1"/>
  <c r="P856" i="1"/>
  <c r="AR620" i="3"/>
  <c r="AL620" i="3"/>
  <c r="AO620" i="3"/>
  <c r="AN620" i="3" s="1"/>
  <c r="AL781" i="2"/>
  <c r="AR781" i="2"/>
  <c r="AO781" i="2"/>
  <c r="AN781" i="2" s="1"/>
  <c r="AO373" i="1"/>
  <c r="AN373" i="1" s="1"/>
  <c r="AL373" i="1"/>
  <c r="AR373" i="1"/>
  <c r="AR314" i="2"/>
  <c r="AO314" i="2"/>
  <c r="AN314" i="2" s="1"/>
  <c r="AL314" i="2"/>
  <c r="AO699" i="1"/>
  <c r="AN699" i="1" s="1"/>
  <c r="AL699" i="1"/>
  <c r="AR699" i="1"/>
  <c r="AL131" i="3"/>
  <c r="AR131" i="3"/>
  <c r="AO131" i="3"/>
  <c r="AN131" i="3" s="1"/>
  <c r="AL770" i="1"/>
  <c r="AR770" i="1"/>
  <c r="AO770" i="1"/>
  <c r="AN770" i="1" s="1"/>
  <c r="AO34" i="3"/>
  <c r="AN34" i="3" s="1"/>
  <c r="AL34" i="3"/>
  <c r="AR34" i="3"/>
  <c r="AR582" i="3"/>
  <c r="AO582" i="3"/>
  <c r="AN582" i="3" s="1"/>
  <c r="AL582" i="3"/>
  <c r="AO304" i="3"/>
  <c r="AN304" i="3" s="1"/>
  <c r="AL304" i="3"/>
  <c r="AR304" i="3"/>
  <c r="AR170" i="3"/>
  <c r="AO170" i="3"/>
  <c r="AN170" i="3" s="1"/>
  <c r="AL170" i="3"/>
  <c r="AL782" i="1"/>
  <c r="AR782" i="1"/>
  <c r="AO782" i="1"/>
  <c r="AN782" i="1" s="1"/>
  <c r="AO165" i="2"/>
  <c r="AN165" i="2" s="1"/>
  <c r="AL165" i="2"/>
  <c r="AI171" i="2"/>
  <c r="AR165" i="2"/>
  <c r="AR456" i="3"/>
  <c r="AO456" i="3"/>
  <c r="AN456" i="3" s="1"/>
  <c r="AL456" i="3"/>
  <c r="AO26" i="1"/>
  <c r="AN26" i="1" s="1"/>
  <c r="AL26" i="1"/>
  <c r="AR26" i="1"/>
  <c r="AL336" i="2"/>
  <c r="AO336" i="2"/>
  <c r="AN336" i="2" s="1"/>
  <c r="AI342" i="2"/>
  <c r="AR336" i="2"/>
  <c r="AO818" i="1"/>
  <c r="AN818" i="1" s="1"/>
  <c r="AL818" i="1"/>
  <c r="AR818" i="1"/>
  <c r="AL404" i="1"/>
  <c r="AR404" i="1"/>
  <c r="AO404" i="1"/>
  <c r="AN404" i="1" s="1"/>
  <c r="AL241" i="1"/>
  <c r="AR241" i="1"/>
  <c r="AO241" i="1"/>
  <c r="AN241" i="1" s="1"/>
  <c r="AO309" i="3"/>
  <c r="AN309" i="3" s="1"/>
  <c r="AL309" i="3"/>
  <c r="AI315" i="3"/>
  <c r="AR309" i="3"/>
  <c r="AR62" i="3"/>
  <c r="AO62" i="3"/>
  <c r="AN62" i="3" s="1"/>
  <c r="AL62" i="3"/>
  <c r="AR572" i="2"/>
  <c r="AO572" i="2"/>
  <c r="AN572" i="2" s="1"/>
  <c r="AL572" i="2"/>
  <c r="AR626" i="3"/>
  <c r="AO626" i="3"/>
  <c r="AN626" i="3" s="1"/>
  <c r="AL626" i="3"/>
  <c r="AL780" i="1"/>
  <c r="AR780" i="1"/>
  <c r="AO780" i="1"/>
  <c r="AN780" i="1" s="1"/>
  <c r="AL393" i="2"/>
  <c r="AO393" i="2"/>
  <c r="AN393" i="2" s="1"/>
  <c r="AR393" i="2"/>
  <c r="AO6" i="3"/>
  <c r="AN6" i="3" s="1"/>
  <c r="AL6" i="3"/>
  <c r="AR6" i="3"/>
  <c r="AO606" i="2"/>
  <c r="AN606" i="2" s="1"/>
  <c r="AL606" i="2"/>
  <c r="AR606" i="2"/>
  <c r="AI612" i="2"/>
  <c r="AO481" i="1"/>
  <c r="AN481" i="1" s="1"/>
  <c r="AL481" i="1"/>
  <c r="AR481" i="1"/>
  <c r="AL644" i="3"/>
  <c r="AR644" i="3"/>
  <c r="AO644" i="3"/>
  <c r="AN644" i="3" s="1"/>
  <c r="AR283" i="3"/>
  <c r="AO283" i="3"/>
  <c r="AN283" i="3" s="1"/>
  <c r="AL283" i="3"/>
  <c r="AL726" i="1"/>
  <c r="AR726" i="1"/>
  <c r="AO726" i="1"/>
  <c r="AN726" i="1" s="1"/>
  <c r="V483" i="1"/>
  <c r="S483" i="1"/>
  <c r="R483" i="1" s="1"/>
  <c r="P483" i="1"/>
  <c r="AL356" i="1"/>
  <c r="AR356" i="1"/>
  <c r="AO356" i="1"/>
  <c r="AN356" i="1" s="1"/>
  <c r="AR797" i="3"/>
  <c r="AO797" i="3"/>
  <c r="AN797" i="3" s="1"/>
  <c r="AL797" i="3"/>
  <c r="AR403" i="2"/>
  <c r="AO403" i="2"/>
  <c r="AN403" i="2" s="1"/>
  <c r="AL403" i="2"/>
  <c r="AL204" i="2"/>
  <c r="AR204" i="2"/>
  <c r="AO204" i="2"/>
  <c r="AN204" i="2" s="1"/>
  <c r="AI72" i="3"/>
  <c r="AR66" i="3"/>
  <c r="AL66" i="3"/>
  <c r="AO66" i="3"/>
  <c r="AN66" i="3" s="1"/>
  <c r="AL517" i="2"/>
  <c r="AO517" i="2"/>
  <c r="AN517" i="2" s="1"/>
  <c r="AR517" i="2"/>
  <c r="AO242" i="2"/>
  <c r="AN242" i="2" s="1"/>
  <c r="AL242" i="2"/>
  <c r="AR242" i="2"/>
  <c r="AR566" i="3"/>
  <c r="AO566" i="3"/>
  <c r="AN566" i="3" s="1"/>
  <c r="AL566" i="3"/>
  <c r="AL382" i="2"/>
  <c r="AR382" i="2"/>
  <c r="AO382" i="2"/>
  <c r="AN382" i="2" s="1"/>
  <c r="AR392" i="2"/>
  <c r="AO392" i="2"/>
  <c r="AN392" i="2" s="1"/>
  <c r="AL392" i="2"/>
  <c r="S591" i="3"/>
  <c r="R591" i="3" s="1"/>
  <c r="V591" i="3"/>
  <c r="P591" i="3"/>
  <c r="AL816" i="3"/>
  <c r="AR816" i="3"/>
  <c r="AO816" i="3"/>
  <c r="AN816" i="3" s="1"/>
  <c r="AO318" i="1"/>
  <c r="AN318" i="1" s="1"/>
  <c r="AI324" i="1"/>
  <c r="AL318" i="1"/>
  <c r="AR318" i="1"/>
  <c r="AR162" i="2"/>
  <c r="AO162" i="2"/>
  <c r="AN162" i="2" s="1"/>
  <c r="AL162" i="2"/>
  <c r="V591" i="2"/>
  <c r="P591" i="2"/>
  <c r="S591" i="2"/>
  <c r="R591" i="2" s="1"/>
  <c r="AR13" i="1"/>
  <c r="AO13" i="1"/>
  <c r="AN13" i="1" s="1"/>
  <c r="AL13" i="1"/>
  <c r="AL69" i="3"/>
  <c r="AR69" i="3"/>
  <c r="AO69" i="3"/>
  <c r="AN69" i="3" s="1"/>
  <c r="AO511" i="2"/>
  <c r="AN511" i="2" s="1"/>
  <c r="AL511" i="2"/>
  <c r="AR511" i="2"/>
  <c r="AL511" i="3"/>
  <c r="AR511" i="3"/>
  <c r="AO511" i="3"/>
  <c r="AN511" i="3" s="1"/>
  <c r="V828" i="3"/>
  <c r="AI825" i="3"/>
  <c r="S828" i="3"/>
  <c r="R828" i="3" s="1"/>
  <c r="P828" i="3"/>
  <c r="AR670" i="2"/>
  <c r="AO670" i="2"/>
  <c r="AN670" i="2" s="1"/>
  <c r="AL670" i="2"/>
  <c r="S780" i="1"/>
  <c r="R780" i="1" s="1"/>
  <c r="P780" i="1"/>
  <c r="V780" i="1"/>
  <c r="V78" i="2"/>
  <c r="S78" i="2"/>
  <c r="R78" i="2" s="1"/>
  <c r="P78" i="2"/>
  <c r="AR196" i="1"/>
  <c r="AL196" i="1"/>
  <c r="AO196" i="1"/>
  <c r="AN196" i="1" s="1"/>
  <c r="AO525" i="3"/>
  <c r="AN525" i="3" s="1"/>
  <c r="AI531" i="3"/>
  <c r="AR525" i="3"/>
  <c r="AL525" i="3"/>
  <c r="V429" i="3"/>
  <c r="S429" i="3"/>
  <c r="R429" i="3" s="1"/>
  <c r="P429" i="3"/>
  <c r="AR418" i="1"/>
  <c r="AO418" i="1"/>
  <c r="AN418" i="1" s="1"/>
  <c r="AL418" i="1"/>
  <c r="AO742" i="2"/>
  <c r="AN742" i="2" s="1"/>
  <c r="AL742" i="2"/>
  <c r="AR742" i="2"/>
  <c r="AR63" i="2"/>
  <c r="AO63" i="2"/>
  <c r="AN63" i="2" s="1"/>
  <c r="AL63" i="2"/>
  <c r="AO376" i="2"/>
  <c r="AN376" i="2" s="1"/>
  <c r="AR376" i="2"/>
  <c r="AL376" i="2"/>
  <c r="AL58" i="3"/>
  <c r="AR58" i="3"/>
  <c r="AO58" i="3"/>
  <c r="AN58" i="3" s="1"/>
  <c r="AL454" i="2"/>
  <c r="AR454" i="2"/>
  <c r="AO454" i="2"/>
  <c r="AN454" i="2" s="1"/>
  <c r="AP864" i="1"/>
  <c r="AQ864" i="1" s="1"/>
  <c r="AL585" i="2"/>
  <c r="AR585" i="2"/>
  <c r="AO585" i="2"/>
  <c r="AN585" i="2" s="1"/>
  <c r="AL834" i="1"/>
  <c r="AR834" i="1"/>
  <c r="AO834" i="1"/>
  <c r="AN834" i="1" s="1"/>
  <c r="AI216" i="3"/>
  <c r="AL210" i="3"/>
  <c r="AR210" i="3"/>
  <c r="AO210" i="3"/>
  <c r="AN210" i="3" s="1"/>
  <c r="AO471" i="2"/>
  <c r="AN471" i="2" s="1"/>
  <c r="AL471" i="2"/>
  <c r="AR471" i="2"/>
  <c r="AI477" i="2"/>
  <c r="AL618" i="1"/>
  <c r="AR618" i="1"/>
  <c r="AO618" i="1"/>
  <c r="AN618" i="1" s="1"/>
  <c r="AR16" i="3"/>
  <c r="AO16" i="3"/>
  <c r="AN16" i="3" s="1"/>
  <c r="AL16" i="3"/>
  <c r="V860" i="1"/>
  <c r="S860" i="1"/>
  <c r="R860" i="1" s="1"/>
  <c r="P860" i="1"/>
  <c r="AI845" i="1"/>
  <c r="AI756" i="3"/>
  <c r="AL750" i="3"/>
  <c r="AR750" i="3"/>
  <c r="AO750" i="3"/>
  <c r="AN750" i="3" s="1"/>
  <c r="AL449" i="2"/>
  <c r="AR449" i="2"/>
  <c r="AO449" i="2"/>
  <c r="AN449" i="2" s="1"/>
  <c r="S510" i="1"/>
  <c r="R510" i="1" s="1"/>
  <c r="P510" i="1"/>
  <c r="V510" i="1"/>
  <c r="AR671" i="1"/>
  <c r="AO671" i="1"/>
  <c r="AN671" i="1" s="1"/>
  <c r="AL671" i="1"/>
  <c r="AR67" i="3"/>
  <c r="AO67" i="3"/>
  <c r="AN67" i="3" s="1"/>
  <c r="AL67" i="3"/>
  <c r="AL241" i="3"/>
  <c r="AR241" i="3"/>
  <c r="AO241" i="3"/>
  <c r="AN241" i="3" s="1"/>
  <c r="AI153" i="3"/>
  <c r="AR147" i="3"/>
  <c r="AO147" i="3"/>
  <c r="AN147" i="3" s="1"/>
  <c r="AL147" i="3"/>
  <c r="AR432" i="2"/>
  <c r="AL432" i="2"/>
  <c r="AO432" i="2"/>
  <c r="AN432" i="2" s="1"/>
  <c r="AR672" i="2"/>
  <c r="AO672" i="2"/>
  <c r="AN672" i="2" s="1"/>
  <c r="AL672" i="2"/>
  <c r="S240" i="1"/>
  <c r="R240" i="1" s="1"/>
  <c r="V240" i="1"/>
  <c r="P240" i="1"/>
  <c r="AO602" i="1"/>
  <c r="AN602" i="1" s="1"/>
  <c r="AL602" i="1"/>
  <c r="AR602" i="1"/>
  <c r="AO345" i="1"/>
  <c r="AN345" i="1" s="1"/>
  <c r="AI351" i="1"/>
  <c r="AL345" i="1"/>
  <c r="AR345" i="1"/>
  <c r="AR411" i="2"/>
  <c r="AO411" i="2"/>
  <c r="AN411" i="2" s="1"/>
  <c r="AL411" i="2"/>
  <c r="AL49" i="2"/>
  <c r="AR49" i="2"/>
  <c r="AO49" i="2"/>
  <c r="AN49" i="2" s="1"/>
  <c r="AO674" i="3"/>
  <c r="AN674" i="3" s="1"/>
  <c r="AL674" i="3"/>
  <c r="AR674" i="3"/>
  <c r="AL206" i="1"/>
  <c r="AR206" i="1"/>
  <c r="AO206" i="1"/>
  <c r="AN206" i="1" s="1"/>
  <c r="AL23" i="1"/>
  <c r="AR23" i="1"/>
  <c r="AO23" i="1"/>
  <c r="AN23" i="1" s="1"/>
  <c r="AR214" i="1"/>
  <c r="AO214" i="1"/>
  <c r="AN214" i="1" s="1"/>
  <c r="AL214" i="1"/>
  <c r="AL292" i="1"/>
  <c r="AR292" i="1"/>
  <c r="AO292" i="1"/>
  <c r="AN292" i="1" s="1"/>
  <c r="AI468" i="2"/>
  <c r="AR462" i="2"/>
  <c r="AO462" i="2"/>
  <c r="AN462" i="2" s="1"/>
  <c r="AL462" i="2"/>
  <c r="AO645" i="2"/>
  <c r="AN645" i="2" s="1"/>
  <c r="AR645" i="2"/>
  <c r="AL645" i="2"/>
  <c r="AL435" i="3"/>
  <c r="AI441" i="3"/>
  <c r="AR435" i="3"/>
  <c r="AO435" i="3"/>
  <c r="AN435" i="3" s="1"/>
  <c r="V186" i="3"/>
  <c r="S186" i="3"/>
  <c r="R186" i="3" s="1"/>
  <c r="P186" i="3"/>
  <c r="AR832" i="2"/>
  <c r="AO832" i="2"/>
  <c r="AN832" i="2" s="1"/>
  <c r="AL832" i="2"/>
  <c r="AE846" i="1"/>
  <c r="AL607" i="2"/>
  <c r="AR607" i="2"/>
  <c r="AO607" i="2"/>
  <c r="AN607" i="2" s="1"/>
  <c r="V699" i="1"/>
  <c r="S699" i="1"/>
  <c r="R699" i="1" s="1"/>
  <c r="P699" i="1"/>
  <c r="AO24" i="2"/>
  <c r="AN24" i="2" s="1"/>
  <c r="AL24" i="2"/>
  <c r="AR24" i="2"/>
  <c r="AR810" i="2"/>
  <c r="AO810" i="2"/>
  <c r="AN810" i="2" s="1"/>
  <c r="AL810" i="2"/>
  <c r="AR349" i="2"/>
  <c r="AO349" i="2"/>
  <c r="AN349" i="2" s="1"/>
  <c r="AL349" i="2"/>
  <c r="AO728" i="3"/>
  <c r="AN728" i="3" s="1"/>
  <c r="AL728" i="3"/>
  <c r="AR728" i="3"/>
  <c r="AO171" i="1"/>
  <c r="AN171" i="1" s="1"/>
  <c r="AL171" i="1"/>
  <c r="AR171" i="1"/>
  <c r="AO678" i="2"/>
  <c r="AN678" i="2" s="1"/>
  <c r="AL678" i="2"/>
  <c r="AI684" i="2"/>
  <c r="AR678" i="2"/>
  <c r="AL646" i="2"/>
  <c r="AR646" i="2"/>
  <c r="AO646" i="2"/>
  <c r="AN646" i="2" s="1"/>
  <c r="AO17" i="2"/>
  <c r="AN17" i="2" s="1"/>
  <c r="AL17" i="2"/>
  <c r="AR17" i="2"/>
  <c r="AL752" i="1"/>
  <c r="AR752" i="1"/>
  <c r="AO752" i="1"/>
  <c r="AN752" i="1" s="1"/>
  <c r="AI396" i="1"/>
  <c r="AR390" i="1"/>
  <c r="AO390" i="1"/>
  <c r="AN390" i="1" s="1"/>
  <c r="AL390" i="1"/>
  <c r="AO401" i="1"/>
  <c r="AN401" i="1" s="1"/>
  <c r="AL401" i="1"/>
  <c r="AR401" i="1"/>
  <c r="AL177" i="1"/>
  <c r="AR177" i="1"/>
  <c r="AO177" i="1"/>
  <c r="AN177" i="1" s="1"/>
  <c r="AO201" i="3"/>
  <c r="AN201" i="3" s="1"/>
  <c r="AL201" i="3"/>
  <c r="AR201" i="3"/>
  <c r="AI207" i="3"/>
  <c r="AR801" i="2"/>
  <c r="AO801" i="2"/>
  <c r="AN801" i="2" s="1"/>
  <c r="AL801" i="2"/>
  <c r="AO330" i="2"/>
  <c r="AN330" i="2" s="1"/>
  <c r="AR330" i="2"/>
  <c r="AL330" i="2"/>
  <c r="AE846" i="2"/>
  <c r="AO584" i="1"/>
  <c r="AN584" i="1" s="1"/>
  <c r="AL584" i="1"/>
  <c r="AR584" i="1"/>
  <c r="AO552" i="3"/>
  <c r="AN552" i="3" s="1"/>
  <c r="AL552" i="3"/>
  <c r="AI558" i="3"/>
  <c r="AR552" i="3"/>
  <c r="AL665" i="1"/>
  <c r="AR665" i="1"/>
  <c r="AO665" i="1"/>
  <c r="AN665" i="1" s="1"/>
  <c r="AL726" i="3"/>
  <c r="AR726" i="3"/>
  <c r="AO726" i="3"/>
  <c r="AN726" i="3" s="1"/>
  <c r="AL529" i="3"/>
  <c r="AO529" i="3"/>
  <c r="AN529" i="3" s="1"/>
  <c r="AR529" i="3"/>
  <c r="AO220" i="1"/>
  <c r="AN220" i="1" s="1"/>
  <c r="AR220" i="1"/>
  <c r="AL220" i="1"/>
  <c r="AL753" i="2"/>
  <c r="AR753" i="2"/>
  <c r="AO753" i="2"/>
  <c r="AN753" i="2" s="1"/>
  <c r="AO350" i="3"/>
  <c r="AN350" i="3" s="1"/>
  <c r="AL350" i="3"/>
  <c r="AR350" i="3"/>
  <c r="AL390" i="2"/>
  <c r="AI396" i="2"/>
  <c r="AO390" i="2"/>
  <c r="AN390" i="2" s="1"/>
  <c r="AR390" i="2"/>
  <c r="AO494" i="1"/>
  <c r="AN494" i="1" s="1"/>
  <c r="AL494" i="1"/>
  <c r="AR494" i="1"/>
  <c r="AR449" i="3"/>
  <c r="AO449" i="3"/>
  <c r="AN449" i="3" s="1"/>
  <c r="AL449" i="3"/>
  <c r="AR814" i="1"/>
  <c r="AO814" i="1"/>
  <c r="AN814" i="1" s="1"/>
  <c r="AL814" i="1"/>
  <c r="AO78" i="2"/>
  <c r="AN78" i="2" s="1"/>
  <c r="AL78" i="2"/>
  <c r="AR78" i="2"/>
  <c r="AO76" i="3"/>
  <c r="AN76" i="3" s="1"/>
  <c r="AL76" i="3"/>
  <c r="AR76" i="3"/>
  <c r="AR557" i="2"/>
  <c r="AO557" i="2"/>
  <c r="AN557" i="2" s="1"/>
  <c r="AL557" i="2"/>
  <c r="AL321" i="3"/>
  <c r="AO321" i="3"/>
  <c r="AN321" i="3" s="1"/>
  <c r="AR321" i="3"/>
  <c r="AO643" i="1"/>
  <c r="AN643" i="1" s="1"/>
  <c r="AL643" i="1"/>
  <c r="AR643" i="1"/>
  <c r="AO412" i="3"/>
  <c r="AN412" i="3" s="1"/>
  <c r="AL412" i="3"/>
  <c r="AR412" i="3"/>
  <c r="AO294" i="3"/>
  <c r="AN294" i="3" s="1"/>
  <c r="AL294" i="3"/>
  <c r="AR294" i="3"/>
  <c r="AO773" i="2"/>
  <c r="AN773" i="2" s="1"/>
  <c r="AL773" i="2"/>
  <c r="AR773" i="2"/>
  <c r="AR701" i="3"/>
  <c r="AL701" i="3"/>
  <c r="AO701" i="3"/>
  <c r="AN701" i="3" s="1"/>
  <c r="AL548" i="2"/>
  <c r="AR548" i="2"/>
  <c r="AO548" i="2"/>
  <c r="AN548" i="2" s="1"/>
  <c r="AR385" i="1"/>
  <c r="AO385" i="1"/>
  <c r="AN385" i="1" s="1"/>
  <c r="AL385" i="1"/>
  <c r="AR688" i="1"/>
  <c r="AO688" i="1"/>
  <c r="AN688" i="1" s="1"/>
  <c r="AL688" i="1"/>
  <c r="AO53" i="2"/>
  <c r="AN53" i="2" s="1"/>
  <c r="AL53" i="2"/>
  <c r="AR53" i="2"/>
  <c r="AR203" i="3"/>
  <c r="AO203" i="3"/>
  <c r="AN203" i="3" s="1"/>
  <c r="AL203" i="3"/>
  <c r="AL293" i="3"/>
  <c r="AR293" i="3"/>
  <c r="AO293" i="3"/>
  <c r="AN293" i="3" s="1"/>
  <c r="AR709" i="3"/>
  <c r="AO709" i="3"/>
  <c r="AN709" i="3" s="1"/>
  <c r="AL709" i="3"/>
  <c r="AO17" i="1"/>
  <c r="AN17" i="1" s="1"/>
  <c r="AL17" i="1"/>
  <c r="AR17" i="1"/>
  <c r="AR509" i="3"/>
  <c r="AO509" i="3"/>
  <c r="AN509" i="3" s="1"/>
  <c r="AL509" i="3"/>
  <c r="S822" i="3"/>
  <c r="R822" i="3" s="1"/>
  <c r="V822" i="3"/>
  <c r="P822" i="3"/>
  <c r="AI814" i="3"/>
  <c r="AR554" i="2"/>
  <c r="AO554" i="2"/>
  <c r="AN554" i="2" s="1"/>
  <c r="AL554" i="2"/>
  <c r="AO284" i="3"/>
  <c r="AN284" i="3" s="1"/>
  <c r="AL284" i="3"/>
  <c r="AR284" i="3"/>
  <c r="AL761" i="2"/>
  <c r="AR761" i="2"/>
  <c r="AO761" i="2"/>
  <c r="AN761" i="2" s="1"/>
  <c r="AO50" i="3"/>
  <c r="AN50" i="3" s="1"/>
  <c r="AL50" i="3"/>
  <c r="AR50" i="3"/>
  <c r="AO535" i="1"/>
  <c r="AN535" i="1" s="1"/>
  <c r="AL535" i="1"/>
  <c r="AR535" i="1"/>
  <c r="AO303" i="1"/>
  <c r="AN303" i="1" s="1"/>
  <c r="AL303" i="1"/>
  <c r="AR303" i="1"/>
  <c r="AO645" i="3"/>
  <c r="AN645" i="3" s="1"/>
  <c r="AL645" i="3"/>
  <c r="AR645" i="3"/>
  <c r="AL77" i="2"/>
  <c r="AR77" i="2"/>
  <c r="AO77" i="2"/>
  <c r="AN77" i="2" s="1"/>
  <c r="AO93" i="2"/>
  <c r="AN93" i="2" s="1"/>
  <c r="AL93" i="2"/>
  <c r="AI99" i="2"/>
  <c r="AR93" i="2"/>
  <c r="AO611" i="3"/>
  <c r="AN611" i="3" s="1"/>
  <c r="AL611" i="3"/>
  <c r="AR611" i="3"/>
  <c r="AR530" i="3"/>
  <c r="AO530" i="3"/>
  <c r="AN530" i="3" s="1"/>
  <c r="AL530" i="3"/>
  <c r="AO779" i="1"/>
  <c r="AN779" i="1" s="1"/>
  <c r="AL779" i="1"/>
  <c r="AR779" i="1"/>
  <c r="S402" i="3"/>
  <c r="R402" i="3" s="1"/>
  <c r="V402" i="3"/>
  <c r="P402" i="3"/>
  <c r="AL779" i="2"/>
  <c r="AR779" i="2"/>
  <c r="AO779" i="2"/>
  <c r="AN779" i="2" s="1"/>
  <c r="AO635" i="2"/>
  <c r="AN635" i="2" s="1"/>
  <c r="AR635" i="2"/>
  <c r="AL635" i="2"/>
  <c r="AL664" i="2"/>
  <c r="AR664" i="2"/>
  <c r="AO664" i="2"/>
  <c r="AN664" i="2" s="1"/>
  <c r="AO386" i="1"/>
  <c r="AN386" i="1" s="1"/>
  <c r="AL386" i="1"/>
  <c r="AR386" i="1"/>
  <c r="AL665" i="3"/>
  <c r="AR665" i="3"/>
  <c r="AO665" i="3"/>
  <c r="AN665" i="3" s="1"/>
  <c r="AR652" i="2"/>
  <c r="AO652" i="2"/>
  <c r="AN652" i="2" s="1"/>
  <c r="AL652" i="2"/>
  <c r="AO350" i="2"/>
  <c r="AN350" i="2" s="1"/>
  <c r="AL350" i="2"/>
  <c r="AR350" i="2"/>
  <c r="AR302" i="2"/>
  <c r="AL302" i="2"/>
  <c r="AO302" i="2"/>
  <c r="AN302" i="2" s="1"/>
  <c r="AO593" i="3"/>
  <c r="AN593" i="3" s="1"/>
  <c r="AR593" i="3"/>
  <c r="AL593" i="3"/>
  <c r="AO691" i="2"/>
  <c r="AN691" i="2" s="1"/>
  <c r="AL691" i="2"/>
  <c r="AR691" i="2"/>
  <c r="S852" i="2"/>
  <c r="R852" i="2" s="1"/>
  <c r="P852" i="2"/>
  <c r="V852" i="2"/>
  <c r="AI861" i="2"/>
  <c r="AI843" i="2"/>
  <c r="S856" i="2"/>
  <c r="R856" i="2" s="1"/>
  <c r="P856" i="2"/>
  <c r="V856" i="2"/>
  <c r="AL670" i="1"/>
  <c r="AR670" i="1"/>
  <c r="AO670" i="1"/>
  <c r="AN670" i="1" s="1"/>
  <c r="AO579" i="1"/>
  <c r="AN579" i="1" s="1"/>
  <c r="AL579" i="1"/>
  <c r="AI585" i="1"/>
  <c r="AR579" i="1"/>
  <c r="AL6" i="1"/>
  <c r="AR6" i="1"/>
  <c r="AO6" i="1"/>
  <c r="AN6" i="1" s="1"/>
  <c r="AL526" i="3"/>
  <c r="AR526" i="3"/>
  <c r="AO526" i="3"/>
  <c r="AN526" i="3" s="1"/>
  <c r="AL377" i="3"/>
  <c r="AR377" i="3"/>
  <c r="AO377" i="3"/>
  <c r="AN377" i="3" s="1"/>
  <c r="AR75" i="3"/>
  <c r="AO75" i="3"/>
  <c r="AN75" i="3" s="1"/>
  <c r="AI81" i="3"/>
  <c r="AL75" i="3"/>
  <c r="AO745" i="2"/>
  <c r="AN745" i="2" s="1"/>
  <c r="AL745" i="2"/>
  <c r="AR745" i="2"/>
  <c r="AL492" i="2"/>
  <c r="AR492" i="2"/>
  <c r="AO492" i="2"/>
  <c r="AN492" i="2" s="1"/>
  <c r="P855" i="2"/>
  <c r="V855" i="2"/>
  <c r="AI852" i="2"/>
  <c r="S855" i="2"/>
  <c r="R855" i="2" s="1"/>
  <c r="AO789" i="1"/>
  <c r="AN789" i="1" s="1"/>
  <c r="AL789" i="1"/>
  <c r="AR789" i="1"/>
  <c r="AL472" i="1"/>
  <c r="AR472" i="1"/>
  <c r="AO472" i="1"/>
  <c r="AN472" i="1" s="1"/>
  <c r="AI783" i="2"/>
  <c r="AL646" i="3"/>
  <c r="AR646" i="3"/>
  <c r="AO646" i="3"/>
  <c r="AN646" i="3" s="1"/>
  <c r="AR465" i="2"/>
  <c r="AO465" i="2"/>
  <c r="AN465" i="2" s="1"/>
  <c r="AL465" i="2"/>
  <c r="AO363" i="3"/>
  <c r="AN363" i="3" s="1"/>
  <c r="AL363" i="3"/>
  <c r="AR363" i="3"/>
  <c r="AI369" i="3"/>
  <c r="AL413" i="3"/>
  <c r="AR413" i="3"/>
  <c r="AO413" i="3"/>
  <c r="AN413" i="3" s="1"/>
  <c r="AL654" i="3"/>
  <c r="AR654" i="3"/>
  <c r="AO654" i="3"/>
  <c r="AN654" i="3" s="1"/>
  <c r="AL597" i="2"/>
  <c r="AI603" i="2"/>
  <c r="AR597" i="2"/>
  <c r="AO597" i="2"/>
  <c r="AN597" i="2" s="1"/>
  <c r="AL801" i="1"/>
  <c r="AR801" i="1"/>
  <c r="AO801" i="1"/>
  <c r="AN801" i="1" s="1"/>
  <c r="AO417" i="3"/>
  <c r="AN417" i="3" s="1"/>
  <c r="AL417" i="3"/>
  <c r="AI423" i="3"/>
  <c r="AR417" i="3"/>
  <c r="AO589" i="1"/>
  <c r="AN589" i="1" s="1"/>
  <c r="AL589" i="1"/>
  <c r="AR589" i="1"/>
  <c r="AR5" i="3"/>
  <c r="AO5" i="3"/>
  <c r="AN5" i="3" s="1"/>
  <c r="AL5" i="3"/>
  <c r="AR627" i="1"/>
  <c r="AO627" i="1"/>
  <c r="AN627" i="1" s="1"/>
  <c r="AL627" i="1"/>
  <c r="AO363" i="2"/>
  <c r="AN363" i="2" s="1"/>
  <c r="AL363" i="2"/>
  <c r="AI369" i="2"/>
  <c r="AR363" i="2"/>
  <c r="AL222" i="2"/>
  <c r="AO222" i="2"/>
  <c r="AN222" i="2" s="1"/>
  <c r="AR222" i="2"/>
  <c r="AI225" i="2"/>
  <c r="AI862" i="2"/>
  <c r="S853" i="2"/>
  <c r="R853" i="2" s="1"/>
  <c r="P853" i="2"/>
  <c r="V853" i="2"/>
  <c r="AL690" i="1"/>
  <c r="AR690" i="1"/>
  <c r="AO690" i="1"/>
  <c r="AN690" i="1" s="1"/>
  <c r="AL25" i="1"/>
  <c r="AR25" i="1"/>
  <c r="AO25" i="1"/>
  <c r="AN25" i="1" s="1"/>
  <c r="AO822" i="2"/>
  <c r="AN822" i="2" s="1"/>
  <c r="AL822" i="2"/>
  <c r="AI828" i="2"/>
  <c r="AR822" i="2"/>
  <c r="AL654" i="2"/>
  <c r="AR654" i="2"/>
  <c r="AO654" i="2"/>
  <c r="AN654" i="2" s="1"/>
  <c r="P858" i="1"/>
  <c r="AI854" i="1"/>
  <c r="V858" i="1"/>
  <c r="S858" i="1"/>
  <c r="R858" i="1" s="1"/>
  <c r="AL727" i="2"/>
  <c r="AR727" i="2"/>
  <c r="AO727" i="2"/>
  <c r="AN727" i="2" s="1"/>
  <c r="P859" i="2"/>
  <c r="AI844" i="2"/>
  <c r="V859" i="2"/>
  <c r="S859" i="2"/>
  <c r="R859" i="2" s="1"/>
  <c r="AI9" i="2"/>
  <c r="AR3" i="2"/>
  <c r="AO3" i="2"/>
  <c r="AN3" i="2" s="1"/>
  <c r="AL3" i="2"/>
  <c r="AI459" i="3"/>
  <c r="AO453" i="3"/>
  <c r="AN453" i="3" s="1"/>
  <c r="AL453" i="3"/>
  <c r="AR453" i="3"/>
  <c r="AR232" i="3"/>
  <c r="AO232" i="3"/>
  <c r="AN232" i="3" s="1"/>
  <c r="AL232" i="3"/>
  <c r="AL400" i="3"/>
  <c r="AR400" i="3"/>
  <c r="AO400" i="3"/>
  <c r="AN400" i="3" s="1"/>
  <c r="AO312" i="2"/>
  <c r="AN312" i="2" s="1"/>
  <c r="AL312" i="2"/>
  <c r="AR312" i="2"/>
  <c r="AR804" i="1"/>
  <c r="AO804" i="1"/>
  <c r="AN804" i="1" s="1"/>
  <c r="AI810" i="1"/>
  <c r="AL804" i="1"/>
  <c r="AI234" i="1"/>
  <c r="AR228" i="1"/>
  <c r="AO228" i="1"/>
  <c r="AN228" i="1" s="1"/>
  <c r="AL228" i="1"/>
  <c r="P213" i="3"/>
  <c r="V213" i="3"/>
  <c r="S213" i="3"/>
  <c r="R213" i="3" s="1"/>
  <c r="AR297" i="1"/>
  <c r="AO297" i="1"/>
  <c r="AN297" i="1" s="1"/>
  <c r="AL297" i="1"/>
  <c r="AO22" i="1"/>
  <c r="AN22" i="1" s="1"/>
  <c r="AL22" i="1"/>
  <c r="AR22" i="1"/>
  <c r="AR557" i="3"/>
  <c r="AO557" i="3"/>
  <c r="AN557" i="3" s="1"/>
  <c r="AL557" i="3"/>
  <c r="P159" i="1"/>
  <c r="V159" i="1"/>
  <c r="S159" i="1"/>
  <c r="R159" i="1" s="1"/>
  <c r="AR41" i="1"/>
  <c r="AO41" i="1"/>
  <c r="AN41" i="1" s="1"/>
  <c r="AL41" i="1"/>
  <c r="P753" i="3"/>
  <c r="V753" i="3"/>
  <c r="S753" i="3"/>
  <c r="R753" i="3" s="1"/>
  <c r="AR365" i="3"/>
  <c r="AO365" i="3"/>
  <c r="AN365" i="3" s="1"/>
  <c r="AL365" i="3"/>
  <c r="AL23" i="3"/>
  <c r="AR23" i="3"/>
  <c r="AO23" i="3"/>
  <c r="AN23" i="3" s="1"/>
  <c r="AO57" i="3"/>
  <c r="AN57" i="3" s="1"/>
  <c r="AL57" i="3"/>
  <c r="AI63" i="3"/>
  <c r="AR57" i="3"/>
  <c r="AL448" i="3"/>
  <c r="AR448" i="3"/>
  <c r="AO448" i="3"/>
  <c r="AN448" i="3" s="1"/>
  <c r="AI297" i="2"/>
  <c r="AL291" i="2"/>
  <c r="AR291" i="2"/>
  <c r="AO291" i="2"/>
  <c r="AN291" i="2" s="1"/>
  <c r="AR429" i="1"/>
  <c r="AO429" i="1"/>
  <c r="AN429" i="1" s="1"/>
  <c r="AL429" i="1"/>
  <c r="AO584" i="3"/>
  <c r="AN584" i="3" s="1"/>
  <c r="AL584" i="3"/>
  <c r="AR584" i="3"/>
  <c r="AR31" i="3"/>
  <c r="AO31" i="3"/>
  <c r="AN31" i="3" s="1"/>
  <c r="AL31" i="3"/>
  <c r="AR365" i="2"/>
  <c r="AL365" i="2"/>
  <c r="AO365" i="2"/>
  <c r="AN365" i="2" s="1"/>
  <c r="AL724" i="1"/>
  <c r="AR724" i="1"/>
  <c r="AO724" i="1"/>
  <c r="AN724" i="1" s="1"/>
  <c r="AR485" i="1"/>
  <c r="AO485" i="1"/>
  <c r="AN485" i="1" s="1"/>
  <c r="AL485" i="1"/>
  <c r="AL126" i="1"/>
  <c r="AR126" i="1"/>
  <c r="AO126" i="1"/>
  <c r="AN126" i="1" s="1"/>
  <c r="S348" i="1"/>
  <c r="R348" i="1" s="1"/>
  <c r="P348" i="1"/>
  <c r="V348" i="1"/>
  <c r="AR521" i="2"/>
  <c r="AO521" i="2"/>
  <c r="AN521" i="2" s="1"/>
  <c r="AL521" i="2"/>
  <c r="AO696" i="2"/>
  <c r="AN696" i="2" s="1"/>
  <c r="AI702" i="2"/>
  <c r="AL696" i="2"/>
  <c r="AR696" i="2"/>
  <c r="AR162" i="1"/>
  <c r="AO162" i="1"/>
  <c r="AN162" i="1" s="1"/>
  <c r="AL162" i="1"/>
  <c r="AO39" i="1"/>
  <c r="AN39" i="1" s="1"/>
  <c r="AL39" i="1"/>
  <c r="AI45" i="1"/>
  <c r="AR39" i="1"/>
  <c r="AR224" i="3"/>
  <c r="AO224" i="3"/>
  <c r="AN224" i="3" s="1"/>
  <c r="AL224" i="3"/>
  <c r="AR62" i="1"/>
  <c r="AO62" i="1"/>
  <c r="AN62" i="1" s="1"/>
  <c r="AL62" i="1"/>
  <c r="AO715" i="3"/>
  <c r="AN715" i="3" s="1"/>
  <c r="AL715" i="3"/>
  <c r="AR715" i="3"/>
  <c r="AL430" i="3"/>
  <c r="AR430" i="3"/>
  <c r="AO430" i="3"/>
  <c r="AN430" i="3" s="1"/>
  <c r="AL40" i="3"/>
  <c r="AR40" i="3"/>
  <c r="AO40" i="3"/>
  <c r="AN40" i="3" s="1"/>
  <c r="AO89" i="3"/>
  <c r="AN89" i="3" s="1"/>
  <c r="AL89" i="3"/>
  <c r="AR89" i="3"/>
  <c r="AR706" i="1"/>
  <c r="AO706" i="1"/>
  <c r="AN706" i="1" s="1"/>
  <c r="AL706" i="1"/>
  <c r="AR546" i="3"/>
  <c r="AO546" i="3"/>
  <c r="AN546" i="3" s="1"/>
  <c r="AL546" i="3"/>
  <c r="AR193" i="3"/>
  <c r="AO193" i="3"/>
  <c r="AN193" i="3" s="1"/>
  <c r="AL193" i="3"/>
  <c r="P848" i="1"/>
  <c r="AI840" i="1"/>
  <c r="V848" i="1"/>
  <c r="S848" i="1"/>
  <c r="R848" i="1" s="1"/>
  <c r="AR736" i="2"/>
  <c r="AO736" i="2"/>
  <c r="AN736" i="2" s="1"/>
  <c r="AL736" i="2"/>
  <c r="AR229" i="3"/>
  <c r="AO229" i="3"/>
  <c r="AN229" i="3" s="1"/>
  <c r="AL229" i="3"/>
  <c r="AL133" i="1"/>
  <c r="AR133" i="1"/>
  <c r="AO133" i="1"/>
  <c r="AN133" i="1" s="1"/>
  <c r="AR725" i="3"/>
  <c r="AO725" i="3"/>
  <c r="AN725" i="3" s="1"/>
  <c r="AL725" i="3"/>
  <c r="AR247" i="3"/>
  <c r="AO247" i="3"/>
  <c r="AN247" i="3" s="1"/>
  <c r="AL247" i="3"/>
  <c r="AO589" i="2"/>
  <c r="AN589" i="2" s="1"/>
  <c r="AR589" i="2"/>
  <c r="AL589" i="2"/>
  <c r="AO256" i="1"/>
  <c r="AN256" i="1" s="1"/>
  <c r="AR256" i="1"/>
  <c r="AL256" i="1"/>
  <c r="AL705" i="1"/>
  <c r="AI711" i="1"/>
  <c r="AR705" i="1"/>
  <c r="AO705" i="1"/>
  <c r="AN705" i="1" s="1"/>
  <c r="AO673" i="2"/>
  <c r="AN673" i="2" s="1"/>
  <c r="AL673" i="2"/>
  <c r="AR673" i="2"/>
  <c r="AR510" i="2"/>
  <c r="AO510" i="2"/>
  <c r="AN510" i="2" s="1"/>
  <c r="AL510" i="2"/>
  <c r="AO273" i="2"/>
  <c r="AN273" i="2" s="1"/>
  <c r="AI279" i="2"/>
  <c r="AR273" i="2"/>
  <c r="AL273" i="2"/>
  <c r="AR116" i="2"/>
  <c r="AO116" i="2"/>
  <c r="AN116" i="2" s="1"/>
  <c r="AL116" i="2"/>
  <c r="AR617" i="1"/>
  <c r="AO617" i="1"/>
  <c r="AN617" i="1" s="1"/>
  <c r="AL617" i="1"/>
  <c r="V848" i="2"/>
  <c r="S848" i="2"/>
  <c r="R848" i="2" s="1"/>
  <c r="P848" i="2"/>
  <c r="AI840" i="2"/>
  <c r="AR808" i="2"/>
  <c r="AO808" i="2"/>
  <c r="AN808" i="2" s="1"/>
  <c r="AL808" i="2"/>
  <c r="AR564" i="2"/>
  <c r="AO564" i="2"/>
  <c r="AN564" i="2" s="1"/>
  <c r="AL564" i="2"/>
  <c r="AL30" i="1"/>
  <c r="AI36" i="1"/>
  <c r="AR30" i="1"/>
  <c r="AO30" i="1"/>
  <c r="AN30" i="1" s="1"/>
  <c r="AR580" i="2"/>
  <c r="AL580" i="2"/>
  <c r="AO580" i="2"/>
  <c r="AN580" i="2" s="1"/>
  <c r="AO431" i="3"/>
  <c r="AN431" i="3" s="1"/>
  <c r="AR431" i="3"/>
  <c r="AL431" i="3"/>
  <c r="AL138" i="3"/>
  <c r="AI144" i="3"/>
  <c r="AR138" i="3"/>
  <c r="AO138" i="3"/>
  <c r="AN138" i="3" s="1"/>
  <c r="AL482" i="1"/>
  <c r="AR482" i="1"/>
  <c r="AO482" i="1"/>
  <c r="AN482" i="1" s="1"/>
  <c r="AI63" i="1"/>
  <c r="AL770" i="3"/>
  <c r="AR770" i="3"/>
  <c r="AO770" i="3"/>
  <c r="AN770" i="3" s="1"/>
  <c r="AO573" i="2"/>
  <c r="AN573" i="2" s="1"/>
  <c r="AL573" i="2"/>
  <c r="AR573" i="2"/>
  <c r="AR627" i="3"/>
  <c r="AO627" i="3"/>
  <c r="AN627" i="3" s="1"/>
  <c r="AL627" i="3"/>
  <c r="AR257" i="3"/>
  <c r="AO257" i="3"/>
  <c r="AN257" i="3" s="1"/>
  <c r="AL257" i="3"/>
  <c r="AL159" i="3"/>
  <c r="AR159" i="3"/>
  <c r="AO159" i="3"/>
  <c r="AN159" i="3" s="1"/>
  <c r="AI819" i="2"/>
  <c r="AO813" i="2"/>
  <c r="AN813" i="2" s="1"/>
  <c r="AR813" i="2"/>
  <c r="AL813" i="2"/>
  <c r="AL23" i="2"/>
  <c r="AR23" i="2"/>
  <c r="AO23" i="2"/>
  <c r="AN23" i="2" s="1"/>
  <c r="AR50" i="2"/>
  <c r="AO50" i="2"/>
  <c r="AN50" i="2" s="1"/>
  <c r="AL50" i="2"/>
  <c r="AL746" i="2"/>
  <c r="AR746" i="2"/>
  <c r="AO746" i="2"/>
  <c r="AN746" i="2" s="1"/>
  <c r="AL77" i="3"/>
  <c r="AR77" i="3"/>
  <c r="AO77" i="3"/>
  <c r="AN77" i="3" s="1"/>
  <c r="AO816" i="2"/>
  <c r="AN816" i="2" s="1"/>
  <c r="AR816" i="2"/>
  <c r="AL816" i="2"/>
  <c r="AO624" i="2"/>
  <c r="AN624" i="2" s="1"/>
  <c r="AL624" i="2"/>
  <c r="AI630" i="2"/>
  <c r="AR624" i="2"/>
  <c r="AR205" i="2"/>
  <c r="AO205" i="2"/>
  <c r="AN205" i="2" s="1"/>
  <c r="AL205" i="2"/>
  <c r="AR347" i="3"/>
  <c r="AO347" i="3"/>
  <c r="AN347" i="3" s="1"/>
  <c r="AL347" i="3"/>
  <c r="AL282" i="2"/>
  <c r="AO282" i="2"/>
  <c r="AN282" i="2" s="1"/>
  <c r="AI288" i="2"/>
  <c r="AR282" i="2"/>
  <c r="P510" i="2"/>
  <c r="S510" i="2"/>
  <c r="R510" i="2" s="1"/>
  <c r="V510" i="2"/>
  <c r="AL716" i="1"/>
  <c r="AR716" i="1"/>
  <c r="AO716" i="1"/>
  <c r="AN716" i="1" s="1"/>
  <c r="AL314" i="1"/>
  <c r="AR314" i="1"/>
  <c r="AO314" i="1"/>
  <c r="AN314" i="1" s="1"/>
  <c r="AI729" i="3"/>
  <c r="AO827" i="3"/>
  <c r="AN827" i="3" s="1"/>
  <c r="AR827" i="3"/>
  <c r="AL827" i="3"/>
  <c r="AO427" i="1"/>
  <c r="AN427" i="1" s="1"/>
  <c r="AL427" i="1"/>
  <c r="AR427" i="1"/>
  <c r="AI360" i="1"/>
  <c r="AI342" i="1"/>
  <c r="AO404" i="2"/>
  <c r="AN404" i="2" s="1"/>
  <c r="AL404" i="2"/>
  <c r="AR404" i="2"/>
  <c r="AO39" i="3"/>
  <c r="AN39" i="3" s="1"/>
  <c r="AL39" i="3"/>
  <c r="AI45" i="3"/>
  <c r="AR39" i="3"/>
  <c r="AO104" i="2"/>
  <c r="AN104" i="2" s="1"/>
  <c r="AL104" i="2"/>
  <c r="AR104" i="2"/>
  <c r="AO525" i="1"/>
  <c r="AN525" i="1" s="1"/>
  <c r="AL525" i="1"/>
  <c r="AI531" i="1"/>
  <c r="AR525" i="1"/>
  <c r="AR790" i="2"/>
  <c r="AO790" i="2"/>
  <c r="AN790" i="2" s="1"/>
  <c r="AL790" i="2"/>
  <c r="AL472" i="2"/>
  <c r="AO472" i="2"/>
  <c r="AN472" i="2" s="1"/>
  <c r="AR472" i="2"/>
  <c r="AL499" i="2"/>
  <c r="AO499" i="2"/>
  <c r="AN499" i="2" s="1"/>
  <c r="AR499" i="2"/>
  <c r="AR167" i="2"/>
  <c r="AO167" i="2"/>
  <c r="AN167" i="2" s="1"/>
  <c r="AL167" i="2"/>
  <c r="AO799" i="2"/>
  <c r="AN799" i="2" s="1"/>
  <c r="AL799" i="2"/>
  <c r="AR799" i="2"/>
  <c r="AR647" i="1"/>
  <c r="AO647" i="1"/>
  <c r="AN647" i="1" s="1"/>
  <c r="AL647" i="1"/>
  <c r="P850" i="1"/>
  <c r="AI842" i="1"/>
  <c r="V850" i="1"/>
  <c r="S850" i="1"/>
  <c r="R850" i="1" s="1"/>
  <c r="AI18" i="1"/>
  <c r="AL538" i="1"/>
  <c r="AR538" i="1"/>
  <c r="AO538" i="1"/>
  <c r="AN538" i="1" s="1"/>
  <c r="AI747" i="2"/>
  <c r="AR741" i="2"/>
  <c r="AO741" i="2"/>
  <c r="AN741" i="2" s="1"/>
  <c r="AL741" i="2"/>
  <c r="AO210" i="1"/>
  <c r="AN210" i="1" s="1"/>
  <c r="AI216" i="1"/>
  <c r="AL210" i="1"/>
  <c r="AR210" i="1"/>
  <c r="AL233" i="1"/>
  <c r="AO233" i="1"/>
  <c r="AN233" i="1" s="1"/>
  <c r="AR233" i="1"/>
  <c r="V78" i="3"/>
  <c r="S78" i="3"/>
  <c r="R78" i="3" s="1"/>
  <c r="P78" i="3"/>
  <c r="AO796" i="2"/>
  <c r="AN796" i="2" s="1"/>
  <c r="AL796" i="2"/>
  <c r="AR796" i="2"/>
  <c r="AL133" i="2"/>
  <c r="AR133" i="2"/>
  <c r="AO133" i="2"/>
  <c r="AN133" i="2" s="1"/>
  <c r="AI630" i="1"/>
  <c r="AL184" i="1"/>
  <c r="AO184" i="1"/>
  <c r="AN184" i="1" s="1"/>
  <c r="AR184" i="1"/>
  <c r="AL590" i="2"/>
  <c r="AR590" i="2"/>
  <c r="AO590" i="2"/>
  <c r="AN590" i="2" s="1"/>
  <c r="S483" i="3"/>
  <c r="R483" i="3" s="1"/>
  <c r="V483" i="3"/>
  <c r="P483" i="3"/>
  <c r="AL534" i="1"/>
  <c r="AR534" i="1"/>
  <c r="AO534" i="1"/>
  <c r="AN534" i="1" s="1"/>
  <c r="AI540" i="1"/>
  <c r="V564" i="3"/>
  <c r="S564" i="3"/>
  <c r="R564" i="3" s="1"/>
  <c r="P564" i="3"/>
  <c r="AL765" i="3"/>
  <c r="AR765" i="3"/>
  <c r="AO765" i="3"/>
  <c r="AN765" i="3" s="1"/>
  <c r="V823" i="3"/>
  <c r="P823" i="3"/>
  <c r="AI815" i="3"/>
  <c r="S823" i="3"/>
  <c r="R823" i="3" s="1"/>
  <c r="S851" i="1"/>
  <c r="R851" i="1" s="1"/>
  <c r="P851" i="1"/>
  <c r="V851" i="1"/>
  <c r="AI860" i="1"/>
  <c r="AL836" i="2"/>
  <c r="AR836" i="2"/>
  <c r="AO836" i="2"/>
  <c r="AN836" i="2" s="1"/>
  <c r="AL283" i="2"/>
  <c r="AR283" i="2"/>
  <c r="AO283" i="2"/>
  <c r="AN283" i="2" s="1"/>
  <c r="AR270" i="3"/>
  <c r="AO270" i="3"/>
  <c r="AN270" i="3" s="1"/>
  <c r="AL270" i="3"/>
  <c r="AR562" i="2"/>
  <c r="AO562" i="2"/>
  <c r="AN562" i="2" s="1"/>
  <c r="AL562" i="2"/>
  <c r="AR373" i="2"/>
  <c r="AL373" i="2"/>
  <c r="AO373" i="2"/>
  <c r="AN373" i="2" s="1"/>
  <c r="P832" i="3"/>
  <c r="AI817" i="3"/>
  <c r="S832" i="3"/>
  <c r="R832" i="3" s="1"/>
  <c r="V832" i="3"/>
  <c r="AO233" i="3"/>
  <c r="AN233" i="3" s="1"/>
  <c r="AL233" i="3"/>
  <c r="AR233" i="3"/>
  <c r="S833" i="3"/>
  <c r="R833" i="3" s="1"/>
  <c r="P833" i="3"/>
  <c r="V833" i="3"/>
  <c r="AI818" i="3"/>
  <c r="AL392" i="1"/>
  <c r="AR392" i="1"/>
  <c r="AO392" i="1"/>
  <c r="AN392" i="1" s="1"/>
  <c r="P456" i="3"/>
  <c r="V456" i="3"/>
  <c r="S456" i="3"/>
  <c r="R456" i="3" s="1"/>
  <c r="AR763" i="1"/>
  <c r="AO763" i="1"/>
  <c r="AN763" i="1" s="1"/>
  <c r="AL763" i="1"/>
  <c r="AO278" i="1"/>
  <c r="AN278" i="1" s="1"/>
  <c r="AL278" i="1"/>
  <c r="AR278" i="1"/>
  <c r="S618" i="1"/>
  <c r="R618" i="1" s="1"/>
  <c r="P618" i="1"/>
  <c r="V618" i="1"/>
  <c r="V807" i="1"/>
  <c r="S807" i="1"/>
  <c r="R807" i="1" s="1"/>
  <c r="P807" i="1"/>
  <c r="AL576" i="3"/>
  <c r="AR576" i="3"/>
  <c r="AO576" i="3"/>
  <c r="AN576" i="3" s="1"/>
  <c r="AR835" i="3"/>
  <c r="AL835" i="3"/>
  <c r="AO835" i="3"/>
  <c r="AN835" i="3" s="1"/>
  <c r="AL590" i="1"/>
  <c r="AR590" i="1"/>
  <c r="AO590" i="1"/>
  <c r="AN590" i="1" s="1"/>
  <c r="AR375" i="2"/>
  <c r="AO375" i="2"/>
  <c r="AN375" i="2" s="1"/>
  <c r="AL375" i="2"/>
  <c r="AO684" i="1"/>
  <c r="AN684" i="1" s="1"/>
  <c r="AL684" i="1"/>
  <c r="AR684" i="1"/>
  <c r="V240" i="3"/>
  <c r="S240" i="3"/>
  <c r="R240" i="3" s="1"/>
  <c r="P240" i="3"/>
  <c r="AO540" i="2"/>
  <c r="AN540" i="2" s="1"/>
  <c r="AL540" i="2"/>
  <c r="AR540" i="2"/>
  <c r="AR124" i="2"/>
  <c r="AO124" i="2"/>
  <c r="AN124" i="2" s="1"/>
  <c r="AL124" i="2"/>
  <c r="AL728" i="1"/>
  <c r="AR728" i="1"/>
  <c r="AO728" i="1"/>
  <c r="AN728" i="1" s="1"/>
  <c r="AR609" i="3"/>
  <c r="AO609" i="3"/>
  <c r="AN609" i="3" s="1"/>
  <c r="AL609" i="3"/>
  <c r="AO763" i="2"/>
  <c r="AN763" i="2" s="1"/>
  <c r="AL763" i="2"/>
  <c r="AR763" i="2"/>
  <c r="AO609" i="2"/>
  <c r="AN609" i="2" s="1"/>
  <c r="AL609" i="2"/>
  <c r="AR609" i="2"/>
  <c r="AO548" i="1"/>
  <c r="AN548" i="1" s="1"/>
  <c r="AL548" i="1"/>
  <c r="AR548" i="1"/>
  <c r="AR213" i="3"/>
  <c r="AO213" i="3"/>
  <c r="AN213" i="3" s="1"/>
  <c r="AL213" i="3"/>
  <c r="AL95" i="3"/>
  <c r="AR95" i="3"/>
  <c r="AO95" i="3"/>
  <c r="AN95" i="3" s="1"/>
  <c r="S672" i="1"/>
  <c r="R672" i="1" s="1"/>
  <c r="P672" i="1"/>
  <c r="V672" i="1"/>
  <c r="AO629" i="3"/>
  <c r="AN629" i="3" s="1"/>
  <c r="AR629" i="3"/>
  <c r="AL629" i="3"/>
  <c r="S699" i="2"/>
  <c r="R699" i="2" s="1"/>
  <c r="V699" i="2"/>
  <c r="P699" i="2"/>
  <c r="AL192" i="2"/>
  <c r="AO192" i="2"/>
  <c r="AN192" i="2" s="1"/>
  <c r="AI198" i="2"/>
  <c r="AR192" i="2"/>
  <c r="AR681" i="3"/>
  <c r="AO681" i="3"/>
  <c r="AN681" i="3" s="1"/>
  <c r="AL681" i="3"/>
  <c r="AI684" i="3"/>
  <c r="AL295" i="3"/>
  <c r="AR295" i="3"/>
  <c r="AO295" i="3"/>
  <c r="AN295" i="3" s="1"/>
  <c r="AR68" i="2"/>
  <c r="AO68" i="2"/>
  <c r="AN68" i="2" s="1"/>
  <c r="AL68" i="2"/>
  <c r="AO197" i="1"/>
  <c r="AN197" i="1" s="1"/>
  <c r="AR197" i="1"/>
  <c r="AL197" i="1"/>
  <c r="AO268" i="2"/>
  <c r="AN268" i="2" s="1"/>
  <c r="AR268" i="2"/>
  <c r="AL268" i="2"/>
  <c r="AL346" i="1"/>
  <c r="AR346" i="1"/>
  <c r="AO346" i="1"/>
  <c r="AN346" i="1" s="1"/>
  <c r="AO147" i="1"/>
  <c r="AN147" i="1" s="1"/>
  <c r="AL147" i="1"/>
  <c r="AI153" i="1"/>
  <c r="AR147" i="1"/>
  <c r="AR188" i="1"/>
  <c r="AL188" i="1"/>
  <c r="AO188" i="1"/>
  <c r="AN188" i="1" s="1"/>
  <c r="AO516" i="2"/>
  <c r="AN516" i="2" s="1"/>
  <c r="AL516" i="2"/>
  <c r="AI522" i="2"/>
  <c r="AR516" i="2"/>
  <c r="AR673" i="3"/>
  <c r="AO673" i="3"/>
  <c r="AN673" i="3" s="1"/>
  <c r="AL673" i="3"/>
  <c r="AO156" i="3"/>
  <c r="AN156" i="3" s="1"/>
  <c r="AI162" i="3"/>
  <c r="AL156" i="3"/>
  <c r="AR156" i="3"/>
  <c r="AR728" i="2"/>
  <c r="AO728" i="2"/>
  <c r="AN728" i="2" s="1"/>
  <c r="AL728" i="2"/>
  <c r="AR42" i="2"/>
  <c r="AO42" i="2"/>
  <c r="AN42" i="2" s="1"/>
  <c r="AL42" i="2"/>
  <c r="AO527" i="2"/>
  <c r="AN527" i="2" s="1"/>
  <c r="AR527" i="2"/>
  <c r="AL527" i="2"/>
  <c r="AR538" i="3"/>
  <c r="AO538" i="3"/>
  <c r="AN538" i="3" s="1"/>
  <c r="AL538" i="3"/>
  <c r="AO76" i="2"/>
  <c r="AN76" i="2" s="1"/>
  <c r="AL76" i="2"/>
  <c r="AR76" i="2"/>
  <c r="AO71" i="1"/>
  <c r="AN71" i="1" s="1"/>
  <c r="AL71" i="1"/>
  <c r="AR71" i="1"/>
  <c r="AO276" i="2"/>
  <c r="AN276" i="2" s="1"/>
  <c r="AR276" i="2"/>
  <c r="AL276" i="2"/>
  <c r="AR612" i="1"/>
  <c r="AO612" i="1"/>
  <c r="AN612" i="1" s="1"/>
  <c r="AL612" i="1"/>
  <c r="AR642" i="3"/>
  <c r="AL642" i="3"/>
  <c r="AO642" i="3"/>
  <c r="AN642" i="3" s="1"/>
  <c r="AI648" i="3"/>
  <c r="AL471" i="3"/>
  <c r="AI477" i="3"/>
  <c r="AR471" i="3"/>
  <c r="AO471" i="3"/>
  <c r="AN471" i="3" s="1"/>
  <c r="AL809" i="3"/>
  <c r="AR809" i="3"/>
  <c r="AO809" i="3"/>
  <c r="AN809" i="3" s="1"/>
  <c r="AL231" i="3"/>
  <c r="AR231" i="3"/>
  <c r="AO231" i="3"/>
  <c r="AN231" i="3" s="1"/>
  <c r="AL220" i="3"/>
  <c r="AR220" i="3"/>
  <c r="AO220" i="3"/>
  <c r="AN220" i="3" s="1"/>
  <c r="AO310" i="1"/>
  <c r="AN310" i="1" s="1"/>
  <c r="AR310" i="1"/>
  <c r="AL310" i="1"/>
  <c r="AR85" i="3"/>
  <c r="AO85" i="3"/>
  <c r="AN85" i="3" s="1"/>
  <c r="AL85" i="3"/>
  <c r="AR95" i="2"/>
  <c r="AO95" i="2"/>
  <c r="AN95" i="2" s="1"/>
  <c r="AL95" i="2"/>
  <c r="AO117" i="3"/>
  <c r="AN117" i="3" s="1"/>
  <c r="AL117" i="3"/>
  <c r="AR117" i="3"/>
  <c r="AL473" i="3"/>
  <c r="AR473" i="3"/>
  <c r="AO473" i="3"/>
  <c r="AN473" i="3" s="1"/>
  <c r="AO620" i="1"/>
  <c r="AN620" i="1" s="1"/>
  <c r="AL620" i="1"/>
  <c r="AR620" i="1"/>
  <c r="AI585" i="3"/>
  <c r="AR579" i="3"/>
  <c r="AO579" i="3"/>
  <c r="AN579" i="3" s="1"/>
  <c r="AL579" i="3"/>
  <c r="AL438" i="3"/>
  <c r="AR438" i="3"/>
  <c r="AO438" i="3"/>
  <c r="AN438" i="3" s="1"/>
  <c r="AO689" i="2"/>
  <c r="AN689" i="2" s="1"/>
  <c r="AR689" i="2"/>
  <c r="AL689" i="2"/>
  <c r="AR743" i="3"/>
  <c r="AO743" i="3"/>
  <c r="AN743" i="3" s="1"/>
  <c r="AL743" i="3"/>
  <c r="AO122" i="2"/>
  <c r="AN122" i="2" s="1"/>
  <c r="AL122" i="2"/>
  <c r="AR122" i="2"/>
  <c r="S186" i="1"/>
  <c r="R186" i="1" s="1"/>
  <c r="V186" i="1"/>
  <c r="P186" i="1"/>
  <c r="V853" i="1"/>
  <c r="AI862" i="1"/>
  <c r="S853" i="1"/>
  <c r="R853" i="1" s="1"/>
  <c r="P853" i="1"/>
  <c r="V726" i="2"/>
  <c r="S726" i="2"/>
  <c r="R726" i="2" s="1"/>
  <c r="P726" i="2"/>
  <c r="AL484" i="1"/>
  <c r="AR484" i="1"/>
  <c r="AO484" i="1"/>
  <c r="AN484" i="1" s="1"/>
  <c r="AL385" i="3"/>
  <c r="AR385" i="3"/>
  <c r="AO385" i="3"/>
  <c r="AN385" i="3" s="1"/>
  <c r="AR347" i="2"/>
  <c r="AO347" i="2"/>
  <c r="AN347" i="2" s="1"/>
  <c r="AL347" i="2"/>
  <c r="AI351" i="2"/>
  <c r="AE837" i="3"/>
  <c r="AI459" i="2"/>
  <c r="AI279" i="1"/>
  <c r="AR273" i="1"/>
  <c r="AO273" i="1"/>
  <c r="AN273" i="1" s="1"/>
  <c r="AL273" i="1"/>
  <c r="AO552" i="2"/>
  <c r="AN552" i="2" s="1"/>
  <c r="AL552" i="2"/>
  <c r="AI558" i="2"/>
  <c r="AR552" i="2"/>
  <c r="S51" i="2"/>
  <c r="R51" i="2" s="1"/>
  <c r="P51" i="2"/>
  <c r="V51" i="2"/>
  <c r="AR49" i="1"/>
  <c r="AO49" i="1"/>
  <c r="AN49" i="1" s="1"/>
  <c r="AL49" i="1"/>
  <c r="AR600" i="3"/>
  <c r="AO600" i="3"/>
  <c r="AN600" i="3" s="1"/>
  <c r="AL600" i="3"/>
  <c r="AR592" i="3"/>
  <c r="AO592" i="3"/>
  <c r="AN592" i="3" s="1"/>
  <c r="AL592" i="3"/>
  <c r="AI261" i="1"/>
  <c r="AL15" i="3"/>
  <c r="AR15" i="3"/>
  <c r="AO15" i="3"/>
  <c r="AN15" i="3" s="1"/>
  <c r="AI414" i="2"/>
  <c r="AR408" i="2"/>
  <c r="AO408" i="2"/>
  <c r="AN408" i="2" s="1"/>
  <c r="AL408" i="2"/>
  <c r="AL185" i="3"/>
  <c r="AR185" i="3"/>
  <c r="AO185" i="3"/>
  <c r="AN185" i="3" s="1"/>
  <c r="AL692" i="2"/>
  <c r="AR692" i="2"/>
  <c r="AO692" i="2"/>
  <c r="AN692" i="2" s="1"/>
  <c r="P429" i="2"/>
  <c r="V429" i="2"/>
  <c r="S429" i="2"/>
  <c r="R429" i="2" s="1"/>
  <c r="AO332" i="1"/>
  <c r="AN332" i="1" s="1"/>
  <c r="AL332" i="1"/>
  <c r="AR332" i="1"/>
  <c r="S845" i="2"/>
  <c r="R845" i="2" s="1"/>
  <c r="P845" i="2"/>
  <c r="V845" i="2"/>
  <c r="AI850" i="2"/>
  <c r="AR832" i="3"/>
  <c r="AL832" i="3"/>
  <c r="AO832" i="3"/>
  <c r="AN832" i="3" s="1"/>
  <c r="AI612" i="3"/>
  <c r="AL606" i="3"/>
  <c r="AR606" i="3"/>
  <c r="AO606" i="3"/>
  <c r="AN606" i="3" s="1"/>
  <c r="AL642" i="1"/>
  <c r="AR642" i="1"/>
  <c r="AO642" i="1"/>
  <c r="AN642" i="1" s="1"/>
  <c r="AI648" i="1"/>
  <c r="AO251" i="1"/>
  <c r="AN251" i="1" s="1"/>
  <c r="AL251" i="1"/>
  <c r="AR251" i="1"/>
  <c r="AL421" i="3"/>
  <c r="AR421" i="3"/>
  <c r="AO421" i="3"/>
  <c r="AN421" i="3" s="1"/>
  <c r="AO498" i="2"/>
  <c r="AN498" i="2" s="1"/>
  <c r="AL498" i="2"/>
  <c r="AR498" i="2"/>
  <c r="AI504" i="2"/>
  <c r="AL832" i="1"/>
  <c r="AR832" i="1"/>
  <c r="AO832" i="1"/>
  <c r="AN832" i="1" s="1"/>
  <c r="S753" i="2"/>
  <c r="R753" i="2" s="1"/>
  <c r="P753" i="2"/>
  <c r="V753" i="2"/>
  <c r="AR231" i="1"/>
  <c r="AO231" i="1"/>
  <c r="AN231" i="1" s="1"/>
  <c r="AL231" i="1"/>
  <c r="AL553" i="3"/>
  <c r="AR553" i="3"/>
  <c r="AO553" i="3"/>
  <c r="AN553" i="3" s="1"/>
  <c r="AL84" i="2"/>
  <c r="AI90" i="2"/>
  <c r="AR84" i="2"/>
  <c r="AO84" i="2"/>
  <c r="AN84" i="2" s="1"/>
  <c r="AR593" i="1"/>
  <c r="AO593" i="1"/>
  <c r="AN593" i="1" s="1"/>
  <c r="AL593" i="1"/>
  <c r="AO445" i="2"/>
  <c r="AN445" i="2" s="1"/>
  <c r="AL445" i="2"/>
  <c r="AR445" i="2"/>
  <c r="AR150" i="3"/>
  <c r="AO150" i="3"/>
  <c r="AN150" i="3" s="1"/>
  <c r="AL150" i="3"/>
  <c r="AR321" i="2"/>
  <c r="AL321" i="2"/>
  <c r="AO321" i="2"/>
  <c r="AN321" i="2" s="1"/>
  <c r="AR157" i="1"/>
  <c r="AO157" i="1"/>
  <c r="AN157" i="1" s="1"/>
  <c r="AL157" i="1"/>
  <c r="AR41" i="3"/>
  <c r="AO41" i="3"/>
  <c r="AN41" i="3" s="1"/>
  <c r="AL41" i="3"/>
  <c r="AL394" i="2"/>
  <c r="AR394" i="2"/>
  <c r="AO394" i="2"/>
  <c r="AN394" i="2" s="1"/>
  <c r="AL600" i="2"/>
  <c r="AR600" i="2"/>
  <c r="AO600" i="2"/>
  <c r="AN600" i="2" s="1"/>
  <c r="AI225" i="1"/>
  <c r="AR219" i="1"/>
  <c r="AO219" i="1"/>
  <c r="AN219" i="1" s="1"/>
  <c r="AL219" i="1"/>
  <c r="AR455" i="2"/>
  <c r="AO455" i="2"/>
  <c r="AN455" i="2" s="1"/>
  <c r="AL455" i="2"/>
  <c r="AO472" i="3"/>
  <c r="AN472" i="3" s="1"/>
  <c r="AL472" i="3"/>
  <c r="AR472" i="3"/>
  <c r="AL418" i="3"/>
  <c r="AR418" i="3"/>
  <c r="AO418" i="3"/>
  <c r="AN418" i="3" s="1"/>
  <c r="AO648" i="2"/>
  <c r="AN648" i="2" s="1"/>
  <c r="AL648" i="2"/>
  <c r="AR648" i="2"/>
  <c r="AL233" i="2"/>
  <c r="AR233" i="2"/>
  <c r="AO233" i="2"/>
  <c r="AN233" i="2" s="1"/>
  <c r="P851" i="2"/>
  <c r="V851" i="2"/>
  <c r="AI860" i="2"/>
  <c r="S851" i="2"/>
  <c r="R851" i="2" s="1"/>
  <c r="AL637" i="1"/>
  <c r="AR637" i="1"/>
  <c r="AO637" i="1"/>
  <c r="AN637" i="1" s="1"/>
  <c r="AR240" i="2"/>
  <c r="AL240" i="2"/>
  <c r="AO240" i="2"/>
  <c r="AN240" i="2" s="1"/>
  <c r="AO462" i="3"/>
  <c r="AN462" i="3" s="1"/>
  <c r="AL462" i="3"/>
  <c r="AR462" i="3"/>
  <c r="AI468" i="3"/>
  <c r="S159" i="3"/>
  <c r="R159" i="3" s="1"/>
  <c r="P159" i="3"/>
  <c r="V159" i="3"/>
  <c r="AR457" i="2"/>
  <c r="AO457" i="2"/>
  <c r="AN457" i="2" s="1"/>
  <c r="AL457" i="2"/>
  <c r="AO279" i="3"/>
  <c r="AN279" i="3" s="1"/>
  <c r="AL279" i="3"/>
  <c r="AR279" i="3"/>
  <c r="AR267" i="2"/>
  <c r="AO267" i="2"/>
  <c r="AN267" i="2" s="1"/>
  <c r="AL267" i="2"/>
  <c r="AL634" i="1"/>
  <c r="AR634" i="1"/>
  <c r="AO634" i="1"/>
  <c r="AN634" i="1" s="1"/>
  <c r="AO661" i="3"/>
  <c r="AN661" i="3" s="1"/>
  <c r="AL661" i="3"/>
  <c r="AR661" i="3"/>
  <c r="AL367" i="2"/>
  <c r="AR367" i="2"/>
  <c r="AO367" i="2"/>
  <c r="AN367" i="2" s="1"/>
  <c r="AR51" i="3"/>
  <c r="AO51" i="3"/>
  <c r="AN51" i="3" s="1"/>
  <c r="AL51" i="3"/>
  <c r="V645" i="3"/>
  <c r="S645" i="3"/>
  <c r="R645" i="3" s="1"/>
  <c r="P645" i="3"/>
  <c r="AO376" i="3"/>
  <c r="AN376" i="3" s="1"/>
  <c r="AL376" i="3"/>
  <c r="AR376" i="3"/>
  <c r="AR108" i="3"/>
  <c r="AO108" i="3"/>
  <c r="AN108" i="3" s="1"/>
  <c r="AL108" i="3"/>
  <c r="AO458" i="1"/>
  <c r="AN458" i="1" s="1"/>
  <c r="AL458" i="1"/>
  <c r="AR458" i="1"/>
  <c r="AO306" i="1"/>
  <c r="AN306" i="1" s="1"/>
  <c r="AL306" i="1"/>
  <c r="AR306" i="1"/>
  <c r="S267" i="1"/>
  <c r="R267" i="1" s="1"/>
  <c r="P267" i="1"/>
  <c r="V267" i="1"/>
  <c r="AR285" i="1"/>
  <c r="AO285" i="1"/>
  <c r="AN285" i="1" s="1"/>
  <c r="AL285" i="1"/>
  <c r="AL385" i="2"/>
  <c r="AO385" i="2"/>
  <c r="AN385" i="2" s="1"/>
  <c r="AR385" i="2"/>
  <c r="AR709" i="1"/>
  <c r="AO709" i="1"/>
  <c r="AN709" i="1" s="1"/>
  <c r="AL709" i="1"/>
  <c r="AO674" i="1"/>
  <c r="AN674" i="1" s="1"/>
  <c r="AL674" i="1"/>
  <c r="AR674" i="1"/>
  <c r="AR31" i="1"/>
  <c r="AO31" i="1"/>
  <c r="AN31" i="1" s="1"/>
  <c r="AL31" i="1"/>
  <c r="AR349" i="3"/>
  <c r="AO349" i="3"/>
  <c r="AN349" i="3" s="1"/>
  <c r="AL349" i="3"/>
  <c r="AL4" i="3"/>
  <c r="AR4" i="3"/>
  <c r="AO4" i="3"/>
  <c r="AN4" i="3" s="1"/>
  <c r="AO435" i="2"/>
  <c r="AN435" i="2" s="1"/>
  <c r="AI441" i="2"/>
  <c r="AR435" i="2"/>
  <c r="AL435" i="2"/>
  <c r="AR85" i="2"/>
  <c r="AO85" i="2"/>
  <c r="AN85" i="2" s="1"/>
  <c r="AL85" i="2"/>
  <c r="AL174" i="3"/>
  <c r="AI180" i="3"/>
  <c r="AR174" i="3"/>
  <c r="AO174" i="3"/>
  <c r="AN174" i="3" s="1"/>
  <c r="P321" i="2"/>
  <c r="S321" i="2"/>
  <c r="R321" i="2" s="1"/>
  <c r="V321" i="2"/>
  <c r="AO340" i="3"/>
  <c r="AN340" i="3" s="1"/>
  <c r="AL340" i="3"/>
  <c r="AR340" i="3"/>
  <c r="AR491" i="2"/>
  <c r="AO491" i="2"/>
  <c r="AN491" i="2" s="1"/>
  <c r="AL491" i="2"/>
  <c r="AR518" i="2"/>
  <c r="AO518" i="2"/>
  <c r="AN518" i="2" s="1"/>
  <c r="AL518" i="2"/>
  <c r="AL67" i="2"/>
  <c r="AR67" i="2"/>
  <c r="AO67" i="2"/>
  <c r="AN67" i="2" s="1"/>
  <c r="AR539" i="1"/>
  <c r="AO539" i="1"/>
  <c r="AN539" i="1" s="1"/>
  <c r="AL539" i="1"/>
  <c r="AI342" i="3"/>
  <c r="AR170" i="2"/>
  <c r="AO170" i="2"/>
  <c r="AN170" i="2" s="1"/>
  <c r="AL170" i="2"/>
  <c r="AL732" i="2"/>
  <c r="AI738" i="2"/>
  <c r="AR732" i="2"/>
  <c r="AO732" i="2"/>
  <c r="AN732" i="2" s="1"/>
  <c r="AO499" i="3"/>
  <c r="AN499" i="3" s="1"/>
  <c r="AL499" i="3"/>
  <c r="AR499" i="3"/>
  <c r="V846" i="1"/>
  <c r="AI859" i="1"/>
  <c r="S846" i="1"/>
  <c r="R846" i="1" s="1"/>
  <c r="P846" i="1"/>
  <c r="AL519" i="3"/>
  <c r="AR519" i="3"/>
  <c r="AO519" i="3"/>
  <c r="AN519" i="3" s="1"/>
  <c r="AR464" i="3"/>
  <c r="AO464" i="3"/>
  <c r="AN464" i="3" s="1"/>
  <c r="AL464" i="3"/>
  <c r="AL656" i="2"/>
  <c r="AR656" i="2"/>
  <c r="AO656" i="2"/>
  <c r="AN656" i="2" s="1"/>
  <c r="AO430" i="2"/>
  <c r="AN430" i="2" s="1"/>
  <c r="AR430" i="2"/>
  <c r="AL430" i="2"/>
  <c r="AO530" i="1"/>
  <c r="AN530" i="1" s="1"/>
  <c r="AL530" i="1"/>
  <c r="AR530" i="1"/>
  <c r="AO817" i="2"/>
  <c r="AN817" i="2" s="1"/>
  <c r="AL817" i="2"/>
  <c r="AR817" i="2"/>
  <c r="AL481" i="3"/>
  <c r="AR481" i="3"/>
  <c r="AO481" i="3"/>
  <c r="AN481" i="3" s="1"/>
  <c r="M834" i="3"/>
  <c r="AI831" i="3"/>
  <c r="V816" i="3"/>
  <c r="S816" i="3"/>
  <c r="R816" i="3" s="1"/>
  <c r="P816" i="3"/>
  <c r="AR59" i="3"/>
  <c r="AO59" i="3"/>
  <c r="AN59" i="3" s="1"/>
  <c r="AL59" i="3"/>
  <c r="AL355" i="2"/>
  <c r="AR355" i="2"/>
  <c r="AO355" i="2"/>
  <c r="AN355" i="2" s="1"/>
  <c r="AO833" i="2"/>
  <c r="AN833" i="2" s="1"/>
  <c r="AL833" i="2"/>
  <c r="AR833" i="2"/>
  <c r="AL725" i="2"/>
  <c r="AR725" i="2"/>
  <c r="AO725" i="2"/>
  <c r="AN725" i="2" s="1"/>
  <c r="AI729" i="2"/>
  <c r="AI45" i="2"/>
  <c r="S855" i="1"/>
  <c r="R855" i="1" s="1"/>
  <c r="P855" i="1"/>
  <c r="V855" i="1"/>
  <c r="AI852" i="1"/>
  <c r="AL574" i="3"/>
  <c r="AR574" i="3"/>
  <c r="AO574" i="3"/>
  <c r="AN574" i="3" s="1"/>
  <c r="AI828" i="1"/>
  <c r="AR822" i="1"/>
  <c r="AO822" i="1"/>
  <c r="AN822" i="1" s="1"/>
  <c r="AL822" i="1"/>
  <c r="AO22" i="2"/>
  <c r="AN22" i="2" s="1"/>
  <c r="AL22" i="2"/>
  <c r="AR22" i="2"/>
  <c r="AI180" i="1"/>
  <c r="AI513" i="2"/>
  <c r="AL507" i="2"/>
  <c r="AO507" i="2"/>
  <c r="AN507" i="2" s="1"/>
  <c r="AR507" i="2"/>
  <c r="AR368" i="2"/>
  <c r="AO368" i="2"/>
  <c r="AN368" i="2" s="1"/>
  <c r="AL368" i="2"/>
  <c r="AO417" i="2"/>
  <c r="AN417" i="2" s="1"/>
  <c r="AL417" i="2"/>
  <c r="AI423" i="2"/>
  <c r="AR417" i="2"/>
  <c r="AR178" i="2"/>
  <c r="AO178" i="2"/>
  <c r="AN178" i="2" s="1"/>
  <c r="AL178" i="2"/>
  <c r="AR558" i="1"/>
  <c r="AO558" i="1"/>
  <c r="AN558" i="1" s="1"/>
  <c r="AL558" i="1"/>
  <c r="AL310" i="2"/>
  <c r="AR310" i="2"/>
  <c r="AO310" i="2"/>
  <c r="AN310" i="2" s="1"/>
  <c r="AL824" i="1"/>
  <c r="AR824" i="1"/>
  <c r="AO824" i="1"/>
  <c r="AN824" i="1" s="1"/>
  <c r="AL239" i="1"/>
  <c r="AO239" i="1"/>
  <c r="AN239" i="1" s="1"/>
  <c r="AR239" i="1"/>
  <c r="AR311" i="3"/>
  <c r="AO311" i="3"/>
  <c r="AN311" i="3" s="1"/>
  <c r="AL311" i="3"/>
  <c r="AO14" i="2"/>
  <c r="AN14" i="2" s="1"/>
  <c r="AL14" i="2"/>
  <c r="AR14" i="2"/>
  <c r="AR601" i="1"/>
  <c r="AO601" i="1"/>
  <c r="AN601" i="1" s="1"/>
  <c r="AL601" i="1"/>
  <c r="AR565" i="3"/>
  <c r="AO565" i="3"/>
  <c r="AN565" i="3" s="1"/>
  <c r="AL565" i="3"/>
  <c r="V645" i="1"/>
  <c r="S645" i="1"/>
  <c r="R645" i="1" s="1"/>
  <c r="P645" i="1"/>
  <c r="AL79" i="1"/>
  <c r="AR79" i="1"/>
  <c r="AO79" i="1"/>
  <c r="AN79" i="1" s="1"/>
  <c r="AO518" i="3"/>
  <c r="AN518" i="3" s="1"/>
  <c r="AL518" i="3"/>
  <c r="AR518" i="3"/>
  <c r="AR575" i="2"/>
  <c r="AO575" i="2"/>
  <c r="AN575" i="2" s="1"/>
  <c r="AL575" i="2"/>
  <c r="AR356" i="2"/>
  <c r="AO356" i="2"/>
  <c r="AN356" i="2" s="1"/>
  <c r="AL356" i="2"/>
  <c r="AL185" i="1"/>
  <c r="AR185" i="1"/>
  <c r="AO185" i="1"/>
  <c r="AN185" i="1" s="1"/>
  <c r="AI720" i="3"/>
  <c r="AI405" i="3"/>
  <c r="AO399" i="3"/>
  <c r="AN399" i="3" s="1"/>
  <c r="AR399" i="3"/>
  <c r="AL399" i="3"/>
  <c r="AO132" i="3"/>
  <c r="AN132" i="3" s="1"/>
  <c r="AL132" i="3"/>
  <c r="AR132" i="3"/>
  <c r="AI108" i="1"/>
  <c r="AL102" i="1"/>
  <c r="AR102" i="1"/>
  <c r="AO102" i="1"/>
  <c r="AN102" i="1" s="1"/>
  <c r="AL392" i="3"/>
  <c r="AR392" i="3"/>
  <c r="AO392" i="3"/>
  <c r="AN392" i="3" s="1"/>
  <c r="AI252" i="2"/>
  <c r="AR246" i="2"/>
  <c r="AO246" i="2"/>
  <c r="AN246" i="2" s="1"/>
  <c r="AL246" i="2"/>
  <c r="AR401" i="3"/>
  <c r="AO401" i="3"/>
  <c r="AN401" i="3" s="1"/>
  <c r="AL401" i="3"/>
  <c r="AO808" i="3"/>
  <c r="AN808" i="3" s="1"/>
  <c r="AL808" i="3"/>
  <c r="AR808" i="3"/>
  <c r="AL510" i="1"/>
  <c r="AR510" i="1"/>
  <c r="AO510" i="1"/>
  <c r="AN510" i="1" s="1"/>
  <c r="AR222" i="1"/>
  <c r="AO222" i="1"/>
  <c r="AN222" i="1" s="1"/>
  <c r="AL222" i="1"/>
  <c r="AO420" i="3"/>
  <c r="AN420" i="3" s="1"/>
  <c r="AL420" i="3"/>
  <c r="AR420" i="3"/>
  <c r="AI171" i="3"/>
  <c r="AR698" i="2"/>
  <c r="AO698" i="2"/>
  <c r="AN698" i="2" s="1"/>
  <c r="AL698" i="2"/>
  <c r="AI108" i="2"/>
  <c r="AL102" i="2"/>
  <c r="AR102" i="2"/>
  <c r="AO102" i="2"/>
  <c r="AN102" i="2" s="1"/>
  <c r="S213" i="1"/>
  <c r="R213" i="1" s="1"/>
  <c r="P213" i="1"/>
  <c r="V213" i="1"/>
  <c r="AR663" i="3"/>
  <c r="AO663" i="3"/>
  <c r="AN663" i="3" s="1"/>
  <c r="AL663" i="3"/>
  <c r="AO617" i="2"/>
  <c r="AN617" i="2" s="1"/>
  <c r="AL617" i="2"/>
  <c r="AR617" i="2"/>
  <c r="AL698" i="1"/>
  <c r="AR698" i="1"/>
  <c r="AO698" i="1"/>
  <c r="AN698" i="1" s="1"/>
  <c r="AL84" i="3"/>
  <c r="AI90" i="3"/>
  <c r="AR84" i="3"/>
  <c r="AO84" i="3"/>
  <c r="AN84" i="3" s="1"/>
  <c r="AL337" i="2"/>
  <c r="AO337" i="2"/>
  <c r="AN337" i="2" s="1"/>
  <c r="AR337" i="2"/>
  <c r="AL79" i="2"/>
  <c r="AR79" i="2"/>
  <c r="AO79" i="2"/>
  <c r="AN79" i="2" s="1"/>
  <c r="AR771" i="3"/>
  <c r="AO771" i="3"/>
  <c r="AN771" i="3" s="1"/>
  <c r="AL771" i="3"/>
  <c r="AR562" i="3"/>
  <c r="AO562" i="3"/>
  <c r="AN562" i="3" s="1"/>
  <c r="AL562" i="3"/>
  <c r="AL756" i="2"/>
  <c r="AR756" i="2"/>
  <c r="AO756" i="2"/>
  <c r="AN756" i="2" s="1"/>
  <c r="AR357" i="2"/>
  <c r="AO357" i="2"/>
  <c r="AN357" i="2" s="1"/>
  <c r="AL357" i="2"/>
  <c r="AI243" i="2"/>
  <c r="AL237" i="2"/>
  <c r="AO237" i="2"/>
  <c r="AN237" i="2" s="1"/>
  <c r="AR237" i="2"/>
  <c r="AL526" i="1"/>
  <c r="AR526" i="1"/>
  <c r="AO526" i="1"/>
  <c r="AN526" i="1" s="1"/>
  <c r="AO513" i="3"/>
  <c r="AN513" i="3" s="1"/>
  <c r="AL513" i="3"/>
  <c r="AR513" i="3"/>
  <c r="P672" i="2"/>
  <c r="V672" i="2"/>
  <c r="S672" i="2"/>
  <c r="R672" i="2" s="1"/>
  <c r="AS855" i="1"/>
  <c r="AS864" i="1"/>
  <c r="AS846" i="1"/>
  <c r="V24" i="1"/>
  <c r="S24" i="1"/>
  <c r="R24" i="1" s="1"/>
  <c r="P24" i="1"/>
  <c r="AL826" i="3"/>
  <c r="AO826" i="3"/>
  <c r="AN826" i="3" s="1"/>
  <c r="AR826" i="3"/>
  <c r="V537" i="1"/>
  <c r="S537" i="1"/>
  <c r="R537" i="1" s="1"/>
  <c r="P537" i="1"/>
  <c r="AI432" i="1"/>
  <c r="AR426" i="1"/>
  <c r="AO426" i="1"/>
  <c r="AN426" i="1" s="1"/>
  <c r="AL426" i="1"/>
  <c r="AL333" i="1"/>
  <c r="AR333" i="1"/>
  <c r="AO333" i="1"/>
  <c r="AN333" i="1" s="1"/>
  <c r="P267" i="2"/>
  <c r="V267" i="2"/>
  <c r="S267" i="2"/>
  <c r="R267" i="2" s="1"/>
  <c r="AI450" i="1"/>
  <c r="AR444" i="1"/>
  <c r="AO444" i="1"/>
  <c r="AN444" i="1" s="1"/>
  <c r="AL444" i="1"/>
  <c r="AO259" i="1"/>
  <c r="AN259" i="1" s="1"/>
  <c r="AR259" i="1"/>
  <c r="AL259" i="1"/>
  <c r="AI822" i="3"/>
  <c r="P817" i="3"/>
  <c r="V817" i="3"/>
  <c r="S817" i="3"/>
  <c r="R817" i="3" s="1"/>
  <c r="AR688" i="2"/>
  <c r="AL688" i="2"/>
  <c r="AO688" i="2"/>
  <c r="AN688" i="2" s="1"/>
  <c r="AI450" i="2"/>
  <c r="AO15" i="2"/>
  <c r="AN15" i="2" s="1"/>
  <c r="AL15" i="2"/>
  <c r="AR15" i="2"/>
  <c r="AL107" i="3"/>
  <c r="AR107" i="3"/>
  <c r="AO107" i="3"/>
  <c r="AN107" i="3" s="1"/>
  <c r="AO35" i="2"/>
  <c r="AN35" i="2" s="1"/>
  <c r="AL35" i="2"/>
  <c r="AR35" i="2"/>
  <c r="AO93" i="1"/>
  <c r="AN93" i="1" s="1"/>
  <c r="AL93" i="1"/>
  <c r="AR93" i="1"/>
  <c r="AI99" i="1"/>
  <c r="AO471" i="1"/>
  <c r="AN471" i="1" s="1"/>
  <c r="AL471" i="1"/>
  <c r="AI477" i="1"/>
  <c r="AR471" i="1"/>
  <c r="AL475" i="1"/>
  <c r="AR475" i="1"/>
  <c r="AO475" i="1"/>
  <c r="AN475" i="1" s="1"/>
  <c r="S847" i="1"/>
  <c r="R847" i="1" s="1"/>
  <c r="P847" i="1"/>
  <c r="AI851" i="1"/>
  <c r="V847" i="1"/>
  <c r="AI639" i="3"/>
  <c r="AR633" i="3"/>
  <c r="AO633" i="3"/>
  <c r="AN633" i="3" s="1"/>
  <c r="AL633" i="3"/>
  <c r="AL192" i="3"/>
  <c r="AI198" i="3"/>
  <c r="AR192" i="3"/>
  <c r="AO192" i="3"/>
  <c r="AN192" i="3" s="1"/>
  <c r="AO709" i="2"/>
  <c r="AN709" i="2" s="1"/>
  <c r="AL709" i="2"/>
  <c r="AR709" i="2"/>
  <c r="AI711" i="2"/>
  <c r="AO755" i="2"/>
  <c r="AN755" i="2" s="1"/>
  <c r="AL755" i="2"/>
  <c r="AR755" i="2"/>
  <c r="AL282" i="3"/>
  <c r="AI288" i="3"/>
  <c r="AR282" i="3"/>
  <c r="AO282" i="3"/>
  <c r="AN282" i="3" s="1"/>
  <c r="AI824" i="3"/>
  <c r="V820" i="3"/>
  <c r="S820" i="3"/>
  <c r="R820" i="3" s="1"/>
  <c r="P820" i="3"/>
  <c r="AR503" i="2"/>
  <c r="AO503" i="2"/>
  <c r="AN503" i="2" s="1"/>
  <c r="AL503" i="2"/>
  <c r="AR319" i="2"/>
  <c r="AO319" i="2"/>
  <c r="AN319" i="2" s="1"/>
  <c r="AL319" i="2"/>
  <c r="AI324" i="2"/>
  <c r="AR504" i="1"/>
  <c r="AO504" i="1"/>
  <c r="AN504" i="1" s="1"/>
  <c r="AL504" i="1"/>
  <c r="AR753" i="3"/>
  <c r="AO753" i="3"/>
  <c r="AN753" i="3" s="1"/>
  <c r="AL753" i="3"/>
  <c r="AL285" i="2"/>
  <c r="AO285" i="2"/>
  <c r="AN285" i="2" s="1"/>
  <c r="AR285" i="2"/>
  <c r="AL8" i="2"/>
  <c r="AR8" i="2"/>
  <c r="AO8" i="2"/>
  <c r="AN8" i="2" s="1"/>
  <c r="AO381" i="2"/>
  <c r="AN381" i="2" s="1"/>
  <c r="AI387" i="2"/>
  <c r="AR381" i="2"/>
  <c r="AL381" i="2"/>
  <c r="AO125" i="2"/>
  <c r="AN125" i="2" s="1"/>
  <c r="AL125" i="2"/>
  <c r="AR125" i="2"/>
  <c r="V753" i="1"/>
  <c r="S753" i="1"/>
  <c r="R753" i="1" s="1"/>
  <c r="P753" i="1"/>
  <c r="AR329" i="2"/>
  <c r="AO329" i="2"/>
  <c r="AN329" i="2" s="1"/>
  <c r="AL329" i="2"/>
  <c r="V850" i="2"/>
  <c r="S850" i="2"/>
  <c r="R850" i="2" s="1"/>
  <c r="P850" i="2"/>
  <c r="AI842" i="2"/>
  <c r="AI810" i="3"/>
  <c r="AR804" i="3"/>
  <c r="AO804" i="3"/>
  <c r="AN804" i="3" s="1"/>
  <c r="AL804" i="3"/>
  <c r="AL525" i="2"/>
  <c r="AR525" i="2"/>
  <c r="AI531" i="2"/>
  <c r="AO525" i="2"/>
  <c r="AN525" i="2" s="1"/>
  <c r="AL806" i="1"/>
  <c r="AR806" i="1"/>
  <c r="AO806" i="1"/>
  <c r="AN806" i="1" s="1"/>
  <c r="AR85" i="1"/>
  <c r="AO85" i="1"/>
  <c r="AN85" i="1" s="1"/>
  <c r="AL85" i="1"/>
  <c r="AL735" i="2"/>
  <c r="AR735" i="2"/>
  <c r="AO735" i="2"/>
  <c r="AN735" i="2" s="1"/>
  <c r="AL201" i="2"/>
  <c r="AR201" i="2"/>
  <c r="AO201" i="2"/>
  <c r="AN201" i="2" s="1"/>
  <c r="AI207" i="2"/>
  <c r="AO699" i="3"/>
  <c r="AN699" i="3" s="1"/>
  <c r="AR699" i="3"/>
  <c r="AL699" i="3"/>
  <c r="AL35" i="3"/>
  <c r="AR35" i="3"/>
  <c r="AO35" i="3"/>
  <c r="AN35" i="3" s="1"/>
  <c r="AO814" i="2"/>
  <c r="AN814" i="2" s="1"/>
  <c r="AL814" i="2"/>
  <c r="AR814" i="2"/>
  <c r="AI666" i="1"/>
  <c r="AR660" i="1"/>
  <c r="AO660" i="1"/>
  <c r="AN660" i="1" s="1"/>
  <c r="AL660" i="1"/>
  <c r="AL409" i="3"/>
  <c r="AR409" i="3"/>
  <c r="AO409" i="3"/>
  <c r="AN409" i="3" s="1"/>
  <c r="AO219" i="3"/>
  <c r="AN219" i="3" s="1"/>
  <c r="AL219" i="3"/>
  <c r="AI225" i="3"/>
  <c r="AR219" i="3"/>
  <c r="AS837" i="3"/>
  <c r="AS828" i="3"/>
  <c r="AS819" i="3"/>
  <c r="V24" i="3"/>
  <c r="S24" i="3"/>
  <c r="R24" i="3" s="1"/>
  <c r="P24" i="3"/>
  <c r="P857" i="2"/>
  <c r="V857" i="2"/>
  <c r="AI853" i="2"/>
  <c r="S857" i="2"/>
  <c r="R857" i="2" s="1"/>
  <c r="AI774" i="1"/>
  <c r="AR768" i="1"/>
  <c r="AO768" i="1"/>
  <c r="AN768" i="1" s="1"/>
  <c r="AL768" i="1"/>
  <c r="AO769" i="3"/>
  <c r="AN769" i="3" s="1"/>
  <c r="AL769" i="3"/>
  <c r="AR769" i="3"/>
  <c r="AL138" i="1"/>
  <c r="AI144" i="1"/>
  <c r="AR138" i="1"/>
  <c r="AO138" i="1"/>
  <c r="AN138" i="1" s="1"/>
  <c r="AO643" i="3"/>
  <c r="AN643" i="3" s="1"/>
  <c r="AR643" i="3"/>
  <c r="AL643" i="3"/>
  <c r="AR549" i="3"/>
  <c r="AO549" i="3"/>
  <c r="AN549" i="3" s="1"/>
  <c r="AL549" i="3"/>
  <c r="S105" i="3"/>
  <c r="R105" i="3" s="1"/>
  <c r="P105" i="3"/>
  <c r="V105" i="3"/>
  <c r="AO17" i="3"/>
  <c r="AN17" i="3" s="1"/>
  <c r="AL17" i="3"/>
  <c r="AR17" i="3"/>
  <c r="AR13" i="3"/>
  <c r="AO13" i="3"/>
  <c r="AN13" i="3" s="1"/>
  <c r="AL13" i="3"/>
  <c r="AL661" i="2"/>
  <c r="AR661" i="2"/>
  <c r="AO661" i="2"/>
  <c r="AN661" i="2" s="1"/>
  <c r="AO777" i="3"/>
  <c r="AN777" i="3" s="1"/>
  <c r="AI783" i="3"/>
  <c r="AL777" i="3"/>
  <c r="AR777" i="3"/>
  <c r="AI378" i="2"/>
  <c r="AL138" i="2"/>
  <c r="AI144" i="2"/>
  <c r="AR138" i="2"/>
  <c r="AO138" i="2"/>
  <c r="AN138" i="2" s="1"/>
  <c r="V846" i="2"/>
  <c r="AI859" i="2"/>
  <c r="S846" i="2"/>
  <c r="R846" i="2" s="1"/>
  <c r="P846" i="2"/>
  <c r="AO581" i="2"/>
  <c r="AN581" i="2" s="1"/>
  <c r="AR581" i="2"/>
  <c r="AL581" i="2"/>
  <c r="AI234" i="2"/>
  <c r="AR501" i="1"/>
  <c r="AO501" i="1"/>
  <c r="AN501" i="1" s="1"/>
  <c r="AL501" i="1"/>
  <c r="AO574" i="1"/>
  <c r="AN574" i="1" s="1"/>
  <c r="AL574" i="1"/>
  <c r="AR574" i="1"/>
  <c r="V294" i="3"/>
  <c r="S294" i="3"/>
  <c r="R294" i="3" s="1"/>
  <c r="P294" i="3"/>
  <c r="AL588" i="1"/>
  <c r="AR588" i="1"/>
  <c r="AO588" i="1"/>
  <c r="AN588" i="1" s="1"/>
  <c r="AI594" i="1"/>
  <c r="AO463" i="2"/>
  <c r="AN463" i="2" s="1"/>
  <c r="AL463" i="2"/>
  <c r="AR463" i="2"/>
  <c r="AR96" i="3"/>
  <c r="AO96" i="3"/>
  <c r="AN96" i="3" s="1"/>
  <c r="AL96" i="3"/>
  <c r="AI117" i="2"/>
  <c r="AO510" i="3"/>
  <c r="AN510" i="3" s="1"/>
  <c r="AL510" i="3"/>
  <c r="AR510" i="3"/>
  <c r="P825" i="3"/>
  <c r="AI834" i="3"/>
  <c r="S825" i="3"/>
  <c r="R825" i="3" s="1"/>
  <c r="V825" i="3"/>
  <c r="AO764" i="1"/>
  <c r="AN764" i="1" s="1"/>
  <c r="AL764" i="1"/>
  <c r="AR764" i="1"/>
  <c r="AL242" i="1"/>
  <c r="AR242" i="1"/>
  <c r="AO242" i="1"/>
  <c r="AN242" i="1" s="1"/>
  <c r="AR717" i="3"/>
  <c r="AO717" i="3"/>
  <c r="AN717" i="3" s="1"/>
  <c r="AL717" i="3"/>
  <c r="AR737" i="1"/>
  <c r="AO737" i="1"/>
  <c r="AN737" i="1" s="1"/>
  <c r="AL737" i="1"/>
  <c r="AL313" i="3"/>
  <c r="AR313" i="3"/>
  <c r="AO313" i="3"/>
  <c r="AN313" i="3" s="1"/>
  <c r="AI693" i="2"/>
  <c r="AL687" i="2"/>
  <c r="AR687" i="2"/>
  <c r="AO687" i="2"/>
  <c r="AN687" i="2" s="1"/>
  <c r="AO255" i="2"/>
  <c r="AN255" i="2" s="1"/>
  <c r="AL255" i="2"/>
  <c r="AR255" i="2"/>
  <c r="AI261" i="2"/>
  <c r="AO625" i="3"/>
  <c r="AN625" i="3" s="1"/>
  <c r="AL625" i="3"/>
  <c r="AR625" i="3"/>
  <c r="AR330" i="3"/>
  <c r="AO330" i="3"/>
  <c r="AN330" i="3" s="1"/>
  <c r="AL330" i="3"/>
  <c r="AI495" i="2"/>
  <c r="AO489" i="2"/>
  <c r="AN489" i="2" s="1"/>
  <c r="AR489" i="2"/>
  <c r="AL489" i="2"/>
  <c r="AR8" i="3"/>
  <c r="AO8" i="3"/>
  <c r="AN8" i="3" s="1"/>
  <c r="AL8" i="3"/>
  <c r="AR260" i="2"/>
  <c r="AO260" i="2"/>
  <c r="AN260" i="2" s="1"/>
  <c r="AL260" i="2"/>
  <c r="AL700" i="3"/>
  <c r="AO700" i="3"/>
  <c r="AN700" i="3" s="1"/>
  <c r="AR700" i="3"/>
  <c r="AI351" i="3"/>
  <c r="AL278" i="2"/>
  <c r="AR278" i="2"/>
  <c r="AO278" i="2"/>
  <c r="AN278" i="2" s="1"/>
  <c r="AP846" i="1"/>
  <c r="AQ846" i="1" s="1"/>
  <c r="AL715" i="2"/>
  <c r="AR715" i="2"/>
  <c r="AO715" i="2"/>
  <c r="AN715" i="2" s="1"/>
  <c r="AL359" i="3"/>
  <c r="AR359" i="3"/>
  <c r="AO359" i="3"/>
  <c r="AN359" i="3" s="1"/>
  <c r="S860" i="2"/>
  <c r="R860" i="2" s="1"/>
  <c r="P860" i="2"/>
  <c r="AI845" i="2"/>
  <c r="V860" i="2"/>
  <c r="AO24" i="1"/>
  <c r="AN24" i="1" s="1"/>
  <c r="AL24" i="1"/>
  <c r="AR24" i="1"/>
  <c r="AI126" i="2"/>
  <c r="AR663" i="1"/>
  <c r="AO663" i="1"/>
  <c r="AN663" i="1" s="1"/>
  <c r="AL663" i="1"/>
  <c r="AR771" i="1"/>
  <c r="AO771" i="1"/>
  <c r="AN771" i="1" s="1"/>
  <c r="AL771" i="1"/>
  <c r="AL418" i="2"/>
  <c r="AR418" i="2"/>
  <c r="AO418" i="2"/>
  <c r="AN418" i="2" s="1"/>
  <c r="S834" i="1"/>
  <c r="R834" i="1" s="1"/>
  <c r="P834" i="1"/>
  <c r="V834" i="1"/>
  <c r="S618" i="3"/>
  <c r="R618" i="3" s="1"/>
  <c r="P618" i="3"/>
  <c r="V618" i="3"/>
  <c r="AL476" i="3"/>
  <c r="AR476" i="3"/>
  <c r="AO476" i="3"/>
  <c r="AN476" i="3" s="1"/>
  <c r="AR403" i="3"/>
  <c r="AO403" i="3"/>
  <c r="AN403" i="3" s="1"/>
  <c r="AL403" i="3"/>
  <c r="AO212" i="3"/>
  <c r="AN212" i="3" s="1"/>
  <c r="AL212" i="3"/>
  <c r="AR212" i="3"/>
  <c r="AL301" i="2"/>
  <c r="AO301" i="2"/>
  <c r="AN301" i="2" s="1"/>
  <c r="AR301" i="2"/>
  <c r="AO409" i="2"/>
  <c r="AN409" i="2" s="1"/>
  <c r="AL409" i="2"/>
  <c r="AR409" i="2"/>
  <c r="AR149" i="2"/>
  <c r="AO149" i="2"/>
  <c r="AN149" i="2" s="1"/>
  <c r="AL149" i="2"/>
  <c r="AR628" i="3"/>
  <c r="AL628" i="3"/>
  <c r="AO628" i="3"/>
  <c r="AN628" i="3" s="1"/>
  <c r="AL25" i="3"/>
  <c r="AR25" i="3"/>
  <c r="AO25" i="3"/>
  <c r="AN25" i="3" s="1"/>
  <c r="AR825" i="1"/>
  <c r="AO825" i="1"/>
  <c r="AN825" i="1" s="1"/>
  <c r="AL825" i="1"/>
  <c r="AR509" i="1"/>
  <c r="AO509" i="1"/>
  <c r="AN509" i="1" s="1"/>
  <c r="AL509" i="1"/>
  <c r="AO588" i="3"/>
  <c r="AN588" i="3" s="1"/>
  <c r="AI594" i="3"/>
  <c r="AR588" i="3"/>
  <c r="AL588" i="3"/>
  <c r="S321" i="1"/>
  <c r="R321" i="1" s="1"/>
  <c r="P321" i="1"/>
  <c r="V321" i="1"/>
  <c r="AR493" i="1"/>
  <c r="AO493" i="1"/>
  <c r="AN493" i="1" s="1"/>
  <c r="AL493" i="1"/>
  <c r="AL456" i="2"/>
  <c r="AR456" i="2"/>
  <c r="AO456" i="2"/>
  <c r="AN456" i="2" s="1"/>
  <c r="AL813" i="1"/>
  <c r="AI819" i="1"/>
  <c r="AR813" i="1"/>
  <c r="AO813" i="1"/>
  <c r="AN813" i="1" s="1"/>
  <c r="AL583" i="1"/>
  <c r="AR583" i="1"/>
  <c r="AO583" i="1"/>
  <c r="AN583" i="1" s="1"/>
  <c r="AL213" i="1"/>
  <c r="AR213" i="1"/>
  <c r="AO213" i="1"/>
  <c r="AN213" i="1" s="1"/>
  <c r="P105" i="1"/>
  <c r="V105" i="1"/>
  <c r="S105" i="1"/>
  <c r="R105" i="1" s="1"/>
  <c r="AL195" i="2"/>
  <c r="AO195" i="2"/>
  <c r="AN195" i="2" s="1"/>
  <c r="AR195" i="2"/>
  <c r="AO78" i="3"/>
  <c r="AN78" i="3" s="1"/>
  <c r="AL78" i="3"/>
  <c r="AR78" i="3"/>
  <c r="P105" i="2"/>
  <c r="V105" i="2"/>
  <c r="S105" i="2"/>
  <c r="R105" i="2" s="1"/>
  <c r="AL239" i="3"/>
  <c r="AR239" i="3"/>
  <c r="AO239" i="3"/>
  <c r="AN239" i="3" s="1"/>
  <c r="AL105" i="3"/>
  <c r="AR105" i="3"/>
  <c r="AO105" i="3"/>
  <c r="AN105" i="3" s="1"/>
  <c r="AO627" i="2"/>
  <c r="AN627" i="2" s="1"/>
  <c r="AL627" i="2"/>
  <c r="AR627" i="2"/>
  <c r="AI306" i="2"/>
  <c r="AR300" i="2"/>
  <c r="AO300" i="2"/>
  <c r="AN300" i="2" s="1"/>
  <c r="AL300" i="2"/>
  <c r="AO176" i="2"/>
  <c r="AN176" i="2" s="1"/>
  <c r="AR176" i="2"/>
  <c r="AL176" i="2"/>
  <c r="AL436" i="3"/>
  <c r="AR436" i="3"/>
  <c r="AO436" i="3"/>
  <c r="AN436" i="3" s="1"/>
  <c r="AL490" i="2"/>
  <c r="AR490" i="2"/>
  <c r="AO490" i="2"/>
  <c r="AN490" i="2" s="1"/>
  <c r="AO27" i="1"/>
  <c r="AN27" i="1" s="1"/>
  <c r="AL27" i="1"/>
  <c r="AR27" i="1"/>
  <c r="AO143" i="3"/>
  <c r="AN143" i="3" s="1"/>
  <c r="AL143" i="3"/>
  <c r="AR143" i="3"/>
  <c r="P51" i="3"/>
  <c r="V51" i="3"/>
  <c r="S51" i="3"/>
  <c r="R51" i="3" s="1"/>
  <c r="AL495" i="3"/>
  <c r="AR495" i="3"/>
  <c r="AO495" i="3"/>
  <c r="AN495" i="3" s="1"/>
  <c r="AR21" i="3"/>
  <c r="AO21" i="3"/>
  <c r="AN21" i="3" s="1"/>
  <c r="AI27" i="3"/>
  <c r="AL21" i="3"/>
  <c r="AL475" i="2"/>
  <c r="AR475" i="2"/>
  <c r="AO475" i="2"/>
  <c r="AN475" i="2" s="1"/>
  <c r="AO476" i="1"/>
  <c r="AN476" i="1" s="1"/>
  <c r="AL476" i="1"/>
  <c r="AR476" i="1"/>
  <c r="AL638" i="3"/>
  <c r="AR638" i="3"/>
  <c r="AO638" i="3"/>
  <c r="AN638" i="3" s="1"/>
  <c r="AL696" i="3"/>
  <c r="AR696" i="3"/>
  <c r="AI702" i="3"/>
  <c r="AO696" i="3"/>
  <c r="AN696" i="3" s="1"/>
  <c r="AR221" i="3"/>
  <c r="AO221" i="3"/>
  <c r="AN221" i="3" s="1"/>
  <c r="AL221" i="3"/>
  <c r="AR295" i="2"/>
  <c r="AO295" i="2"/>
  <c r="AN295" i="2" s="1"/>
  <c r="AL295" i="2"/>
  <c r="AO7" i="2"/>
  <c r="AN7" i="2" s="1"/>
  <c r="AL7" i="2"/>
  <c r="AR7" i="2"/>
  <c r="S859" i="1"/>
  <c r="R859" i="1" s="1"/>
  <c r="P859" i="1"/>
  <c r="AI844" i="1"/>
  <c r="V859" i="1"/>
  <c r="AL328" i="3"/>
  <c r="AO328" i="3"/>
  <c r="AN328" i="3" s="1"/>
  <c r="AR328" i="3"/>
  <c r="AL546" i="2"/>
  <c r="AR546" i="2"/>
  <c r="AO546" i="2"/>
  <c r="AN546" i="2" s="1"/>
  <c r="AO576" i="2"/>
  <c r="AN576" i="2" s="1"/>
  <c r="AL576" i="2"/>
  <c r="AR576" i="2"/>
  <c r="AR139" i="2"/>
  <c r="AO139" i="2"/>
  <c r="AN139" i="2" s="1"/>
  <c r="AL139" i="2"/>
  <c r="AE819" i="3"/>
  <c r="AL328" i="2"/>
  <c r="AO328" i="2"/>
  <c r="AN328" i="2" s="1"/>
  <c r="AR328" i="2"/>
  <c r="AR372" i="1"/>
  <c r="AO372" i="1"/>
  <c r="AN372" i="1" s="1"/>
  <c r="AI378" i="1"/>
  <c r="AL372" i="1"/>
  <c r="AL274" i="2"/>
  <c r="AR274" i="2"/>
  <c r="AO274" i="2"/>
  <c r="AN274" i="2" s="1"/>
  <c r="AL341" i="1"/>
  <c r="AR341" i="1"/>
  <c r="AO341" i="1"/>
  <c r="AN341" i="1" s="1"/>
  <c r="V429" i="1"/>
  <c r="S429" i="1"/>
  <c r="R429" i="1" s="1"/>
  <c r="P429" i="1"/>
  <c r="AL644" i="1"/>
  <c r="AR644" i="1"/>
  <c r="AO644" i="1"/>
  <c r="AN644" i="1" s="1"/>
  <c r="AE828" i="3"/>
  <c r="V845" i="1"/>
  <c r="AI850" i="1"/>
  <c r="S845" i="1"/>
  <c r="R845" i="1" s="1"/>
  <c r="P845" i="1"/>
  <c r="AO598" i="3"/>
  <c r="AN598" i="3" s="1"/>
  <c r="AR598" i="3"/>
  <c r="AL598" i="3"/>
  <c r="AO68" i="3"/>
  <c r="AN68" i="3" s="1"/>
  <c r="AL68" i="3"/>
  <c r="AR68" i="3"/>
  <c r="AR8" i="1"/>
  <c r="AO8" i="1"/>
  <c r="AN8" i="1" s="1"/>
  <c r="AL8" i="1"/>
  <c r="AL300" i="3"/>
  <c r="AI306" i="3"/>
  <c r="AR300" i="3"/>
  <c r="AO300" i="3"/>
  <c r="AN300" i="3" s="1"/>
  <c r="AO823" i="3"/>
  <c r="AN823" i="3" s="1"/>
  <c r="AR823" i="3"/>
  <c r="AL823" i="3"/>
  <c r="AR341" i="2"/>
  <c r="AL341" i="2"/>
  <c r="AO341" i="2"/>
  <c r="AN341" i="2" s="1"/>
  <c r="AO364" i="1"/>
  <c r="AN364" i="1" s="1"/>
  <c r="AL364" i="1"/>
  <c r="AR364" i="1"/>
  <c r="AR16" i="1"/>
  <c r="AO16" i="1"/>
  <c r="AN16" i="1" s="1"/>
  <c r="AL16" i="1"/>
  <c r="AL421" i="2"/>
  <c r="AR421" i="2"/>
  <c r="AO421" i="2"/>
  <c r="AN421" i="2" s="1"/>
  <c r="AO224" i="1"/>
  <c r="AN224" i="1" s="1"/>
  <c r="AL224" i="1"/>
  <c r="AR224" i="1"/>
  <c r="AO186" i="3"/>
  <c r="AN186" i="3" s="1"/>
  <c r="AL186" i="3"/>
  <c r="AR186" i="3"/>
  <c r="AL365" i="1"/>
  <c r="AR365" i="1"/>
  <c r="AO365" i="1"/>
  <c r="AN365" i="1" s="1"/>
  <c r="AI621" i="2"/>
  <c r="AL615" i="2"/>
  <c r="AR615" i="2"/>
  <c r="AO615" i="2"/>
  <c r="AN615" i="2" s="1"/>
  <c r="AR601" i="3"/>
  <c r="AO601" i="3"/>
  <c r="AN601" i="3" s="1"/>
  <c r="AL601" i="3"/>
  <c r="AO701" i="2"/>
  <c r="AN701" i="2" s="1"/>
  <c r="AR701" i="2"/>
  <c r="AL701" i="2"/>
  <c r="AR303" i="2"/>
  <c r="AO303" i="2"/>
  <c r="AN303" i="2" s="1"/>
  <c r="AL303" i="2"/>
  <c r="P807" i="3"/>
  <c r="V807" i="3"/>
  <c r="S807" i="3"/>
  <c r="R807" i="3" s="1"/>
  <c r="V780" i="2"/>
  <c r="S780" i="2"/>
  <c r="R780" i="2" s="1"/>
  <c r="P780" i="2"/>
  <c r="AR598" i="2"/>
  <c r="AL598" i="2"/>
  <c r="AO598" i="2"/>
  <c r="AN598" i="2" s="1"/>
  <c r="AO327" i="2"/>
  <c r="AN327" i="2" s="1"/>
  <c r="AI333" i="2"/>
  <c r="AR327" i="2"/>
  <c r="AL327" i="2"/>
  <c r="AR277" i="1"/>
  <c r="AO277" i="1"/>
  <c r="AN277" i="1" s="1"/>
  <c r="AL277" i="1"/>
  <c r="AR413" i="1"/>
  <c r="AO413" i="1"/>
  <c r="AN413" i="1" s="1"/>
  <c r="AL413" i="1"/>
  <c r="AR807" i="3"/>
  <c r="AO807" i="3"/>
  <c r="AN807" i="3" s="1"/>
  <c r="AL807" i="3"/>
  <c r="AO374" i="3"/>
  <c r="AN374" i="3" s="1"/>
  <c r="AL374" i="3"/>
  <c r="AR374" i="3"/>
  <c r="AI621" i="1"/>
  <c r="AL383" i="3"/>
  <c r="AR383" i="3"/>
  <c r="AO383" i="3"/>
  <c r="AN383" i="3" s="1"/>
  <c r="AO211" i="2"/>
  <c r="AN211" i="2" s="1"/>
  <c r="AL211" i="2"/>
  <c r="AR211" i="2"/>
  <c r="AO581" i="3"/>
  <c r="AN581" i="3" s="1"/>
  <c r="AL581" i="3"/>
  <c r="AR581" i="3"/>
  <c r="P844" i="2"/>
  <c r="V844" i="2"/>
  <c r="AI849" i="2"/>
  <c r="S844" i="2"/>
  <c r="R844" i="2" s="1"/>
  <c r="P672" i="3"/>
  <c r="S672" i="3"/>
  <c r="R672" i="3" s="1"/>
  <c r="V672" i="3"/>
  <c r="AO687" i="3"/>
  <c r="AN687" i="3" s="1"/>
  <c r="AL687" i="3"/>
  <c r="AI693" i="3"/>
  <c r="AR687" i="3"/>
  <c r="P564" i="2"/>
  <c r="V564" i="2"/>
  <c r="S564" i="2"/>
  <c r="R564" i="2" s="1"/>
  <c r="AR249" i="2"/>
  <c r="AO249" i="2"/>
  <c r="AN249" i="2" s="1"/>
  <c r="AL249" i="2"/>
  <c r="S844" i="1"/>
  <c r="R844" i="1" s="1"/>
  <c r="P844" i="1"/>
  <c r="V844" i="1"/>
  <c r="AI849" i="1"/>
  <c r="AL387" i="1"/>
  <c r="AR387" i="1"/>
  <c r="AO387" i="1"/>
  <c r="AN387" i="1" s="1"/>
  <c r="AR103" i="1"/>
  <c r="AO103" i="1"/>
  <c r="AN103" i="1" s="1"/>
  <c r="AL103" i="1"/>
  <c r="AI243" i="3"/>
  <c r="AR486" i="2"/>
  <c r="AL486" i="2"/>
  <c r="AO486" i="2"/>
  <c r="AN486" i="2" s="1"/>
  <c r="AL13" i="2"/>
  <c r="AR13" i="2"/>
  <c r="AO13" i="2"/>
  <c r="AN13" i="2" s="1"/>
  <c r="AI720" i="1"/>
  <c r="AR714" i="1"/>
  <c r="AO714" i="1"/>
  <c r="AN714" i="1" s="1"/>
  <c r="AL714" i="1"/>
  <c r="AL635" i="3"/>
  <c r="AR635" i="3"/>
  <c r="AO635" i="3"/>
  <c r="AN635" i="3" s="1"/>
  <c r="AO394" i="3"/>
  <c r="AN394" i="3" s="1"/>
  <c r="AR394" i="3"/>
  <c r="AL394" i="3"/>
  <c r="AL329" i="3"/>
  <c r="AR329" i="3"/>
  <c r="AO329" i="3"/>
  <c r="AN329" i="3" s="1"/>
  <c r="AO322" i="2"/>
  <c r="AN322" i="2" s="1"/>
  <c r="AR322" i="2"/>
  <c r="AL322" i="2"/>
  <c r="AR652" i="3"/>
  <c r="AO652" i="3"/>
  <c r="AN652" i="3" s="1"/>
  <c r="AL652" i="3"/>
  <c r="AO186" i="2"/>
  <c r="AN186" i="2" s="1"/>
  <c r="AR186" i="2"/>
  <c r="AL186" i="2"/>
  <c r="S780" i="3"/>
  <c r="R780" i="3" s="1"/>
  <c r="P780" i="3"/>
  <c r="V780" i="3"/>
  <c r="AO287" i="3"/>
  <c r="AN287" i="3" s="1"/>
  <c r="AL287" i="3"/>
  <c r="AR287" i="3"/>
  <c r="AL792" i="2"/>
  <c r="AR792" i="2"/>
  <c r="AO792" i="2"/>
  <c r="AN792" i="2" s="1"/>
  <c r="AL651" i="2"/>
  <c r="AI657" i="2"/>
  <c r="AR651" i="2"/>
  <c r="AO651" i="2"/>
  <c r="AN651" i="2" s="1"/>
  <c r="AL284" i="1"/>
  <c r="AR284" i="1"/>
  <c r="AO284" i="1"/>
  <c r="AN284" i="1" s="1"/>
  <c r="AI333" i="3"/>
  <c r="AR500" i="2"/>
  <c r="AO500" i="2"/>
  <c r="AN500" i="2" s="1"/>
  <c r="AL500" i="2"/>
  <c r="P843" i="1"/>
  <c r="M861" i="1"/>
  <c r="AI858" i="1"/>
  <c r="V843" i="1"/>
  <c r="S843" i="1"/>
  <c r="R843" i="1" s="1"/>
  <c r="AO637" i="3"/>
  <c r="AN637" i="3" s="1"/>
  <c r="AL637" i="3"/>
  <c r="AR637" i="3"/>
  <c r="AR88" i="3"/>
  <c r="AO88" i="3"/>
  <c r="AN88" i="3" s="1"/>
  <c r="AL88" i="3"/>
  <c r="AL441" i="1"/>
  <c r="AR441" i="1"/>
  <c r="AO441" i="1"/>
  <c r="AN441" i="1" s="1"/>
  <c r="V591" i="1"/>
  <c r="S591" i="1"/>
  <c r="R591" i="1" s="1"/>
  <c r="P591" i="1"/>
  <c r="AL687" i="1"/>
  <c r="AI693" i="1"/>
  <c r="AR687" i="1"/>
  <c r="AO687" i="1"/>
  <c r="AN687" i="1" s="1"/>
  <c r="AL800" i="2"/>
  <c r="AR800" i="2"/>
  <c r="AO800" i="2"/>
  <c r="AN800" i="2" s="1"/>
  <c r="AO5" i="1"/>
  <c r="AN5" i="1" s="1"/>
  <c r="AR5" i="1"/>
  <c r="AL5" i="1"/>
  <c r="AI863" i="1"/>
  <c r="P854" i="1"/>
  <c r="V854" i="1"/>
  <c r="S854" i="1"/>
  <c r="R854" i="1" s="1"/>
  <c r="AL662" i="3"/>
  <c r="AR662" i="3"/>
  <c r="AO662" i="3"/>
  <c r="AN662" i="3" s="1"/>
  <c r="AO309" i="2"/>
  <c r="AN309" i="2" s="1"/>
  <c r="AL309" i="2"/>
  <c r="AR309" i="2"/>
  <c r="AI315" i="2"/>
  <c r="AL259" i="2"/>
  <c r="AO259" i="2"/>
  <c r="AN259" i="2" s="1"/>
  <c r="AR259" i="2"/>
  <c r="AR26" i="2"/>
  <c r="AO26" i="2"/>
  <c r="AN26" i="2" s="1"/>
  <c r="AL26" i="2"/>
  <c r="AR791" i="1"/>
  <c r="AO791" i="1"/>
  <c r="AN791" i="1" s="1"/>
  <c r="AL791" i="1"/>
  <c r="AL592" i="1"/>
  <c r="AR592" i="1"/>
  <c r="AO592" i="1"/>
  <c r="AN592" i="1" s="1"/>
  <c r="AL516" i="3"/>
  <c r="AI522" i="3"/>
  <c r="AR516" i="3"/>
  <c r="AO516" i="3"/>
  <c r="AN516" i="3" s="1"/>
  <c r="AL149" i="3"/>
  <c r="AR149" i="3"/>
  <c r="AO149" i="3"/>
  <c r="AN149" i="3" s="1"/>
  <c r="AO692" i="3"/>
  <c r="AN692" i="3" s="1"/>
  <c r="AL692" i="3"/>
  <c r="AR692" i="3"/>
  <c r="AL350" i="1"/>
  <c r="AR350" i="1"/>
  <c r="AO350" i="1"/>
  <c r="AN350" i="1" s="1"/>
  <c r="AR178" i="1"/>
  <c r="AO178" i="1"/>
  <c r="AN178" i="1" s="1"/>
  <c r="AL178" i="1"/>
  <c r="P348" i="2"/>
  <c r="V348" i="2"/>
  <c r="S348" i="2"/>
  <c r="R348" i="2" s="1"/>
  <c r="AO833" i="1"/>
  <c r="AN833" i="1" s="1"/>
  <c r="AL833" i="1"/>
  <c r="AR833" i="1"/>
  <c r="AR563" i="1"/>
  <c r="AO563" i="1"/>
  <c r="AN563" i="1" s="1"/>
  <c r="AL563" i="1"/>
  <c r="AL123" i="1"/>
  <c r="AR123" i="1"/>
  <c r="AO123" i="1"/>
  <c r="AN123" i="1" s="1"/>
  <c r="AL787" i="2"/>
  <c r="AR787" i="2"/>
  <c r="AO787" i="2"/>
  <c r="AN787" i="2" s="1"/>
  <c r="AI9" i="1"/>
  <c r="AI414" i="3"/>
  <c r="AL826" i="2"/>
  <c r="AR826" i="2"/>
  <c r="AO826" i="2"/>
  <c r="AN826" i="2" s="1"/>
  <c r="AR323" i="3"/>
  <c r="AO323" i="3"/>
  <c r="AN323" i="3" s="1"/>
  <c r="AL323" i="3"/>
  <c r="AO132" i="1"/>
  <c r="AN132" i="1" s="1"/>
  <c r="AL132" i="1"/>
  <c r="AR132" i="1"/>
  <c r="AR314" i="3"/>
  <c r="AO314" i="3"/>
  <c r="AN314" i="3" s="1"/>
  <c r="AL314" i="3"/>
  <c r="AR129" i="3"/>
  <c r="AO129" i="3"/>
  <c r="AN129" i="3" s="1"/>
  <c r="AI135" i="3"/>
  <c r="AL129" i="3"/>
  <c r="AL536" i="1"/>
  <c r="AR536" i="1"/>
  <c r="AO536" i="1"/>
  <c r="AN536" i="1" s="1"/>
  <c r="AL591" i="3"/>
  <c r="AR591" i="3"/>
  <c r="AO591" i="3"/>
  <c r="AN591" i="3" s="1"/>
  <c r="AL836" i="3"/>
  <c r="AO836" i="3"/>
  <c r="AN836" i="3" s="1"/>
  <c r="AR836" i="3"/>
  <c r="AR202" i="2"/>
  <c r="AO202" i="2"/>
  <c r="AN202" i="2" s="1"/>
  <c r="AL202" i="2"/>
  <c r="AO746" i="1"/>
  <c r="AN746" i="1" s="1"/>
  <c r="AL746" i="1"/>
  <c r="AR746" i="1"/>
  <c r="P159" i="2"/>
  <c r="V159" i="2"/>
  <c r="S159" i="2"/>
  <c r="R159" i="2" s="1"/>
  <c r="AR647" i="3"/>
  <c r="AO647" i="3"/>
  <c r="AN647" i="3" s="1"/>
  <c r="AL647" i="3"/>
  <c r="AR760" i="1"/>
  <c r="AO760" i="1"/>
  <c r="AN760" i="1" s="1"/>
  <c r="AL760" i="1"/>
  <c r="AL126" i="3"/>
  <c r="AR126" i="3"/>
  <c r="AO126" i="3"/>
  <c r="AN126" i="3" s="1"/>
  <c r="AR239" i="2"/>
  <c r="AO239" i="2"/>
  <c r="AN239" i="2" s="1"/>
  <c r="AL239" i="2"/>
  <c r="AL21" i="2"/>
  <c r="AR21" i="2"/>
  <c r="AO21" i="2"/>
  <c r="AN21" i="2" s="1"/>
  <c r="AI27" i="2"/>
  <c r="AL296" i="1"/>
  <c r="AR296" i="1"/>
  <c r="AO296" i="1"/>
  <c r="AN296" i="1" s="1"/>
  <c r="AL508" i="3"/>
  <c r="AR508" i="3"/>
  <c r="AO508" i="3"/>
  <c r="AN508" i="3" s="1"/>
  <c r="AI36" i="2"/>
  <c r="V854" i="2"/>
  <c r="S854" i="2"/>
  <c r="R854" i="2" s="1"/>
  <c r="AI863" i="2"/>
  <c r="P854" i="2"/>
  <c r="V824" i="3"/>
  <c r="S824" i="3"/>
  <c r="R824" i="3" s="1"/>
  <c r="P824" i="3"/>
  <c r="AI833" i="3"/>
  <c r="AO114" i="2"/>
  <c r="AN114" i="2" s="1"/>
  <c r="AL114" i="2"/>
  <c r="AR114" i="2"/>
  <c r="AL625" i="2"/>
  <c r="AR625" i="2"/>
  <c r="AO625" i="2"/>
  <c r="AN625" i="2" s="1"/>
  <c r="V858" i="2"/>
  <c r="S858" i="2"/>
  <c r="R858" i="2" s="1"/>
  <c r="AI854" i="2"/>
  <c r="P858" i="2"/>
  <c r="AR439" i="1"/>
  <c r="AO439" i="1"/>
  <c r="AN439" i="1" s="1"/>
  <c r="AL439" i="1"/>
  <c r="AO26" i="3"/>
  <c r="AN26" i="3" s="1"/>
  <c r="AL26" i="3"/>
  <c r="AR26" i="3"/>
  <c r="AO512" i="1"/>
  <c r="AN512" i="1" s="1"/>
  <c r="AL512" i="1"/>
  <c r="AR512" i="1"/>
  <c r="AO188" i="3"/>
  <c r="AN188" i="3" s="1"/>
  <c r="AL188" i="3"/>
  <c r="AR188" i="3"/>
  <c r="AL789" i="2"/>
  <c r="AR789" i="2"/>
  <c r="AO789" i="2"/>
  <c r="AN789" i="2" s="1"/>
  <c r="AL741" i="1"/>
  <c r="AI747" i="1"/>
  <c r="AR741" i="1"/>
  <c r="AO741" i="1"/>
  <c r="AN741" i="1" s="1"/>
  <c r="AO835" i="2"/>
  <c r="AN835" i="2" s="1"/>
  <c r="AL835" i="2"/>
  <c r="AR835" i="2"/>
  <c r="AL836" i="1"/>
  <c r="AR836" i="1"/>
  <c r="AO836" i="1"/>
  <c r="AN836" i="1" s="1"/>
  <c r="AR508" i="2"/>
  <c r="AL508" i="2"/>
  <c r="AO508" i="2"/>
  <c r="AN508" i="2" s="1"/>
  <c r="AL657" i="1"/>
  <c r="AR657" i="1"/>
  <c r="AO657" i="1"/>
  <c r="AN657" i="1" s="1"/>
  <c r="AO427" i="3"/>
  <c r="AN427" i="3" s="1"/>
  <c r="AL427" i="3"/>
  <c r="AR427" i="3"/>
  <c r="AO229" i="1"/>
  <c r="AN229" i="1" s="1"/>
  <c r="AL229" i="1"/>
  <c r="AR229" i="1"/>
  <c r="AR149" i="1"/>
  <c r="AO149" i="1"/>
  <c r="AN149" i="1" s="1"/>
  <c r="AL149" i="1"/>
  <c r="AO752" i="3"/>
  <c r="AN752" i="3" s="1"/>
  <c r="AL752" i="3"/>
  <c r="AR752" i="3"/>
  <c r="AR608" i="2"/>
  <c r="AO608" i="2"/>
  <c r="AN608" i="2" s="1"/>
  <c r="AL608" i="2"/>
  <c r="AR573" i="1"/>
  <c r="AO573" i="1"/>
  <c r="AN573" i="1" s="1"/>
  <c r="AL573" i="1"/>
  <c r="AL616" i="3"/>
  <c r="AR616" i="3"/>
  <c r="AO616" i="3"/>
  <c r="AN616" i="3" s="1"/>
  <c r="AL395" i="2"/>
  <c r="AR395" i="2"/>
  <c r="AO395" i="2"/>
  <c r="AN395" i="2" s="1"/>
  <c r="V699" i="3"/>
  <c r="S699" i="3"/>
  <c r="R699" i="3" s="1"/>
  <c r="P699" i="3"/>
  <c r="P240" i="2"/>
  <c r="V240" i="2"/>
  <c r="S240" i="2"/>
  <c r="R240" i="2" s="1"/>
  <c r="AL688" i="3"/>
  <c r="AR688" i="3"/>
  <c r="AO688" i="3"/>
  <c r="AN688" i="3" s="1"/>
  <c r="AL228" i="3"/>
  <c r="AI234" i="3"/>
  <c r="AR228" i="3"/>
  <c r="AO228" i="3"/>
  <c r="AN228" i="3" s="1"/>
  <c r="V821" i="3"/>
  <c r="P821" i="3"/>
  <c r="S821" i="3"/>
  <c r="R821" i="3" s="1"/>
  <c r="AI813" i="3"/>
  <c r="V375" i="1"/>
  <c r="S375" i="1"/>
  <c r="R375" i="1" s="1"/>
  <c r="P375" i="1"/>
  <c r="AO480" i="3"/>
  <c r="AN480" i="3" s="1"/>
  <c r="AR480" i="3"/>
  <c r="AI486" i="3"/>
  <c r="AL480" i="3"/>
  <c r="AR662" i="2"/>
  <c r="AO662" i="2"/>
  <c r="AN662" i="2" s="1"/>
  <c r="AL662" i="2"/>
  <c r="AO555" i="2"/>
  <c r="AN555" i="2" s="1"/>
  <c r="AL555" i="2"/>
  <c r="AR555" i="2"/>
  <c r="AL321" i="1"/>
  <c r="AR321" i="1"/>
  <c r="AO321" i="1"/>
  <c r="AN321" i="1" s="1"/>
  <c r="AL375" i="3"/>
  <c r="AR375" i="3"/>
  <c r="AO375" i="3"/>
  <c r="AN375" i="3" s="1"/>
  <c r="S456" i="2"/>
  <c r="R456" i="2" s="1"/>
  <c r="P456" i="2"/>
  <c r="V456" i="2"/>
  <c r="AR193" i="2"/>
  <c r="AO193" i="2"/>
  <c r="AN193" i="2" s="1"/>
  <c r="AL193" i="2"/>
  <c r="AO81" i="1"/>
  <c r="AN81" i="1" s="1"/>
  <c r="AL81" i="1"/>
  <c r="AR81" i="1"/>
  <c r="AL698" i="3"/>
  <c r="AR698" i="3"/>
  <c r="AO698" i="3"/>
  <c r="AN698" i="3" s="1"/>
  <c r="AI270" i="2"/>
  <c r="AL264" i="2"/>
  <c r="AO264" i="2"/>
  <c r="AN264" i="2" s="1"/>
  <c r="AR264" i="2"/>
  <c r="AI54" i="1"/>
  <c r="AL48" i="1"/>
  <c r="AR48" i="1"/>
  <c r="AO48" i="1"/>
  <c r="AN48" i="1" s="1"/>
  <c r="AO681" i="2"/>
  <c r="AN681" i="2" s="1"/>
  <c r="AL681" i="2"/>
  <c r="AR681" i="2"/>
  <c r="V537" i="2"/>
  <c r="P537" i="2"/>
  <c r="S537" i="2"/>
  <c r="R537" i="2" s="1"/>
  <c r="AL428" i="3"/>
  <c r="AR428" i="3"/>
  <c r="AO428" i="3"/>
  <c r="AN428" i="3" s="1"/>
  <c r="AO563" i="3"/>
  <c r="AN563" i="3" s="1"/>
  <c r="AL563" i="3"/>
  <c r="AR563" i="3"/>
  <c r="AR6" i="2"/>
  <c r="AO6" i="2"/>
  <c r="AN6" i="2" s="1"/>
  <c r="AL6" i="2"/>
  <c r="AR799" i="3"/>
  <c r="AO799" i="3"/>
  <c r="AN799" i="3" s="1"/>
  <c r="AL799" i="3"/>
  <c r="AO741" i="3"/>
  <c r="AN741" i="3" s="1"/>
  <c r="AL741" i="3"/>
  <c r="AI747" i="3"/>
  <c r="AR741" i="3"/>
  <c r="AR575" i="3"/>
  <c r="AO575" i="3"/>
  <c r="AN575" i="3" s="1"/>
  <c r="AL575" i="3"/>
  <c r="AO450" i="3"/>
  <c r="AN450" i="3" s="1"/>
  <c r="AR450" i="3"/>
  <c r="AL450" i="3"/>
  <c r="AO660" i="2"/>
  <c r="AN660" i="2" s="1"/>
  <c r="AL660" i="2"/>
  <c r="AI666" i="2"/>
  <c r="AR660" i="2"/>
  <c r="AL364" i="2"/>
  <c r="AO364" i="2"/>
  <c r="AN364" i="2" s="1"/>
  <c r="AR364" i="2"/>
  <c r="AO792" i="1"/>
  <c r="AN792" i="1" s="1"/>
  <c r="AL792" i="1"/>
  <c r="AR792" i="1"/>
  <c r="AL564" i="1"/>
  <c r="AR564" i="1"/>
  <c r="AO564" i="1"/>
  <c r="AN564" i="1" s="1"/>
  <c r="P618" i="2"/>
  <c r="V618" i="2"/>
  <c r="S618" i="2"/>
  <c r="R618" i="2" s="1"/>
  <c r="AO710" i="1"/>
  <c r="AN710" i="1" s="1"/>
  <c r="AL710" i="1"/>
  <c r="AR710" i="1"/>
  <c r="AR618" i="2"/>
  <c r="AO618" i="2"/>
  <c r="AN618" i="2" s="1"/>
  <c r="AL618" i="2"/>
  <c r="P294" i="2"/>
  <c r="S294" i="2"/>
  <c r="R294" i="2" s="1"/>
  <c r="V294" i="2"/>
  <c r="AL773" i="1"/>
  <c r="AR773" i="1"/>
  <c r="AO773" i="1"/>
  <c r="AN773" i="1" s="1"/>
  <c r="AI540" i="3"/>
  <c r="AR278" i="3"/>
  <c r="AO278" i="3"/>
  <c r="AN278" i="3" s="1"/>
  <c r="AL278" i="3"/>
  <c r="AO132" i="2"/>
  <c r="AN132" i="2" s="1"/>
  <c r="AL132" i="2"/>
  <c r="AR132" i="2"/>
  <c r="AI135" i="2"/>
  <c r="AO661" i="1"/>
  <c r="AN661" i="1" s="1"/>
  <c r="AL661" i="1"/>
  <c r="AR661" i="1"/>
  <c r="AO682" i="3"/>
  <c r="AN682" i="3" s="1"/>
  <c r="AL682" i="3"/>
  <c r="AR682" i="3"/>
  <c r="S564" i="1"/>
  <c r="R564" i="1" s="1"/>
  <c r="P564" i="1"/>
  <c r="V564" i="1"/>
  <c r="AE855" i="2"/>
  <c r="AI675" i="3"/>
  <c r="AR669" i="3"/>
  <c r="AO669" i="3"/>
  <c r="AN669" i="3" s="1"/>
  <c r="AL669" i="3"/>
  <c r="AL402" i="2"/>
  <c r="AR402" i="2"/>
  <c r="AO402" i="2"/>
  <c r="AN402" i="2" s="1"/>
  <c r="AO24" i="3"/>
  <c r="AN24" i="3" s="1"/>
  <c r="AL24" i="3"/>
  <c r="AR24" i="3"/>
  <c r="AE855" i="1"/>
  <c r="AR841" i="2"/>
  <c r="AO841" i="2"/>
  <c r="AN841" i="2" s="1"/>
  <c r="AL841" i="2"/>
  <c r="AR796" i="3"/>
  <c r="AO796" i="3"/>
  <c r="AN796" i="3" s="1"/>
  <c r="AL796" i="3"/>
  <c r="AI405" i="2"/>
  <c r="AR315" i="1"/>
  <c r="AO315" i="1"/>
  <c r="AN315" i="1" s="1"/>
  <c r="AL315" i="1"/>
  <c r="AI54" i="3"/>
  <c r="AL247" i="2"/>
  <c r="AO247" i="2"/>
  <c r="AN247" i="2" s="1"/>
  <c r="AR247" i="2"/>
  <c r="AO12" i="2"/>
  <c r="AN12" i="2" s="1"/>
  <c r="AL12" i="2"/>
  <c r="AI18" i="2"/>
  <c r="AR12" i="2"/>
  <c r="AL495" i="1"/>
  <c r="AR495" i="1"/>
  <c r="AO495" i="1"/>
  <c r="AN495" i="1" s="1"/>
  <c r="AL187" i="1"/>
  <c r="AO187" i="1"/>
  <c r="AN187" i="1" s="1"/>
  <c r="AR187" i="1"/>
  <c r="AO384" i="3"/>
  <c r="AN384" i="3" s="1"/>
  <c r="AL384" i="3"/>
  <c r="AR384" i="3"/>
  <c r="AO391" i="3"/>
  <c r="AN391" i="3" s="1"/>
  <c r="AL391" i="3"/>
  <c r="AR391" i="3"/>
  <c r="AL792" i="3"/>
  <c r="AR792" i="3"/>
  <c r="AO792" i="3"/>
  <c r="AN792" i="3" s="1"/>
  <c r="AO697" i="3"/>
  <c r="AN697" i="3" s="1"/>
  <c r="AL697" i="3"/>
  <c r="AR697" i="3"/>
  <c r="AR717" i="1"/>
  <c r="AO717" i="1"/>
  <c r="AN717" i="1" s="1"/>
  <c r="AL717" i="1"/>
  <c r="V132" i="2"/>
  <c r="S132" i="2"/>
  <c r="R132" i="2" s="1"/>
  <c r="P132" i="2"/>
  <c r="AO710" i="3"/>
  <c r="AN710" i="3" s="1"/>
  <c r="AL710" i="3"/>
  <c r="AR710" i="3"/>
  <c r="AO737" i="2"/>
  <c r="AN737" i="2" s="1"/>
  <c r="AL737" i="2"/>
  <c r="AR737" i="2"/>
  <c r="AO264" i="1"/>
  <c r="AN264" i="1" s="1"/>
  <c r="AI270" i="1"/>
  <c r="AR264" i="1"/>
  <c r="AL264" i="1"/>
  <c r="AI522" i="1"/>
  <c r="AR124" i="1"/>
  <c r="AO124" i="1"/>
  <c r="AN124" i="1" s="1"/>
  <c r="AL124" i="1"/>
  <c r="AL356" i="3"/>
  <c r="AR356" i="3"/>
  <c r="AO356" i="3"/>
  <c r="AN356" i="3" s="1"/>
  <c r="AL177" i="3"/>
  <c r="AR177" i="3"/>
  <c r="AO177" i="3"/>
  <c r="AN177" i="3" s="1"/>
  <c r="AI774" i="3"/>
  <c r="S807" i="2"/>
  <c r="R807" i="2" s="1"/>
  <c r="P807" i="2"/>
  <c r="V807" i="2"/>
  <c r="AL339" i="2"/>
  <c r="AO339" i="2"/>
  <c r="AN339" i="2" s="1"/>
  <c r="AR339" i="2"/>
  <c r="AO213" i="2"/>
  <c r="AN213" i="2" s="1"/>
  <c r="AR213" i="2"/>
  <c r="AL213" i="2"/>
  <c r="AR482" i="3"/>
  <c r="AO482" i="3"/>
  <c r="AN482" i="3" s="1"/>
  <c r="AL482" i="3"/>
  <c r="AL246" i="3"/>
  <c r="AI252" i="3"/>
  <c r="AR246" i="3"/>
  <c r="AO246" i="3"/>
  <c r="AN246" i="3" s="1"/>
  <c r="AL313" i="2"/>
  <c r="AR313" i="2"/>
  <c r="AO313" i="2"/>
  <c r="AN313" i="2" s="1"/>
  <c r="AL15" i="1"/>
  <c r="AR15" i="1"/>
  <c r="AO15" i="1"/>
  <c r="AN15" i="1" s="1"/>
  <c r="AI198" i="1"/>
  <c r="AO671" i="2"/>
  <c r="AN671" i="2" s="1"/>
  <c r="AL671" i="2"/>
  <c r="AR671" i="2"/>
  <c r="AL5" i="2"/>
  <c r="AR5" i="2"/>
  <c r="AO5" i="2"/>
  <c r="AN5" i="2" s="1"/>
  <c r="AO466" i="1"/>
  <c r="AN466" i="1" s="1"/>
  <c r="AL466" i="1"/>
  <c r="AR466" i="1"/>
  <c r="AL319" i="1"/>
  <c r="AR319" i="1"/>
  <c r="AO319" i="1"/>
  <c r="AN319" i="1" s="1"/>
  <c r="AI189" i="2"/>
  <c r="AR411" i="3"/>
  <c r="AO411" i="3"/>
  <c r="AN411" i="3" s="1"/>
  <c r="AL411" i="3"/>
  <c r="AO203" i="2"/>
  <c r="AN203" i="2" s="1"/>
  <c r="AL203" i="2"/>
  <c r="AR203" i="2"/>
  <c r="AL16" i="2"/>
  <c r="AR16" i="2"/>
  <c r="AO16" i="2"/>
  <c r="AN16" i="2" s="1"/>
  <c r="AL454" i="1"/>
  <c r="AR454" i="1"/>
  <c r="AO454" i="1"/>
  <c r="AN454" i="1" s="1"/>
  <c r="AL7" i="3"/>
  <c r="AR7" i="3"/>
  <c r="AO7" i="3"/>
  <c r="AN7" i="3" s="1"/>
  <c r="AL672" i="1"/>
  <c r="AR672" i="1"/>
  <c r="AO672" i="1"/>
  <c r="AN672" i="1" s="1"/>
  <c r="AI504" i="3"/>
  <c r="AR498" i="3"/>
  <c r="AO498" i="3"/>
  <c r="AN498" i="3" s="1"/>
  <c r="AL498" i="3"/>
  <c r="AI360" i="2"/>
  <c r="AR354" i="2"/>
  <c r="AO354" i="2"/>
  <c r="AN354" i="2" s="1"/>
  <c r="AL354" i="2"/>
  <c r="AO494" i="3"/>
  <c r="AN494" i="3" s="1"/>
  <c r="AL494" i="3"/>
  <c r="AR494" i="3"/>
  <c r="AI459" i="1"/>
  <c r="AI288" i="1"/>
  <c r="AR282" i="1"/>
  <c r="AO282" i="1"/>
  <c r="AN282" i="1" s="1"/>
  <c r="AL282" i="1"/>
  <c r="V132" i="3"/>
  <c r="S132" i="3"/>
  <c r="R132" i="3" s="1"/>
  <c r="P132" i="3"/>
  <c r="AR700" i="2"/>
  <c r="AO700" i="2"/>
  <c r="AN700" i="2" s="1"/>
  <c r="AL700" i="2"/>
  <c r="AO249" i="1"/>
  <c r="AN249" i="1" s="1"/>
  <c r="AL249" i="1"/>
  <c r="AR249" i="1"/>
  <c r="AI405" i="1"/>
  <c r="AR615" i="3"/>
  <c r="AO615" i="3"/>
  <c r="AN615" i="3" s="1"/>
  <c r="AI621" i="3"/>
  <c r="AL615" i="3"/>
  <c r="AO304" i="2"/>
  <c r="AN304" i="2" s="1"/>
  <c r="AL304" i="2"/>
  <c r="AR304" i="2"/>
  <c r="AR382" i="1"/>
  <c r="AO382" i="1"/>
  <c r="AN382" i="1" s="1"/>
  <c r="AL382" i="1"/>
  <c r="AR410" i="3"/>
  <c r="AO410" i="3"/>
  <c r="AN410" i="3" s="1"/>
  <c r="AL410" i="3"/>
  <c r="AL480" i="1"/>
  <c r="AR480" i="1"/>
  <c r="AO480" i="1"/>
  <c r="AN480" i="1" s="1"/>
  <c r="AI486" i="1"/>
  <c r="AR267" i="3"/>
  <c r="AO267" i="3"/>
  <c r="AN267" i="3" s="1"/>
  <c r="AL267" i="3"/>
  <c r="AI18" i="3"/>
  <c r="AR294" i="2"/>
  <c r="AL294" i="2"/>
  <c r="AO294" i="2"/>
  <c r="AN294" i="2" s="1"/>
  <c r="AR204" i="1"/>
  <c r="AO204" i="1"/>
  <c r="AN204" i="1" s="1"/>
  <c r="AL204" i="1"/>
  <c r="AI765" i="2"/>
  <c r="AL123" i="2"/>
  <c r="AR123" i="2"/>
  <c r="AO123" i="2"/>
  <c r="AN123" i="2" s="1"/>
  <c r="AS855" i="2"/>
  <c r="AS864" i="2"/>
  <c r="AS846" i="2"/>
  <c r="V24" i="2"/>
  <c r="S24" i="2"/>
  <c r="R24" i="2" s="1"/>
  <c r="P24" i="2"/>
  <c r="AL778" i="3"/>
  <c r="AR778" i="3"/>
  <c r="AO778" i="3"/>
  <c r="AN778" i="3" s="1"/>
  <c r="AL366" i="1"/>
  <c r="AR366" i="1"/>
  <c r="AO366" i="1"/>
  <c r="AN366" i="1" s="1"/>
  <c r="AO422" i="3"/>
  <c r="AN422" i="3" s="1"/>
  <c r="AL422" i="3"/>
  <c r="AR422" i="3"/>
  <c r="AO445" i="1"/>
  <c r="AN445" i="1" s="1"/>
  <c r="AL445" i="1"/>
  <c r="AR445" i="1"/>
  <c r="AL174" i="2"/>
  <c r="AR174" i="2"/>
  <c r="AI180" i="2"/>
  <c r="AO174" i="2"/>
  <c r="AN174" i="2" s="1"/>
  <c r="AO111" i="1"/>
  <c r="AN111" i="1" s="1"/>
  <c r="AL111" i="1"/>
  <c r="AI117" i="1"/>
  <c r="AR111" i="1"/>
  <c r="AO258" i="2"/>
  <c r="AN258" i="2" s="1"/>
  <c r="AL258" i="2"/>
  <c r="AR258" i="2"/>
  <c r="AI54" i="2"/>
  <c r="AL456" i="1"/>
  <c r="AR456" i="1"/>
  <c r="AO456" i="1"/>
  <c r="AN456" i="1" s="1"/>
  <c r="AO566" i="1"/>
  <c r="AN566" i="1" s="1"/>
  <c r="AL566" i="1"/>
  <c r="AR566" i="1"/>
  <c r="AI639" i="1"/>
  <c r="AI837" i="2"/>
  <c r="AI729" i="1"/>
  <c r="AR805" i="3"/>
  <c r="AO805" i="3"/>
  <c r="AN805" i="3" s="1"/>
  <c r="AL805" i="3"/>
  <c r="AI567" i="3"/>
  <c r="AR588" i="2"/>
  <c r="AI594" i="2"/>
  <c r="AO588" i="2"/>
  <c r="AN588" i="2" s="1"/>
  <c r="AL588" i="2"/>
  <c r="AL590" i="3"/>
  <c r="AR590" i="3"/>
  <c r="AO590" i="3"/>
  <c r="AN590" i="3" s="1"/>
  <c r="AO484" i="2"/>
  <c r="AN484" i="2" s="1"/>
  <c r="AR484" i="2"/>
  <c r="AL484" i="2"/>
  <c r="AO179" i="2"/>
  <c r="AN179" i="2" s="1"/>
  <c r="AR179" i="2"/>
  <c r="AL179" i="2"/>
  <c r="AO777" i="1"/>
  <c r="AN777" i="1" s="1"/>
  <c r="AI783" i="1"/>
  <c r="AL777" i="1"/>
  <c r="AR777" i="1"/>
  <c r="AR493" i="3"/>
  <c r="AO493" i="3"/>
  <c r="AN493" i="3" s="1"/>
  <c r="AL493" i="3"/>
  <c r="AO337" i="3"/>
  <c r="AN337" i="3" s="1"/>
  <c r="AL337" i="3"/>
  <c r="AR337" i="3"/>
  <c r="AO296" i="2"/>
  <c r="AN296" i="2" s="1"/>
  <c r="AL296" i="2"/>
  <c r="AR296" i="2"/>
  <c r="AR75" i="2"/>
  <c r="AI81" i="2"/>
  <c r="AL75" i="2"/>
  <c r="AO75" i="2"/>
  <c r="AN75" i="2" s="1"/>
  <c r="AI468" i="1"/>
  <c r="AL795" i="3"/>
  <c r="AI801" i="3"/>
  <c r="AR795" i="3"/>
  <c r="AO795" i="3"/>
  <c r="AN795" i="3" s="1"/>
  <c r="AL426" i="3"/>
  <c r="AR426" i="3"/>
  <c r="AO426" i="3"/>
  <c r="AN426" i="3" s="1"/>
  <c r="AI432" i="3"/>
  <c r="AI423" i="1"/>
  <c r="AO359" i="1"/>
  <c r="AN359" i="1" s="1"/>
  <c r="AL359" i="1"/>
  <c r="AR359" i="1"/>
  <c r="AI711" i="3"/>
  <c r="AO147" i="2"/>
  <c r="AN147" i="2" s="1"/>
  <c r="AL147" i="2"/>
  <c r="AI153" i="2"/>
  <c r="AR147" i="2"/>
  <c r="AO243" i="3" l="1"/>
  <c r="AN243" i="3" s="1"/>
  <c r="AL243" i="3"/>
  <c r="AR243" i="3"/>
  <c r="AL351" i="3"/>
  <c r="AR351" i="3"/>
  <c r="AO351" i="3"/>
  <c r="AN351" i="3" s="1"/>
  <c r="AR144" i="2"/>
  <c r="AO144" i="2"/>
  <c r="AN144" i="2" s="1"/>
  <c r="AL144" i="2"/>
  <c r="AR666" i="1"/>
  <c r="AO666" i="1"/>
  <c r="AN666" i="1" s="1"/>
  <c r="AL666" i="1"/>
  <c r="AL531" i="2"/>
  <c r="AR531" i="2"/>
  <c r="AO531" i="2"/>
  <c r="AN531" i="2" s="1"/>
  <c r="AR450" i="1"/>
  <c r="AO450" i="1"/>
  <c r="AN450" i="1" s="1"/>
  <c r="AL450" i="1"/>
  <c r="AL90" i="3"/>
  <c r="AR90" i="3"/>
  <c r="AO90" i="3"/>
  <c r="AN90" i="3" s="1"/>
  <c r="AR252" i="2"/>
  <c r="AO252" i="2"/>
  <c r="AN252" i="2" s="1"/>
  <c r="AL252" i="2"/>
  <c r="AL180" i="1"/>
  <c r="AR180" i="1"/>
  <c r="AO180" i="1"/>
  <c r="AN180" i="1" s="1"/>
  <c r="AO729" i="2"/>
  <c r="AN729" i="2" s="1"/>
  <c r="AL729" i="2"/>
  <c r="AR729" i="2"/>
  <c r="AI837" i="3"/>
  <c r="AO831" i="3"/>
  <c r="AN831" i="3" s="1"/>
  <c r="AR831" i="3"/>
  <c r="AL831" i="3"/>
  <c r="AL738" i="2"/>
  <c r="AR738" i="2"/>
  <c r="AO738" i="2"/>
  <c r="AN738" i="2" s="1"/>
  <c r="AO850" i="2"/>
  <c r="AN850" i="2" s="1"/>
  <c r="AL850" i="2"/>
  <c r="AR850" i="2"/>
  <c r="AO860" i="1"/>
  <c r="AN860" i="1" s="1"/>
  <c r="AL860" i="1"/>
  <c r="AR860" i="1"/>
  <c r="AR342" i="1"/>
  <c r="AO342" i="1"/>
  <c r="AN342" i="1" s="1"/>
  <c r="AL342" i="1"/>
  <c r="AL729" i="3"/>
  <c r="AR729" i="3"/>
  <c r="AO729" i="3"/>
  <c r="AN729" i="3" s="1"/>
  <c r="AL144" i="3"/>
  <c r="AR144" i="3"/>
  <c r="AO144" i="3"/>
  <c r="AN144" i="3" s="1"/>
  <c r="AL711" i="1"/>
  <c r="AR711" i="1"/>
  <c r="AO711" i="1"/>
  <c r="AN711" i="1" s="1"/>
  <c r="AO558" i="3"/>
  <c r="AN558" i="3" s="1"/>
  <c r="AL558" i="3"/>
  <c r="AR558" i="3"/>
  <c r="AL288" i="3"/>
  <c r="AR288" i="3"/>
  <c r="AO288" i="3"/>
  <c r="AN288" i="3" s="1"/>
  <c r="AR639" i="3"/>
  <c r="AO639" i="3"/>
  <c r="AN639" i="3" s="1"/>
  <c r="AL639" i="3"/>
  <c r="AI828" i="3"/>
  <c r="AL822" i="3"/>
  <c r="AO822" i="3"/>
  <c r="AN822" i="3" s="1"/>
  <c r="AR822" i="3"/>
  <c r="S834" i="3"/>
  <c r="R834" i="3" s="1"/>
  <c r="V834" i="3"/>
  <c r="P834" i="3"/>
  <c r="AL859" i="1"/>
  <c r="AR859" i="1"/>
  <c r="AO859" i="1"/>
  <c r="AN859" i="1" s="1"/>
  <c r="AO441" i="2"/>
  <c r="AN441" i="2" s="1"/>
  <c r="AL441" i="2"/>
  <c r="AR441" i="2"/>
  <c r="AL585" i="3"/>
  <c r="AR585" i="3"/>
  <c r="AO585" i="3"/>
  <c r="AN585" i="3" s="1"/>
  <c r="AO648" i="3"/>
  <c r="AN648" i="3" s="1"/>
  <c r="AL648" i="3"/>
  <c r="AR648" i="3"/>
  <c r="AO360" i="1"/>
  <c r="AN360" i="1" s="1"/>
  <c r="AL360" i="1"/>
  <c r="AR360" i="1"/>
  <c r="AI846" i="1"/>
  <c r="AO840" i="1"/>
  <c r="AN840" i="1" s="1"/>
  <c r="AL840" i="1"/>
  <c r="AR840" i="1"/>
  <c r="AO423" i="3"/>
  <c r="AN423" i="3" s="1"/>
  <c r="AL423" i="3"/>
  <c r="AR423" i="3"/>
  <c r="AR603" i="2"/>
  <c r="AO603" i="2"/>
  <c r="AN603" i="2" s="1"/>
  <c r="AL603" i="2"/>
  <c r="AO369" i="3"/>
  <c r="AN369" i="3" s="1"/>
  <c r="AL369" i="3"/>
  <c r="AR369" i="3"/>
  <c r="AL324" i="1"/>
  <c r="AR324" i="1"/>
  <c r="AO324" i="1"/>
  <c r="AN324" i="1" s="1"/>
  <c r="AR252" i="3"/>
  <c r="AO252" i="3"/>
  <c r="AN252" i="3" s="1"/>
  <c r="AL252" i="3"/>
  <c r="AR657" i="2"/>
  <c r="AO657" i="2"/>
  <c r="AN657" i="2" s="1"/>
  <c r="AL657" i="2"/>
  <c r="AR108" i="2"/>
  <c r="AO108" i="2"/>
  <c r="AN108" i="2" s="1"/>
  <c r="AL108" i="2"/>
  <c r="AR837" i="2"/>
  <c r="AO837" i="2"/>
  <c r="AN837" i="2" s="1"/>
  <c r="AL837" i="2"/>
  <c r="AL54" i="2"/>
  <c r="AR54" i="2"/>
  <c r="AO54" i="2"/>
  <c r="AN54" i="2" s="1"/>
  <c r="AL18" i="3"/>
  <c r="AR18" i="3"/>
  <c r="AO18" i="3"/>
  <c r="AN18" i="3" s="1"/>
  <c r="AL540" i="3"/>
  <c r="AR540" i="3"/>
  <c r="AO540" i="3"/>
  <c r="AN540" i="3" s="1"/>
  <c r="AR270" i="2"/>
  <c r="AL270" i="2"/>
  <c r="AO270" i="2"/>
  <c r="AN270" i="2" s="1"/>
  <c r="AI819" i="3"/>
  <c r="AO813" i="3"/>
  <c r="AN813" i="3" s="1"/>
  <c r="AL813" i="3"/>
  <c r="AR813" i="3"/>
  <c r="AO315" i="2"/>
  <c r="AN315" i="2" s="1"/>
  <c r="AL315" i="2"/>
  <c r="AR315" i="2"/>
  <c r="AO693" i="3"/>
  <c r="AN693" i="3" s="1"/>
  <c r="AL693" i="3"/>
  <c r="AR693" i="3"/>
  <c r="AL819" i="1"/>
  <c r="AR819" i="1"/>
  <c r="AO819" i="1"/>
  <c r="AN819" i="1" s="1"/>
  <c r="AO117" i="2"/>
  <c r="AN117" i="2" s="1"/>
  <c r="AL117" i="2"/>
  <c r="AR117" i="2"/>
  <c r="AR378" i="2"/>
  <c r="AL378" i="2"/>
  <c r="AO378" i="2"/>
  <c r="AN378" i="2" s="1"/>
  <c r="AL207" i="2"/>
  <c r="AR207" i="2"/>
  <c r="AO207" i="2"/>
  <c r="AN207" i="2" s="1"/>
  <c r="AO477" i="1"/>
  <c r="AN477" i="1" s="1"/>
  <c r="AL477" i="1"/>
  <c r="AR477" i="1"/>
  <c r="AR450" i="2"/>
  <c r="AO450" i="2"/>
  <c r="AN450" i="2" s="1"/>
  <c r="AL450" i="2"/>
  <c r="AO432" i="1"/>
  <c r="AN432" i="1" s="1"/>
  <c r="AL432" i="1"/>
  <c r="AR432" i="1"/>
  <c r="AL180" i="3"/>
  <c r="AR180" i="3"/>
  <c r="AO180" i="3"/>
  <c r="AN180" i="3" s="1"/>
  <c r="AO468" i="3"/>
  <c r="AN468" i="3" s="1"/>
  <c r="AR468" i="3"/>
  <c r="AL468" i="3"/>
  <c r="AL225" i="1"/>
  <c r="AR225" i="1"/>
  <c r="AO225" i="1"/>
  <c r="AN225" i="1" s="1"/>
  <c r="AL216" i="1"/>
  <c r="AR216" i="1"/>
  <c r="AO216" i="1"/>
  <c r="AN216" i="1" s="1"/>
  <c r="AO45" i="3"/>
  <c r="AN45" i="3" s="1"/>
  <c r="AL45" i="3"/>
  <c r="AR45" i="3"/>
  <c r="AR819" i="2"/>
  <c r="AO819" i="2"/>
  <c r="AN819" i="2" s="1"/>
  <c r="AL819" i="2"/>
  <c r="AO63" i="1"/>
  <c r="AN63" i="1" s="1"/>
  <c r="AL63" i="1"/>
  <c r="AR63" i="1"/>
  <c r="AR36" i="1"/>
  <c r="AO36" i="1"/>
  <c r="AN36" i="1" s="1"/>
  <c r="AL36" i="1"/>
  <c r="AO840" i="2"/>
  <c r="AN840" i="2" s="1"/>
  <c r="AL840" i="2"/>
  <c r="AR840" i="2"/>
  <c r="AI846" i="2"/>
  <c r="AR9" i="2"/>
  <c r="AO9" i="2"/>
  <c r="AN9" i="2" s="1"/>
  <c r="AL9" i="2"/>
  <c r="AO828" i="2"/>
  <c r="AN828" i="2" s="1"/>
  <c r="AL828" i="2"/>
  <c r="AR828" i="2"/>
  <c r="AO585" i="1"/>
  <c r="AN585" i="1" s="1"/>
  <c r="AL585" i="1"/>
  <c r="AR585" i="1"/>
  <c r="AR396" i="1"/>
  <c r="AO396" i="1"/>
  <c r="AN396" i="1" s="1"/>
  <c r="AL396" i="1"/>
  <c r="AR756" i="3"/>
  <c r="AO756" i="3"/>
  <c r="AN756" i="3" s="1"/>
  <c r="AL756" i="3"/>
  <c r="AR90" i="1"/>
  <c r="AO90" i="1"/>
  <c r="AN90" i="1" s="1"/>
  <c r="AL90" i="1"/>
  <c r="AO189" i="3"/>
  <c r="AN189" i="3" s="1"/>
  <c r="AL189" i="3"/>
  <c r="AR189" i="3"/>
  <c r="AO853" i="1"/>
  <c r="AN853" i="1" s="1"/>
  <c r="AL853" i="1"/>
  <c r="AR853" i="1"/>
  <c r="AO261" i="3"/>
  <c r="AN261" i="3" s="1"/>
  <c r="AL261" i="3"/>
  <c r="AR261" i="3"/>
  <c r="AO756" i="1"/>
  <c r="AN756" i="1" s="1"/>
  <c r="AL756" i="1"/>
  <c r="AR756" i="1"/>
  <c r="AL639" i="2"/>
  <c r="AR639" i="2"/>
  <c r="AO639" i="2"/>
  <c r="AN639" i="2" s="1"/>
  <c r="AO81" i="2"/>
  <c r="AN81" i="2" s="1"/>
  <c r="AL81" i="2"/>
  <c r="AR81" i="2"/>
  <c r="AR522" i="1"/>
  <c r="AO522" i="1"/>
  <c r="AN522" i="1" s="1"/>
  <c r="AL522" i="1"/>
  <c r="AR720" i="1"/>
  <c r="AO720" i="1"/>
  <c r="AN720" i="1" s="1"/>
  <c r="AL720" i="1"/>
  <c r="AO594" i="2"/>
  <c r="AN594" i="2" s="1"/>
  <c r="AL594" i="2"/>
  <c r="AR594" i="2"/>
  <c r="AO639" i="1"/>
  <c r="AN639" i="1" s="1"/>
  <c r="AL639" i="1"/>
  <c r="AR639" i="1"/>
  <c r="AL180" i="2"/>
  <c r="AO180" i="2"/>
  <c r="AN180" i="2" s="1"/>
  <c r="AR180" i="2"/>
  <c r="AR765" i="2"/>
  <c r="AO765" i="2"/>
  <c r="AN765" i="2" s="1"/>
  <c r="AL765" i="2"/>
  <c r="AO189" i="2"/>
  <c r="AN189" i="2" s="1"/>
  <c r="AR189" i="2"/>
  <c r="AL189" i="2"/>
  <c r="AR54" i="3"/>
  <c r="AO54" i="3"/>
  <c r="AN54" i="3" s="1"/>
  <c r="AL54" i="3"/>
  <c r="AO135" i="2"/>
  <c r="AN135" i="2" s="1"/>
  <c r="AL135" i="2"/>
  <c r="AR135" i="2"/>
  <c r="AO854" i="2"/>
  <c r="AN854" i="2" s="1"/>
  <c r="AL854" i="2"/>
  <c r="AR854" i="2"/>
  <c r="AO27" i="2"/>
  <c r="AN27" i="2" s="1"/>
  <c r="AL27" i="2"/>
  <c r="AR27" i="2"/>
  <c r="AL333" i="3"/>
  <c r="AR333" i="3"/>
  <c r="AO333" i="3"/>
  <c r="AN333" i="3" s="1"/>
  <c r="AR621" i="2"/>
  <c r="AO621" i="2"/>
  <c r="AN621" i="2" s="1"/>
  <c r="AL621" i="2"/>
  <c r="AR850" i="1"/>
  <c r="AO850" i="1"/>
  <c r="AN850" i="1" s="1"/>
  <c r="AL850" i="1"/>
  <c r="AO378" i="1"/>
  <c r="AN378" i="1" s="1"/>
  <c r="AL378" i="1"/>
  <c r="AR378" i="1"/>
  <c r="AL845" i="2"/>
  <c r="AR845" i="2"/>
  <c r="AO845" i="2"/>
  <c r="AN845" i="2" s="1"/>
  <c r="AR693" i="2"/>
  <c r="AO693" i="2"/>
  <c r="AN693" i="2" s="1"/>
  <c r="AL693" i="2"/>
  <c r="AR144" i="1"/>
  <c r="AO144" i="1"/>
  <c r="AN144" i="1" s="1"/>
  <c r="AL144" i="1"/>
  <c r="AR774" i="1"/>
  <c r="AO774" i="1"/>
  <c r="AN774" i="1" s="1"/>
  <c r="AL774" i="1"/>
  <c r="AL851" i="1"/>
  <c r="AR851" i="1"/>
  <c r="AO851" i="1"/>
  <c r="AN851" i="1" s="1"/>
  <c r="AL243" i="2"/>
  <c r="AR243" i="2"/>
  <c r="AO243" i="2"/>
  <c r="AN243" i="2" s="1"/>
  <c r="AL852" i="1"/>
  <c r="AR852" i="1"/>
  <c r="AO852" i="1"/>
  <c r="AN852" i="1" s="1"/>
  <c r="AO504" i="2"/>
  <c r="AN504" i="2" s="1"/>
  <c r="AL504" i="2"/>
  <c r="AR504" i="2"/>
  <c r="AR414" i="2"/>
  <c r="AO414" i="2"/>
  <c r="AN414" i="2" s="1"/>
  <c r="AL414" i="2"/>
  <c r="AL279" i="1"/>
  <c r="AR279" i="1"/>
  <c r="AO279" i="1"/>
  <c r="AN279" i="1" s="1"/>
  <c r="AO198" i="2"/>
  <c r="AN198" i="2" s="1"/>
  <c r="AR198" i="2"/>
  <c r="AL198" i="2"/>
  <c r="AR630" i="1"/>
  <c r="AO630" i="1"/>
  <c r="AN630" i="1" s="1"/>
  <c r="AL630" i="1"/>
  <c r="AL18" i="1"/>
  <c r="AR18" i="1"/>
  <c r="AO18" i="1"/>
  <c r="AN18" i="1" s="1"/>
  <c r="AO531" i="1"/>
  <c r="AN531" i="1" s="1"/>
  <c r="AL531" i="1"/>
  <c r="AR531" i="1"/>
  <c r="AO288" i="2"/>
  <c r="AN288" i="2" s="1"/>
  <c r="AR288" i="2"/>
  <c r="AL288" i="2"/>
  <c r="AO783" i="2"/>
  <c r="AN783" i="2" s="1"/>
  <c r="AL783" i="2"/>
  <c r="AR783" i="2"/>
  <c r="AL852" i="2"/>
  <c r="AR852" i="2"/>
  <c r="AO852" i="2"/>
  <c r="AN852" i="2" s="1"/>
  <c r="AO843" i="2"/>
  <c r="AN843" i="2" s="1"/>
  <c r="AL843" i="2"/>
  <c r="AR843" i="2"/>
  <c r="AO99" i="2"/>
  <c r="AN99" i="2" s="1"/>
  <c r="AL99" i="2"/>
  <c r="AR99" i="2"/>
  <c r="AR396" i="2"/>
  <c r="AO396" i="2"/>
  <c r="AN396" i="2" s="1"/>
  <c r="AL396" i="2"/>
  <c r="AO845" i="1"/>
  <c r="AN845" i="1" s="1"/>
  <c r="AL845" i="1"/>
  <c r="AR845" i="1"/>
  <c r="AO531" i="3"/>
  <c r="AN531" i="3" s="1"/>
  <c r="AL531" i="3"/>
  <c r="AR531" i="3"/>
  <c r="AR825" i="3"/>
  <c r="AL825" i="3"/>
  <c r="AO825" i="3"/>
  <c r="AN825" i="3" s="1"/>
  <c r="AL72" i="3"/>
  <c r="AR72" i="3"/>
  <c r="AO72" i="3"/>
  <c r="AN72" i="3" s="1"/>
  <c r="AO342" i="2"/>
  <c r="AN342" i="2" s="1"/>
  <c r="AR342" i="2"/>
  <c r="AL342" i="2"/>
  <c r="AO774" i="2"/>
  <c r="AN774" i="2" s="1"/>
  <c r="AL774" i="2"/>
  <c r="AR774" i="2"/>
  <c r="AO861" i="1"/>
  <c r="AN861" i="1" s="1"/>
  <c r="AL861" i="1"/>
  <c r="AR861" i="1"/>
  <c r="AL747" i="1"/>
  <c r="AR747" i="1"/>
  <c r="AO747" i="1"/>
  <c r="AN747" i="1" s="1"/>
  <c r="AI855" i="2"/>
  <c r="AL849" i="2"/>
  <c r="AR849" i="2"/>
  <c r="AO849" i="2"/>
  <c r="AN849" i="2" s="1"/>
  <c r="AO27" i="3"/>
  <c r="AN27" i="3" s="1"/>
  <c r="AL27" i="3"/>
  <c r="AR27" i="3"/>
  <c r="AO594" i="1"/>
  <c r="AN594" i="1" s="1"/>
  <c r="AL594" i="1"/>
  <c r="AR594" i="1"/>
  <c r="AL801" i="3"/>
  <c r="AR801" i="3"/>
  <c r="AO801" i="3"/>
  <c r="AN801" i="3" s="1"/>
  <c r="AL621" i="3"/>
  <c r="AR621" i="3"/>
  <c r="AO621" i="3"/>
  <c r="AN621" i="3" s="1"/>
  <c r="AR288" i="1"/>
  <c r="AO288" i="1"/>
  <c r="AN288" i="1" s="1"/>
  <c r="AL288" i="1"/>
  <c r="AR360" i="2"/>
  <c r="AO360" i="2"/>
  <c r="AN360" i="2" s="1"/>
  <c r="AL360" i="2"/>
  <c r="AL270" i="1"/>
  <c r="AR270" i="1"/>
  <c r="AO270" i="1"/>
  <c r="AN270" i="1" s="1"/>
  <c r="AO666" i="2"/>
  <c r="AN666" i="2" s="1"/>
  <c r="AL666" i="2"/>
  <c r="AR666" i="2"/>
  <c r="AL486" i="3"/>
  <c r="AR486" i="3"/>
  <c r="AO486" i="3"/>
  <c r="AN486" i="3" s="1"/>
  <c r="AL833" i="3"/>
  <c r="AR833" i="3"/>
  <c r="AO833" i="3"/>
  <c r="AN833" i="3" s="1"/>
  <c r="AL36" i="2"/>
  <c r="AR36" i="2"/>
  <c r="AO36" i="2"/>
  <c r="AN36" i="2" s="1"/>
  <c r="AR522" i="3"/>
  <c r="AO522" i="3"/>
  <c r="AN522" i="3" s="1"/>
  <c r="AL522" i="3"/>
  <c r="AO863" i="1"/>
  <c r="AN863" i="1" s="1"/>
  <c r="AL863" i="1"/>
  <c r="AR863" i="1"/>
  <c r="AO333" i="2"/>
  <c r="AN333" i="2" s="1"/>
  <c r="AR333" i="2"/>
  <c r="AL333" i="2"/>
  <c r="AO702" i="3"/>
  <c r="AN702" i="3" s="1"/>
  <c r="AL702" i="3"/>
  <c r="AR702" i="3"/>
  <c r="AR306" i="2"/>
  <c r="AO306" i="2"/>
  <c r="AN306" i="2" s="1"/>
  <c r="AL306" i="2"/>
  <c r="AO261" i="2"/>
  <c r="AN261" i="2" s="1"/>
  <c r="AR261" i="2"/>
  <c r="AL261" i="2"/>
  <c r="AR859" i="2"/>
  <c r="AO859" i="2"/>
  <c r="AN859" i="2" s="1"/>
  <c r="AL859" i="2"/>
  <c r="AR324" i="2"/>
  <c r="AL324" i="2"/>
  <c r="AO324" i="2"/>
  <c r="AN324" i="2" s="1"/>
  <c r="AR198" i="3"/>
  <c r="AO198" i="3"/>
  <c r="AN198" i="3" s="1"/>
  <c r="AL198" i="3"/>
  <c r="AR612" i="3"/>
  <c r="AO612" i="3"/>
  <c r="AN612" i="3" s="1"/>
  <c r="AL612" i="3"/>
  <c r="AL459" i="2"/>
  <c r="AR459" i="2"/>
  <c r="AO459" i="2"/>
  <c r="AN459" i="2" s="1"/>
  <c r="AO153" i="1"/>
  <c r="AN153" i="1" s="1"/>
  <c r="AL153" i="1"/>
  <c r="AR153" i="1"/>
  <c r="AO63" i="3"/>
  <c r="AN63" i="3" s="1"/>
  <c r="AL63" i="3"/>
  <c r="AR63" i="3"/>
  <c r="AR854" i="1"/>
  <c r="AO854" i="1"/>
  <c r="AN854" i="1" s="1"/>
  <c r="AL854" i="1"/>
  <c r="AO369" i="2"/>
  <c r="AN369" i="2" s="1"/>
  <c r="AR369" i="2"/>
  <c r="AL369" i="2"/>
  <c r="AO861" i="2"/>
  <c r="AN861" i="2" s="1"/>
  <c r="AL861" i="2"/>
  <c r="AR861" i="2"/>
  <c r="AR216" i="3"/>
  <c r="AO216" i="3"/>
  <c r="AN216" i="3" s="1"/>
  <c r="AL216" i="3"/>
  <c r="AR36" i="3"/>
  <c r="AO36" i="3"/>
  <c r="AN36" i="3" s="1"/>
  <c r="AL36" i="3"/>
  <c r="AR549" i="2"/>
  <c r="AO549" i="2"/>
  <c r="AN549" i="2" s="1"/>
  <c r="AL549" i="2"/>
  <c r="AR851" i="2"/>
  <c r="AO851" i="2"/>
  <c r="AN851" i="2" s="1"/>
  <c r="AL851" i="2"/>
  <c r="AI864" i="2"/>
  <c r="AR504" i="3"/>
  <c r="AO504" i="3"/>
  <c r="AN504" i="3" s="1"/>
  <c r="AL504" i="3"/>
  <c r="AR729" i="1"/>
  <c r="AO729" i="1"/>
  <c r="AN729" i="1" s="1"/>
  <c r="AL729" i="1"/>
  <c r="AL423" i="1"/>
  <c r="AR423" i="1"/>
  <c r="AO423" i="1"/>
  <c r="AN423" i="1" s="1"/>
  <c r="AR567" i="3"/>
  <c r="AO567" i="3"/>
  <c r="AN567" i="3" s="1"/>
  <c r="AL567" i="3"/>
  <c r="AL459" i="1"/>
  <c r="AR459" i="1"/>
  <c r="AO459" i="1"/>
  <c r="AN459" i="1" s="1"/>
  <c r="AO18" i="2"/>
  <c r="AN18" i="2" s="1"/>
  <c r="AL18" i="2"/>
  <c r="AR18" i="2"/>
  <c r="AR414" i="3"/>
  <c r="AO414" i="3"/>
  <c r="AN414" i="3" s="1"/>
  <c r="AL414" i="3"/>
  <c r="AL693" i="1"/>
  <c r="AR693" i="1"/>
  <c r="AO693" i="1"/>
  <c r="AN693" i="1" s="1"/>
  <c r="AR858" i="1"/>
  <c r="AI864" i="1"/>
  <c r="AO858" i="1"/>
  <c r="AN858" i="1" s="1"/>
  <c r="AL858" i="1"/>
  <c r="AL621" i="1"/>
  <c r="AR621" i="1"/>
  <c r="AO621" i="1"/>
  <c r="AN621" i="1" s="1"/>
  <c r="AR495" i="2"/>
  <c r="AO495" i="2"/>
  <c r="AN495" i="2" s="1"/>
  <c r="AL495" i="2"/>
  <c r="AL834" i="3"/>
  <c r="AO834" i="3"/>
  <c r="AN834" i="3" s="1"/>
  <c r="AR834" i="3"/>
  <c r="AR783" i="3"/>
  <c r="AO783" i="3"/>
  <c r="AN783" i="3" s="1"/>
  <c r="AL783" i="3"/>
  <c r="AL853" i="2"/>
  <c r="AR853" i="2"/>
  <c r="AO853" i="2"/>
  <c r="AN853" i="2" s="1"/>
  <c r="AO99" i="1"/>
  <c r="AN99" i="1" s="1"/>
  <c r="AL99" i="1"/>
  <c r="AR99" i="1"/>
  <c r="AO171" i="3"/>
  <c r="AN171" i="3" s="1"/>
  <c r="AL171" i="3"/>
  <c r="AR171" i="3"/>
  <c r="AR342" i="3"/>
  <c r="AO342" i="3"/>
  <c r="AN342" i="3" s="1"/>
  <c r="AL342" i="3"/>
  <c r="AL860" i="2"/>
  <c r="AR860" i="2"/>
  <c r="AO860" i="2"/>
  <c r="AN860" i="2" s="1"/>
  <c r="AR90" i="2"/>
  <c r="AO90" i="2"/>
  <c r="AN90" i="2" s="1"/>
  <c r="AL90" i="2"/>
  <c r="AO648" i="1"/>
  <c r="AN648" i="1" s="1"/>
  <c r="AL648" i="1"/>
  <c r="AR648" i="1"/>
  <c r="AO558" i="2"/>
  <c r="AN558" i="2" s="1"/>
  <c r="AL558" i="2"/>
  <c r="AR558" i="2"/>
  <c r="AL862" i="1"/>
  <c r="AR862" i="1"/>
  <c r="AO862" i="1"/>
  <c r="AN862" i="1" s="1"/>
  <c r="AO522" i="2"/>
  <c r="AN522" i="2" s="1"/>
  <c r="AL522" i="2"/>
  <c r="AR522" i="2"/>
  <c r="AR815" i="3"/>
  <c r="AO815" i="3"/>
  <c r="AN815" i="3" s="1"/>
  <c r="AL815" i="3"/>
  <c r="AO630" i="2"/>
  <c r="AN630" i="2" s="1"/>
  <c r="AL630" i="2"/>
  <c r="AR630" i="2"/>
  <c r="AR234" i="1"/>
  <c r="AO234" i="1"/>
  <c r="AN234" i="1" s="1"/>
  <c r="AL234" i="1"/>
  <c r="AR844" i="2"/>
  <c r="AO844" i="2"/>
  <c r="AN844" i="2" s="1"/>
  <c r="AL844" i="2"/>
  <c r="AO81" i="3"/>
  <c r="AN81" i="3" s="1"/>
  <c r="AL81" i="3"/>
  <c r="AR81" i="3"/>
  <c r="AO207" i="3"/>
  <c r="AN207" i="3" s="1"/>
  <c r="AL207" i="3"/>
  <c r="AR207" i="3"/>
  <c r="AO684" i="2"/>
  <c r="AN684" i="2" s="1"/>
  <c r="AL684" i="2"/>
  <c r="AR684" i="2"/>
  <c r="AO477" i="2"/>
  <c r="AN477" i="2" s="1"/>
  <c r="AR477" i="2"/>
  <c r="AL477" i="2"/>
  <c r="AO171" i="2"/>
  <c r="AN171" i="2" s="1"/>
  <c r="AL171" i="2"/>
  <c r="AR171" i="2"/>
  <c r="AO702" i="1"/>
  <c r="AN702" i="1" s="1"/>
  <c r="AL702" i="1"/>
  <c r="AR702" i="1"/>
  <c r="AL72" i="2"/>
  <c r="AO72" i="2"/>
  <c r="AN72" i="2" s="1"/>
  <c r="AR72" i="2"/>
  <c r="AL198" i="1"/>
  <c r="AO198" i="1"/>
  <c r="AN198" i="1" s="1"/>
  <c r="AR198" i="1"/>
  <c r="AO153" i="2"/>
  <c r="AN153" i="2" s="1"/>
  <c r="AL153" i="2"/>
  <c r="AR153" i="2"/>
  <c r="AR468" i="1"/>
  <c r="AO468" i="1"/>
  <c r="AN468" i="1" s="1"/>
  <c r="AL468" i="1"/>
  <c r="AR783" i="1"/>
  <c r="AO783" i="1"/>
  <c r="AN783" i="1" s="1"/>
  <c r="AL783" i="1"/>
  <c r="AO486" i="1"/>
  <c r="AN486" i="1" s="1"/>
  <c r="AL486" i="1"/>
  <c r="AR486" i="1"/>
  <c r="AO747" i="3"/>
  <c r="AN747" i="3" s="1"/>
  <c r="AL747" i="3"/>
  <c r="AR747" i="3"/>
  <c r="AR54" i="1"/>
  <c r="AO54" i="1"/>
  <c r="AN54" i="1" s="1"/>
  <c r="AL54" i="1"/>
  <c r="AO135" i="3"/>
  <c r="AN135" i="3" s="1"/>
  <c r="AL135" i="3"/>
  <c r="AR135" i="3"/>
  <c r="AO9" i="1"/>
  <c r="AN9" i="1" s="1"/>
  <c r="AL9" i="1"/>
  <c r="AR9" i="1"/>
  <c r="V861" i="1"/>
  <c r="S861" i="1"/>
  <c r="R861" i="1" s="1"/>
  <c r="P861" i="1"/>
  <c r="AR306" i="3"/>
  <c r="AO306" i="3"/>
  <c r="AN306" i="3" s="1"/>
  <c r="AL306" i="3"/>
  <c r="AL126" i="2"/>
  <c r="AR126" i="2"/>
  <c r="AO126" i="2"/>
  <c r="AN126" i="2" s="1"/>
  <c r="AO234" i="2"/>
  <c r="AN234" i="2" s="1"/>
  <c r="AL234" i="2"/>
  <c r="AR234" i="2"/>
  <c r="AR810" i="3"/>
  <c r="AO810" i="3"/>
  <c r="AN810" i="3" s="1"/>
  <c r="AL810" i="3"/>
  <c r="AO387" i="2"/>
  <c r="AN387" i="2" s="1"/>
  <c r="AR387" i="2"/>
  <c r="AL387" i="2"/>
  <c r="AO824" i="3"/>
  <c r="AN824" i="3" s="1"/>
  <c r="AL824" i="3"/>
  <c r="AR824" i="3"/>
  <c r="AR711" i="2"/>
  <c r="AO711" i="2"/>
  <c r="AN711" i="2" s="1"/>
  <c r="AL711" i="2"/>
  <c r="AL405" i="3"/>
  <c r="AR405" i="3"/>
  <c r="AO405" i="3"/>
  <c r="AN405" i="3" s="1"/>
  <c r="AO423" i="2"/>
  <c r="AN423" i="2" s="1"/>
  <c r="AR423" i="2"/>
  <c r="AL423" i="2"/>
  <c r="AL351" i="2"/>
  <c r="AR351" i="2"/>
  <c r="AO351" i="2"/>
  <c r="AN351" i="2" s="1"/>
  <c r="AR684" i="3"/>
  <c r="AO684" i="3"/>
  <c r="AN684" i="3" s="1"/>
  <c r="AL684" i="3"/>
  <c r="AR818" i="3"/>
  <c r="AO818" i="3"/>
  <c r="AN818" i="3" s="1"/>
  <c r="AL818" i="3"/>
  <c r="AO540" i="1"/>
  <c r="AN540" i="1" s="1"/>
  <c r="AL540" i="1"/>
  <c r="AR540" i="1"/>
  <c r="AO842" i="1"/>
  <c r="AN842" i="1" s="1"/>
  <c r="AL842" i="1"/>
  <c r="AR842" i="1"/>
  <c r="AO279" i="2"/>
  <c r="AN279" i="2" s="1"/>
  <c r="AR279" i="2"/>
  <c r="AL279" i="2"/>
  <c r="AR459" i="3"/>
  <c r="AO459" i="3"/>
  <c r="AN459" i="3" s="1"/>
  <c r="AL459" i="3"/>
  <c r="AR862" i="2"/>
  <c r="AO862" i="2"/>
  <c r="AN862" i="2" s="1"/>
  <c r="AL862" i="2"/>
  <c r="AL814" i="3"/>
  <c r="AR814" i="3"/>
  <c r="AO814" i="3"/>
  <c r="AN814" i="3" s="1"/>
  <c r="AR441" i="3"/>
  <c r="AO441" i="3"/>
  <c r="AN441" i="3" s="1"/>
  <c r="AL441" i="3"/>
  <c r="AR468" i="2"/>
  <c r="AO468" i="2"/>
  <c r="AN468" i="2" s="1"/>
  <c r="AL468" i="2"/>
  <c r="AR351" i="1"/>
  <c r="AO351" i="1"/>
  <c r="AN351" i="1" s="1"/>
  <c r="AL351" i="1"/>
  <c r="AR315" i="3"/>
  <c r="AO315" i="3"/>
  <c r="AN315" i="3" s="1"/>
  <c r="AL315" i="3"/>
  <c r="AR843" i="1"/>
  <c r="AO843" i="1"/>
  <c r="AN843" i="1" s="1"/>
  <c r="AL843" i="1"/>
  <c r="AR243" i="1"/>
  <c r="AO243" i="1"/>
  <c r="AN243" i="1" s="1"/>
  <c r="AL243" i="1"/>
  <c r="AL675" i="3"/>
  <c r="AR675" i="3"/>
  <c r="AO675" i="3"/>
  <c r="AN675" i="3" s="1"/>
  <c r="AL234" i="3"/>
  <c r="AR234" i="3"/>
  <c r="AO234" i="3"/>
  <c r="AN234" i="3" s="1"/>
  <c r="AL711" i="3"/>
  <c r="AR711" i="3"/>
  <c r="AO711" i="3"/>
  <c r="AN711" i="3" s="1"/>
  <c r="AO863" i="2"/>
  <c r="AN863" i="2" s="1"/>
  <c r="AL863" i="2"/>
  <c r="AR863" i="2"/>
  <c r="AO432" i="3"/>
  <c r="AN432" i="3" s="1"/>
  <c r="AL432" i="3"/>
  <c r="AR432" i="3"/>
  <c r="AO117" i="1"/>
  <c r="AN117" i="1" s="1"/>
  <c r="AL117" i="1"/>
  <c r="AR117" i="1"/>
  <c r="AR405" i="1"/>
  <c r="AO405" i="1"/>
  <c r="AN405" i="1" s="1"/>
  <c r="AL405" i="1"/>
  <c r="AR774" i="3"/>
  <c r="AO774" i="3"/>
  <c r="AN774" i="3" s="1"/>
  <c r="AL774" i="3"/>
  <c r="AL405" i="2"/>
  <c r="AR405" i="2"/>
  <c r="AO405" i="2"/>
  <c r="AN405" i="2" s="1"/>
  <c r="AO849" i="1"/>
  <c r="AN849" i="1" s="1"/>
  <c r="AI855" i="1"/>
  <c r="AL849" i="1"/>
  <c r="AR849" i="1"/>
  <c r="AL844" i="1"/>
  <c r="AR844" i="1"/>
  <c r="AO844" i="1"/>
  <c r="AN844" i="1" s="1"/>
  <c r="AR594" i="3"/>
  <c r="AO594" i="3"/>
  <c r="AN594" i="3" s="1"/>
  <c r="AL594" i="3"/>
  <c r="AO225" i="3"/>
  <c r="AN225" i="3" s="1"/>
  <c r="AL225" i="3"/>
  <c r="AR225" i="3"/>
  <c r="AO842" i="2"/>
  <c r="AN842" i="2" s="1"/>
  <c r="AL842" i="2"/>
  <c r="AR842" i="2"/>
  <c r="AR108" i="1"/>
  <c r="AO108" i="1"/>
  <c r="AN108" i="1" s="1"/>
  <c r="AL108" i="1"/>
  <c r="AR720" i="3"/>
  <c r="AO720" i="3"/>
  <c r="AN720" i="3" s="1"/>
  <c r="AL720" i="3"/>
  <c r="AR513" i="2"/>
  <c r="AO513" i="2"/>
  <c r="AN513" i="2" s="1"/>
  <c r="AL513" i="2"/>
  <c r="AR828" i="1"/>
  <c r="AO828" i="1"/>
  <c r="AN828" i="1" s="1"/>
  <c r="AL828" i="1"/>
  <c r="AR45" i="2"/>
  <c r="AO45" i="2"/>
  <c r="AN45" i="2" s="1"/>
  <c r="AL45" i="2"/>
  <c r="AR261" i="1"/>
  <c r="AO261" i="1"/>
  <c r="AN261" i="1" s="1"/>
  <c r="AL261" i="1"/>
  <c r="AR477" i="3"/>
  <c r="AO477" i="3"/>
  <c r="AN477" i="3" s="1"/>
  <c r="AL477" i="3"/>
  <c r="AR162" i="3"/>
  <c r="AO162" i="3"/>
  <c r="AN162" i="3" s="1"/>
  <c r="AL162" i="3"/>
  <c r="AR817" i="3"/>
  <c r="AO817" i="3"/>
  <c r="AN817" i="3" s="1"/>
  <c r="AL817" i="3"/>
  <c r="AR747" i="2"/>
  <c r="AO747" i="2"/>
  <c r="AN747" i="2" s="1"/>
  <c r="AL747" i="2"/>
  <c r="AO45" i="1"/>
  <c r="AN45" i="1" s="1"/>
  <c r="AL45" i="1"/>
  <c r="AR45" i="1"/>
  <c r="AL702" i="2"/>
  <c r="AR702" i="2"/>
  <c r="AO702" i="2"/>
  <c r="AN702" i="2" s="1"/>
  <c r="AL297" i="2"/>
  <c r="AR297" i="2"/>
  <c r="AO297" i="2"/>
  <c r="AN297" i="2" s="1"/>
  <c r="AO810" i="1"/>
  <c r="AN810" i="1" s="1"/>
  <c r="AL810" i="1"/>
  <c r="AR810" i="1"/>
  <c r="AR225" i="2"/>
  <c r="AO225" i="2"/>
  <c r="AN225" i="2" s="1"/>
  <c r="AL225" i="2"/>
  <c r="AR153" i="3"/>
  <c r="AO153" i="3"/>
  <c r="AN153" i="3" s="1"/>
  <c r="AL153" i="3"/>
  <c r="AO612" i="2"/>
  <c r="AN612" i="2" s="1"/>
  <c r="AL612" i="2"/>
  <c r="AR612" i="2"/>
  <c r="AL765" i="1"/>
  <c r="AR765" i="1"/>
  <c r="AO765" i="1"/>
  <c r="AN765" i="1" s="1"/>
  <c r="AL841" i="1"/>
  <c r="AR841" i="1"/>
  <c r="AO841" i="1"/>
  <c r="AN841" i="1" s="1"/>
  <c r="AR855" i="2" l="1"/>
  <c r="AO855" i="2"/>
  <c r="AN855" i="2" s="1"/>
  <c r="AL855" i="2"/>
  <c r="AO819" i="3"/>
  <c r="AN819" i="3" s="1"/>
  <c r="AL819" i="3"/>
  <c r="AR819" i="3"/>
  <c r="AR846" i="1"/>
  <c r="AO846" i="1"/>
  <c r="AN846" i="1" s="1"/>
  <c r="AL846" i="1"/>
  <c r="AR837" i="3"/>
  <c r="AO837" i="3"/>
  <c r="AN837" i="3" s="1"/>
  <c r="AL837" i="3"/>
  <c r="AR864" i="2"/>
  <c r="AO864" i="2"/>
  <c r="AN864" i="2" s="1"/>
  <c r="AL864" i="2"/>
  <c r="AL855" i="1"/>
  <c r="AR855" i="1"/>
  <c r="AO855" i="1"/>
  <c r="AN855" i="1" s="1"/>
  <c r="AL864" i="1"/>
  <c r="AR864" i="1"/>
  <c r="AO864" i="1"/>
  <c r="AN864" i="1" s="1"/>
  <c r="AO846" i="2"/>
  <c r="AN846" i="2" s="1"/>
  <c r="AL846" i="2"/>
  <c r="AR846" i="2"/>
  <c r="AR828" i="3"/>
  <c r="AL828" i="3"/>
  <c r="AO828" i="3"/>
  <c r="AN828" i="3" s="1"/>
</calcChain>
</file>

<file path=xl/sharedStrings.xml><?xml version="1.0" encoding="utf-8"?>
<sst xmlns="http://schemas.openxmlformats.org/spreadsheetml/2006/main" count="12456" uniqueCount="83">
  <si>
    <t>xx</t>
  </si>
  <si>
    <t>RANTO LUMBAN TORUAN</t>
  </si>
  <si>
    <t>NO</t>
  </si>
  <si>
    <t>RUTE</t>
  </si>
  <si>
    <t>RENOPS</t>
  </si>
  <si>
    <t>REALOPS</t>
  </si>
  <si>
    <t>KM TEMPUH</t>
  </si>
  <si>
    <t>TOA SHIFT 1</t>
  </si>
  <si>
    <t>MANUAL SHIFT 1</t>
  </si>
  <si>
    <t>TOTAL SHIFT 1</t>
  </si>
  <si>
    <t>TOA SHIFT 2</t>
  </si>
  <si>
    <t>MANUAL SHIFT 2</t>
  </si>
  <si>
    <t>TOTAL SHIFT 2</t>
  </si>
  <si>
    <t>TOTAL PELANGGAN</t>
  </si>
  <si>
    <t>KILOMETER / BUS</t>
  </si>
  <si>
    <t>TARGET PELANGGAN</t>
  </si>
  <si>
    <t>PERSENTASE PELANGGAN</t>
  </si>
  <si>
    <t>TARGET PELANGGAN / KM</t>
  </si>
  <si>
    <t>PERSENTASE PELANGGAN / KM</t>
  </si>
  <si>
    <t>PELANGGAN / KM</t>
  </si>
  <si>
    <t>TOTAL RITASE</t>
  </si>
  <si>
    <t>RITASE</t>
  </si>
  <si>
    <t>PELANGGAN / BUS</t>
  </si>
  <si>
    <t>JAK 60</t>
  </si>
  <si>
    <t>JAK 76</t>
  </si>
  <si>
    <t>JAK 77</t>
  </si>
  <si>
    <t>JAK 01</t>
  </si>
  <si>
    <t>JAK 113</t>
  </si>
  <si>
    <t>JAK 05</t>
  </si>
  <si>
    <t>JAK 118</t>
  </si>
  <si>
    <t>JAK 15</t>
  </si>
  <si>
    <t>JAK 120</t>
  </si>
  <si>
    <t>JAK 29</t>
  </si>
  <si>
    <t>JUMLAH</t>
  </si>
  <si>
    <t>JAK 58</t>
  </si>
  <si>
    <t>ABDUL MANAN</t>
  </si>
  <si>
    <t>JAK 87</t>
  </si>
  <si>
    <t>JAK 88</t>
  </si>
  <si>
    <t>JAK 110</t>
  </si>
  <si>
    <t>JAK 89</t>
  </si>
  <si>
    <t>JAK 115</t>
  </si>
  <si>
    <t>JAK 90</t>
  </si>
  <si>
    <t>JAK 117</t>
  </si>
  <si>
    <t>JAK 110A</t>
  </si>
  <si>
    <t>MOAMAR. Z.A. MAHU</t>
  </si>
  <si>
    <t xml:space="preserve">  </t>
  </si>
  <si>
    <t>TOTAL SEPTEMBER 2026</t>
  </si>
  <si>
    <t>PELANGGAN TERTINGGI</t>
  </si>
  <si>
    <t>HARI/TANGGAL</t>
  </si>
  <si>
    <t>DATA JARAK TEMPUH RUTE</t>
  </si>
  <si>
    <t>JARAK TEMPUH 1 RIT</t>
  </si>
  <si>
    <t>JAK 01 (TANJUNG PRIOK-PLUMPANG)</t>
  </si>
  <si>
    <t>JAK 05 (ROROTAN-SEMPER)</t>
  </si>
  <si>
    <t>JAK 15 (RUSUN MARUNDA-TANJUNG PRIOK)</t>
  </si>
  <si>
    <t>JAK 29 (GADING ORCHARD-TANJUNG PRIOK)</t>
  </si>
  <si>
    <t>JAK 58 (ROROTAN-ISLAMIC)</t>
  </si>
  <si>
    <t>JAK 60 (RUSUN KEMAYORAN-KELAPA GADING)</t>
  </si>
  <si>
    <t>JAK 76 (ASMI-JL. INDUSTRI)</t>
  </si>
  <si>
    <t>JAK 77 (TANJUNG PRIOK-JEMBATAN ITEM)</t>
  </si>
  <si>
    <t>JAK 87 (RAWAMANGUN-TANJUNG PRIOK)</t>
  </si>
  <si>
    <t>JAK 88 (TANJUNG PRIOK-ANCOL BARAT)</t>
  </si>
  <si>
    <t>JAK 89 (TANJUNG PRIOK-KOTA TUA)</t>
  </si>
  <si>
    <t>JAK 90 (TANJUNG PRIOK-RUSUN KEMAYORAN)</t>
  </si>
  <si>
    <t>JAK 110A (RUSUN MARUNDA-PULO GEBANG)</t>
  </si>
  <si>
    <t>JAK 113 (TANAH MERDEKA-KAMPUNG SAWAH)</t>
  </si>
  <si>
    <t>JAK 115 (TANJUNG PRIOK-IGI PEGANGSAAN)</t>
  </si>
  <si>
    <t>JAK 117 (TANJUNG PRIOK-TANAH MERDEKA)</t>
  </si>
  <si>
    <t>JAK 118 (DANAU CINCIN-KOTA TUA)</t>
  </si>
  <si>
    <t>JAK 120 AC (JEMBATAN ITEM-MUARA ANGKE)</t>
  </si>
  <si>
    <t>DATA WAKTU TEMPUH RUTE</t>
  </si>
  <si>
    <t>WAKTU TEMPUH 1 RIT</t>
  </si>
  <si>
    <t>50 MENIT</t>
  </si>
  <si>
    <t>120 MENIT</t>
  </si>
  <si>
    <t>110 MENIT</t>
  </si>
  <si>
    <t>90 MENIT</t>
  </si>
  <si>
    <t xml:space="preserve">JAK 76 (ASMI-JL. INDUSTRI)						</t>
  </si>
  <si>
    <t xml:space="preserve">JAK 87 (RAWAMANGUN-TANJUNG PRIOK)						</t>
  </si>
  <si>
    <t>130 MENIT</t>
  </si>
  <si>
    <t>100 MENIT</t>
  </si>
  <si>
    <t xml:space="preserve">JAK 110A (RUSUN MARUNDA-PULO GEBANG)						</t>
  </si>
  <si>
    <t>140 MENIT</t>
  </si>
  <si>
    <t>TOTAL AGUSTUS 2026</t>
  </si>
  <si>
    <t>TOTAL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</si>
</sst>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&quot;, &quot;dd&quot; &quot;mmmm&quot; &quot;yyyy"/>
    <numFmt numFmtId="165" formatCode="#,##0.000"/>
    <numFmt numFmtId="166" formatCode="#,##0.0"/>
    <numFmt numFmtId="167" formatCode="0.000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b/>
      <sz val="35"/>
      <color theme="1"/>
      <name val="Impact"/>
    </font>
    <font>
      <b/>
      <sz val="12"/>
      <color theme="1"/>
      <name val="Calibri"/>
    </font>
    <font>
      <b/>
      <sz val="35"/>
      <color rgb="FFFF0000"/>
      <name val="Impact"/>
    </font>
    <font>
      <b/>
      <sz val="9"/>
      <color theme="1"/>
      <name val="Arial"/>
    </font>
    <font>
      <b/>
      <sz val="10"/>
      <color rgb="FFFF0000"/>
      <name val="Arial"/>
    </font>
    <font>
      <b/>
      <sz val="11"/>
      <color theme="1"/>
      <name val="Calibri"/>
    </font>
    <font>
      <b/>
      <sz val="11"/>
      <color rgb="FFFF0000"/>
      <name val="Calibri"/>
    </font>
    <font>
      <b/>
      <sz val="12"/>
      <color theme="1"/>
      <name val="Arial"/>
    </font>
    <font>
      <b/>
      <sz val="12"/>
      <color rgb="FFFF0000"/>
      <name val="Arial"/>
    </font>
    <font>
      <b/>
      <sz val="12"/>
      <color rgb="FFFF0000"/>
      <name val="Calibri"/>
    </font>
    <font>
      <b/>
      <sz val="35"/>
      <color rgb="FFFFFF00"/>
      <name val="Impact"/>
    </font>
    <font>
      <b/>
      <sz val="18"/>
      <color theme="1"/>
      <name val="Calibri"/>
    </font>
    <font>
      <b/>
      <sz val="13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6D01"/>
        <bgColor rgb="FFFF6D01"/>
      </patternFill>
    </fill>
    <fill>
      <patternFill patternType="solid">
        <fgColor rgb="FFFBBC04"/>
        <bgColor rgb="FFFBBC04"/>
      </patternFill>
    </fill>
    <fill>
      <patternFill patternType="solid">
        <fgColor rgb="FF34A853"/>
        <bgColor rgb="FF34A853"/>
      </patternFill>
    </fill>
    <fill>
      <patternFill patternType="solid">
        <fgColor rgb="FF3C78D8"/>
        <bgColor rgb="FF3C78D8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5" borderId="5" xfId="0" applyFont="1" applyFill="1" applyBorder="1" applyAlignment="1">
      <alignment horizontal="center"/>
    </xf>
    <xf numFmtId="2" fontId="1" fillId="5" borderId="5" xfId="0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0" fontId="7" fillId="5" borderId="5" xfId="0" applyNumberFormat="1" applyFont="1" applyFill="1" applyBorder="1" applyAlignment="1">
      <alignment horizontal="center"/>
    </xf>
    <xf numFmtId="165" fontId="1" fillId="5" borderId="5" xfId="0" applyNumberFormat="1" applyFont="1" applyFill="1" applyBorder="1" applyAlignment="1">
      <alignment horizontal="center"/>
    </xf>
    <xf numFmtId="166" fontId="1" fillId="5" borderId="5" xfId="0" applyNumberFormat="1" applyFont="1" applyFill="1" applyBorder="1" applyAlignment="1">
      <alignment horizontal="center"/>
    </xf>
    <xf numFmtId="3" fontId="1" fillId="5" borderId="5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10" fontId="8" fillId="0" borderId="5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wrapText="1"/>
    </xf>
    <xf numFmtId="3" fontId="9" fillId="0" borderId="5" xfId="0" applyNumberFormat="1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center" vertical="center" wrapText="1"/>
    </xf>
    <xf numFmtId="10" fontId="10" fillId="0" borderId="5" xfId="0" applyNumberFormat="1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center" vertical="center" wrapText="1"/>
    </xf>
    <xf numFmtId="4" fontId="9" fillId="0" borderId="5" xfId="0" applyNumberFormat="1" applyFont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/>
    </xf>
    <xf numFmtId="3" fontId="11" fillId="6" borderId="5" xfId="0" applyNumberFormat="1" applyFont="1" applyFill="1" applyBorder="1" applyAlignment="1">
      <alignment horizontal="center"/>
    </xf>
    <xf numFmtId="4" fontId="11" fillId="6" borderId="5" xfId="0" applyNumberFormat="1" applyFont="1" applyFill="1" applyBorder="1" applyAlignment="1">
      <alignment horizontal="center"/>
    </xf>
    <xf numFmtId="2" fontId="11" fillId="6" borderId="5" xfId="0" applyNumberFormat="1" applyFont="1" applyFill="1" applyBorder="1" applyAlignment="1">
      <alignment horizontal="center"/>
    </xf>
    <xf numFmtId="10" fontId="12" fillId="6" borderId="5" xfId="0" applyNumberFormat="1" applyFont="1" applyFill="1" applyBorder="1" applyAlignment="1">
      <alignment horizontal="center"/>
    </xf>
    <xf numFmtId="166" fontId="11" fillId="6" borderId="5" xfId="0" applyNumberFormat="1" applyFont="1" applyFill="1" applyBorder="1" applyAlignment="1">
      <alignment horizontal="center"/>
    </xf>
    <xf numFmtId="165" fontId="11" fillId="6" borderId="5" xfId="0" applyNumberFormat="1" applyFont="1" applyFill="1" applyBorder="1" applyAlignment="1">
      <alignment horizontal="center"/>
    </xf>
    <xf numFmtId="3" fontId="9" fillId="0" borderId="5" xfId="0" applyNumberFormat="1" applyFont="1" applyBorder="1" applyAlignment="1">
      <alignment horizontal="center" wrapText="1"/>
    </xf>
    <xf numFmtId="4" fontId="9" fillId="0" borderId="5" xfId="0" applyNumberFormat="1" applyFont="1" applyBorder="1" applyAlignment="1">
      <alignment horizontal="center" wrapText="1"/>
    </xf>
    <xf numFmtId="10" fontId="9" fillId="0" borderId="5" xfId="0" applyNumberFormat="1" applyFont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wrapText="1"/>
    </xf>
    <xf numFmtId="0" fontId="11" fillId="6" borderId="5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wrapText="1"/>
    </xf>
    <xf numFmtId="3" fontId="10" fillId="0" borderId="5" xfId="0" applyNumberFormat="1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166" fontId="10" fillId="0" borderId="5" xfId="0" applyNumberFormat="1" applyFont="1" applyBorder="1" applyAlignment="1">
      <alignment horizontal="center" vertical="center" wrapText="1"/>
    </xf>
    <xf numFmtId="165" fontId="10" fillId="0" borderId="5" xfId="0" applyNumberFormat="1" applyFont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2" fontId="1" fillId="5" borderId="5" xfId="0" applyNumberFormat="1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wrapText="1"/>
    </xf>
    <xf numFmtId="10" fontId="7" fillId="5" borderId="5" xfId="0" applyNumberFormat="1" applyFont="1" applyFill="1" applyBorder="1" applyAlignment="1">
      <alignment horizontal="center" wrapText="1"/>
    </xf>
    <xf numFmtId="165" fontId="1" fillId="5" borderId="5" xfId="0" applyNumberFormat="1" applyFont="1" applyFill="1" applyBorder="1" applyAlignment="1">
      <alignment horizontal="center" wrapText="1"/>
    </xf>
    <xf numFmtId="166" fontId="1" fillId="5" borderId="5" xfId="0" applyNumberFormat="1" applyFont="1" applyFill="1" applyBorder="1" applyAlignment="1">
      <alignment horizontal="center" wrapText="1"/>
    </xf>
    <xf numFmtId="3" fontId="1" fillId="5" borderId="5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3" fontId="1" fillId="0" borderId="5" xfId="0" applyNumberFormat="1" applyFont="1" applyBorder="1" applyAlignment="1">
      <alignment horizontal="center" wrapText="1"/>
    </xf>
    <xf numFmtId="2" fontId="1" fillId="0" borderId="5" xfId="0" applyNumberFormat="1" applyFont="1" applyBorder="1" applyAlignment="1">
      <alignment horizontal="center" wrapText="1"/>
    </xf>
    <xf numFmtId="10" fontId="8" fillId="0" borderId="5" xfId="0" applyNumberFormat="1" applyFont="1" applyBorder="1" applyAlignment="1">
      <alignment horizontal="center" wrapText="1"/>
    </xf>
    <xf numFmtId="166" fontId="1" fillId="0" borderId="5" xfId="0" applyNumberFormat="1" applyFont="1" applyBorder="1" applyAlignment="1">
      <alignment horizontal="center" wrapText="1"/>
    </xf>
    <xf numFmtId="165" fontId="1" fillId="0" borderId="5" xfId="0" applyNumberFormat="1" applyFont="1" applyBorder="1" applyAlignment="1">
      <alignment horizontal="center" wrapText="1"/>
    </xf>
    <xf numFmtId="3" fontId="8" fillId="0" borderId="5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3" fontId="11" fillId="6" borderId="5" xfId="0" applyNumberFormat="1" applyFont="1" applyFill="1" applyBorder="1" applyAlignment="1">
      <alignment horizontal="center" wrapText="1"/>
    </xf>
    <xf numFmtId="2" fontId="11" fillId="6" borderId="5" xfId="0" applyNumberFormat="1" applyFont="1" applyFill="1" applyBorder="1" applyAlignment="1">
      <alignment horizontal="center" wrapText="1"/>
    </xf>
    <xf numFmtId="10" fontId="12" fillId="6" borderId="5" xfId="0" applyNumberFormat="1" applyFont="1" applyFill="1" applyBorder="1" applyAlignment="1">
      <alignment horizontal="center" wrapText="1"/>
    </xf>
    <xf numFmtId="166" fontId="11" fillId="6" borderId="5" xfId="0" applyNumberFormat="1" applyFont="1" applyFill="1" applyBorder="1" applyAlignment="1">
      <alignment horizontal="center" wrapText="1"/>
    </xf>
    <xf numFmtId="165" fontId="11" fillId="6" borderId="5" xfId="0" applyNumberFormat="1" applyFont="1" applyFill="1" applyBorder="1" applyAlignment="1">
      <alignment horizontal="center" wrapText="1"/>
    </xf>
    <xf numFmtId="3" fontId="12" fillId="6" borderId="5" xfId="0" applyNumberFormat="1" applyFont="1" applyFill="1" applyBorder="1" applyAlignment="1">
      <alignment horizontal="center" wrapText="1"/>
    </xf>
    <xf numFmtId="164" fontId="11" fillId="6" borderId="5" xfId="0" applyNumberFormat="1" applyFont="1" applyFill="1" applyBorder="1" applyAlignment="1">
      <alignment horizontal="center" wrapText="1"/>
    </xf>
    <xf numFmtId="3" fontId="12" fillId="6" borderId="5" xfId="0" applyNumberFormat="1" applyFont="1" applyFill="1" applyBorder="1" applyAlignment="1">
      <alignment horizontal="center"/>
    </xf>
    <xf numFmtId="10" fontId="13" fillId="6" borderId="4" xfId="0" applyNumberFormat="1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166" fontId="5" fillId="6" borderId="4" xfId="0" applyNumberFormat="1" applyFont="1" applyFill="1" applyBorder="1" applyAlignment="1">
      <alignment horizontal="center" vertical="center" wrapText="1"/>
    </xf>
    <xf numFmtId="165" fontId="5" fillId="6" borderId="4" xfId="0" applyNumberFormat="1" applyFont="1" applyFill="1" applyBorder="1" applyAlignment="1">
      <alignment horizontal="center" vertical="center" wrapText="1"/>
    </xf>
    <xf numFmtId="3" fontId="5" fillId="6" borderId="4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3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5" fillId="5" borderId="4" xfId="0" applyFont="1" applyFill="1" applyBorder="1" applyAlignment="1">
      <alignment horizontal="center" vertical="center" wrapText="1"/>
    </xf>
    <xf numFmtId="2" fontId="5" fillId="5" borderId="4" xfId="0" applyNumberFormat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3" fillId="0" borderId="19" xfId="0" applyFont="1" applyBorder="1"/>
    <xf numFmtId="0" fontId="3" fillId="0" borderId="20" xfId="0" applyFont="1" applyBorder="1"/>
    <xf numFmtId="0" fontId="15" fillId="11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167" fontId="1" fillId="0" borderId="18" xfId="0" applyNumberFormat="1" applyFont="1" applyBorder="1" applyAlignment="1">
      <alignment horizontal="center" vertical="center" wrapText="1"/>
    </xf>
    <xf numFmtId="0" fontId="16" fillId="12" borderId="10" xfId="0" applyFont="1" applyFill="1" applyBorder="1" applyAlignment="1">
      <alignment horizontal="center" vertical="center" wrapText="1"/>
    </xf>
    <xf numFmtId="2" fontId="16" fillId="12" borderId="1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8" borderId="1" xfId="0" applyFont="1" applyFill="1" applyBorder="1"/>
    <xf numFmtId="0" fontId="5" fillId="6" borderId="4" xfId="0" applyFont="1" applyFill="1" applyBorder="1" applyAlignment="1">
      <alignment horizontal="center" vertical="center" wrapText="1"/>
    </xf>
    <xf numFmtId="2" fontId="5" fillId="6" borderId="4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2" fillId="0" borderId="0" xfId="0" applyFont="1"/>
    <xf numFmtId="0" fontId="1" fillId="3" borderId="1" xfId="0" applyFont="1" applyFill="1" applyBorder="1" applyAlignment="1">
      <alignment horizontal="left" vertical="center"/>
    </xf>
    <xf numFmtId="0" fontId="16" fillId="10" borderId="10" xfId="0" applyFont="1" applyFill="1" applyBorder="1" applyAlignment="1">
      <alignment horizontal="center" vertical="center" wrapText="1"/>
    </xf>
    <xf numFmtId="2" fontId="16" fillId="10" borderId="10" xfId="0" applyNumberFormat="1" applyFont="1" applyFill="1" applyBorder="1" applyAlignment="1">
      <alignment horizontal="center" vertical="center" wrapText="1"/>
    </xf>
    <xf numFmtId="3" fontId="5" fillId="5" borderId="4" xfId="0" applyNumberFormat="1" applyFont="1" applyFill="1" applyBorder="1" applyAlignment="1">
      <alignment horizontal="center" vertical="center" wrapText="1"/>
    </xf>
    <xf numFmtId="165" fontId="5" fillId="5" borderId="4" xfId="0" applyNumberFormat="1" applyFont="1" applyFill="1" applyBorder="1" applyAlignment="1">
      <alignment horizontal="center" vertical="center" wrapText="1"/>
    </xf>
    <xf numFmtId="166" fontId="5" fillId="5" borderId="4" xfId="0" applyNumberFormat="1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textRotation="90" wrapText="1"/>
    </xf>
    <xf numFmtId="0" fontId="3" fillId="0" borderId="9" xfId="0" applyFont="1" applyBorder="1"/>
    <xf numFmtId="164" fontId="6" fillId="4" borderId="4" xfId="0" applyNumberFormat="1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912"/>
  <sheetViews>
    <sheetView tabSelected="1" workbookViewId="0">
      <pane xSplit="3" topLeftCell="D1" activePane="topRight" state="frozen"/>
      <selection pane="topRight" activeCell="E2" sqref="E2"/>
    </sheetView>
  </sheetViews>
  <sheetFormatPr defaultColWidth="12.5703125" defaultRowHeight="15.75" customHeight="1" x14ac:dyDescent="0.2"/>
  <cols>
    <col min="1" max="1" width="12.5703125" customWidth="1"/>
    <col min="2" max="3" width="9.28515625" customWidth="1"/>
    <col min="4" max="5" width="8.5703125" customWidth="1"/>
    <col min="6" max="6" width="12" customWidth="1"/>
    <col min="7" max="13" width="11.42578125" customWidth="1"/>
    <col min="14" max="22" width="12.5703125" customWidth="1"/>
    <col min="24" max="24" width="9.7109375" customWidth="1"/>
    <col min="25" max="25" width="9.140625" customWidth="1"/>
    <col min="26" max="27" width="9" customWidth="1"/>
    <col min="28" max="28" width="11.85546875" customWidth="1"/>
    <col min="29" max="34" width="15" customWidth="1"/>
    <col min="35" max="35" width="17.7109375" customWidth="1"/>
    <col min="36" max="36" width="16" customWidth="1"/>
    <col min="37" max="37" width="19.42578125" customWidth="1"/>
    <col min="38" max="38" width="23.85546875" customWidth="1"/>
    <col min="39" max="39" width="21" customWidth="1"/>
    <col min="40" max="40" width="24.7109375" customWidth="1"/>
    <col min="41" max="41" width="16.140625" customWidth="1"/>
    <col min="42" max="42" width="12.5703125" customWidth="1"/>
    <col min="43" max="43" width="8.7109375" customWidth="1"/>
    <col min="44" max="44" width="16.28515625" customWidth="1"/>
    <col min="45" max="45" width="21.5703125" customWidth="1"/>
    <col min="46" max="46" width="26.5703125" customWidth="1"/>
  </cols>
  <sheetData>
    <row r="1" spans="1:46" ht="15.75" customHeight="1" x14ac:dyDescent="0.2">
      <c r="A1" s="110" t="s">
        <v>0</v>
      </c>
      <c r="B1" s="76"/>
      <c r="C1" s="76"/>
      <c r="D1" s="75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101"/>
      <c r="X1" s="102" t="s">
        <v>1</v>
      </c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9"/>
      <c r="AS1" s="101"/>
      <c r="AT1" s="76"/>
    </row>
    <row r="2" spans="1:46" ht="15.75" customHeight="1" x14ac:dyDescent="0.2">
      <c r="A2" s="109">
        <v>46204</v>
      </c>
      <c r="B2" s="80" t="s">
        <v>2</v>
      </c>
      <c r="C2" s="80" t="s">
        <v>3</v>
      </c>
      <c r="D2" s="80" t="s">
        <v>4</v>
      </c>
      <c r="E2" s="80" t="s">
        <v>5</v>
      </c>
      <c r="F2" s="81" t="s">
        <v>6</v>
      </c>
      <c r="G2" s="80" t="s">
        <v>7</v>
      </c>
      <c r="H2" s="80" t="s">
        <v>8</v>
      </c>
      <c r="I2" s="80" t="s">
        <v>9</v>
      </c>
      <c r="J2" s="80" t="s">
        <v>10</v>
      </c>
      <c r="K2" s="80" t="s">
        <v>11</v>
      </c>
      <c r="L2" s="80" t="s">
        <v>12</v>
      </c>
      <c r="M2" s="80" t="s">
        <v>13</v>
      </c>
      <c r="N2" s="81" t="s">
        <v>14</v>
      </c>
      <c r="O2" s="80" t="s">
        <v>15</v>
      </c>
      <c r="P2" s="80" t="s">
        <v>16</v>
      </c>
      <c r="Q2" s="80" t="s">
        <v>17</v>
      </c>
      <c r="R2" s="80" t="s">
        <v>18</v>
      </c>
      <c r="S2" s="106" t="s">
        <v>19</v>
      </c>
      <c r="T2" s="107" t="s">
        <v>20</v>
      </c>
      <c r="U2" s="107" t="s">
        <v>21</v>
      </c>
      <c r="V2" s="105" t="s">
        <v>22</v>
      </c>
      <c r="W2" s="76"/>
      <c r="X2" s="1" t="s">
        <v>2</v>
      </c>
      <c r="Y2" s="1" t="s">
        <v>3</v>
      </c>
      <c r="Z2" s="1" t="s">
        <v>4</v>
      </c>
      <c r="AA2" s="1" t="s">
        <v>5</v>
      </c>
      <c r="AB2" s="2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2" t="s">
        <v>14</v>
      </c>
      <c r="AK2" s="1" t="s">
        <v>15</v>
      </c>
      <c r="AL2" s="1" t="s">
        <v>16</v>
      </c>
      <c r="AM2" s="3" t="s">
        <v>17</v>
      </c>
      <c r="AN2" s="4" t="s">
        <v>18</v>
      </c>
      <c r="AO2" s="5" t="s">
        <v>19</v>
      </c>
      <c r="AP2" s="6" t="s">
        <v>20</v>
      </c>
      <c r="AQ2" s="6" t="s">
        <v>21</v>
      </c>
      <c r="AR2" s="7" t="s">
        <v>22</v>
      </c>
      <c r="AS2" s="76"/>
      <c r="AT2" s="76"/>
    </row>
    <row r="3" spans="1:46" ht="15.75" customHeight="1" x14ac:dyDescent="0.2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6"/>
      <c r="X3" s="8">
        <v>1</v>
      </c>
      <c r="Y3" s="8" t="s">
        <v>23</v>
      </c>
      <c r="Z3" s="8">
        <f t="shared" ref="Z3:AI3" si="0">SUM(D11)</f>
        <v>35</v>
      </c>
      <c r="AA3" s="9">
        <f t="shared" ca="1" si="0"/>
        <v>35</v>
      </c>
      <c r="AB3" s="10">
        <f t="shared" ca="1" si="0"/>
        <v>6849.2199999999903</v>
      </c>
      <c r="AC3" s="9">
        <f t="shared" ca="1" si="0"/>
        <v>1661</v>
      </c>
      <c r="AD3" s="9">
        <f t="shared" ca="1" si="0"/>
        <v>0</v>
      </c>
      <c r="AE3" s="9">
        <f t="shared" ca="1" si="0"/>
        <v>1661</v>
      </c>
      <c r="AF3" s="9">
        <f t="shared" ca="1" si="0"/>
        <v>2904</v>
      </c>
      <c r="AG3" s="9">
        <f t="shared" ca="1" si="0"/>
        <v>0</v>
      </c>
      <c r="AH3" s="9">
        <f t="shared" ca="1" si="0"/>
        <v>2904</v>
      </c>
      <c r="AI3" s="9">
        <f t="shared" ca="1" si="0"/>
        <v>4565</v>
      </c>
      <c r="AJ3" s="11">
        <f t="shared" ref="AJ3:AJ5" ca="1" si="1">AB3/AA3</f>
        <v>195.69199999999972</v>
      </c>
      <c r="AK3" s="8">
        <f>SUM(O11)</f>
        <v>6853</v>
      </c>
      <c r="AL3" s="12">
        <f t="shared" ref="AL3:AL9" ca="1" si="2">AI3/AK3</f>
        <v>0.666131621187801</v>
      </c>
      <c r="AM3" s="13">
        <f t="shared" ref="AM3:AM5" si="3">SUM(Q11)</f>
        <v>1.5</v>
      </c>
      <c r="AN3" s="12">
        <f t="shared" ref="AN3:AN9" ca="1" si="4">AO3/AM3</f>
        <v>0.44433283400640328</v>
      </c>
      <c r="AO3" s="14">
        <f t="shared" ref="AO3:AO9" ca="1" si="5">AI3/AB3</f>
        <v>0.66649925100960494</v>
      </c>
      <c r="AP3" s="13">
        <f t="shared" ref="AP3:AQ3" ca="1" si="6">SUM(T11)</f>
        <v>202.99999999999969</v>
      </c>
      <c r="AQ3" s="13">
        <f t="shared" ca="1" si="6"/>
        <v>5.7999999999999909</v>
      </c>
      <c r="AR3" s="9">
        <f t="shared" ref="AR3:AR9" ca="1" si="7">AI3/AA3</f>
        <v>130.42857142857142</v>
      </c>
      <c r="AS3" s="76"/>
      <c r="AT3" s="76"/>
    </row>
    <row r="4" spans="1:46" ht="15.75" customHeight="1" x14ac:dyDescent="0.2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6"/>
      <c r="X4" s="8">
        <v>2</v>
      </c>
      <c r="Y4" s="8" t="s">
        <v>24</v>
      </c>
      <c r="Z4" s="8">
        <f t="shared" ref="Z4:AI4" si="8">SUM(D12)</f>
        <v>44</v>
      </c>
      <c r="AA4" s="9">
        <f t="shared" ca="1" si="8"/>
        <v>43</v>
      </c>
      <c r="AB4" s="10">
        <f t="shared" ca="1" si="8"/>
        <v>8276.0959999999905</v>
      </c>
      <c r="AC4" s="9">
        <f t="shared" ca="1" si="8"/>
        <v>965</v>
      </c>
      <c r="AD4" s="9">
        <f t="shared" ca="1" si="8"/>
        <v>0</v>
      </c>
      <c r="AE4" s="9">
        <f t="shared" ca="1" si="8"/>
        <v>965</v>
      </c>
      <c r="AF4" s="9">
        <f t="shared" ca="1" si="8"/>
        <v>1210</v>
      </c>
      <c r="AG4" s="9">
        <f t="shared" ca="1" si="8"/>
        <v>4</v>
      </c>
      <c r="AH4" s="9">
        <f t="shared" ca="1" si="8"/>
        <v>1214</v>
      </c>
      <c r="AI4" s="9">
        <f t="shared" ca="1" si="8"/>
        <v>2179</v>
      </c>
      <c r="AJ4" s="11">
        <f t="shared" ca="1" si="1"/>
        <v>192.46734883720907</v>
      </c>
      <c r="AK4" s="8">
        <v>1580</v>
      </c>
      <c r="AL4" s="15">
        <f t="shared" ca="1" si="2"/>
        <v>1.3791139240506329</v>
      </c>
      <c r="AM4" s="13">
        <f t="shared" si="3"/>
        <v>1.5</v>
      </c>
      <c r="AN4" s="12">
        <f t="shared" ca="1" si="4"/>
        <v>0.17552559403209778</v>
      </c>
      <c r="AO4" s="14">
        <f t="shared" ca="1" si="5"/>
        <v>0.26328839104814666</v>
      </c>
      <c r="AP4" s="13">
        <f t="shared" ref="AP4:AQ4" ca="1" si="9">SUM(T12)</f>
        <v>308.75194926319682</v>
      </c>
      <c r="AQ4" s="13">
        <f t="shared" ca="1" si="9"/>
        <v>7.1802778898417863</v>
      </c>
      <c r="AR4" s="9">
        <f t="shared" ca="1" si="7"/>
        <v>50.674418604651166</v>
      </c>
      <c r="AS4" s="76"/>
      <c r="AT4" s="76"/>
    </row>
    <row r="5" spans="1:46" ht="15.75" customHeight="1" x14ac:dyDescent="0.2">
      <c r="A5" s="70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6"/>
      <c r="X5" s="8">
        <v>3</v>
      </c>
      <c r="Y5" s="8" t="s">
        <v>25</v>
      </c>
      <c r="Z5" s="8">
        <f t="shared" ref="Z5:AI5" si="10">SUM(D13)</f>
        <v>32</v>
      </c>
      <c r="AA5" s="9">
        <f t="shared" ca="1" si="10"/>
        <v>30</v>
      </c>
      <c r="AB5" s="10">
        <f t="shared" ca="1" si="10"/>
        <v>5699.5280000000002</v>
      </c>
      <c r="AC5" s="9">
        <f t="shared" ca="1" si="10"/>
        <v>2010</v>
      </c>
      <c r="AD5" s="9">
        <f t="shared" ca="1" si="10"/>
        <v>343</v>
      </c>
      <c r="AE5" s="9">
        <f t="shared" ca="1" si="10"/>
        <v>2353</v>
      </c>
      <c r="AF5" s="9">
        <f t="shared" ca="1" si="10"/>
        <v>3122</v>
      </c>
      <c r="AG5" s="9">
        <f t="shared" ca="1" si="10"/>
        <v>83</v>
      </c>
      <c r="AH5" s="9">
        <f t="shared" ca="1" si="10"/>
        <v>3205</v>
      </c>
      <c r="AI5" s="9">
        <f t="shared" ca="1" si="10"/>
        <v>5558</v>
      </c>
      <c r="AJ5" s="11">
        <f t="shared" ca="1" si="1"/>
        <v>189.98426666666668</v>
      </c>
      <c r="AK5" s="8">
        <f>SUM(O13)</f>
        <v>6622</v>
      </c>
      <c r="AL5" s="12">
        <f t="shared" ca="1" si="2"/>
        <v>0.83932346723044393</v>
      </c>
      <c r="AM5" s="13">
        <f t="shared" si="3"/>
        <v>1.5</v>
      </c>
      <c r="AN5" s="12">
        <f t="shared" ca="1" si="4"/>
        <v>0.65011231339390441</v>
      </c>
      <c r="AO5" s="14">
        <f t="shared" ca="1" si="5"/>
        <v>0.97516847009085661</v>
      </c>
      <c r="AP5" s="13">
        <f t="shared" ref="AP5:AQ5" ca="1" si="11">SUM(T13)</f>
        <v>239.07416107382551</v>
      </c>
      <c r="AQ5" s="13">
        <f t="shared" ca="1" si="11"/>
        <v>7.9691387024608504</v>
      </c>
      <c r="AR5" s="9">
        <f t="shared" ca="1" si="7"/>
        <v>185.26666666666668</v>
      </c>
      <c r="AS5" s="76"/>
      <c r="AT5" s="76"/>
    </row>
    <row r="6" spans="1:46" ht="15.75" customHeight="1" x14ac:dyDescent="0.25">
      <c r="A6" s="70"/>
      <c r="B6" s="16">
        <v>1</v>
      </c>
      <c r="C6" s="16" t="s">
        <v>26</v>
      </c>
      <c r="D6" s="17">
        <v>20</v>
      </c>
      <c r="E6" s="18">
        <f ca="1">IFERROR(__xludf.DUMMYFUNCTION("COUNT(IMPORTRANGE(""https://docs.google.com/spreadsheets/d/1z0o91thOT38lgejTE_Bd2p3v_9VCDdQRkUsMIVqpQCk/edit"",""1!d2:d21""))"),20)</f>
        <v>20</v>
      </c>
      <c r="F6" s="19">
        <f ca="1">IFERROR(__xludf.DUMMYFUNCTION("SUM(IMPORTRANGE(""https://docs.google.com/spreadsheets/d/1z0o91thOT38lgejTE_Bd2p3v_9VCDdQRkUsMIVqpQCk/edit"",""1!Q2:Q21""))"),3589.94699999999)</f>
        <v>3589.9469999999901</v>
      </c>
      <c r="G6" s="18">
        <f ca="1">IFERROR(__xludf.DUMMYFUNCTION("IMPORTRANGE(""https://docs.google.com/spreadsheets/d/1z0o91thOT38lgejTE_Bd2p3v_9VCDdQRkUsMIVqpQCk/edit"",""1!e28"")"),1811)</f>
        <v>1811</v>
      </c>
      <c r="H6" s="18">
        <f ca="1">IFERROR(__xludf.DUMMYFUNCTION("IMPORTRANGE(""https://docs.google.com/spreadsheets/d/1z0o91thOT38lgejTE_Bd2p3v_9VCDdQRkUsMIVqpQCk/edit"",""1!e29"")"),0)</f>
        <v>0</v>
      </c>
      <c r="I6" s="18">
        <f t="shared" ref="I6:I23" ca="1" si="12">SUM(G6:H6)</f>
        <v>1811</v>
      </c>
      <c r="J6" s="18">
        <f ca="1">IFERROR(__xludf.DUMMYFUNCTION("IMPORTRANGE(""https://docs.google.com/spreadsheets/d/1z0o91thOT38lgejTE_Bd2p3v_9VCDdQRkUsMIVqpQCk/edit"",""1!e32"")"),2360)</f>
        <v>2360</v>
      </c>
      <c r="K6" s="18">
        <f ca="1">IFERROR(__xludf.DUMMYFUNCTION("IMPORTRANGE(""https://docs.google.com/spreadsheets/d/1z0o91thOT38lgejTE_Bd2p3v_9VCDdQRkUsMIVqpQCk/edit"",""1!e33"")"),0)</f>
        <v>0</v>
      </c>
      <c r="L6" s="18">
        <f t="shared" ref="L6:L12" ca="1" si="13">SUM(J6:K6)</f>
        <v>2360</v>
      </c>
      <c r="M6" s="18">
        <f t="shared" ref="M6:M23" ca="1" si="14">SUM(I6+L6)</f>
        <v>4171</v>
      </c>
      <c r="N6" s="19">
        <f t="shared" ref="N6:N24" ca="1" si="15">F6/E6</f>
        <v>179.4973499999995</v>
      </c>
      <c r="O6" s="16">
        <v>5161</v>
      </c>
      <c r="P6" s="20">
        <f t="shared" ref="P6:P24" ca="1" si="16">M6/O6</f>
        <v>0.80817670993993407</v>
      </c>
      <c r="Q6" s="21">
        <v>1.5</v>
      </c>
      <c r="R6" s="20">
        <f t="shared" ref="R6:R24" ca="1" si="17">S6/Q6</f>
        <v>0.77457039523610638</v>
      </c>
      <c r="S6" s="22">
        <f t="shared" ref="S6:S24" ca="1" si="18">M6/F6</f>
        <v>1.1618555928541596</v>
      </c>
      <c r="T6" s="21">
        <f ca="1">F6/14.415</f>
        <v>249.04245577523346</v>
      </c>
      <c r="U6" s="21">
        <f t="shared" ref="U6:U24" ca="1" si="19">T6/E6</f>
        <v>12.452122788761674</v>
      </c>
      <c r="V6" s="18">
        <f t="shared" ref="V6:V24" ca="1" si="20">M6/E6</f>
        <v>208.55</v>
      </c>
      <c r="W6" s="76"/>
      <c r="X6" s="8">
        <v>4</v>
      </c>
      <c r="Y6" s="8" t="s">
        <v>27</v>
      </c>
      <c r="Z6" s="8">
        <f t="shared" ref="Z6:AK6" si="21">SUM(D19)</f>
        <v>30</v>
      </c>
      <c r="AA6" s="9">
        <f t="shared" ca="1" si="21"/>
        <v>29</v>
      </c>
      <c r="AB6" s="10">
        <f t="shared" ca="1" si="21"/>
        <v>5705.58</v>
      </c>
      <c r="AC6" s="9">
        <f t="shared" ca="1" si="21"/>
        <v>2473</v>
      </c>
      <c r="AD6" s="9">
        <f t="shared" ca="1" si="21"/>
        <v>128</v>
      </c>
      <c r="AE6" s="9">
        <f t="shared" ca="1" si="21"/>
        <v>2601</v>
      </c>
      <c r="AF6" s="9">
        <f t="shared" ca="1" si="21"/>
        <v>1994</v>
      </c>
      <c r="AG6" s="9">
        <f t="shared" ca="1" si="21"/>
        <v>126</v>
      </c>
      <c r="AH6" s="9">
        <f t="shared" ca="1" si="21"/>
        <v>2120</v>
      </c>
      <c r="AI6" s="9">
        <f t="shared" ca="1" si="21"/>
        <v>4721</v>
      </c>
      <c r="AJ6" s="11">
        <f t="shared" ca="1" si="21"/>
        <v>196.74413793103449</v>
      </c>
      <c r="AK6" s="8">
        <f t="shared" si="21"/>
        <v>8101</v>
      </c>
      <c r="AL6" s="12">
        <f t="shared" ca="1" si="2"/>
        <v>0.58276755956054804</v>
      </c>
      <c r="AM6" s="13">
        <f>SUM(Q19)</f>
        <v>1.5</v>
      </c>
      <c r="AN6" s="12">
        <f t="shared" ca="1" si="4"/>
        <v>0.55162373208917115</v>
      </c>
      <c r="AO6" s="14">
        <f t="shared" ca="1" si="5"/>
        <v>0.82743559813375678</v>
      </c>
      <c r="AP6" s="13">
        <f t="shared" ref="AP6:AQ6" ca="1" si="22">SUM(T19)</f>
        <v>285.49311983987991</v>
      </c>
      <c r="AQ6" s="13">
        <f t="shared" ca="1" si="22"/>
        <v>9.8445903393062046</v>
      </c>
      <c r="AR6" s="9">
        <f t="shared" ca="1" si="7"/>
        <v>162.79310344827587</v>
      </c>
      <c r="AS6" s="76"/>
      <c r="AT6" s="76"/>
    </row>
    <row r="7" spans="1:46" ht="15.75" customHeight="1" x14ac:dyDescent="0.25">
      <c r="A7" s="70"/>
      <c r="B7" s="16">
        <v>2</v>
      </c>
      <c r="C7" s="16" t="s">
        <v>28</v>
      </c>
      <c r="D7" s="17">
        <v>33</v>
      </c>
      <c r="E7" s="18">
        <f ca="1">IFERROR(__xludf.DUMMYFUNCTION("COUNT(IMPORTRANGE(""https://docs.google.com/spreadsheets/d/10a85iNN0y9GF6ngQfF1JXGAzFk-T7ywH4-TZtQcOTaE/edit"",""1!d2:d34""))"),32)</f>
        <v>32</v>
      </c>
      <c r="F7" s="19">
        <f ca="1">IFERROR(__xludf.DUMMYFUNCTION("SUM(IMPORTRANGE(""https://docs.google.com/spreadsheets/d/10a85iNN0y9GF6ngQfF1JXGAzFk-T7ywH4-TZtQcOTaE/edit"",""1!Q2:Q34""))"),6141.444)</f>
        <v>6141.4440000000004</v>
      </c>
      <c r="G7" s="18">
        <f ca="1">IFERROR(__xludf.DUMMYFUNCTION("IMPORTRANGE(""https://docs.google.com/spreadsheets/d/10a85iNN0y9GF6ngQfF1JXGAzFk-T7ywH4-TZtQcOTaE/edit"",""1!e41"")"),2036)</f>
        <v>2036</v>
      </c>
      <c r="H7" s="18">
        <f ca="1">IFERROR(__xludf.DUMMYFUNCTION("IMPORTRANGE(""https://docs.google.com/spreadsheets/d/10a85iNN0y9GF6ngQfF1JXGAzFk-T7ywH4-TZtQcOTaE/edit"",""1!e42"")"),105)</f>
        <v>105</v>
      </c>
      <c r="I7" s="18">
        <f t="shared" ca="1" si="12"/>
        <v>2141</v>
      </c>
      <c r="J7" s="18">
        <f ca="1">IFERROR(__xludf.DUMMYFUNCTION("IMPORTRANGE(""https://docs.google.com/spreadsheets/d/10a85iNN0y9GF6ngQfF1JXGAzFk-T7ywH4-TZtQcOTaE/edit"",""1!e45"")"),2393)</f>
        <v>2393</v>
      </c>
      <c r="K7" s="18">
        <f ca="1">IFERROR(__xludf.DUMMYFUNCTION("IMPORTRANGE(""https://docs.google.com/spreadsheets/d/10a85iNN0y9GF6ngQfF1JXGAzFk-T7ywH4-TZtQcOTaE/edit"",""1!e46"")"),198)</f>
        <v>198</v>
      </c>
      <c r="L7" s="18">
        <f t="shared" ca="1" si="13"/>
        <v>2591</v>
      </c>
      <c r="M7" s="18">
        <f t="shared" ca="1" si="14"/>
        <v>4732</v>
      </c>
      <c r="N7" s="19">
        <f t="shared" ca="1" si="15"/>
        <v>191.92012500000001</v>
      </c>
      <c r="O7" s="16">
        <v>7315</v>
      </c>
      <c r="P7" s="20">
        <f t="shared" ca="1" si="16"/>
        <v>0.64688995215311007</v>
      </c>
      <c r="Q7" s="21">
        <v>1.5</v>
      </c>
      <c r="R7" s="20">
        <f t="shared" ca="1" si="17"/>
        <v>0.51366855525616884</v>
      </c>
      <c r="S7" s="22">
        <f t="shared" ca="1" si="18"/>
        <v>0.77050283288425325</v>
      </c>
      <c r="T7" s="21">
        <f ca="1">F7/30.897</f>
        <v>198.771531216623</v>
      </c>
      <c r="U7" s="21">
        <f t="shared" ca="1" si="19"/>
        <v>6.2116103505194689</v>
      </c>
      <c r="V7" s="18">
        <f t="shared" ca="1" si="20"/>
        <v>147.875</v>
      </c>
      <c r="W7" s="76"/>
      <c r="X7" s="8">
        <v>5</v>
      </c>
      <c r="Y7" s="8" t="s">
        <v>29</v>
      </c>
      <c r="Z7" s="8">
        <f t="shared" ref="Z7:AI7" si="23">SUM(D22)</f>
        <v>30</v>
      </c>
      <c r="AA7" s="9">
        <f t="shared" ca="1" si="23"/>
        <v>29</v>
      </c>
      <c r="AB7" s="10">
        <f t="shared" ca="1" si="23"/>
        <v>5702.3220000000001</v>
      </c>
      <c r="AC7" s="9">
        <f t="shared" ca="1" si="23"/>
        <v>2306</v>
      </c>
      <c r="AD7" s="9">
        <f t="shared" ca="1" si="23"/>
        <v>0</v>
      </c>
      <c r="AE7" s="9">
        <f t="shared" ca="1" si="23"/>
        <v>2306</v>
      </c>
      <c r="AF7" s="9">
        <f t="shared" ca="1" si="23"/>
        <v>3601</v>
      </c>
      <c r="AG7" s="9">
        <f t="shared" ca="1" si="23"/>
        <v>0</v>
      </c>
      <c r="AH7" s="9">
        <f t="shared" ca="1" si="23"/>
        <v>3601</v>
      </c>
      <c r="AI7" s="9">
        <f t="shared" ca="1" si="23"/>
        <v>5907</v>
      </c>
      <c r="AJ7" s="11">
        <f t="shared" ref="AJ7:AJ9" ca="1" si="24">AB7/AA7</f>
        <v>196.63179310344827</v>
      </c>
      <c r="AK7" s="8">
        <f t="shared" ref="AK7:AK8" si="25">SUM(O22)</f>
        <v>9201</v>
      </c>
      <c r="AL7" s="12">
        <f t="shared" ca="1" si="2"/>
        <v>0.64199543527877401</v>
      </c>
      <c r="AM7" s="13">
        <f t="shared" ref="AM7:AM8" si="26">SUM(Q22)</f>
        <v>1.5</v>
      </c>
      <c r="AN7" s="12">
        <f t="shared" ca="1" si="4"/>
        <v>0.69059586603492396</v>
      </c>
      <c r="AO7" s="14">
        <f t="shared" ca="1" si="5"/>
        <v>1.035893799052386</v>
      </c>
      <c r="AP7" s="13">
        <f t="shared" ref="AP7:AQ7" ca="1" si="27">SUM(T22)</f>
        <v>219</v>
      </c>
      <c r="AQ7" s="13">
        <f t="shared" ca="1" si="27"/>
        <v>7.5517241379310347</v>
      </c>
      <c r="AR7" s="9">
        <f t="shared" ca="1" si="7"/>
        <v>203.68965517241378</v>
      </c>
      <c r="AS7" s="76"/>
      <c r="AT7" s="76"/>
    </row>
    <row r="8" spans="1:46" ht="15.75" customHeight="1" x14ac:dyDescent="0.25">
      <c r="A8" s="70"/>
      <c r="B8" s="16">
        <v>3</v>
      </c>
      <c r="C8" s="16" t="s">
        <v>30</v>
      </c>
      <c r="D8" s="17">
        <v>60</v>
      </c>
      <c r="E8" s="18">
        <f ca="1">IFERROR(__xludf.DUMMYFUNCTION("COUNT(IMPORTRANGE(""https://docs.google.com/spreadsheets/d/1WojVzHhpzodJL1e5UDHeu3A3u5MTSZwvxHu0BrwvL9w/edit"",""1!d2:d61""))"),56)</f>
        <v>56</v>
      </c>
      <c r="F8" s="23">
        <f ca="1">IFERROR(__xludf.DUMMYFUNCTION("SUM(IMPORTRANGE(""https://docs.google.com/spreadsheets/d/1WojVzHhpzodJL1e5UDHeu3A3u5MTSZwvxHu0BrwvL9w/edit"",""1!Q2:Q61""))"),10957.3149999999)</f>
        <v>10957.3149999999</v>
      </c>
      <c r="G8" s="18">
        <f ca="1">IFERROR(__xludf.DUMMYFUNCTION("IMPORTRANGE(""https://docs.google.com/spreadsheets/d/1WojVzHhpzodJL1e5UDHeu3A3u5MTSZwvxHu0BrwvL9w/edit"",""1!e68"")"),2893)</f>
        <v>2893</v>
      </c>
      <c r="H8" s="18">
        <f ca="1">IFERROR(__xludf.DUMMYFUNCTION("IMPORTRANGE(""https://docs.google.com/spreadsheets/d/1WojVzHhpzodJL1e5UDHeu3A3u5MTSZwvxHu0BrwvL9w/edit"",""1!e69"")"),26)</f>
        <v>26</v>
      </c>
      <c r="I8" s="18">
        <f t="shared" ca="1" si="12"/>
        <v>2919</v>
      </c>
      <c r="J8" s="18">
        <f ca="1">IFERROR(__xludf.DUMMYFUNCTION("IMPORTRANGE(""https://docs.google.com/spreadsheets/d/1WojVzHhpzodJL1e5UDHeu3A3u5MTSZwvxHu0BrwvL9w/edit"",""1!e72"")"),4504)</f>
        <v>4504</v>
      </c>
      <c r="K8" s="18">
        <f ca="1">IFERROR(__xludf.DUMMYFUNCTION("IMPORTRANGE(""https://docs.google.com/spreadsheets/d/1WojVzHhpzodJL1e5UDHeu3A3u5MTSZwvxHu0BrwvL9w/edit"",""1!e73"")"),85)</f>
        <v>85</v>
      </c>
      <c r="L8" s="18">
        <f t="shared" ca="1" si="13"/>
        <v>4589</v>
      </c>
      <c r="M8" s="18">
        <f t="shared" ca="1" si="14"/>
        <v>7508</v>
      </c>
      <c r="N8" s="19">
        <f t="shared" ca="1" si="15"/>
        <v>195.6663392857125</v>
      </c>
      <c r="O8" s="16">
        <v>11164</v>
      </c>
      <c r="P8" s="20">
        <f t="shared" ca="1" si="16"/>
        <v>0.67251881046219997</v>
      </c>
      <c r="Q8" s="21">
        <v>1.5</v>
      </c>
      <c r="R8" s="20">
        <f t="shared" ca="1" si="17"/>
        <v>0.45680290594305073</v>
      </c>
      <c r="S8" s="22">
        <f t="shared" ca="1" si="18"/>
        <v>0.68520435891457609</v>
      </c>
      <c r="T8" s="21">
        <f ca="1">F8/29.603</f>
        <v>370.14204641421139</v>
      </c>
      <c r="U8" s="21">
        <f t="shared" ca="1" si="19"/>
        <v>6.6096794002537749</v>
      </c>
      <c r="V8" s="18">
        <f t="shared" ca="1" si="20"/>
        <v>134.07142857142858</v>
      </c>
      <c r="W8" s="76"/>
      <c r="X8" s="8">
        <v>6</v>
      </c>
      <c r="Y8" s="8" t="s">
        <v>31</v>
      </c>
      <c r="Z8" s="8">
        <f t="shared" ref="Z8:AI8" si="28">SUM(D23)</f>
        <v>15</v>
      </c>
      <c r="AA8" s="9">
        <f t="shared" ca="1" si="28"/>
        <v>15</v>
      </c>
      <c r="AB8" s="11">
        <f t="shared" ca="1" si="28"/>
        <v>2999.085</v>
      </c>
      <c r="AC8" s="9">
        <f t="shared" ca="1" si="28"/>
        <v>923</v>
      </c>
      <c r="AD8" s="9">
        <f t="shared" ca="1" si="28"/>
        <v>15</v>
      </c>
      <c r="AE8" s="9">
        <f t="shared" ca="1" si="28"/>
        <v>938</v>
      </c>
      <c r="AF8" s="9">
        <f t="shared" ca="1" si="28"/>
        <v>1060</v>
      </c>
      <c r="AG8" s="9">
        <f t="shared" ca="1" si="28"/>
        <v>0</v>
      </c>
      <c r="AH8" s="9">
        <f t="shared" ca="1" si="28"/>
        <v>1060</v>
      </c>
      <c r="AI8" s="9">
        <f t="shared" ca="1" si="28"/>
        <v>1998</v>
      </c>
      <c r="AJ8" s="11">
        <f t="shared" ca="1" si="24"/>
        <v>199.93899999999999</v>
      </c>
      <c r="AK8" s="8">
        <f t="shared" si="25"/>
        <v>2717</v>
      </c>
      <c r="AL8" s="12">
        <f t="shared" ca="1" si="2"/>
        <v>0.73536989326463009</v>
      </c>
      <c r="AM8" s="13">
        <f t="shared" si="26"/>
        <v>1.5</v>
      </c>
      <c r="AN8" s="12">
        <f t="shared" ca="1" si="4"/>
        <v>0.44413546131570131</v>
      </c>
      <c r="AO8" s="14">
        <f t="shared" ca="1" si="5"/>
        <v>0.66620319197355193</v>
      </c>
      <c r="AP8" s="13">
        <f t="shared" ref="AP8:AQ8" ca="1" si="29">SUM(T23)</f>
        <v>69</v>
      </c>
      <c r="AQ8" s="13">
        <f t="shared" ca="1" si="29"/>
        <v>4.5999999999999996</v>
      </c>
      <c r="AR8" s="9">
        <f t="shared" ca="1" si="7"/>
        <v>133.19999999999999</v>
      </c>
      <c r="AS8" s="76"/>
      <c r="AT8" s="76"/>
    </row>
    <row r="9" spans="1:46" ht="15.75" customHeight="1" x14ac:dyDescent="0.25">
      <c r="A9" s="70"/>
      <c r="B9" s="16">
        <v>4</v>
      </c>
      <c r="C9" s="16" t="s">
        <v>32</v>
      </c>
      <c r="D9" s="17">
        <v>42</v>
      </c>
      <c r="E9" s="18">
        <f ca="1">IFERROR(__xludf.DUMMYFUNCTION("COUNT(IMPORTRANGE(""https://docs.google.com/spreadsheets/d/1vmCj5YcMSPHj1m64syDndQ6cqVL3yolcU03Y8KHmvdc/edit"",""1!d2:d43""))"),39)</f>
        <v>39</v>
      </c>
      <c r="F9" s="23">
        <f ca="1">IFERROR(__xludf.DUMMYFUNCTION("SUM(IMPORTRANGE(""https://docs.google.com/spreadsheets/d/1vmCj5YcMSPHj1m64syDndQ6cqVL3yolcU03Y8KHmvdc/edit"",""1!Q2:Q43""))"),7827.76799999999)</f>
        <v>7827.76799999999</v>
      </c>
      <c r="G9" s="16">
        <f ca="1">IFERROR(__xludf.DUMMYFUNCTION("IMPORTRANGE(""https://docs.google.com/spreadsheets/d/1vmCj5YcMSPHj1m64syDndQ6cqVL3yolcU03Y8KHmvdc/edit"",""1!e50"")"),4318)</f>
        <v>4318</v>
      </c>
      <c r="H9" s="16">
        <f ca="1">IFERROR(__xludf.DUMMYFUNCTION("IMPORTRANGE(""https://docs.google.com/spreadsheets/d/1vmCj5YcMSPHj1m64syDndQ6cqVL3yolcU03Y8KHmvdc/edit"",""1!e51"")"),0)</f>
        <v>0</v>
      </c>
      <c r="I9" s="18">
        <f t="shared" ca="1" si="12"/>
        <v>4318</v>
      </c>
      <c r="J9" s="16">
        <f ca="1">IFERROR(__xludf.DUMMYFUNCTION("IMPORTRANGE(""https://docs.google.com/spreadsheets/d/1vmCj5YcMSPHj1m64syDndQ6cqVL3yolcU03Y8KHmvdc/edit"",""1!e54"")"),4924)</f>
        <v>4924</v>
      </c>
      <c r="K9" s="16">
        <f ca="1">IFERROR(__xludf.DUMMYFUNCTION("IMPORTRANGE(""https://docs.google.com/spreadsheets/d/1vmCj5YcMSPHj1m64syDndQ6cqVL3yolcU03Y8KHmvdc/edit"",""1!e55"")"),0)</f>
        <v>0</v>
      </c>
      <c r="L9" s="18">
        <f t="shared" ca="1" si="13"/>
        <v>4924</v>
      </c>
      <c r="M9" s="18">
        <f t="shared" ca="1" si="14"/>
        <v>9242</v>
      </c>
      <c r="N9" s="19">
        <f t="shared" ca="1" si="15"/>
        <v>200.71199999999973</v>
      </c>
      <c r="O9" s="16">
        <v>13817</v>
      </c>
      <c r="P9" s="20">
        <f t="shared" ca="1" si="16"/>
        <v>0.66888615473691826</v>
      </c>
      <c r="Q9" s="21">
        <v>1.5</v>
      </c>
      <c r="R9" s="20">
        <f t="shared" ca="1" si="17"/>
        <v>0.78711240973587115</v>
      </c>
      <c r="S9" s="22">
        <f t="shared" ca="1" si="18"/>
        <v>1.1806686146038068</v>
      </c>
      <c r="T9" s="21">
        <f ca="1">F9/25.089</f>
        <v>311.9999999999996</v>
      </c>
      <c r="U9" s="21">
        <f t="shared" ca="1" si="19"/>
        <v>7.9999999999999902</v>
      </c>
      <c r="V9" s="18">
        <f t="shared" ca="1" si="20"/>
        <v>236.97435897435898</v>
      </c>
      <c r="W9" s="76"/>
      <c r="X9" s="24" t="s">
        <v>33</v>
      </c>
      <c r="Y9" s="24">
        <v>6</v>
      </c>
      <c r="Z9" s="24">
        <f t="shared" ref="Z9:AI9" si="30">SUM(Z3:Z8)</f>
        <v>186</v>
      </c>
      <c r="AA9" s="25">
        <f t="shared" ca="1" si="30"/>
        <v>181</v>
      </c>
      <c r="AB9" s="26">
        <f t="shared" ca="1" si="30"/>
        <v>35231.830999999984</v>
      </c>
      <c r="AC9" s="25">
        <f t="shared" ca="1" si="30"/>
        <v>10338</v>
      </c>
      <c r="AD9" s="25">
        <f t="shared" ca="1" si="30"/>
        <v>486</v>
      </c>
      <c r="AE9" s="25">
        <f t="shared" ca="1" si="30"/>
        <v>10824</v>
      </c>
      <c r="AF9" s="25">
        <f t="shared" ca="1" si="30"/>
        <v>13891</v>
      </c>
      <c r="AG9" s="25">
        <f t="shared" ca="1" si="30"/>
        <v>213</v>
      </c>
      <c r="AH9" s="25">
        <f t="shared" ca="1" si="30"/>
        <v>14104</v>
      </c>
      <c r="AI9" s="25">
        <f t="shared" ca="1" si="30"/>
        <v>24928</v>
      </c>
      <c r="AJ9" s="27">
        <f t="shared" ca="1" si="24"/>
        <v>194.6509999999999</v>
      </c>
      <c r="AK9" s="24">
        <f>SUM(AK3:AK8)</f>
        <v>35074</v>
      </c>
      <c r="AL9" s="28">
        <f t="shared" ca="1" si="2"/>
        <v>0.71072589382448537</v>
      </c>
      <c r="AM9" s="29">
        <v>1.5</v>
      </c>
      <c r="AN9" s="28">
        <f t="shared" ca="1" si="4"/>
        <v>0.47169466346119432</v>
      </c>
      <c r="AO9" s="30">
        <f t="shared" ca="1" si="5"/>
        <v>0.70754199519179151</v>
      </c>
      <c r="AP9" s="29">
        <f ca="1">SUM(AP3:AP8)</f>
        <v>1324.3192301769018</v>
      </c>
      <c r="AQ9" s="29">
        <f ca="1">AP9/AA9</f>
        <v>7.3166808297066392</v>
      </c>
      <c r="AR9" s="25">
        <f t="shared" ca="1" si="7"/>
        <v>137.72375690607734</v>
      </c>
      <c r="AS9" s="76"/>
      <c r="AT9" s="76"/>
    </row>
    <row r="10" spans="1:46" ht="15.75" customHeight="1" x14ac:dyDescent="0.25">
      <c r="A10" s="70"/>
      <c r="B10" s="16">
        <v>5</v>
      </c>
      <c r="C10" s="16" t="s">
        <v>34</v>
      </c>
      <c r="D10" s="17">
        <v>40</v>
      </c>
      <c r="E10" s="18">
        <f ca="1">IFERROR(__xludf.DUMMYFUNCTION("COUNT(IMPORTRANGE(""https://docs.google.com/spreadsheets/d/14_Y-fpuq1wcec3DlT_1PBYekOC0YblQMrWVfO12YO3k/edit"",""1!d2:d41""))"),38)</f>
        <v>38</v>
      </c>
      <c r="F10" s="23">
        <f ca="1">IFERROR(__xludf.DUMMYFUNCTION("SUM(IMPORTRANGE(""https://docs.google.com/spreadsheets/d/14_Y-fpuq1wcec3DlT_1PBYekOC0YblQMrWVfO12YO3k/edit"",""1!Q2:Q41""))"),7355.343)</f>
        <v>7355.3429999999998</v>
      </c>
      <c r="G10" s="18">
        <f ca="1">IFERROR(__xludf.DUMMYFUNCTION("IMPORTRANGE(""https://docs.google.com/spreadsheets/d/14_Y-fpuq1wcec3DlT_1PBYekOC0YblQMrWVfO12YO3k/edit"",""1!e48"")"),2283)</f>
        <v>2283</v>
      </c>
      <c r="H10" s="18">
        <f ca="1">IFERROR(__xludf.DUMMYFUNCTION("IMPORTRANGE(""https://docs.google.com/spreadsheets/d/14_Y-fpuq1wcec3DlT_1PBYekOC0YblQMrWVfO12YO3k/edit"",""1!e49"")"),0)</f>
        <v>0</v>
      </c>
      <c r="I10" s="18">
        <f t="shared" ca="1" si="12"/>
        <v>2283</v>
      </c>
      <c r="J10" s="18">
        <f ca="1">IFERROR(__xludf.DUMMYFUNCTION("IMPORTRANGE(""https://docs.google.com/spreadsheets/d/14_Y-fpuq1wcec3DlT_1PBYekOC0YblQMrWVfO12YO3k/edit"",""1!e52"")"),2951)</f>
        <v>2951</v>
      </c>
      <c r="K10" s="18">
        <f ca="1">IFERROR(__xludf.DUMMYFUNCTION("IMPORTRANGE(""https://docs.google.com/spreadsheets/d/14_Y-fpuq1wcec3DlT_1PBYekOC0YblQMrWVfO12YO3k/edit"",""1!e53"")"),0)</f>
        <v>0</v>
      </c>
      <c r="L10" s="18">
        <f t="shared" ca="1" si="13"/>
        <v>2951</v>
      </c>
      <c r="M10" s="18">
        <f t="shared" ca="1" si="14"/>
        <v>5234</v>
      </c>
      <c r="N10" s="19">
        <f t="shared" ca="1" si="15"/>
        <v>193.56165789473684</v>
      </c>
      <c r="O10" s="16">
        <v>9354</v>
      </c>
      <c r="P10" s="20">
        <f t="shared" ca="1" si="16"/>
        <v>0.55954671798161215</v>
      </c>
      <c r="Q10" s="21">
        <v>1.5</v>
      </c>
      <c r="R10" s="20">
        <f t="shared" ca="1" si="17"/>
        <v>0.47439437336006401</v>
      </c>
      <c r="S10" s="22">
        <f t="shared" ca="1" si="18"/>
        <v>0.71159156004009605</v>
      </c>
      <c r="T10" s="21">
        <f ca="1">F10/30.713</f>
        <v>239.48630872920262</v>
      </c>
      <c r="U10" s="21">
        <f t="shared" ca="1" si="19"/>
        <v>6.3022712823474372</v>
      </c>
      <c r="V10" s="18">
        <f t="shared" ca="1" si="20"/>
        <v>137.73684210526315</v>
      </c>
      <c r="W10" s="76"/>
      <c r="X10" s="100" t="s">
        <v>35</v>
      </c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9"/>
      <c r="AS10" s="76"/>
      <c r="AT10" s="76"/>
    </row>
    <row r="11" spans="1:46" ht="15.75" customHeight="1" x14ac:dyDescent="0.25">
      <c r="A11" s="70"/>
      <c r="B11" s="16">
        <v>6</v>
      </c>
      <c r="C11" s="16" t="s">
        <v>23</v>
      </c>
      <c r="D11" s="17">
        <v>35</v>
      </c>
      <c r="E11" s="18">
        <f ca="1">IFERROR(__xludf.DUMMYFUNCTION("COUNT(IMPORTRANGE(""https://docs.google.com/spreadsheets/d/1lJqjdj05V4LOXuBOiTdE65GV4ZITyx1cMLcDdcuoUnE/edit"",""1!d2:d36""))"),35)</f>
        <v>35</v>
      </c>
      <c r="F11" s="23">
        <f ca="1">IFERROR(__xludf.DUMMYFUNCTION("SUM(IMPORTRANGE(""https://docs.google.com/spreadsheets/d/1lJqjdj05V4LOXuBOiTdE65GV4ZITyx1cMLcDdcuoUnE/edit"",""1!Q2:Q36""))"),6849.21999999999)</f>
        <v>6849.2199999999903</v>
      </c>
      <c r="G11" s="18">
        <f ca="1">IFERROR(__xludf.DUMMYFUNCTION("IMPORTRANGE(""https://docs.google.com/spreadsheets/d/1lJqjdj05V4LOXuBOiTdE65GV4ZITyx1cMLcDdcuoUnE/edit"",""1!e43"")"),1661)</f>
        <v>1661</v>
      </c>
      <c r="H11" s="18">
        <f ca="1">IFERROR(__xludf.DUMMYFUNCTION("IMPORTRANGE(""https://docs.google.com/spreadsheets/d/1lJqjdj05V4LOXuBOiTdE65GV4ZITyx1cMLcDdcuoUnE/edit"",""1!e44"")"),0)</f>
        <v>0</v>
      </c>
      <c r="I11" s="18">
        <f t="shared" ca="1" si="12"/>
        <v>1661</v>
      </c>
      <c r="J11" s="18">
        <f ca="1">IFERROR(__xludf.DUMMYFUNCTION("IMPORTRANGE(""https://docs.google.com/spreadsheets/d/1lJqjdj05V4LOXuBOiTdE65GV4ZITyx1cMLcDdcuoUnE/edit"",""1!e47"")"),2904)</f>
        <v>2904</v>
      </c>
      <c r="K11" s="18">
        <f ca="1">IFERROR(__xludf.DUMMYFUNCTION("IMPORTRANGE(""https://docs.google.com/spreadsheets/d/1lJqjdj05V4LOXuBOiTdE65GV4ZITyx1cMLcDdcuoUnE/edit"",""1!e48"")"),0)</f>
        <v>0</v>
      </c>
      <c r="L11" s="18">
        <f t="shared" ca="1" si="13"/>
        <v>2904</v>
      </c>
      <c r="M11" s="18">
        <f t="shared" ca="1" si="14"/>
        <v>4565</v>
      </c>
      <c r="N11" s="19">
        <f t="shared" ca="1" si="15"/>
        <v>195.69199999999972</v>
      </c>
      <c r="O11" s="16">
        <v>6853</v>
      </c>
      <c r="P11" s="20">
        <f t="shared" ca="1" si="16"/>
        <v>0.666131621187801</v>
      </c>
      <c r="Q11" s="21">
        <v>1.5</v>
      </c>
      <c r="R11" s="20">
        <f t="shared" ca="1" si="17"/>
        <v>0.44433283400640328</v>
      </c>
      <c r="S11" s="22">
        <f t="shared" ca="1" si="18"/>
        <v>0.66649925100960494</v>
      </c>
      <c r="T11" s="21">
        <f ca="1">F11/33.74</f>
        <v>202.99999999999969</v>
      </c>
      <c r="U11" s="21">
        <f t="shared" ca="1" si="19"/>
        <v>5.7999999999999909</v>
      </c>
      <c r="V11" s="18">
        <f t="shared" ca="1" si="20"/>
        <v>130.42857142857142</v>
      </c>
      <c r="W11" s="76"/>
      <c r="X11" s="1" t="s">
        <v>2</v>
      </c>
      <c r="Y11" s="1" t="s">
        <v>3</v>
      </c>
      <c r="Z11" s="1" t="s">
        <v>4</v>
      </c>
      <c r="AA11" s="1" t="s">
        <v>5</v>
      </c>
      <c r="AB11" s="2" t="s">
        <v>6</v>
      </c>
      <c r="AC11" s="1" t="s">
        <v>7</v>
      </c>
      <c r="AD11" s="1" t="s">
        <v>8</v>
      </c>
      <c r="AE11" s="1" t="s">
        <v>9</v>
      </c>
      <c r="AF11" s="1" t="s">
        <v>10</v>
      </c>
      <c r="AG11" s="1" t="s">
        <v>11</v>
      </c>
      <c r="AH11" s="1" t="s">
        <v>12</v>
      </c>
      <c r="AI11" s="1" t="s">
        <v>13</v>
      </c>
      <c r="AJ11" s="2" t="s">
        <v>14</v>
      </c>
      <c r="AK11" s="1" t="s">
        <v>15</v>
      </c>
      <c r="AL11" s="1" t="s">
        <v>16</v>
      </c>
      <c r="AM11" s="3" t="s">
        <v>17</v>
      </c>
      <c r="AN11" s="4" t="s">
        <v>18</v>
      </c>
      <c r="AO11" s="5" t="s">
        <v>19</v>
      </c>
      <c r="AP11" s="6" t="s">
        <v>20</v>
      </c>
      <c r="AQ11" s="6" t="s">
        <v>21</v>
      </c>
      <c r="AR11" s="7" t="s">
        <v>22</v>
      </c>
      <c r="AS11" s="76"/>
      <c r="AT11" s="76"/>
    </row>
    <row r="12" spans="1:46" ht="15.75" customHeight="1" x14ac:dyDescent="0.25">
      <c r="A12" s="70"/>
      <c r="B12" s="16">
        <v>7</v>
      </c>
      <c r="C12" s="16" t="s">
        <v>24</v>
      </c>
      <c r="D12" s="17">
        <v>44</v>
      </c>
      <c r="E12" s="31">
        <f ca="1">IFERROR(__xludf.DUMMYFUNCTION("COUNT(IMPORTRANGE(""https://docs.google.com/spreadsheets/d/1_7EEO26q9Yq-XhNFiy7I6Zh4Yg6uGjTs9y0UqNvPKcQ/edit"",""1!d2:d45""))"),43)</f>
        <v>43</v>
      </c>
      <c r="F12" s="32">
        <f ca="1">IFERROR(__xludf.DUMMYFUNCTION("SUM(IMPORTRANGE(""https://docs.google.com/spreadsheets/d/1_7EEO26q9Yq-XhNFiy7I6Zh4Yg6uGjTs9y0UqNvPKcQ/edit"",""1!Q2:Q45""))"),8276.09599999999)</f>
        <v>8276.0959999999905</v>
      </c>
      <c r="G12" s="31">
        <f ca="1">IFERROR(__xludf.DUMMYFUNCTION("IMPORTRANGE(""https://docs.google.com/spreadsheets/d/1_7EEO26q9Yq-XhNFiy7I6Zh4Yg6uGjTs9y0UqNvPKcQ/edit"",""1!e53"")"),965)</f>
        <v>965</v>
      </c>
      <c r="H12" s="31">
        <f ca="1">IFERROR(__xludf.DUMMYFUNCTION("IMPORTRANGE(""https://docs.google.com/spreadsheets/d/1_7EEO26q9Yq-XhNFiy7I6Zh4Yg6uGjTs9y0UqNvPKcQ/edit"",""1!e54"")"),0)</f>
        <v>0</v>
      </c>
      <c r="I12" s="31">
        <f t="shared" ca="1" si="12"/>
        <v>965</v>
      </c>
      <c r="J12" s="31">
        <f ca="1">IFERROR(__xludf.DUMMYFUNCTION("IMPORTRANGE(""https://docs.google.com/spreadsheets/d/1_7EEO26q9Yq-XhNFiy7I6Zh4Yg6uGjTs9y0UqNvPKcQ/edit"",""1!e57"")"),1210)</f>
        <v>1210</v>
      </c>
      <c r="K12" s="31">
        <f ca="1">IFERROR(__xludf.DUMMYFUNCTION("IMPORTRANGE(""https://docs.google.com/spreadsheets/d/1_7EEO26q9Yq-XhNFiy7I6Zh4Yg6uGjTs9y0UqNvPKcQ/edit"",""1!e58"")"),4)</f>
        <v>4</v>
      </c>
      <c r="L12" s="18">
        <f t="shared" ca="1" si="13"/>
        <v>1214</v>
      </c>
      <c r="M12" s="18">
        <f t="shared" ca="1" si="14"/>
        <v>2179</v>
      </c>
      <c r="N12" s="19">
        <f t="shared" ca="1" si="15"/>
        <v>192.46734883720907</v>
      </c>
      <c r="O12" s="16">
        <v>1580</v>
      </c>
      <c r="P12" s="33">
        <f t="shared" ca="1" si="16"/>
        <v>1.3791139240506329</v>
      </c>
      <c r="Q12" s="21">
        <v>1.5</v>
      </c>
      <c r="R12" s="20">
        <f t="shared" ca="1" si="17"/>
        <v>0.17552559403209778</v>
      </c>
      <c r="S12" s="22">
        <f t="shared" ca="1" si="18"/>
        <v>0.26328839104814666</v>
      </c>
      <c r="T12" s="21">
        <f ca="1">F12/26.805</f>
        <v>308.75194926319682</v>
      </c>
      <c r="U12" s="21">
        <f t="shared" ca="1" si="19"/>
        <v>7.1802778898417863</v>
      </c>
      <c r="V12" s="18">
        <f t="shared" ca="1" si="20"/>
        <v>50.674418604651166</v>
      </c>
      <c r="W12" s="76"/>
      <c r="X12" s="8">
        <v>1</v>
      </c>
      <c r="Y12" s="8" t="s">
        <v>28</v>
      </c>
      <c r="Z12" s="8">
        <f t="shared" ref="Z12:AI12" si="31">SUM(D7)</f>
        <v>33</v>
      </c>
      <c r="AA12" s="9">
        <f t="shared" ca="1" si="31"/>
        <v>32</v>
      </c>
      <c r="AB12" s="11">
        <f t="shared" ca="1" si="31"/>
        <v>6141.4440000000004</v>
      </c>
      <c r="AC12" s="9">
        <f t="shared" ca="1" si="31"/>
        <v>2036</v>
      </c>
      <c r="AD12" s="9">
        <f t="shared" ca="1" si="31"/>
        <v>105</v>
      </c>
      <c r="AE12" s="9">
        <f t="shared" ca="1" si="31"/>
        <v>2141</v>
      </c>
      <c r="AF12" s="9">
        <f t="shared" ca="1" si="31"/>
        <v>2393</v>
      </c>
      <c r="AG12" s="9">
        <f t="shared" ca="1" si="31"/>
        <v>198</v>
      </c>
      <c r="AH12" s="9">
        <f t="shared" ca="1" si="31"/>
        <v>2591</v>
      </c>
      <c r="AI12" s="9">
        <f t="shared" ca="1" si="31"/>
        <v>4732</v>
      </c>
      <c r="AJ12" s="11">
        <f t="shared" ref="AJ12:AJ18" ca="1" si="32">AB12/AA12</f>
        <v>191.92012500000001</v>
      </c>
      <c r="AK12" s="8">
        <f t="shared" ref="AK12:AK13" si="33">SUM(O7)</f>
        <v>7315</v>
      </c>
      <c r="AL12" s="12">
        <f t="shared" ref="AL12:AL18" ca="1" si="34">AI12/AK12</f>
        <v>0.64688995215311007</v>
      </c>
      <c r="AM12" s="13">
        <f t="shared" ref="AM12:AM13" si="35">SUM(Q7)</f>
        <v>1.5</v>
      </c>
      <c r="AN12" s="12">
        <f t="shared" ref="AN12:AN18" ca="1" si="36">AO12/AM12</f>
        <v>0.51366855525616884</v>
      </c>
      <c r="AO12" s="14">
        <f t="shared" ref="AO12:AO18" ca="1" si="37">AI12/AB12</f>
        <v>0.77050283288425325</v>
      </c>
      <c r="AP12" s="13">
        <f t="shared" ref="AP12:AQ12" ca="1" si="38">SUM(T7)</f>
        <v>198.771531216623</v>
      </c>
      <c r="AQ12" s="13">
        <f t="shared" ca="1" si="38"/>
        <v>6.2116103505194689</v>
      </c>
      <c r="AR12" s="9">
        <f t="shared" ref="AR12:AR18" ca="1" si="39">AI12/AA12</f>
        <v>147.875</v>
      </c>
      <c r="AS12" s="76"/>
      <c r="AT12" s="76"/>
    </row>
    <row r="13" spans="1:46" ht="15.75" customHeight="1" x14ac:dyDescent="0.25">
      <c r="A13" s="70"/>
      <c r="B13" s="16">
        <v>8</v>
      </c>
      <c r="C13" s="16" t="s">
        <v>25</v>
      </c>
      <c r="D13" s="34">
        <v>32</v>
      </c>
      <c r="E13" s="18">
        <f ca="1">IFERROR(__xludf.DUMMYFUNCTION("COUNT(IMPORTRANGE(""https://docs.google.com/spreadsheets/d/1vLOLpiE-XsbnCnwWPcoi87PlUSXfqIAAQn3kvqHfO6s/edit"",""1!d2:D33""))"),30)</f>
        <v>30</v>
      </c>
      <c r="F13" s="23">
        <f ca="1">IFERROR(__xludf.DUMMYFUNCTION("SUM(IMPORTRANGE(""https://docs.google.com/spreadsheets/d/1vLOLpiE-XsbnCnwWPcoi87PlUSXfqIAAQn3kvqHfO6s/edit"",""1!Q2:Q33""))"),5699.528)</f>
        <v>5699.5280000000002</v>
      </c>
      <c r="G13" s="18">
        <f ca="1">IFERROR(__xludf.DUMMYFUNCTION("IMPORTRANGE(""https://docs.google.com/spreadsheets/d/1vLOLpiE-XsbnCnwWPcoi87PlUSXfqIAAQn3kvqHfO6s/edit"",""1!e40"")"),2010)</f>
        <v>2010</v>
      </c>
      <c r="H13" s="18">
        <f ca="1">IFERROR(__xludf.DUMMYFUNCTION("IMPORTRANGE(""https://docs.google.com/spreadsheets/d/1vLOLpiE-XsbnCnwWPcoi87PlUSXfqIAAQn3kvqHfO6s/edit"",""1!e41"")"),343)</f>
        <v>343</v>
      </c>
      <c r="I13" s="18">
        <f t="shared" ca="1" si="12"/>
        <v>2353</v>
      </c>
      <c r="J13" s="18">
        <f ca="1">IFERROR(__xludf.DUMMYFUNCTION("IMPORTRANGE(""https://docs.google.com/spreadsheets/d/1vLOLpiE-XsbnCnwWPcoi87PlUSXfqIAAQn3kvqHfO6s/edit"",""1!e44"")"),3122)</f>
        <v>3122</v>
      </c>
      <c r="K13" s="18">
        <f ca="1">IFERROR(__xludf.DUMMYFUNCTION("IMPORTRANGE(""https://docs.google.com/spreadsheets/d/1vLOLpiE-XsbnCnwWPcoi87PlUSXfqIAAQn3kvqHfO6s/edit"",""1!e45"")"),83)</f>
        <v>83</v>
      </c>
      <c r="L13" s="18">
        <f ca="1">J13+K13</f>
        <v>3205</v>
      </c>
      <c r="M13" s="18">
        <f t="shared" ca="1" si="14"/>
        <v>5558</v>
      </c>
      <c r="N13" s="19">
        <f t="shared" ca="1" si="15"/>
        <v>189.98426666666668</v>
      </c>
      <c r="O13" s="16">
        <v>6622</v>
      </c>
      <c r="P13" s="20">
        <f t="shared" ca="1" si="16"/>
        <v>0.83932346723044393</v>
      </c>
      <c r="Q13" s="21">
        <v>1.5</v>
      </c>
      <c r="R13" s="20">
        <f t="shared" ca="1" si="17"/>
        <v>0.65011231339390441</v>
      </c>
      <c r="S13" s="22">
        <f t="shared" ca="1" si="18"/>
        <v>0.97516847009085661</v>
      </c>
      <c r="T13" s="21">
        <f ca="1">F13/23.84</f>
        <v>239.07416107382551</v>
      </c>
      <c r="U13" s="21">
        <f t="shared" ca="1" si="19"/>
        <v>7.9691387024608504</v>
      </c>
      <c r="V13" s="18">
        <f t="shared" ca="1" si="20"/>
        <v>185.26666666666668</v>
      </c>
      <c r="W13" s="76"/>
      <c r="X13" s="8">
        <v>2</v>
      </c>
      <c r="Y13" s="8" t="s">
        <v>30</v>
      </c>
      <c r="Z13" s="8">
        <f t="shared" ref="Z13:AI13" si="40">SUM(D8)</f>
        <v>60</v>
      </c>
      <c r="AA13" s="9">
        <f t="shared" ca="1" si="40"/>
        <v>56</v>
      </c>
      <c r="AB13" s="10">
        <f t="shared" ca="1" si="40"/>
        <v>10957.3149999999</v>
      </c>
      <c r="AC13" s="9">
        <f t="shared" ca="1" si="40"/>
        <v>2893</v>
      </c>
      <c r="AD13" s="9">
        <f t="shared" ca="1" si="40"/>
        <v>26</v>
      </c>
      <c r="AE13" s="9">
        <f t="shared" ca="1" si="40"/>
        <v>2919</v>
      </c>
      <c r="AF13" s="9">
        <f t="shared" ca="1" si="40"/>
        <v>4504</v>
      </c>
      <c r="AG13" s="9">
        <f t="shared" ca="1" si="40"/>
        <v>85</v>
      </c>
      <c r="AH13" s="9">
        <f t="shared" ca="1" si="40"/>
        <v>4589</v>
      </c>
      <c r="AI13" s="9">
        <f t="shared" ca="1" si="40"/>
        <v>7508</v>
      </c>
      <c r="AJ13" s="11">
        <f t="shared" ca="1" si="32"/>
        <v>195.6663392857125</v>
      </c>
      <c r="AK13" s="8">
        <f t="shared" si="33"/>
        <v>11164</v>
      </c>
      <c r="AL13" s="12">
        <f t="shared" ca="1" si="34"/>
        <v>0.67251881046219997</v>
      </c>
      <c r="AM13" s="13">
        <f t="shared" si="35"/>
        <v>1.5</v>
      </c>
      <c r="AN13" s="12">
        <f t="shared" ca="1" si="36"/>
        <v>0.45680290594305073</v>
      </c>
      <c r="AO13" s="14">
        <f t="shared" ca="1" si="37"/>
        <v>0.68520435891457609</v>
      </c>
      <c r="AP13" s="13">
        <f t="shared" ref="AP13:AQ13" ca="1" si="41">SUM(T8)</f>
        <v>370.14204641421139</v>
      </c>
      <c r="AQ13" s="13">
        <f t="shared" ca="1" si="41"/>
        <v>6.6096794002537749</v>
      </c>
      <c r="AR13" s="9">
        <f t="shared" ca="1" si="39"/>
        <v>134.07142857142858</v>
      </c>
      <c r="AS13" s="76"/>
      <c r="AT13" s="76"/>
    </row>
    <row r="14" spans="1:46" ht="15.75" customHeight="1" x14ac:dyDescent="0.25">
      <c r="A14" s="70"/>
      <c r="B14" s="16">
        <v>9</v>
      </c>
      <c r="C14" s="16" t="s">
        <v>36</v>
      </c>
      <c r="D14" s="34">
        <v>24</v>
      </c>
      <c r="E14" s="18">
        <f ca="1">IFERROR(__xludf.DUMMYFUNCTION("COUNT(IMPORTRANGE(""https://docs.google.com/spreadsheets/d/1WJJVq25XDtGjt-J2JPxeKs3jIvDZtkIREC0lFPXwf74/edit"",""1!d2:d31""))"),23)</f>
        <v>23</v>
      </c>
      <c r="F14" s="23">
        <f ca="1">IFERROR(__xludf.DUMMYFUNCTION("SUM(IMPORTRANGE(""https://docs.google.com/spreadsheets/d/1WJJVq25XDtGjt-J2JPxeKs3jIvDZtkIREC0lFPXwf74/edit"",""1!Q2:Q31""))"),4502.80099999999)</f>
        <v>4502.8009999999904</v>
      </c>
      <c r="G14" s="18">
        <f ca="1">IFERROR(__xludf.DUMMYFUNCTION("IMPORTRANGE(""https://docs.google.com/spreadsheets/d/1WJJVq25XDtGjt-J2JPxeKs3jIvDZtkIREC0lFPXwf74/edit"",""1!e38"")"),1357)</f>
        <v>1357</v>
      </c>
      <c r="H14" s="18">
        <f ca="1">IFERROR(__xludf.DUMMYFUNCTION("IMPORTRANGE(""https://docs.google.com/spreadsheets/d/1WJJVq25XDtGjt-J2JPxeKs3jIvDZtkIREC0lFPXwf74/edit"",""1!e39"")"),0)</f>
        <v>0</v>
      </c>
      <c r="I14" s="18">
        <f t="shared" ca="1" si="12"/>
        <v>1357</v>
      </c>
      <c r="J14" s="18">
        <f ca="1">IFERROR(__xludf.DUMMYFUNCTION("IMPORTRANGE(""https://docs.google.com/spreadsheets/d/1WJJVq25XDtGjt-J2JPxeKs3jIvDZtkIREC0lFPXwf74/edit"",""1!e42"")"),1822)</f>
        <v>1822</v>
      </c>
      <c r="K14" s="18">
        <f ca="1">IFERROR(__xludf.DUMMYFUNCTION("IMPORTRANGE(""https://docs.google.com/spreadsheets/d/1WJJVq25XDtGjt-J2JPxeKs3jIvDZtkIREC0lFPXwf74/edit"",""1!e43"")"),0)</f>
        <v>0</v>
      </c>
      <c r="L14" s="18">
        <f t="shared" ref="L14:L23" ca="1" si="42">SUM(J14:K14)</f>
        <v>1822</v>
      </c>
      <c r="M14" s="18">
        <f t="shared" ca="1" si="14"/>
        <v>3179</v>
      </c>
      <c r="N14" s="19">
        <f t="shared" ca="1" si="15"/>
        <v>195.77395652173871</v>
      </c>
      <c r="O14" s="16">
        <v>4796</v>
      </c>
      <c r="P14" s="20">
        <f t="shared" ca="1" si="16"/>
        <v>0.66284403669724767</v>
      </c>
      <c r="Q14" s="21">
        <v>1.5</v>
      </c>
      <c r="R14" s="20">
        <f t="shared" ca="1" si="17"/>
        <v>0.47066999703814089</v>
      </c>
      <c r="S14" s="22">
        <f t="shared" ca="1" si="18"/>
        <v>0.7060049955572113</v>
      </c>
      <c r="T14" s="21">
        <f ca="1">F14/37.414</f>
        <v>120.35069759982868</v>
      </c>
      <c r="U14" s="21">
        <f t="shared" ca="1" si="19"/>
        <v>5.2326390260795081</v>
      </c>
      <c r="V14" s="18">
        <f t="shared" ca="1" si="20"/>
        <v>138.21739130434781</v>
      </c>
      <c r="W14" s="76"/>
      <c r="X14" s="8">
        <v>3</v>
      </c>
      <c r="Y14" s="8" t="s">
        <v>34</v>
      </c>
      <c r="Z14" s="8">
        <f t="shared" ref="Z14:AI14" si="43">SUM(D10)</f>
        <v>40</v>
      </c>
      <c r="AA14" s="9">
        <f t="shared" ca="1" si="43"/>
        <v>38</v>
      </c>
      <c r="AB14" s="10">
        <f t="shared" ca="1" si="43"/>
        <v>7355.3429999999998</v>
      </c>
      <c r="AC14" s="9">
        <f t="shared" ca="1" si="43"/>
        <v>2283</v>
      </c>
      <c r="AD14" s="9">
        <f t="shared" ca="1" si="43"/>
        <v>0</v>
      </c>
      <c r="AE14" s="9">
        <f t="shared" ca="1" si="43"/>
        <v>2283</v>
      </c>
      <c r="AF14" s="9">
        <f t="shared" ca="1" si="43"/>
        <v>2951</v>
      </c>
      <c r="AG14" s="9">
        <f t="shared" ca="1" si="43"/>
        <v>0</v>
      </c>
      <c r="AH14" s="9">
        <f t="shared" ca="1" si="43"/>
        <v>2951</v>
      </c>
      <c r="AI14" s="9">
        <f t="shared" ca="1" si="43"/>
        <v>5234</v>
      </c>
      <c r="AJ14" s="11">
        <f t="shared" ca="1" si="32"/>
        <v>193.56165789473684</v>
      </c>
      <c r="AK14" s="8">
        <f>SUM(O10)</f>
        <v>9354</v>
      </c>
      <c r="AL14" s="12">
        <f t="shared" ca="1" si="34"/>
        <v>0.55954671798161215</v>
      </c>
      <c r="AM14" s="13">
        <f>SUM(Q10)</f>
        <v>1.5</v>
      </c>
      <c r="AN14" s="12">
        <f t="shared" ca="1" si="36"/>
        <v>0.47439437336006401</v>
      </c>
      <c r="AO14" s="14">
        <f t="shared" ca="1" si="37"/>
        <v>0.71159156004009605</v>
      </c>
      <c r="AP14" s="13">
        <f t="shared" ref="AP14:AQ14" ca="1" si="44">SUM(T10)</f>
        <v>239.48630872920262</v>
      </c>
      <c r="AQ14" s="13">
        <f t="shared" ca="1" si="44"/>
        <v>6.3022712823474372</v>
      </c>
      <c r="AR14" s="9">
        <f t="shared" ca="1" si="39"/>
        <v>137.73684210526315</v>
      </c>
      <c r="AS14" s="76"/>
      <c r="AT14" s="76"/>
    </row>
    <row r="15" spans="1:46" ht="15.75" customHeight="1" x14ac:dyDescent="0.25">
      <c r="A15" s="70"/>
      <c r="B15" s="16">
        <v>10</v>
      </c>
      <c r="C15" s="16" t="s">
        <v>37</v>
      </c>
      <c r="D15" s="17">
        <v>30</v>
      </c>
      <c r="E15" s="18">
        <f ca="1">IFERROR(__xludf.DUMMYFUNCTION("COUNT(IMPORTRANGE(""https://docs.google.com/spreadsheets/d/1rJyYfywRpWJW0zvDJHLOJtqUQqffoCGaqTVxxTDgV0k/edit"",""1!d2:d31""))"),29)</f>
        <v>29</v>
      </c>
      <c r="F15" s="23">
        <f ca="1">IFERROR(__xludf.DUMMYFUNCTION("SUM(IMPORTRANGE(""https://docs.google.com/spreadsheets/d/1rJyYfywRpWJW0zvDJHLOJtqUQqffoCGaqTVxxTDgV0k/edit"",""1!Q2:Q31""))"),5589.06)</f>
        <v>5589.06</v>
      </c>
      <c r="G15" s="18">
        <f ca="1">IFERROR(__xludf.DUMMYFUNCTION("(IMPORTRANGE(""https://docs.google.com/spreadsheets/d/1rJyYfywRpWJW0zvDJHLOJtqUQqffoCGaqTVxxTDgV0k/edit"",""1!e38""))"),2001)</f>
        <v>2001</v>
      </c>
      <c r="H15" s="18">
        <f ca="1">IFERROR(__xludf.DUMMYFUNCTION("(IMPORTRANGE(""https://docs.google.com/spreadsheets/d/1rJyYfywRpWJW0zvDJHLOJtqUQqffoCGaqTVxxTDgV0k/edit"",""1!e39""))"),0)</f>
        <v>0</v>
      </c>
      <c r="I15" s="18">
        <f t="shared" ca="1" si="12"/>
        <v>2001</v>
      </c>
      <c r="J15" s="18">
        <f ca="1">IFERROR(__xludf.DUMMYFUNCTION("(IMPORTRANGE(""https://docs.google.com/spreadsheets/d/1rJyYfywRpWJW0zvDJHLOJtqUQqffoCGaqTVxxTDgV0k/edit"",""1!e42""))"),2669)</f>
        <v>2669</v>
      </c>
      <c r="K15" s="18">
        <f ca="1">IFERROR(__xludf.DUMMYFUNCTION("(IMPORTRANGE(""https://docs.google.com/spreadsheets/d/1rJyYfywRpWJW0zvDJHLOJtqUQqffoCGaqTVxxTDgV0k/edit"",""1!e43""))"),0)</f>
        <v>0</v>
      </c>
      <c r="L15" s="18">
        <f t="shared" ca="1" si="42"/>
        <v>2669</v>
      </c>
      <c r="M15" s="18">
        <f t="shared" ca="1" si="14"/>
        <v>4670</v>
      </c>
      <c r="N15" s="19">
        <f t="shared" ca="1" si="15"/>
        <v>192.72620689655173</v>
      </c>
      <c r="O15" s="16">
        <v>5887</v>
      </c>
      <c r="P15" s="20">
        <f t="shared" ca="1" si="16"/>
        <v>0.79327331408187529</v>
      </c>
      <c r="Q15" s="21">
        <v>1.5</v>
      </c>
      <c r="R15" s="20">
        <f t="shared" ca="1" si="17"/>
        <v>0.55704059955222041</v>
      </c>
      <c r="S15" s="22">
        <f t="shared" ca="1" si="18"/>
        <v>0.83556089932833066</v>
      </c>
      <c r="T15" s="21">
        <f ca="1">F15/24.792</f>
        <v>225.4380445304937</v>
      </c>
      <c r="U15" s="21">
        <f t="shared" ca="1" si="19"/>
        <v>7.7737256734653002</v>
      </c>
      <c r="V15" s="18">
        <f t="shared" ca="1" si="20"/>
        <v>161.0344827586207</v>
      </c>
      <c r="W15" s="76"/>
      <c r="X15" s="8">
        <v>4</v>
      </c>
      <c r="Y15" s="8" t="s">
        <v>38</v>
      </c>
      <c r="Z15" s="8">
        <f t="shared" ref="Z15:AI15" si="45">SUM(D18)</f>
        <v>30</v>
      </c>
      <c r="AA15" s="9">
        <f t="shared" ca="1" si="45"/>
        <v>30</v>
      </c>
      <c r="AB15" s="10">
        <f t="shared" ca="1" si="45"/>
        <v>6429.0109999999904</v>
      </c>
      <c r="AC15" s="9">
        <f t="shared" ca="1" si="45"/>
        <v>1826</v>
      </c>
      <c r="AD15" s="9">
        <f t="shared" ca="1" si="45"/>
        <v>0</v>
      </c>
      <c r="AE15" s="9">
        <f t="shared" ca="1" si="45"/>
        <v>1826</v>
      </c>
      <c r="AF15" s="9">
        <f t="shared" ca="1" si="45"/>
        <v>2445</v>
      </c>
      <c r="AG15" s="9">
        <f t="shared" ca="1" si="45"/>
        <v>98</v>
      </c>
      <c r="AH15" s="9">
        <f t="shared" ca="1" si="45"/>
        <v>2543</v>
      </c>
      <c r="AI15" s="9">
        <f t="shared" ca="1" si="45"/>
        <v>4369</v>
      </c>
      <c r="AJ15" s="11">
        <f t="shared" ca="1" si="32"/>
        <v>214.30036666666635</v>
      </c>
      <c r="AK15" s="8">
        <v>7324</v>
      </c>
      <c r="AL15" s="12">
        <f t="shared" ca="1" si="34"/>
        <v>0.59653194975423263</v>
      </c>
      <c r="AM15" s="13">
        <f>SUM(Q18)</f>
        <v>1.5</v>
      </c>
      <c r="AN15" s="12">
        <f t="shared" ca="1" si="36"/>
        <v>0.45305050289487309</v>
      </c>
      <c r="AO15" s="14">
        <f t="shared" ca="1" si="37"/>
        <v>0.67957575434230966</v>
      </c>
      <c r="AP15" s="13">
        <f t="shared" ref="AP15:AQ15" ca="1" si="46">SUM(T18)</f>
        <v>156.02502123528674</v>
      </c>
      <c r="AQ15" s="13">
        <f t="shared" ca="1" si="46"/>
        <v>5.2008340411762246</v>
      </c>
      <c r="AR15" s="9">
        <f t="shared" ca="1" si="39"/>
        <v>145.63333333333333</v>
      </c>
      <c r="AS15" s="76"/>
      <c r="AT15" s="76"/>
    </row>
    <row r="16" spans="1:46" ht="15.75" customHeight="1" x14ac:dyDescent="0.25">
      <c r="A16" s="70"/>
      <c r="B16" s="16">
        <v>12</v>
      </c>
      <c r="C16" s="16" t="s">
        <v>39</v>
      </c>
      <c r="D16" s="17">
        <v>28</v>
      </c>
      <c r="E16" s="18">
        <f ca="1">IFERROR(__xludf.DUMMYFUNCTION("COUNT(IMPORTRANGE(""https://docs.google.com/spreadsheets/d/1uaTn2DZCfr7O1PvovOd0wElzVz8kpl_iPfnrkNPp0Is/edit"",""1!d2:d29""))"),28)</f>
        <v>28</v>
      </c>
      <c r="F16" s="23">
        <f ca="1">IFERROR(__xludf.DUMMYFUNCTION("SUM(IMPORTRANGE(""https://docs.google.com/spreadsheets/d/1uaTn2DZCfr7O1PvovOd0wElzVz8kpl_iPfnrkNPp0Is/edit"",""1!Q2:Q29""))"),5373.026)</f>
        <v>5373.0259999999998</v>
      </c>
      <c r="G16" s="18">
        <f ca="1">IFERROR(__xludf.DUMMYFUNCTION("IMPORTRANGE(""https://docs.google.com/spreadsheets/d/1uaTn2DZCfr7O1PvovOd0wElzVz8kpl_iPfnrkNPp0Is/edit"",""1!e36"")"),1250)</f>
        <v>1250</v>
      </c>
      <c r="H16" s="18">
        <f ca="1">IFERROR(__xludf.DUMMYFUNCTION("(IMPORTRANGE(""https://docs.google.com/spreadsheets/d/1uaTn2DZCfr7O1PvovOd0wElzVz8kpl_iPfnrkNPp0Is/edit"",""1!e37""))"),52)</f>
        <v>52</v>
      </c>
      <c r="I16" s="18">
        <f t="shared" ca="1" si="12"/>
        <v>1302</v>
      </c>
      <c r="J16" s="18">
        <f ca="1">IFERROR(__xludf.DUMMYFUNCTION("IMPORTRANGE(""https://docs.google.com/spreadsheets/d/1uaTn2DZCfr7O1PvovOd0wElzVz8kpl_iPfnrkNPp0Is/edit"",""1!e40"")"),1768)</f>
        <v>1768</v>
      </c>
      <c r="K16" s="18">
        <f ca="1">IFERROR(__xludf.DUMMYFUNCTION("IMPORTRANGE(""https://docs.google.com/spreadsheets/d/1uaTn2DZCfr7O1PvovOd0wElzVz8kpl_iPfnrkNPp0Is/edit"",""1!e41"")"),178)</f>
        <v>178</v>
      </c>
      <c r="L16" s="18">
        <f t="shared" ca="1" si="42"/>
        <v>1946</v>
      </c>
      <c r="M16" s="18">
        <f t="shared" ca="1" si="14"/>
        <v>3248</v>
      </c>
      <c r="N16" s="19">
        <f t="shared" ca="1" si="15"/>
        <v>191.89378571428571</v>
      </c>
      <c r="O16" s="16">
        <v>3569</v>
      </c>
      <c r="P16" s="20">
        <f t="shared" ca="1" si="16"/>
        <v>0.91005884001120763</v>
      </c>
      <c r="Q16" s="21">
        <v>1.5</v>
      </c>
      <c r="R16" s="20">
        <f t="shared" ca="1" si="17"/>
        <v>0.40300071753483668</v>
      </c>
      <c r="S16" s="22">
        <f t="shared" ca="1" si="18"/>
        <v>0.60450107630225502</v>
      </c>
      <c r="T16" s="21">
        <f ca="1">F16/21.463</f>
        <v>250.33900200344777</v>
      </c>
      <c r="U16" s="21">
        <f t="shared" ca="1" si="19"/>
        <v>8.9406786429802771</v>
      </c>
      <c r="V16" s="18">
        <f t="shared" ca="1" si="20"/>
        <v>116</v>
      </c>
      <c r="W16" s="76"/>
      <c r="X16" s="8">
        <v>5</v>
      </c>
      <c r="Y16" s="8" t="s">
        <v>40</v>
      </c>
      <c r="Z16" s="8">
        <f t="shared" ref="Z16:AI16" si="47">SUM(D20)</f>
        <v>30</v>
      </c>
      <c r="AA16" s="9">
        <f t="shared" ca="1" si="47"/>
        <v>28</v>
      </c>
      <c r="AB16" s="10">
        <f t="shared" ca="1" si="47"/>
        <v>5205.0689999999904</v>
      </c>
      <c r="AC16" s="9">
        <f t="shared" ca="1" si="47"/>
        <v>3011</v>
      </c>
      <c r="AD16" s="9">
        <f t="shared" ca="1" si="47"/>
        <v>75</v>
      </c>
      <c r="AE16" s="9">
        <f t="shared" ca="1" si="47"/>
        <v>3086</v>
      </c>
      <c r="AF16" s="9">
        <f t="shared" ca="1" si="47"/>
        <v>3435</v>
      </c>
      <c r="AG16" s="9">
        <f t="shared" ca="1" si="47"/>
        <v>15</v>
      </c>
      <c r="AH16" s="9">
        <f t="shared" ca="1" si="47"/>
        <v>3450</v>
      </c>
      <c r="AI16" s="9">
        <f t="shared" ca="1" si="47"/>
        <v>6536</v>
      </c>
      <c r="AJ16" s="11">
        <f t="shared" ca="1" si="32"/>
        <v>185.89532142857109</v>
      </c>
      <c r="AK16" s="8">
        <f t="shared" ref="AK16:AK17" si="48">SUM(O20)</f>
        <v>8239</v>
      </c>
      <c r="AL16" s="12">
        <f t="shared" ca="1" si="34"/>
        <v>0.79330015778613905</v>
      </c>
      <c r="AM16" s="13">
        <f t="shared" ref="AM16:AM17" si="49">SUM(Q20)</f>
        <v>1.5</v>
      </c>
      <c r="AN16" s="12">
        <f t="shared" ca="1" si="36"/>
        <v>0.83713267457805873</v>
      </c>
      <c r="AO16" s="14">
        <f t="shared" ca="1" si="37"/>
        <v>1.2556990118670881</v>
      </c>
      <c r="AP16" s="13">
        <f t="shared" ref="AP16:AQ16" ca="1" si="50">SUM(T20)</f>
        <v>182.99999999999966</v>
      </c>
      <c r="AQ16" s="13">
        <f t="shared" ca="1" si="50"/>
        <v>6.5357142857142732</v>
      </c>
      <c r="AR16" s="9">
        <f t="shared" ca="1" si="39"/>
        <v>233.42857142857142</v>
      </c>
      <c r="AS16" s="76"/>
      <c r="AT16" s="76"/>
    </row>
    <row r="17" spans="1:46" ht="15.75" customHeight="1" x14ac:dyDescent="0.25">
      <c r="A17" s="70"/>
      <c r="B17" s="16">
        <v>12</v>
      </c>
      <c r="C17" s="16" t="s">
        <v>41</v>
      </c>
      <c r="D17" s="17">
        <v>24</v>
      </c>
      <c r="E17" s="18">
        <f ca="1">IFERROR(__xludf.DUMMYFUNCTION("COUNT(IMPORTRANGE(""https://docs.google.com/spreadsheets/d/1oYscvfOJW7GMkxt8QcupWuzb3ohaYePd3Mt2V2ufHok/edit"",""1!d2:d25""))"),24)</f>
        <v>24</v>
      </c>
      <c r="F17" s="23">
        <f ca="1">IFERROR(__xludf.DUMMYFUNCTION("SUM(IMPORTRANGE(""https://docs.google.com/spreadsheets/d/1oYscvfOJW7GMkxt8QcupWuzb3ohaYePd3Mt2V2ufHok/edit"",""1!Q2:Q25""))"),4806.32)</f>
        <v>4806.32</v>
      </c>
      <c r="G17" s="18">
        <f ca="1">IFERROR(__xludf.DUMMYFUNCTION("IMPORTRANGE(""https://docs.google.com/spreadsheets/d/1oYscvfOJW7GMkxt8QcupWuzb3ohaYePd3Mt2V2ufHok/edit"",""1!e32"")"),1263)</f>
        <v>1263</v>
      </c>
      <c r="H17" s="18">
        <f ca="1">IFERROR(__xludf.DUMMYFUNCTION("IMPORTRANGE(""https://docs.google.com/spreadsheets/d/1oYscvfOJW7GMkxt8QcupWuzb3ohaYePd3Mt2V2ufHok/edit"",""1!e33"")"),0)</f>
        <v>0</v>
      </c>
      <c r="I17" s="18">
        <f t="shared" ca="1" si="12"/>
        <v>1263</v>
      </c>
      <c r="J17" s="18">
        <f ca="1">IFERROR(__xludf.DUMMYFUNCTION("IMPORTRANGE(""https://docs.google.com/spreadsheets/d/1oYscvfOJW7GMkxt8QcupWuzb3ohaYePd3Mt2V2ufHok/edit"",""1!e36"")"),1392)</f>
        <v>1392</v>
      </c>
      <c r="K17" s="18">
        <f ca="1">IFERROR(__xludf.DUMMYFUNCTION("IMPORTRANGE(""https://docs.google.com/spreadsheets/d/1oYscvfOJW7GMkxt8QcupWuzb3ohaYePd3Mt2V2ufHok/edit"",""1!e37"")"),375)</f>
        <v>375</v>
      </c>
      <c r="L17" s="18">
        <f t="shared" ca="1" si="42"/>
        <v>1767</v>
      </c>
      <c r="M17" s="18">
        <f t="shared" ca="1" si="14"/>
        <v>3030</v>
      </c>
      <c r="N17" s="19">
        <f t="shared" ca="1" si="15"/>
        <v>200.26333333333332</v>
      </c>
      <c r="O17" s="16">
        <v>3801</v>
      </c>
      <c r="P17" s="20">
        <f t="shared" ca="1" si="16"/>
        <v>0.79715864246250989</v>
      </c>
      <c r="Q17" s="21">
        <v>1.5</v>
      </c>
      <c r="R17" s="20">
        <f t="shared" ca="1" si="17"/>
        <v>0.42027996471312773</v>
      </c>
      <c r="S17" s="22">
        <f t="shared" ca="1" si="18"/>
        <v>0.63041994706969162</v>
      </c>
      <c r="T17" s="21">
        <f ca="1">F17/29.628</f>
        <v>162.2222222222222</v>
      </c>
      <c r="U17" s="21">
        <f t="shared" ca="1" si="19"/>
        <v>6.7592592592592586</v>
      </c>
      <c r="V17" s="18">
        <f t="shared" ca="1" si="20"/>
        <v>126.25</v>
      </c>
      <c r="W17" s="76"/>
      <c r="X17" s="8">
        <v>6</v>
      </c>
      <c r="Y17" s="8" t="s">
        <v>42</v>
      </c>
      <c r="Z17" s="8">
        <f t="shared" ref="Z17:AI17" si="51">SUM(D21)</f>
        <v>33</v>
      </c>
      <c r="AA17" s="9">
        <f t="shared" ca="1" si="51"/>
        <v>33</v>
      </c>
      <c r="AB17" s="10">
        <f t="shared" ca="1" si="51"/>
        <v>6617.2149999999901</v>
      </c>
      <c r="AC17" s="9">
        <f t="shared" ca="1" si="51"/>
        <v>3231</v>
      </c>
      <c r="AD17" s="9">
        <f t="shared" ca="1" si="51"/>
        <v>33</v>
      </c>
      <c r="AE17" s="9">
        <f t="shared" ca="1" si="51"/>
        <v>3264</v>
      </c>
      <c r="AF17" s="9">
        <f t="shared" ca="1" si="51"/>
        <v>3600</v>
      </c>
      <c r="AG17" s="9">
        <f t="shared" ca="1" si="51"/>
        <v>575</v>
      </c>
      <c r="AH17" s="9">
        <f t="shared" ca="1" si="51"/>
        <v>4175</v>
      </c>
      <c r="AI17" s="9">
        <f t="shared" ca="1" si="51"/>
        <v>7439</v>
      </c>
      <c r="AJ17" s="11">
        <f t="shared" ca="1" si="32"/>
        <v>200.52166666666636</v>
      </c>
      <c r="AK17" s="8">
        <f t="shared" si="48"/>
        <v>9877</v>
      </c>
      <c r="AL17" s="12">
        <f t="shared" ca="1" si="34"/>
        <v>0.75316391616887723</v>
      </c>
      <c r="AM17" s="13">
        <f t="shared" si="49"/>
        <v>1.5</v>
      </c>
      <c r="AN17" s="12">
        <f t="shared" ca="1" si="36"/>
        <v>0.74945930173544928</v>
      </c>
      <c r="AO17" s="14">
        <f t="shared" ca="1" si="37"/>
        <v>1.1241889526031739</v>
      </c>
      <c r="AP17" s="13">
        <f t="shared" ref="AP17:AQ17" ca="1" si="52">SUM(T21)</f>
        <v>252.9999999999996</v>
      </c>
      <c r="AQ17" s="13">
        <f t="shared" ca="1" si="52"/>
        <v>7.6666666666666545</v>
      </c>
      <c r="AR17" s="9">
        <f t="shared" ca="1" si="39"/>
        <v>225.42424242424244</v>
      </c>
      <c r="AS17" s="76"/>
      <c r="AT17" s="76"/>
    </row>
    <row r="18" spans="1:46" ht="15.75" customHeight="1" x14ac:dyDescent="0.25">
      <c r="A18" s="70"/>
      <c r="B18" s="16">
        <v>13</v>
      </c>
      <c r="C18" s="16" t="s">
        <v>43</v>
      </c>
      <c r="D18" s="17">
        <v>30</v>
      </c>
      <c r="E18" s="18">
        <f ca="1">IFERROR(__xludf.DUMMYFUNCTION("COUNT(IMPORTRANGE(""https://docs.google.com/spreadsheets/d/1AxBmuQEdOYAeRnZ4C8vO6kuTNp7X_SGhpLXuY0n4ln4/edit"",""1!d2:d31""))"),30)</f>
        <v>30</v>
      </c>
      <c r="F18" s="23">
        <f ca="1">IFERROR(__xludf.DUMMYFUNCTION("SUM(IMPORTRANGE(""https://docs.google.com/spreadsheets/d/1AxBmuQEdOYAeRnZ4C8vO6kuTNp7X_SGhpLXuY0n4ln4/edit"",""1!Q2:Q31""))"),6429.01099999999)</f>
        <v>6429.0109999999904</v>
      </c>
      <c r="G18" s="18">
        <f ca="1">IFERROR(__xludf.DUMMYFUNCTION("IMPORTRANGE(""https://docs.google.com/spreadsheets/d/1AxBmuQEdOYAeRnZ4C8vO6kuTNp7X_SGhpLXuY0n4ln4/edit"",""1!e38"")"),1826)</f>
        <v>1826</v>
      </c>
      <c r="H18" s="18">
        <f ca="1">IFERROR(__xludf.DUMMYFUNCTION("IMPORTRANGE(""https://docs.google.com/spreadsheets/d/1AxBmuQEdOYAeRnZ4C8vO6kuTNp7X_SGhpLXuY0n4ln4/edit"",""1!e39"")"),0)</f>
        <v>0</v>
      </c>
      <c r="I18" s="18">
        <f t="shared" ca="1" si="12"/>
        <v>1826</v>
      </c>
      <c r="J18" s="18">
        <f ca="1">IFERROR(__xludf.DUMMYFUNCTION("IMPORTRANGE(""https://docs.google.com/spreadsheets/d/1AxBmuQEdOYAeRnZ4C8vO6kuTNp7X_SGhpLXuY0n4ln4/edit"",""1!e42"")"),2445)</f>
        <v>2445</v>
      </c>
      <c r="K18" s="18">
        <f ca="1">IFERROR(__xludf.DUMMYFUNCTION("IMPORTRANGE(""https://docs.google.com/spreadsheets/d/1AxBmuQEdOYAeRnZ4C8vO6kuTNp7X_SGhpLXuY0n4ln4/edit"",""1!e43"")"),98)</f>
        <v>98</v>
      </c>
      <c r="L18" s="18">
        <f t="shared" ca="1" si="42"/>
        <v>2543</v>
      </c>
      <c r="M18" s="18">
        <f t="shared" ca="1" si="14"/>
        <v>4369</v>
      </c>
      <c r="N18" s="19">
        <f t="shared" ca="1" si="15"/>
        <v>214.30036666666635</v>
      </c>
      <c r="O18" s="16">
        <v>8345</v>
      </c>
      <c r="P18" s="20">
        <f t="shared" ca="1" si="16"/>
        <v>0.52354703415218695</v>
      </c>
      <c r="Q18" s="21">
        <v>1.5</v>
      </c>
      <c r="R18" s="20">
        <f t="shared" ca="1" si="17"/>
        <v>0.45305050289487309</v>
      </c>
      <c r="S18" s="22">
        <f t="shared" ca="1" si="18"/>
        <v>0.67957575434230966</v>
      </c>
      <c r="T18" s="21">
        <f ca="1">F18/41.205</f>
        <v>156.02502123528674</v>
      </c>
      <c r="U18" s="21">
        <f t="shared" ca="1" si="19"/>
        <v>5.2008340411762246</v>
      </c>
      <c r="V18" s="18">
        <f t="shared" ca="1" si="20"/>
        <v>145.63333333333333</v>
      </c>
      <c r="W18" s="76"/>
      <c r="X18" s="24" t="s">
        <v>33</v>
      </c>
      <c r="Y18" s="24">
        <v>6</v>
      </c>
      <c r="Z18" s="24">
        <f t="shared" ref="Z18:AI18" si="53">SUM(Z12:Z17)</f>
        <v>226</v>
      </c>
      <c r="AA18" s="25">
        <f t="shared" ca="1" si="53"/>
        <v>217</v>
      </c>
      <c r="AB18" s="27">
        <f t="shared" ca="1" si="53"/>
        <v>42705.396999999874</v>
      </c>
      <c r="AC18" s="25">
        <f t="shared" ca="1" si="53"/>
        <v>15280</v>
      </c>
      <c r="AD18" s="25">
        <f t="shared" ca="1" si="53"/>
        <v>239</v>
      </c>
      <c r="AE18" s="25">
        <f t="shared" ca="1" si="53"/>
        <v>15519</v>
      </c>
      <c r="AF18" s="25">
        <f t="shared" ca="1" si="53"/>
        <v>19328</v>
      </c>
      <c r="AG18" s="25">
        <f t="shared" ca="1" si="53"/>
        <v>971</v>
      </c>
      <c r="AH18" s="25">
        <f t="shared" ca="1" si="53"/>
        <v>20299</v>
      </c>
      <c r="AI18" s="25">
        <f t="shared" ca="1" si="53"/>
        <v>35818</v>
      </c>
      <c r="AJ18" s="27">
        <f t="shared" ca="1" si="32"/>
        <v>196.79906451612845</v>
      </c>
      <c r="AK18" s="24">
        <f>SUM(AK12:AK17)</f>
        <v>53273</v>
      </c>
      <c r="AL18" s="28">
        <f t="shared" ca="1" si="34"/>
        <v>0.67234809378108984</v>
      </c>
      <c r="AM18" s="29">
        <v>1.5</v>
      </c>
      <c r="AN18" s="28">
        <f t="shared" ca="1" si="36"/>
        <v>0.55914868714759258</v>
      </c>
      <c r="AO18" s="30">
        <f t="shared" ca="1" si="37"/>
        <v>0.83872303072138887</v>
      </c>
      <c r="AP18" s="29">
        <f ca="1">SUM(AP12:AP17)</f>
        <v>1400.424907595323</v>
      </c>
      <c r="AQ18" s="29">
        <f ca="1">AP18/AA18</f>
        <v>6.4535710027434243</v>
      </c>
      <c r="AR18" s="25">
        <f t="shared" ca="1" si="39"/>
        <v>165.05990783410138</v>
      </c>
      <c r="AS18" s="76"/>
      <c r="AT18" s="76"/>
    </row>
    <row r="19" spans="1:46" ht="15.75" customHeight="1" x14ac:dyDescent="0.25">
      <c r="A19" s="70"/>
      <c r="B19" s="16">
        <v>14</v>
      </c>
      <c r="C19" s="16" t="s">
        <v>27</v>
      </c>
      <c r="D19" s="17">
        <v>30</v>
      </c>
      <c r="E19" s="18">
        <f ca="1">IFERROR(__xludf.DUMMYFUNCTION("COUNT(IMPORTRANGE(""https://docs.google.com/spreadsheets/d/1LsL4JuXvBtfJ-TVi4NFml9lV_pmd61b789A_nbO-QrA/edit"",""1!d2:d31""))"),29)</f>
        <v>29</v>
      </c>
      <c r="F19" s="23">
        <f ca="1">IFERROR(__xludf.DUMMYFUNCTION("SUM(IMPORTRANGE(""https://docs.google.com/spreadsheets/d/1LsL4JuXvBtfJ-TVi4NFml9lV_pmd61b789A_nbO-QrA/edit"",""1!Q2:Q31""))"),5705.58)</f>
        <v>5705.58</v>
      </c>
      <c r="G19" s="18">
        <f ca="1">IFERROR(__xludf.DUMMYFUNCTION("IMPORTRANGE(""https://docs.google.com/spreadsheets/d/1LsL4JuXvBtfJ-TVi4NFml9lV_pmd61b789A_nbO-QrA/edit"",""1!e38"")"),2473)</f>
        <v>2473</v>
      </c>
      <c r="H19" s="18">
        <f ca="1">IFERROR(__xludf.DUMMYFUNCTION("IMPORTRANGE(""https://docs.google.com/spreadsheets/d/1LsL4JuXvBtfJ-TVi4NFml9lV_pmd61b789A_nbO-QrA/edit"",""1!e39"")"),128)</f>
        <v>128</v>
      </c>
      <c r="I19" s="18">
        <f t="shared" ca="1" si="12"/>
        <v>2601</v>
      </c>
      <c r="J19" s="18">
        <f ca="1">IFERROR(__xludf.DUMMYFUNCTION("IMPORTRANGE(""https://docs.google.com/spreadsheets/d/1LsL4JuXvBtfJ-TVi4NFml9lV_pmd61b789A_nbO-QrA/edit"",""1!e42"")"),1994)</f>
        <v>1994</v>
      </c>
      <c r="K19" s="18">
        <f ca="1">IFERROR(__xludf.DUMMYFUNCTION("IMPORTRANGE(""https://docs.google.com/spreadsheets/d/1LsL4JuXvBtfJ-TVi4NFml9lV_pmd61b789A_nbO-QrA/edit"",""1!e43"")"),126)</f>
        <v>126</v>
      </c>
      <c r="L19" s="18">
        <f t="shared" ca="1" si="42"/>
        <v>2120</v>
      </c>
      <c r="M19" s="18">
        <f t="shared" ca="1" si="14"/>
        <v>4721</v>
      </c>
      <c r="N19" s="19">
        <f t="shared" ca="1" si="15"/>
        <v>196.74413793103449</v>
      </c>
      <c r="O19" s="16">
        <v>8101</v>
      </c>
      <c r="P19" s="20">
        <f t="shared" ca="1" si="16"/>
        <v>0.58276755956054804</v>
      </c>
      <c r="Q19" s="21">
        <v>1.5</v>
      </c>
      <c r="R19" s="20">
        <f t="shared" ca="1" si="17"/>
        <v>0.55162373208917115</v>
      </c>
      <c r="S19" s="22">
        <f t="shared" ca="1" si="18"/>
        <v>0.82743559813375678</v>
      </c>
      <c r="T19" s="21">
        <f ca="1">F19/19.985</f>
        <v>285.49311983987991</v>
      </c>
      <c r="U19" s="21">
        <f t="shared" ca="1" si="19"/>
        <v>9.8445903393062046</v>
      </c>
      <c r="V19" s="18">
        <f t="shared" ca="1" si="20"/>
        <v>162.79310344827587</v>
      </c>
      <c r="W19" s="76"/>
      <c r="X19" s="97" t="s">
        <v>44</v>
      </c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9"/>
      <c r="AS19" s="76"/>
      <c r="AT19" s="76"/>
    </row>
    <row r="20" spans="1:46" ht="15.75" customHeight="1" x14ac:dyDescent="0.25">
      <c r="A20" s="70"/>
      <c r="B20" s="16">
        <v>15</v>
      </c>
      <c r="C20" s="16" t="s">
        <v>40</v>
      </c>
      <c r="D20" s="17">
        <v>30</v>
      </c>
      <c r="E20" s="18">
        <f ca="1">IFERROR(__xludf.DUMMYFUNCTION("COUNT(IMPORTRANGE(""https://docs.google.com/spreadsheets/d/1Krav0MVlY0vbUNsFRDnb_kR72_tyuGnWBYbGjNZrl18/edit"",""1!d2:d31""))"),28)</f>
        <v>28</v>
      </c>
      <c r="F20" s="23">
        <f ca="1">IFERROR(__xludf.DUMMYFUNCTION("SUM(IMPORTRANGE(""https://docs.google.com/spreadsheets/d/1Krav0MVlY0vbUNsFRDnb_kR72_tyuGnWBYbGjNZrl18/edit"",""1!Q2:Q31""))"),5205.06899999999)</f>
        <v>5205.0689999999904</v>
      </c>
      <c r="G20" s="18">
        <f ca="1">IFERROR(__xludf.DUMMYFUNCTION("IMPORTRANGE(""https://docs.google.com/spreadsheets/d/1Krav0MVlY0vbUNsFRDnb_kR72_tyuGnWBYbGjNZrl18/edit"",""1!e38"")"),3011)</f>
        <v>3011</v>
      </c>
      <c r="H20" s="18">
        <f ca="1">IFERROR(__xludf.DUMMYFUNCTION("IMPORTRANGE(""https://docs.google.com/spreadsheets/d/1Krav0MVlY0vbUNsFRDnb_kR72_tyuGnWBYbGjNZrl18/edit"",""1!e39"")"),75)</f>
        <v>75</v>
      </c>
      <c r="I20" s="18">
        <f t="shared" ca="1" si="12"/>
        <v>3086</v>
      </c>
      <c r="J20" s="18">
        <f ca="1">IFERROR(__xludf.DUMMYFUNCTION("IMPORTRANGE(""https://docs.google.com/spreadsheets/d/1Krav0MVlY0vbUNsFRDnb_kR72_tyuGnWBYbGjNZrl18/edit"",""1!e42"")"),3435)</f>
        <v>3435</v>
      </c>
      <c r="K20" s="18">
        <f ca="1">IFERROR(__xludf.DUMMYFUNCTION("IMPORTRANGE(""https://docs.google.com/spreadsheets/d/1Krav0MVlY0vbUNsFRDnb_kR72_tyuGnWBYbGjNZrl18/edit"",""1!e43"")"),15)</f>
        <v>15</v>
      </c>
      <c r="L20" s="18">
        <f t="shared" ca="1" si="42"/>
        <v>3450</v>
      </c>
      <c r="M20" s="18">
        <f t="shared" ca="1" si="14"/>
        <v>6536</v>
      </c>
      <c r="N20" s="19">
        <f t="shared" ca="1" si="15"/>
        <v>185.89532142857109</v>
      </c>
      <c r="O20" s="16">
        <v>8239</v>
      </c>
      <c r="P20" s="20">
        <f t="shared" ca="1" si="16"/>
        <v>0.79330015778613905</v>
      </c>
      <c r="Q20" s="21">
        <v>1.5</v>
      </c>
      <c r="R20" s="20">
        <f t="shared" ca="1" si="17"/>
        <v>0.83713267457805873</v>
      </c>
      <c r="S20" s="22">
        <f t="shared" ca="1" si="18"/>
        <v>1.2556990118670881</v>
      </c>
      <c r="T20" s="21">
        <f ca="1">F20/28.443</f>
        <v>182.99999999999966</v>
      </c>
      <c r="U20" s="21">
        <f t="shared" ca="1" si="19"/>
        <v>6.5357142857142732</v>
      </c>
      <c r="V20" s="18">
        <f t="shared" ca="1" si="20"/>
        <v>233.42857142857142</v>
      </c>
      <c r="W20" s="76"/>
      <c r="X20" s="1" t="s">
        <v>2</v>
      </c>
      <c r="Y20" s="1" t="s">
        <v>3</v>
      </c>
      <c r="Z20" s="1" t="s">
        <v>4</v>
      </c>
      <c r="AA20" s="1" t="s">
        <v>5</v>
      </c>
      <c r="AB20" s="2" t="s">
        <v>6</v>
      </c>
      <c r="AC20" s="1" t="s">
        <v>7</v>
      </c>
      <c r="AD20" s="1" t="s">
        <v>8</v>
      </c>
      <c r="AE20" s="1" t="s">
        <v>9</v>
      </c>
      <c r="AF20" s="1" t="s">
        <v>10</v>
      </c>
      <c r="AG20" s="1" t="s">
        <v>11</v>
      </c>
      <c r="AH20" s="1" t="s">
        <v>12</v>
      </c>
      <c r="AI20" s="1" t="s">
        <v>13</v>
      </c>
      <c r="AJ20" s="2" t="s">
        <v>14</v>
      </c>
      <c r="AK20" s="1" t="s">
        <v>15</v>
      </c>
      <c r="AL20" s="1" t="s">
        <v>16</v>
      </c>
      <c r="AM20" s="3" t="s">
        <v>17</v>
      </c>
      <c r="AN20" s="4" t="s">
        <v>18</v>
      </c>
      <c r="AO20" s="5" t="s">
        <v>19</v>
      </c>
      <c r="AP20" s="6" t="s">
        <v>20</v>
      </c>
      <c r="AQ20" s="6" t="s">
        <v>21</v>
      </c>
      <c r="AR20" s="7" t="s">
        <v>22</v>
      </c>
      <c r="AS20" s="76"/>
      <c r="AT20" s="76"/>
    </row>
    <row r="21" spans="1:46" ht="15.75" customHeight="1" x14ac:dyDescent="0.25">
      <c r="A21" s="70"/>
      <c r="B21" s="16">
        <v>16</v>
      </c>
      <c r="C21" s="16" t="s">
        <v>42</v>
      </c>
      <c r="D21" s="17">
        <v>33</v>
      </c>
      <c r="E21" s="18">
        <f ca="1">IFERROR(__xludf.DUMMYFUNCTION("COUNT(IMPORTRANGE(""https://docs.google.com/spreadsheets/d/1uXtm-E8PG0CetlFmSpTX3RK0LNEMnpR-mxbET9AGD6w/edit"",""1!d2:d34""))"),33)</f>
        <v>33</v>
      </c>
      <c r="F21" s="23">
        <f ca="1">IFERROR(__xludf.DUMMYFUNCTION("SUM(IMPORTRANGE(""https://docs.google.com/spreadsheets/d/1uXtm-E8PG0CetlFmSpTX3RK0LNEMnpR-mxbET9AGD6w/edit"",""1!Q2:Q34""))"),6617.21499999999)</f>
        <v>6617.2149999999901</v>
      </c>
      <c r="G21" s="18">
        <f ca="1">IFERROR(__xludf.DUMMYFUNCTION("IMPORTRANGE(""https://docs.google.com/spreadsheets/d/1uXtm-E8PG0CetlFmSpTX3RK0LNEMnpR-mxbET9AGD6w/edit"",""1!e41"")"),3231)</f>
        <v>3231</v>
      </c>
      <c r="H21" s="18">
        <f ca="1">IFERROR(__xludf.DUMMYFUNCTION("IMPORTRANGE(""https://docs.google.com/spreadsheets/d/1uXtm-E8PG0CetlFmSpTX3RK0LNEMnpR-mxbET9AGD6w/edit"",""1!e42"")"),33)</f>
        <v>33</v>
      </c>
      <c r="I21" s="18">
        <f t="shared" ca="1" si="12"/>
        <v>3264</v>
      </c>
      <c r="J21" s="18">
        <f ca="1">IFERROR(__xludf.DUMMYFUNCTION("IMPORTRANGE(""https://docs.google.com/spreadsheets/d/1uXtm-E8PG0CetlFmSpTX3RK0LNEMnpR-mxbET9AGD6w/edit"",""1!e45"")"),3600)</f>
        <v>3600</v>
      </c>
      <c r="K21" s="18">
        <f ca="1">IFERROR(__xludf.DUMMYFUNCTION("IMPORTRANGE(""https://docs.google.com/spreadsheets/d/1uXtm-E8PG0CetlFmSpTX3RK0LNEMnpR-mxbET9AGD6w/edit"",""1!e46"")"),575)</f>
        <v>575</v>
      </c>
      <c r="L21" s="18">
        <f t="shared" ca="1" si="42"/>
        <v>4175</v>
      </c>
      <c r="M21" s="18">
        <f t="shared" ca="1" si="14"/>
        <v>7439</v>
      </c>
      <c r="N21" s="19">
        <f t="shared" ca="1" si="15"/>
        <v>200.52166666666636</v>
      </c>
      <c r="O21" s="16">
        <v>9877</v>
      </c>
      <c r="P21" s="20">
        <f t="shared" ca="1" si="16"/>
        <v>0.75316391616887723</v>
      </c>
      <c r="Q21" s="21">
        <v>1.5</v>
      </c>
      <c r="R21" s="20">
        <f t="shared" ca="1" si="17"/>
        <v>0.74945930173544928</v>
      </c>
      <c r="S21" s="22">
        <f t="shared" ca="1" si="18"/>
        <v>1.1241889526031739</v>
      </c>
      <c r="T21" s="21">
        <f ca="1">F21/26.155</f>
        <v>252.9999999999996</v>
      </c>
      <c r="U21" s="21">
        <f t="shared" ca="1" si="19"/>
        <v>7.6666666666666545</v>
      </c>
      <c r="V21" s="18">
        <f t="shared" ca="1" si="20"/>
        <v>225.42424242424244</v>
      </c>
      <c r="W21" s="76"/>
      <c r="X21" s="8">
        <v>1</v>
      </c>
      <c r="Y21" s="8" t="s">
        <v>26</v>
      </c>
      <c r="Z21" s="8">
        <f t="shared" ref="Z21:AI21" si="54">SUM(D6)</f>
        <v>20</v>
      </c>
      <c r="AA21" s="9">
        <f t="shared" ca="1" si="54"/>
        <v>20</v>
      </c>
      <c r="AB21" s="11">
        <f t="shared" ca="1" si="54"/>
        <v>3589.9469999999901</v>
      </c>
      <c r="AC21" s="9">
        <f t="shared" ca="1" si="54"/>
        <v>1811</v>
      </c>
      <c r="AD21" s="9">
        <f t="shared" ca="1" si="54"/>
        <v>0</v>
      </c>
      <c r="AE21" s="9">
        <f t="shared" ca="1" si="54"/>
        <v>1811</v>
      </c>
      <c r="AF21" s="9">
        <f t="shared" ca="1" si="54"/>
        <v>2360</v>
      </c>
      <c r="AG21" s="9">
        <f t="shared" ca="1" si="54"/>
        <v>0</v>
      </c>
      <c r="AH21" s="9">
        <f t="shared" ca="1" si="54"/>
        <v>2360</v>
      </c>
      <c r="AI21" s="9">
        <f t="shared" ca="1" si="54"/>
        <v>4171</v>
      </c>
      <c r="AJ21" s="11">
        <f t="shared" ref="AJ21:AJ27" ca="1" si="55">AB21/AA21</f>
        <v>179.4973499999995</v>
      </c>
      <c r="AK21" s="8">
        <f>SUM(O6)</f>
        <v>5161</v>
      </c>
      <c r="AL21" s="12">
        <f t="shared" ref="AL21:AL27" ca="1" si="56">AI21/AK21</f>
        <v>0.80817670993993407</v>
      </c>
      <c r="AM21" s="13">
        <f>SUM(Q6)</f>
        <v>1.5</v>
      </c>
      <c r="AN21" s="12">
        <f t="shared" ref="AN21:AN27" ca="1" si="57">AO21/AM21</f>
        <v>0.77457039523610638</v>
      </c>
      <c r="AO21" s="14">
        <f t="shared" ref="AO21:AO27" ca="1" si="58">AI21/AB21</f>
        <v>1.1618555928541596</v>
      </c>
      <c r="AP21" s="13">
        <f t="shared" ref="AP21:AQ21" ca="1" si="59">SUM(T6)</f>
        <v>249.04245577523346</v>
      </c>
      <c r="AQ21" s="13">
        <f t="shared" ca="1" si="59"/>
        <v>12.452122788761674</v>
      </c>
      <c r="AR21" s="9">
        <f t="shared" ref="AR21:AR27" ca="1" si="60">AI21/AA21</f>
        <v>208.55</v>
      </c>
      <c r="AS21" s="76"/>
      <c r="AT21" s="76"/>
    </row>
    <row r="22" spans="1:46" ht="15.75" customHeight="1" x14ac:dyDescent="0.25">
      <c r="A22" s="70"/>
      <c r="B22" s="16">
        <v>17</v>
      </c>
      <c r="C22" s="16" t="s">
        <v>29</v>
      </c>
      <c r="D22" s="17">
        <v>30</v>
      </c>
      <c r="E22" s="18">
        <f ca="1">IFERROR(__xludf.DUMMYFUNCTION("COUNT(IMPORTRANGE(""https://docs.google.com/spreadsheets/d/12xcKI0lSnAsjEsxfm9K8Qx0B_89Gzsh816mowItkQao/edit"",""1!d2:d31""))"),29)</f>
        <v>29</v>
      </c>
      <c r="F22" s="23">
        <f ca="1">IFERROR(__xludf.DUMMYFUNCTION("SUM(IMPORTRANGE(""https://docs.google.com/spreadsheets/d/12xcKI0lSnAsjEsxfm9K8Qx0B_89Gzsh816mowItkQao/edit"",""1!Q2:Q31""))"),5702.322)</f>
        <v>5702.3220000000001</v>
      </c>
      <c r="G22" s="18">
        <f ca="1">IFERROR(__xludf.DUMMYFUNCTION("IMPORTRANGE(""https://docs.google.com/spreadsheets/d/12xcKI0lSnAsjEsxfm9K8Qx0B_89Gzsh816mowItkQao/edit"",""1!e38"")"),2306)</f>
        <v>2306</v>
      </c>
      <c r="H22" s="18">
        <f ca="1">IFERROR(__xludf.DUMMYFUNCTION("IMPORTRANGE(""https://docs.google.com/spreadsheets/d/12xcKI0lSnAsjEsxfm9K8Qx0B_89Gzsh816mowItkQao/edit"",""1!e39"")"),0)</f>
        <v>0</v>
      </c>
      <c r="I22" s="18">
        <f t="shared" ca="1" si="12"/>
        <v>2306</v>
      </c>
      <c r="J22" s="18">
        <f ca="1">IFERROR(__xludf.DUMMYFUNCTION("IMPORTRANGE(""https://docs.google.com/spreadsheets/d/12xcKI0lSnAsjEsxfm9K8Qx0B_89Gzsh816mowItkQao/edit"",""1!e42"")"),3601)</f>
        <v>3601</v>
      </c>
      <c r="K22" s="18">
        <f ca="1">IFERROR(__xludf.DUMMYFUNCTION("IMPORTRANGE(""https://docs.google.com/spreadsheets/d/12xcKI0lSnAsjEsxfm9K8Qx0B_89Gzsh816mowItkQao/edit"",""1!e43"")"),0)</f>
        <v>0</v>
      </c>
      <c r="L22" s="18">
        <f t="shared" ca="1" si="42"/>
        <v>3601</v>
      </c>
      <c r="M22" s="18">
        <f t="shared" ca="1" si="14"/>
        <v>5907</v>
      </c>
      <c r="N22" s="19">
        <f t="shared" ca="1" si="15"/>
        <v>196.63179310344827</v>
      </c>
      <c r="O22" s="16">
        <v>9201</v>
      </c>
      <c r="P22" s="20">
        <f t="shared" ca="1" si="16"/>
        <v>0.64199543527877401</v>
      </c>
      <c r="Q22" s="21">
        <v>1.5</v>
      </c>
      <c r="R22" s="20">
        <f t="shared" ca="1" si="17"/>
        <v>0.69059586603492396</v>
      </c>
      <c r="S22" s="22">
        <f t="shared" ca="1" si="18"/>
        <v>1.035893799052386</v>
      </c>
      <c r="T22" s="21">
        <f ca="1">F22/26.038</f>
        <v>219</v>
      </c>
      <c r="U22" s="21">
        <f t="shared" ca="1" si="19"/>
        <v>7.5517241379310347</v>
      </c>
      <c r="V22" s="18">
        <f t="shared" ca="1" si="20"/>
        <v>203.68965517241378</v>
      </c>
      <c r="W22" s="76"/>
      <c r="X22" s="8">
        <v>2</v>
      </c>
      <c r="Y22" s="8" t="s">
        <v>32</v>
      </c>
      <c r="Z22" s="8">
        <f t="shared" ref="Z22:AI22" si="61">SUM(D9)</f>
        <v>42</v>
      </c>
      <c r="AA22" s="9">
        <f t="shared" ca="1" si="61"/>
        <v>39</v>
      </c>
      <c r="AB22" s="10">
        <f t="shared" ca="1" si="61"/>
        <v>7827.76799999999</v>
      </c>
      <c r="AC22" s="8">
        <f t="shared" ca="1" si="61"/>
        <v>4318</v>
      </c>
      <c r="AD22" s="8">
        <f t="shared" ca="1" si="61"/>
        <v>0</v>
      </c>
      <c r="AE22" s="9">
        <f t="shared" ca="1" si="61"/>
        <v>4318</v>
      </c>
      <c r="AF22" s="8">
        <f t="shared" ca="1" si="61"/>
        <v>4924</v>
      </c>
      <c r="AG22" s="8">
        <f t="shared" ca="1" si="61"/>
        <v>0</v>
      </c>
      <c r="AH22" s="9">
        <f t="shared" ca="1" si="61"/>
        <v>4924</v>
      </c>
      <c r="AI22" s="9">
        <f t="shared" ca="1" si="61"/>
        <v>9242</v>
      </c>
      <c r="AJ22" s="11">
        <f t="shared" ca="1" si="55"/>
        <v>200.71199999999973</v>
      </c>
      <c r="AK22" s="8">
        <f>SUM(O9)</f>
        <v>13817</v>
      </c>
      <c r="AL22" s="12">
        <f t="shared" ca="1" si="56"/>
        <v>0.66888615473691826</v>
      </c>
      <c r="AM22" s="13">
        <f>SUM(Q9)</f>
        <v>1.5</v>
      </c>
      <c r="AN22" s="12">
        <f t="shared" ca="1" si="57"/>
        <v>0.78711240973587115</v>
      </c>
      <c r="AO22" s="14">
        <f t="shared" ca="1" si="58"/>
        <v>1.1806686146038068</v>
      </c>
      <c r="AP22" s="13">
        <f t="shared" ref="AP22:AQ22" ca="1" si="62">SUM(T9)</f>
        <v>311.9999999999996</v>
      </c>
      <c r="AQ22" s="13">
        <f t="shared" ca="1" si="62"/>
        <v>7.9999999999999902</v>
      </c>
      <c r="AR22" s="9">
        <f t="shared" ca="1" si="60"/>
        <v>236.97435897435898</v>
      </c>
      <c r="AS22" s="76"/>
      <c r="AT22" s="76"/>
    </row>
    <row r="23" spans="1:46" ht="15.75" customHeight="1" x14ac:dyDescent="0.25">
      <c r="A23" s="70"/>
      <c r="B23" s="16">
        <v>18</v>
      </c>
      <c r="C23" s="16" t="s">
        <v>31</v>
      </c>
      <c r="D23" s="17">
        <v>15</v>
      </c>
      <c r="E23" s="18">
        <f ca="1">IFERROR(__xludf.DUMMYFUNCTION("COUNT(IMPORTRANGE(""https://docs.google.com/spreadsheets/d/1fgCFOFzOla4Qim6_-zG-lbYhLCItqv_kZiAHoErRgcM/edit"",""1!d2:d16""))"),15)</f>
        <v>15</v>
      </c>
      <c r="F23" s="19">
        <f ca="1">IFERROR(__xludf.DUMMYFUNCTION("SUM(IMPORTRANGE(""https://docs.google.com/spreadsheets/d/1fgCFOFzOla4Qim6_-zG-lbYhLCItqv_kZiAHoErRgcM/edit"",""1!Q2:Q16""))"),2999.085)</f>
        <v>2999.085</v>
      </c>
      <c r="G23" s="18">
        <f ca="1">IFERROR(__xludf.DUMMYFUNCTION("IMPORTRANGE(""https://docs.google.com/spreadsheets/d/1fgCFOFzOla4Qim6_-zG-lbYhLCItqv_kZiAHoErRgcM/edit"",""1!e23"")"),923)</f>
        <v>923</v>
      </c>
      <c r="H23" s="18">
        <f ca="1">IFERROR(__xludf.DUMMYFUNCTION("IMPORTRANGE(""https://docs.google.com/spreadsheets/d/1fgCFOFzOla4Qim6_-zG-lbYhLCItqv_kZiAHoErRgcM/edit"",""1!e24"")"),15)</f>
        <v>15</v>
      </c>
      <c r="I23" s="18">
        <f t="shared" ca="1" si="12"/>
        <v>938</v>
      </c>
      <c r="J23" s="18">
        <f ca="1">IFERROR(__xludf.DUMMYFUNCTION("IMPORTRANGE(""https://docs.google.com/spreadsheets/d/1fgCFOFzOla4Qim6_-zG-lbYhLCItqv_kZiAHoErRgcM/edit"",""1!e27"")"),1060)</f>
        <v>1060</v>
      </c>
      <c r="K23" s="18">
        <f ca="1">IFERROR(__xludf.DUMMYFUNCTION("IMPORTRANGE(""https://docs.google.com/spreadsheets/d/1fgCFOFzOla4Qim6_-zG-lbYhLCItqv_kZiAHoErRgcM/edit"",""1!e28"")"),0)</f>
        <v>0</v>
      </c>
      <c r="L23" s="18">
        <f t="shared" ca="1" si="42"/>
        <v>1060</v>
      </c>
      <c r="M23" s="18">
        <f t="shared" ca="1" si="14"/>
        <v>1998</v>
      </c>
      <c r="N23" s="19">
        <f t="shared" ca="1" si="15"/>
        <v>199.93899999999999</v>
      </c>
      <c r="O23" s="16">
        <v>2717</v>
      </c>
      <c r="P23" s="20">
        <f t="shared" ca="1" si="16"/>
        <v>0.73536989326463009</v>
      </c>
      <c r="Q23" s="21">
        <v>1.5</v>
      </c>
      <c r="R23" s="20">
        <f t="shared" ca="1" si="17"/>
        <v>0.44413546131570131</v>
      </c>
      <c r="S23" s="22">
        <f t="shared" ca="1" si="18"/>
        <v>0.66620319197355193</v>
      </c>
      <c r="T23" s="21">
        <f ca="1">F23/43.465</f>
        <v>69</v>
      </c>
      <c r="U23" s="21">
        <f t="shared" ca="1" si="19"/>
        <v>4.5999999999999996</v>
      </c>
      <c r="V23" s="18">
        <f t="shared" ca="1" si="20"/>
        <v>133.19999999999999</v>
      </c>
      <c r="W23" s="76"/>
      <c r="X23" s="8">
        <v>3</v>
      </c>
      <c r="Y23" s="8" t="s">
        <v>36</v>
      </c>
      <c r="Z23" s="8">
        <f t="shared" ref="Z23:AI23" si="63">SUM(D14)</f>
        <v>24</v>
      </c>
      <c r="AA23" s="9">
        <f t="shared" ca="1" si="63"/>
        <v>23</v>
      </c>
      <c r="AB23" s="10">
        <f t="shared" ca="1" si="63"/>
        <v>4502.8009999999904</v>
      </c>
      <c r="AC23" s="9">
        <f t="shared" ca="1" si="63"/>
        <v>1357</v>
      </c>
      <c r="AD23" s="9">
        <f t="shared" ca="1" si="63"/>
        <v>0</v>
      </c>
      <c r="AE23" s="9">
        <f t="shared" ca="1" si="63"/>
        <v>1357</v>
      </c>
      <c r="AF23" s="9">
        <f t="shared" ca="1" si="63"/>
        <v>1822</v>
      </c>
      <c r="AG23" s="9">
        <f t="shared" ca="1" si="63"/>
        <v>0</v>
      </c>
      <c r="AH23" s="9">
        <f t="shared" ca="1" si="63"/>
        <v>1822</v>
      </c>
      <c r="AI23" s="9">
        <f t="shared" ca="1" si="63"/>
        <v>3179</v>
      </c>
      <c r="AJ23" s="11">
        <f t="shared" ca="1" si="55"/>
        <v>195.77395652173871</v>
      </c>
      <c r="AK23" s="8">
        <f t="shared" ref="AK23:AK26" si="64">SUM(O14)</f>
        <v>4796</v>
      </c>
      <c r="AL23" s="12">
        <f t="shared" ca="1" si="56"/>
        <v>0.66284403669724767</v>
      </c>
      <c r="AM23" s="13">
        <f t="shared" ref="AM23:AM26" si="65">SUM(Q14)</f>
        <v>1.5</v>
      </c>
      <c r="AN23" s="12">
        <f t="shared" ca="1" si="57"/>
        <v>0.47066999703814089</v>
      </c>
      <c r="AO23" s="14">
        <f t="shared" ca="1" si="58"/>
        <v>0.7060049955572113</v>
      </c>
      <c r="AP23" s="13">
        <f t="shared" ref="AP23:AQ23" ca="1" si="66">SUM(T14)</f>
        <v>120.35069759982868</v>
      </c>
      <c r="AQ23" s="13">
        <f t="shared" ca="1" si="66"/>
        <v>5.2326390260795081</v>
      </c>
      <c r="AR23" s="9">
        <f t="shared" ca="1" si="60"/>
        <v>138.21739130434781</v>
      </c>
      <c r="AS23" s="76"/>
      <c r="AT23" s="76"/>
    </row>
    <row r="24" spans="1:46" ht="15.75" customHeight="1" x14ac:dyDescent="0.2">
      <c r="A24" s="70"/>
      <c r="B24" s="98" t="s">
        <v>33</v>
      </c>
      <c r="C24" s="98">
        <v>18</v>
      </c>
      <c r="D24" s="98">
        <f t="shared" ref="D24:M24" si="67">SUM(D6:D23)</f>
        <v>580</v>
      </c>
      <c r="E24" s="74">
        <f t="shared" ca="1" si="67"/>
        <v>561</v>
      </c>
      <c r="F24" s="99">
        <f t="shared" ca="1" si="67"/>
        <v>109626.14999999982</v>
      </c>
      <c r="G24" s="74">
        <f t="shared" ca="1" si="67"/>
        <v>37618</v>
      </c>
      <c r="H24" s="74">
        <f t="shared" ca="1" si="67"/>
        <v>777</v>
      </c>
      <c r="I24" s="74">
        <f t="shared" ca="1" si="67"/>
        <v>38395</v>
      </c>
      <c r="J24" s="74">
        <f t="shared" ca="1" si="67"/>
        <v>48154</v>
      </c>
      <c r="K24" s="74">
        <f t="shared" ca="1" si="67"/>
        <v>1737</v>
      </c>
      <c r="L24" s="74">
        <f t="shared" ca="1" si="67"/>
        <v>49891</v>
      </c>
      <c r="M24" s="74">
        <f t="shared" ca="1" si="67"/>
        <v>88286</v>
      </c>
      <c r="N24" s="99">
        <f t="shared" ca="1" si="15"/>
        <v>195.41203208556118</v>
      </c>
      <c r="O24" s="98">
        <f>SUM(O6:O23)</f>
        <v>126399</v>
      </c>
      <c r="P24" s="69">
        <f t="shared" ca="1" si="16"/>
        <v>0.6984707157493335</v>
      </c>
      <c r="Q24" s="72">
        <v>1.5</v>
      </c>
      <c r="R24" s="69">
        <f t="shared" ca="1" si="17"/>
        <v>0.53689136518370328</v>
      </c>
      <c r="S24" s="73">
        <f t="shared" ca="1" si="18"/>
        <v>0.80533704777555493</v>
      </c>
      <c r="T24" s="72">
        <f ca="1">SUM(T6:T23)</f>
        <v>4044.1365599034502</v>
      </c>
      <c r="U24" s="72">
        <f t="shared" ca="1" si="19"/>
        <v>7.2087995720204106</v>
      </c>
      <c r="V24" s="74">
        <f t="shared" ca="1" si="20"/>
        <v>157.37254901960785</v>
      </c>
      <c r="W24" s="76"/>
      <c r="X24" s="8">
        <v>4</v>
      </c>
      <c r="Y24" s="8" t="s">
        <v>37</v>
      </c>
      <c r="Z24" s="8">
        <f t="shared" ref="Z24:AI24" si="68">SUM(D15)</f>
        <v>30</v>
      </c>
      <c r="AA24" s="9">
        <f t="shared" ca="1" si="68"/>
        <v>29</v>
      </c>
      <c r="AB24" s="10">
        <f t="shared" ca="1" si="68"/>
        <v>5589.06</v>
      </c>
      <c r="AC24" s="9">
        <f t="shared" ca="1" si="68"/>
        <v>2001</v>
      </c>
      <c r="AD24" s="9">
        <f t="shared" ca="1" si="68"/>
        <v>0</v>
      </c>
      <c r="AE24" s="9">
        <f t="shared" ca="1" si="68"/>
        <v>2001</v>
      </c>
      <c r="AF24" s="9">
        <f t="shared" ca="1" si="68"/>
        <v>2669</v>
      </c>
      <c r="AG24" s="9">
        <f t="shared" ca="1" si="68"/>
        <v>0</v>
      </c>
      <c r="AH24" s="9">
        <f t="shared" ca="1" si="68"/>
        <v>2669</v>
      </c>
      <c r="AI24" s="9">
        <f t="shared" ca="1" si="68"/>
        <v>4670</v>
      </c>
      <c r="AJ24" s="11">
        <f t="shared" ca="1" si="55"/>
        <v>192.72620689655173</v>
      </c>
      <c r="AK24" s="8">
        <f t="shared" si="64"/>
        <v>5887</v>
      </c>
      <c r="AL24" s="12">
        <f t="shared" ca="1" si="56"/>
        <v>0.79327331408187529</v>
      </c>
      <c r="AM24" s="13">
        <f t="shared" si="65"/>
        <v>1.5</v>
      </c>
      <c r="AN24" s="12">
        <f t="shared" ca="1" si="57"/>
        <v>0.55704059955222041</v>
      </c>
      <c r="AO24" s="14">
        <f t="shared" ca="1" si="58"/>
        <v>0.83556089932833066</v>
      </c>
      <c r="AP24" s="13">
        <f t="shared" ref="AP24:AQ24" ca="1" si="69">SUM(T15)</f>
        <v>225.4380445304937</v>
      </c>
      <c r="AQ24" s="13">
        <f t="shared" ca="1" si="69"/>
        <v>7.7737256734653002</v>
      </c>
      <c r="AR24" s="9">
        <f t="shared" ca="1" si="60"/>
        <v>161.0344827586207</v>
      </c>
      <c r="AS24" s="76"/>
      <c r="AT24" s="76"/>
    </row>
    <row r="25" spans="1:46" ht="15.75" customHeight="1" x14ac:dyDescent="0.2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6"/>
      <c r="X25" s="8">
        <v>5</v>
      </c>
      <c r="Y25" s="8" t="s">
        <v>39</v>
      </c>
      <c r="Z25" s="8">
        <f t="shared" ref="Z25:AI25" si="70">SUM(D16)</f>
        <v>28</v>
      </c>
      <c r="AA25" s="9">
        <f t="shared" ca="1" si="70"/>
        <v>28</v>
      </c>
      <c r="AB25" s="10">
        <f t="shared" ca="1" si="70"/>
        <v>5373.0259999999998</v>
      </c>
      <c r="AC25" s="9">
        <f t="shared" ca="1" si="70"/>
        <v>1250</v>
      </c>
      <c r="AD25" s="9">
        <f t="shared" ca="1" si="70"/>
        <v>52</v>
      </c>
      <c r="AE25" s="9">
        <f t="shared" ca="1" si="70"/>
        <v>1302</v>
      </c>
      <c r="AF25" s="9">
        <f t="shared" ca="1" si="70"/>
        <v>1768</v>
      </c>
      <c r="AG25" s="9">
        <f t="shared" ca="1" si="70"/>
        <v>178</v>
      </c>
      <c r="AH25" s="9">
        <f t="shared" ca="1" si="70"/>
        <v>1946</v>
      </c>
      <c r="AI25" s="9">
        <f t="shared" ca="1" si="70"/>
        <v>3248</v>
      </c>
      <c r="AJ25" s="11">
        <f t="shared" ca="1" si="55"/>
        <v>191.89378571428571</v>
      </c>
      <c r="AK25" s="8">
        <f t="shared" si="64"/>
        <v>3569</v>
      </c>
      <c r="AL25" s="12">
        <f t="shared" ca="1" si="56"/>
        <v>0.91005884001120763</v>
      </c>
      <c r="AM25" s="13">
        <f t="shared" si="65"/>
        <v>1.5</v>
      </c>
      <c r="AN25" s="12">
        <f t="shared" ca="1" si="57"/>
        <v>0.40300071753483668</v>
      </c>
      <c r="AO25" s="14">
        <f t="shared" ca="1" si="58"/>
        <v>0.60450107630225502</v>
      </c>
      <c r="AP25" s="13">
        <f t="shared" ref="AP25:AQ25" ca="1" si="71">SUM(T16)</f>
        <v>250.33900200344777</v>
      </c>
      <c r="AQ25" s="13">
        <f t="shared" ca="1" si="71"/>
        <v>8.9406786429802771</v>
      </c>
      <c r="AR25" s="9">
        <f t="shared" ca="1" si="60"/>
        <v>116</v>
      </c>
      <c r="AS25" s="76"/>
      <c r="AT25" s="76"/>
    </row>
    <row r="26" spans="1:46" ht="15.75" customHeight="1" x14ac:dyDescent="0.2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6"/>
      <c r="X26" s="8">
        <v>6</v>
      </c>
      <c r="Y26" s="8" t="s">
        <v>41</v>
      </c>
      <c r="Z26" s="8">
        <f t="shared" ref="Z26:AI26" si="72">SUM(D17)</f>
        <v>24</v>
      </c>
      <c r="AA26" s="9">
        <f t="shared" ca="1" si="72"/>
        <v>24</v>
      </c>
      <c r="AB26" s="10">
        <f t="shared" ca="1" si="72"/>
        <v>4806.32</v>
      </c>
      <c r="AC26" s="9">
        <f t="shared" ca="1" si="72"/>
        <v>1263</v>
      </c>
      <c r="AD26" s="9">
        <f t="shared" ca="1" si="72"/>
        <v>0</v>
      </c>
      <c r="AE26" s="9">
        <f t="shared" ca="1" si="72"/>
        <v>1263</v>
      </c>
      <c r="AF26" s="9">
        <f t="shared" ca="1" si="72"/>
        <v>1392</v>
      </c>
      <c r="AG26" s="9">
        <f t="shared" ca="1" si="72"/>
        <v>375</v>
      </c>
      <c r="AH26" s="9">
        <f t="shared" ca="1" si="72"/>
        <v>1767</v>
      </c>
      <c r="AI26" s="9">
        <f t="shared" ca="1" si="72"/>
        <v>3030</v>
      </c>
      <c r="AJ26" s="11">
        <f t="shared" ca="1" si="55"/>
        <v>200.26333333333332</v>
      </c>
      <c r="AK26" s="8">
        <f t="shared" si="64"/>
        <v>3801</v>
      </c>
      <c r="AL26" s="12">
        <f t="shared" ca="1" si="56"/>
        <v>0.79715864246250989</v>
      </c>
      <c r="AM26" s="13">
        <f t="shared" si="65"/>
        <v>1.5</v>
      </c>
      <c r="AN26" s="12">
        <f t="shared" ca="1" si="57"/>
        <v>0.42027996471312773</v>
      </c>
      <c r="AO26" s="14">
        <f t="shared" ca="1" si="58"/>
        <v>0.63041994706969162</v>
      </c>
      <c r="AP26" s="13">
        <f t="shared" ref="AP26:AQ26" ca="1" si="73">SUM(T17)</f>
        <v>162.2222222222222</v>
      </c>
      <c r="AQ26" s="13">
        <f t="shared" ca="1" si="73"/>
        <v>6.7592592592592586</v>
      </c>
      <c r="AR26" s="9">
        <f t="shared" ca="1" si="60"/>
        <v>126.25</v>
      </c>
      <c r="AS26" s="76"/>
      <c r="AT26" s="76"/>
    </row>
    <row r="27" spans="1:46" ht="15.75" customHeight="1" x14ac:dyDescent="0.25">
      <c r="A27" s="110" t="s">
        <v>45</v>
      </c>
      <c r="B27" s="76"/>
      <c r="C27" s="76"/>
      <c r="D27" s="75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24" t="s">
        <v>33</v>
      </c>
      <c r="Y27" s="24">
        <v>6</v>
      </c>
      <c r="Z27" s="24">
        <f t="shared" ref="Z27:AI27" si="74">SUM(Z21:Z26)</f>
        <v>168</v>
      </c>
      <c r="AA27" s="25">
        <f t="shared" ca="1" si="74"/>
        <v>163</v>
      </c>
      <c r="AB27" s="27">
        <f t="shared" ca="1" si="74"/>
        <v>31688.92199999997</v>
      </c>
      <c r="AC27" s="25">
        <f t="shared" ca="1" si="74"/>
        <v>12000</v>
      </c>
      <c r="AD27" s="25">
        <f t="shared" ca="1" si="74"/>
        <v>52</v>
      </c>
      <c r="AE27" s="25">
        <f t="shared" ca="1" si="74"/>
        <v>12052</v>
      </c>
      <c r="AF27" s="25">
        <f t="shared" ca="1" si="74"/>
        <v>14935</v>
      </c>
      <c r="AG27" s="25">
        <f t="shared" ca="1" si="74"/>
        <v>553</v>
      </c>
      <c r="AH27" s="25">
        <f t="shared" ca="1" si="74"/>
        <v>15488</v>
      </c>
      <c r="AI27" s="25">
        <f t="shared" ca="1" si="74"/>
        <v>27540</v>
      </c>
      <c r="AJ27" s="27">
        <f t="shared" ca="1" si="55"/>
        <v>194.41056441717774</v>
      </c>
      <c r="AK27" s="24">
        <f>SUM(AK21:AK26)</f>
        <v>37031</v>
      </c>
      <c r="AL27" s="28">
        <f t="shared" ca="1" si="56"/>
        <v>0.74370122329939781</v>
      </c>
      <c r="AM27" s="29">
        <v>1.5</v>
      </c>
      <c r="AN27" s="28">
        <f t="shared" ca="1" si="57"/>
        <v>0.57938228381514578</v>
      </c>
      <c r="AO27" s="30">
        <f t="shared" ca="1" si="58"/>
        <v>0.86907342572271873</v>
      </c>
      <c r="AP27" s="29">
        <f ca="1">SUM(AP21:AP26)</f>
        <v>1319.3924221312254</v>
      </c>
      <c r="AQ27" s="29">
        <f ca="1">AP27/AA27</f>
        <v>8.0944320376148795</v>
      </c>
      <c r="AR27" s="25">
        <f t="shared" ca="1" si="60"/>
        <v>168.95705521472394</v>
      </c>
      <c r="AS27" s="76"/>
      <c r="AT27" s="76"/>
    </row>
    <row r="28" spans="1:46" ht="15.75" customHeight="1" x14ac:dyDescent="0.2">
      <c r="A28" s="110" t="s">
        <v>45</v>
      </c>
      <c r="B28" s="76"/>
      <c r="C28" s="76"/>
      <c r="D28" s="75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7" t="s">
        <v>1</v>
      </c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9"/>
      <c r="AS28" s="76"/>
      <c r="AT28" s="76"/>
    </row>
    <row r="29" spans="1:46" ht="15.75" customHeight="1" x14ac:dyDescent="0.2">
      <c r="A29" s="109">
        <v>46205</v>
      </c>
      <c r="B29" s="80" t="s">
        <v>2</v>
      </c>
      <c r="C29" s="80" t="s">
        <v>3</v>
      </c>
      <c r="D29" s="80" t="s">
        <v>4</v>
      </c>
      <c r="E29" s="80" t="s">
        <v>5</v>
      </c>
      <c r="F29" s="81" t="s">
        <v>6</v>
      </c>
      <c r="G29" s="80" t="s">
        <v>7</v>
      </c>
      <c r="H29" s="80" t="s">
        <v>8</v>
      </c>
      <c r="I29" s="80" t="s">
        <v>9</v>
      </c>
      <c r="J29" s="80" t="s">
        <v>10</v>
      </c>
      <c r="K29" s="80" t="s">
        <v>11</v>
      </c>
      <c r="L29" s="80" t="s">
        <v>12</v>
      </c>
      <c r="M29" s="80" t="s">
        <v>13</v>
      </c>
      <c r="N29" s="81" t="s">
        <v>14</v>
      </c>
      <c r="O29" s="80" t="s">
        <v>15</v>
      </c>
      <c r="P29" s="80" t="s">
        <v>16</v>
      </c>
      <c r="Q29" s="80" t="s">
        <v>17</v>
      </c>
      <c r="R29" s="80" t="s">
        <v>18</v>
      </c>
      <c r="S29" s="106" t="s">
        <v>19</v>
      </c>
      <c r="T29" s="107" t="s">
        <v>20</v>
      </c>
      <c r="U29" s="107" t="s">
        <v>21</v>
      </c>
      <c r="V29" s="105" t="s">
        <v>22</v>
      </c>
      <c r="W29" s="76"/>
      <c r="X29" s="1" t="s">
        <v>2</v>
      </c>
      <c r="Y29" s="1" t="s">
        <v>3</v>
      </c>
      <c r="Z29" s="1" t="s">
        <v>4</v>
      </c>
      <c r="AA29" s="1" t="s">
        <v>5</v>
      </c>
      <c r="AB29" s="2" t="s">
        <v>6</v>
      </c>
      <c r="AC29" s="1" t="s">
        <v>7</v>
      </c>
      <c r="AD29" s="1" t="s">
        <v>8</v>
      </c>
      <c r="AE29" s="1" t="s">
        <v>9</v>
      </c>
      <c r="AF29" s="1" t="s">
        <v>10</v>
      </c>
      <c r="AG29" s="1" t="s">
        <v>11</v>
      </c>
      <c r="AH29" s="1" t="s">
        <v>12</v>
      </c>
      <c r="AI29" s="1" t="s">
        <v>13</v>
      </c>
      <c r="AJ29" s="2" t="s">
        <v>14</v>
      </c>
      <c r="AK29" s="1" t="s">
        <v>15</v>
      </c>
      <c r="AL29" s="1" t="s">
        <v>16</v>
      </c>
      <c r="AM29" s="3" t="s">
        <v>17</v>
      </c>
      <c r="AN29" s="4" t="s">
        <v>18</v>
      </c>
      <c r="AO29" s="5" t="s">
        <v>19</v>
      </c>
      <c r="AP29" s="6" t="s">
        <v>20</v>
      </c>
      <c r="AQ29" s="6" t="s">
        <v>21</v>
      </c>
      <c r="AR29" s="7" t="s">
        <v>22</v>
      </c>
      <c r="AS29" s="76"/>
      <c r="AT29" s="76"/>
    </row>
    <row r="30" spans="1:46" ht="15.75" customHeight="1" x14ac:dyDescent="0.2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6"/>
      <c r="X30" s="8">
        <v>1</v>
      </c>
      <c r="Y30" s="8" t="s">
        <v>23</v>
      </c>
      <c r="Z30" s="8">
        <f t="shared" ref="Z30:AI30" si="75">SUM(D38)</f>
        <v>35</v>
      </c>
      <c r="AA30" s="9">
        <f t="shared" ca="1" si="75"/>
        <v>35</v>
      </c>
      <c r="AB30" s="10">
        <f t="shared" ca="1" si="75"/>
        <v>6815.4799999999896</v>
      </c>
      <c r="AC30" s="9">
        <f t="shared" ca="1" si="75"/>
        <v>1644</v>
      </c>
      <c r="AD30" s="9">
        <f t="shared" ca="1" si="75"/>
        <v>0</v>
      </c>
      <c r="AE30" s="9">
        <f t="shared" ca="1" si="75"/>
        <v>1644</v>
      </c>
      <c r="AF30" s="9">
        <f t="shared" ca="1" si="75"/>
        <v>2926</v>
      </c>
      <c r="AG30" s="9">
        <f t="shared" ca="1" si="75"/>
        <v>0</v>
      </c>
      <c r="AH30" s="9">
        <f t="shared" ca="1" si="75"/>
        <v>2926</v>
      </c>
      <c r="AI30" s="9">
        <f t="shared" ca="1" si="75"/>
        <v>4570</v>
      </c>
      <c r="AJ30" s="11">
        <f t="shared" ref="AJ30:AJ32" ca="1" si="76">AB30/AA30</f>
        <v>194.7279999999997</v>
      </c>
      <c r="AK30" s="8">
        <f>SUM(O38)</f>
        <v>6853</v>
      </c>
      <c r="AL30" s="12">
        <f t="shared" ref="AL30:AL36" ca="1" si="77">AI30/AK30</f>
        <v>0.66686122865898145</v>
      </c>
      <c r="AM30" s="13">
        <f t="shared" ref="AM30:AM32" si="78">SUM(Q38)</f>
        <v>1.5</v>
      </c>
      <c r="AN30" s="12">
        <f t="shared" ref="AN30:AN36" ca="1" si="79">AO30/AM30</f>
        <v>0.44702158419754312</v>
      </c>
      <c r="AO30" s="14">
        <f t="shared" ref="AO30:AO36" ca="1" si="80">AI30/AB30</f>
        <v>0.67053237629631468</v>
      </c>
      <c r="AP30" s="13">
        <f t="shared" ref="AP30:AQ30" ca="1" si="81">SUM(T38)</f>
        <v>201.99999999999969</v>
      </c>
      <c r="AQ30" s="13">
        <f t="shared" ca="1" si="81"/>
        <v>5.7714285714285625</v>
      </c>
      <c r="AR30" s="9">
        <f t="shared" ref="AR30:AR36" ca="1" si="82">AI30/AA30</f>
        <v>130.57142857142858</v>
      </c>
      <c r="AS30" s="76"/>
      <c r="AT30" s="76"/>
    </row>
    <row r="31" spans="1:46" ht="15.75" customHeight="1" x14ac:dyDescent="0.2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6"/>
      <c r="X31" s="8">
        <v>2</v>
      </c>
      <c r="Y31" s="8" t="s">
        <v>24</v>
      </c>
      <c r="Z31" s="8">
        <f t="shared" ref="Z31:AI31" si="83">SUM(D39)</f>
        <v>44</v>
      </c>
      <c r="AA31" s="9">
        <f t="shared" ca="1" si="83"/>
        <v>43</v>
      </c>
      <c r="AB31" s="10">
        <f t="shared" ca="1" si="83"/>
        <v>8063.0189999999902</v>
      </c>
      <c r="AC31" s="9">
        <f t="shared" ca="1" si="83"/>
        <v>1033</v>
      </c>
      <c r="AD31" s="9">
        <f t="shared" ca="1" si="83"/>
        <v>0</v>
      </c>
      <c r="AE31" s="9">
        <f t="shared" ca="1" si="83"/>
        <v>1033</v>
      </c>
      <c r="AF31" s="9">
        <f t="shared" ca="1" si="83"/>
        <v>1363</v>
      </c>
      <c r="AG31" s="9">
        <f t="shared" ca="1" si="83"/>
        <v>0</v>
      </c>
      <c r="AH31" s="9">
        <f t="shared" ca="1" si="83"/>
        <v>1363</v>
      </c>
      <c r="AI31" s="9">
        <f t="shared" ca="1" si="83"/>
        <v>2396</v>
      </c>
      <c r="AJ31" s="11">
        <f t="shared" ca="1" si="76"/>
        <v>187.51206976744163</v>
      </c>
      <c r="AK31" s="8">
        <v>1580</v>
      </c>
      <c r="AL31" s="15">
        <f t="shared" ca="1" si="77"/>
        <v>1.5164556962025317</v>
      </c>
      <c r="AM31" s="13">
        <f t="shared" si="78"/>
        <v>1.5</v>
      </c>
      <c r="AN31" s="12">
        <f t="shared" ca="1" si="79"/>
        <v>0.19810611054411942</v>
      </c>
      <c r="AO31" s="14">
        <f t="shared" ca="1" si="80"/>
        <v>0.29715916581617913</v>
      </c>
      <c r="AP31" s="13">
        <f t="shared" ref="AP31:AQ31" ca="1" si="84">SUM(T39)</f>
        <v>300.80279798545013</v>
      </c>
      <c r="AQ31" s="13">
        <f t="shared" ca="1" si="84"/>
        <v>6.9954139066383751</v>
      </c>
      <c r="AR31" s="9">
        <f t="shared" ca="1" si="82"/>
        <v>55.720930232558139</v>
      </c>
      <c r="AS31" s="76"/>
      <c r="AT31" s="76"/>
    </row>
    <row r="32" spans="1:46" ht="15.75" customHeight="1" x14ac:dyDescent="0.2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6"/>
      <c r="X32" s="8">
        <v>3</v>
      </c>
      <c r="Y32" s="8" t="s">
        <v>25</v>
      </c>
      <c r="Z32" s="8">
        <f t="shared" ref="Z32:AI32" si="85">SUM(D40)</f>
        <v>32</v>
      </c>
      <c r="AA32" s="9">
        <f t="shared" ca="1" si="85"/>
        <v>31</v>
      </c>
      <c r="AB32" s="10">
        <f t="shared" ca="1" si="85"/>
        <v>6091.1480000000001</v>
      </c>
      <c r="AC32" s="9">
        <f t="shared" ca="1" si="85"/>
        <v>2281</v>
      </c>
      <c r="AD32" s="9">
        <f t="shared" ca="1" si="85"/>
        <v>315</v>
      </c>
      <c r="AE32" s="9">
        <f t="shared" ca="1" si="85"/>
        <v>2596</v>
      </c>
      <c r="AF32" s="9">
        <f t="shared" ca="1" si="85"/>
        <v>3045</v>
      </c>
      <c r="AG32" s="9">
        <f t="shared" ca="1" si="85"/>
        <v>438</v>
      </c>
      <c r="AH32" s="9">
        <f t="shared" ca="1" si="85"/>
        <v>3483</v>
      </c>
      <c r="AI32" s="9">
        <f t="shared" ca="1" si="85"/>
        <v>6079</v>
      </c>
      <c r="AJ32" s="11">
        <f t="shared" ca="1" si="76"/>
        <v>196.48864516129032</v>
      </c>
      <c r="AK32" s="8">
        <f>SUM(O40)</f>
        <v>6622</v>
      </c>
      <c r="AL32" s="12">
        <f t="shared" ca="1" si="77"/>
        <v>0.9180006040471157</v>
      </c>
      <c r="AM32" s="13">
        <f t="shared" si="78"/>
        <v>1.5</v>
      </c>
      <c r="AN32" s="12">
        <f t="shared" ca="1" si="79"/>
        <v>0.66533708697714566</v>
      </c>
      <c r="AO32" s="14">
        <f t="shared" ca="1" si="80"/>
        <v>0.99800563046571844</v>
      </c>
      <c r="AP32" s="13">
        <f t="shared" ref="AP32:AQ32" ca="1" si="86">SUM(T40)</f>
        <v>255.5011744966443</v>
      </c>
      <c r="AQ32" s="13">
        <f t="shared" ca="1" si="86"/>
        <v>8.241973370859494</v>
      </c>
      <c r="AR32" s="9">
        <f t="shared" ca="1" si="82"/>
        <v>196.09677419354838</v>
      </c>
      <c r="AS32" s="76"/>
      <c r="AT32" s="76"/>
    </row>
    <row r="33" spans="1:46" ht="15.75" customHeight="1" x14ac:dyDescent="0.25">
      <c r="A33" s="70"/>
      <c r="B33" s="16">
        <v>1</v>
      </c>
      <c r="C33" s="16" t="s">
        <v>26</v>
      </c>
      <c r="D33" s="17">
        <v>20</v>
      </c>
      <c r="E33" s="18">
        <f ca="1">IFERROR(__xludf.DUMMYFUNCTION("COUNT(IMPORTRANGE(""https://docs.google.com/spreadsheets/d/1z0o91thOT38lgejTE_Bd2p3v_9VCDdQRkUsMIVqpQCk/edit"",""2!d2:d21""))"),20)</f>
        <v>20</v>
      </c>
      <c r="F33" s="19">
        <f ca="1">IFERROR(__xludf.DUMMYFUNCTION("SUM(IMPORTRANGE(""https://docs.google.com/spreadsheets/d/1z0o91thOT38lgejTE_Bd2p3v_9VCDdQRkUsMIVqpQCk/edit"",""2!Q2:Q21""))"),3820.58699999999)</f>
        <v>3820.58699999999</v>
      </c>
      <c r="G33" s="18">
        <f ca="1">IFERROR(__xludf.DUMMYFUNCTION("IMPORTRANGE(""https://docs.google.com/spreadsheets/d/1z0o91thOT38lgejTE_Bd2p3v_9VCDdQRkUsMIVqpQCk/edit"",""2!e28"")"),2015)</f>
        <v>2015</v>
      </c>
      <c r="H33" s="18">
        <f ca="1">IFERROR(__xludf.DUMMYFUNCTION("IMPORTRANGE(""https://docs.google.com/spreadsheets/d/1z0o91thOT38lgejTE_Bd2p3v_9VCDdQRkUsMIVqpQCk/edit"",""2!e29"")"),0)</f>
        <v>0</v>
      </c>
      <c r="I33" s="18">
        <f t="shared" ref="I33:I50" ca="1" si="87">SUM(G33:H33)</f>
        <v>2015</v>
      </c>
      <c r="J33" s="18">
        <f ca="1">IFERROR(__xludf.DUMMYFUNCTION("IMPORTRANGE(""https://docs.google.com/spreadsheets/d/1z0o91thOT38lgejTE_Bd2p3v_9VCDdQRkUsMIVqpQCk/edit"",""2!e32"")"),2286)</f>
        <v>2286</v>
      </c>
      <c r="K33" s="18">
        <f ca="1">IFERROR(__xludf.DUMMYFUNCTION("IMPORTRANGE(""https://docs.google.com/spreadsheets/d/1z0o91thOT38lgejTE_Bd2p3v_9VCDdQRkUsMIVqpQCk/edit"",""2!e33"")"),0)</f>
        <v>0</v>
      </c>
      <c r="L33" s="18">
        <f t="shared" ref="L33:L39" ca="1" si="88">SUM(J33:K33)</f>
        <v>2286</v>
      </c>
      <c r="M33" s="18">
        <f t="shared" ref="M33:M50" ca="1" si="89">SUM(I33+L33)</f>
        <v>4301</v>
      </c>
      <c r="N33" s="19">
        <f t="shared" ref="N33:N51" ca="1" si="90">F33/E33</f>
        <v>191.02934999999951</v>
      </c>
      <c r="O33" s="16">
        <v>5161</v>
      </c>
      <c r="P33" s="20">
        <f t="shared" ref="P33:P51" ca="1" si="91">M33/O33</f>
        <v>0.83336562681650839</v>
      </c>
      <c r="Q33" s="21">
        <v>1.5</v>
      </c>
      <c r="R33" s="20">
        <f t="shared" ref="R33:R51" ca="1" si="92">S33/Q33</f>
        <v>0.7504954954129669</v>
      </c>
      <c r="S33" s="22">
        <f t="shared" ref="S33:S51" ca="1" si="93">M33/F33</f>
        <v>1.1257432431194503</v>
      </c>
      <c r="T33" s="21">
        <f ca="1">F33/14.415</f>
        <v>265.04245577523346</v>
      </c>
      <c r="U33" s="21">
        <f t="shared" ref="U33:U51" ca="1" si="94">T33/E33</f>
        <v>13.252122788761673</v>
      </c>
      <c r="V33" s="18">
        <f t="shared" ref="V33:V51" ca="1" si="95">M33/E33</f>
        <v>215.05</v>
      </c>
      <c r="W33" s="76"/>
      <c r="X33" s="8">
        <v>4</v>
      </c>
      <c r="Y33" s="8" t="s">
        <v>27</v>
      </c>
      <c r="Z33" s="8">
        <f t="shared" ref="Z33:AK33" si="96">SUM(D46)</f>
        <v>30</v>
      </c>
      <c r="AA33" s="9">
        <f t="shared" ca="1" si="96"/>
        <v>30</v>
      </c>
      <c r="AB33" s="10">
        <f t="shared" ca="1" si="96"/>
        <v>5625.6399999999903</v>
      </c>
      <c r="AC33" s="9">
        <f t="shared" ca="1" si="96"/>
        <v>2359</v>
      </c>
      <c r="AD33" s="9">
        <f t="shared" ca="1" si="96"/>
        <v>0</v>
      </c>
      <c r="AE33" s="9">
        <f t="shared" ca="1" si="96"/>
        <v>2359</v>
      </c>
      <c r="AF33" s="9">
        <f t="shared" ca="1" si="96"/>
        <v>2239</v>
      </c>
      <c r="AG33" s="9">
        <f t="shared" ca="1" si="96"/>
        <v>63</v>
      </c>
      <c r="AH33" s="9">
        <f t="shared" ca="1" si="96"/>
        <v>2302</v>
      </c>
      <c r="AI33" s="9">
        <f t="shared" ca="1" si="96"/>
        <v>4661</v>
      </c>
      <c r="AJ33" s="11">
        <f t="shared" ca="1" si="96"/>
        <v>187.52133333333302</v>
      </c>
      <c r="AK33" s="8">
        <f t="shared" si="96"/>
        <v>8101</v>
      </c>
      <c r="AL33" s="12">
        <f t="shared" ca="1" si="77"/>
        <v>0.57536106653499564</v>
      </c>
      <c r="AM33" s="13">
        <f>SUM(Q46)</f>
        <v>1.5</v>
      </c>
      <c r="AN33" s="12">
        <f t="shared" ca="1" si="79"/>
        <v>0.55235196943518228</v>
      </c>
      <c r="AO33" s="14">
        <f t="shared" ca="1" si="80"/>
        <v>0.82852795415277336</v>
      </c>
      <c r="AP33" s="13">
        <f t="shared" ref="AP33:AQ33" ca="1" si="97">SUM(T46)</f>
        <v>281.49311983987945</v>
      </c>
      <c r="AQ33" s="13">
        <f t="shared" ca="1" si="97"/>
        <v>9.3831039946626493</v>
      </c>
      <c r="AR33" s="9">
        <f t="shared" ca="1" si="82"/>
        <v>155.36666666666667</v>
      </c>
      <c r="AS33" s="76"/>
      <c r="AT33" s="76"/>
    </row>
    <row r="34" spans="1:46" ht="15.75" customHeight="1" x14ac:dyDescent="0.25">
      <c r="A34" s="70"/>
      <c r="B34" s="16">
        <v>2</v>
      </c>
      <c r="C34" s="16" t="s">
        <v>28</v>
      </c>
      <c r="D34" s="17">
        <v>33</v>
      </c>
      <c r="E34" s="18">
        <f ca="1">IFERROR(__xludf.DUMMYFUNCTION("COUNT(IMPORTRANGE(""https://docs.google.com/spreadsheets/d/10a85iNN0y9GF6ngQfF1JXGAzFk-T7ywH4-TZtQcOTaE/edit"",""2!d2:d34""))"),32)</f>
        <v>32</v>
      </c>
      <c r="F34" s="19">
        <f ca="1">IFERROR(__xludf.DUMMYFUNCTION("SUM(IMPORTRANGE(""https://docs.google.com/spreadsheets/d/10a85iNN0y9GF6ngQfF1JXGAzFk-T7ywH4-TZtQcOTaE/edit"",""2!Q2:Q34""))"),6219.863)</f>
        <v>6219.8630000000003</v>
      </c>
      <c r="G34" s="18">
        <f ca="1">IFERROR(__xludf.DUMMYFUNCTION("IMPORTRANGE(""https://docs.google.com/spreadsheets/d/10a85iNN0y9GF6ngQfF1JXGAzFk-T7ywH4-TZtQcOTaE/edit"",""2!e41"")"),2043)</f>
        <v>2043</v>
      </c>
      <c r="H34" s="18">
        <f ca="1">IFERROR(__xludf.DUMMYFUNCTION("IMPORTRANGE(""https://docs.google.com/spreadsheets/d/10a85iNN0y9GF6ngQfF1JXGAzFk-T7ywH4-TZtQcOTaE/edit"",""2!e42"")"),90)</f>
        <v>90</v>
      </c>
      <c r="I34" s="18">
        <f t="shared" ca="1" si="87"/>
        <v>2133</v>
      </c>
      <c r="J34" s="18">
        <f ca="1">IFERROR(__xludf.DUMMYFUNCTION("IMPORTRANGE(""https://docs.google.com/spreadsheets/d/10a85iNN0y9GF6ngQfF1JXGAzFk-T7ywH4-TZtQcOTaE/edit"",""2!e45"")"),2353)</f>
        <v>2353</v>
      </c>
      <c r="K34" s="18">
        <f ca="1">IFERROR(__xludf.DUMMYFUNCTION("IMPORTRANGE(""https://docs.google.com/spreadsheets/d/10a85iNN0y9GF6ngQfF1JXGAzFk-T7ywH4-TZtQcOTaE/edit"",""2!e46"")"),136)</f>
        <v>136</v>
      </c>
      <c r="L34" s="18">
        <f t="shared" ca="1" si="88"/>
        <v>2489</v>
      </c>
      <c r="M34" s="18">
        <f t="shared" ca="1" si="89"/>
        <v>4622</v>
      </c>
      <c r="N34" s="19">
        <f t="shared" ca="1" si="90"/>
        <v>194.37071875000001</v>
      </c>
      <c r="O34" s="16">
        <v>7315</v>
      </c>
      <c r="P34" s="20">
        <f t="shared" ca="1" si="91"/>
        <v>0.63185235816814767</v>
      </c>
      <c r="Q34" s="21">
        <v>1.5</v>
      </c>
      <c r="R34" s="20">
        <f t="shared" ca="1" si="92"/>
        <v>0.49540212273700135</v>
      </c>
      <c r="S34" s="22">
        <f t="shared" ca="1" si="93"/>
        <v>0.74310318410550202</v>
      </c>
      <c r="T34" s="21">
        <f ca="1">F34/30.897</f>
        <v>201.30960934718584</v>
      </c>
      <c r="U34" s="21">
        <f t="shared" ca="1" si="94"/>
        <v>6.2909252920995575</v>
      </c>
      <c r="V34" s="18">
        <f t="shared" ca="1" si="95"/>
        <v>144.4375</v>
      </c>
      <c r="W34" s="76"/>
      <c r="X34" s="8">
        <v>5</v>
      </c>
      <c r="Y34" s="8" t="s">
        <v>29</v>
      </c>
      <c r="Z34" s="8">
        <f t="shared" ref="Z34:AI34" si="98">SUM(D49)</f>
        <v>30</v>
      </c>
      <c r="AA34" s="9">
        <f t="shared" ca="1" si="98"/>
        <v>29</v>
      </c>
      <c r="AB34" s="10">
        <f t="shared" ca="1" si="98"/>
        <v>5806.4740000000002</v>
      </c>
      <c r="AC34" s="9">
        <f t="shared" ca="1" si="98"/>
        <v>2596</v>
      </c>
      <c r="AD34" s="9">
        <f t="shared" ca="1" si="98"/>
        <v>0</v>
      </c>
      <c r="AE34" s="9">
        <f t="shared" ca="1" si="98"/>
        <v>2596</v>
      </c>
      <c r="AF34" s="9">
        <f t="shared" ca="1" si="98"/>
        <v>3685</v>
      </c>
      <c r="AG34" s="9">
        <f t="shared" ca="1" si="98"/>
        <v>0</v>
      </c>
      <c r="AH34" s="9">
        <f t="shared" ca="1" si="98"/>
        <v>3685</v>
      </c>
      <c r="AI34" s="9">
        <f t="shared" ca="1" si="98"/>
        <v>6281</v>
      </c>
      <c r="AJ34" s="11">
        <f t="shared" ref="AJ34:AJ36" ca="1" si="99">AB34/AA34</f>
        <v>200.22324137931034</v>
      </c>
      <c r="AK34" s="8">
        <f t="shared" ref="AK34:AK35" si="100">SUM(O49)</f>
        <v>9201</v>
      </c>
      <c r="AL34" s="12">
        <f t="shared" ca="1" si="77"/>
        <v>0.68264319095750459</v>
      </c>
      <c r="AM34" s="13">
        <f t="shared" ref="AM34:AM35" si="101">SUM(Q49)</f>
        <v>1.5</v>
      </c>
      <c r="AN34" s="12">
        <f t="shared" ca="1" si="79"/>
        <v>0.72114907142154305</v>
      </c>
      <c r="AO34" s="14">
        <f t="shared" ca="1" si="80"/>
        <v>1.0817236071323146</v>
      </c>
      <c r="AP34" s="13">
        <f t="shared" ref="AP34:AQ34" ca="1" si="102">SUM(T49)</f>
        <v>223</v>
      </c>
      <c r="AQ34" s="13">
        <f t="shared" ca="1" si="102"/>
        <v>7.6896551724137927</v>
      </c>
      <c r="AR34" s="9">
        <f t="shared" ca="1" si="82"/>
        <v>216.58620689655172</v>
      </c>
      <c r="AS34" s="76"/>
      <c r="AT34" s="76"/>
    </row>
    <row r="35" spans="1:46" ht="15.75" customHeight="1" x14ac:dyDescent="0.25">
      <c r="A35" s="70"/>
      <c r="B35" s="16">
        <v>3</v>
      </c>
      <c r="C35" s="16" t="s">
        <v>30</v>
      </c>
      <c r="D35" s="17">
        <v>60</v>
      </c>
      <c r="E35" s="18">
        <f ca="1">IFERROR(__xludf.DUMMYFUNCTION("COUNT(IMPORTRANGE(""https://docs.google.com/spreadsheets/d/1WojVzHhpzodJL1e5UDHeu3A3u5MTSZwvxHu0BrwvL9w/edit"",""2!d2:d61""))"),58)</f>
        <v>58</v>
      </c>
      <c r="F35" s="23">
        <f ca="1">IFERROR(__xludf.DUMMYFUNCTION("SUM(IMPORTRANGE(""https://docs.google.com/spreadsheets/d/1WojVzHhpzodJL1e5UDHeu3A3u5MTSZwvxHu0BrwvL9w/edit"",""2!Q2:Q61""))"),11485.9639999999)</f>
        <v>11485.9639999999</v>
      </c>
      <c r="G35" s="18">
        <f ca="1">IFERROR(__xludf.DUMMYFUNCTION("IMPORTRANGE(""https://docs.google.com/spreadsheets/d/1WojVzHhpzodJL1e5UDHeu3A3u5MTSZwvxHu0BrwvL9w/edit"",""2!e68"")"),3147)</f>
        <v>3147</v>
      </c>
      <c r="H35" s="18">
        <f ca="1">IFERROR(__xludf.DUMMYFUNCTION("IMPORTRANGE(""https://docs.google.com/spreadsheets/d/1WojVzHhpzodJL1e5UDHeu3A3u5MTSZwvxHu0BrwvL9w/edit"",""2!e69"")"),0)</f>
        <v>0</v>
      </c>
      <c r="I35" s="18">
        <f t="shared" ca="1" si="87"/>
        <v>3147</v>
      </c>
      <c r="J35" s="18">
        <f ca="1">IFERROR(__xludf.DUMMYFUNCTION("IMPORTRANGE(""https://docs.google.com/spreadsheets/d/1WojVzHhpzodJL1e5UDHeu3A3u5MTSZwvxHu0BrwvL9w/edit"",""2!e72"")"),4568)</f>
        <v>4568</v>
      </c>
      <c r="K35" s="18">
        <f ca="1">IFERROR(__xludf.DUMMYFUNCTION("IMPORTRANGE(""https://docs.google.com/spreadsheets/d/1WojVzHhpzodJL1e5UDHeu3A3u5MTSZwvxHu0BrwvL9w/edit"",""2!e73"")"),0)</f>
        <v>0</v>
      </c>
      <c r="L35" s="18">
        <f t="shared" ca="1" si="88"/>
        <v>4568</v>
      </c>
      <c r="M35" s="18">
        <f t="shared" ca="1" si="89"/>
        <v>7715</v>
      </c>
      <c r="N35" s="19">
        <f t="shared" ca="1" si="90"/>
        <v>198.0338620689638</v>
      </c>
      <c r="O35" s="16">
        <v>11164</v>
      </c>
      <c r="P35" s="20">
        <f t="shared" ca="1" si="91"/>
        <v>0.69106055177355785</v>
      </c>
      <c r="Q35" s="21">
        <v>1.5</v>
      </c>
      <c r="R35" s="20">
        <f t="shared" ca="1" si="92"/>
        <v>0.44779291780240454</v>
      </c>
      <c r="S35" s="22">
        <f t="shared" ca="1" si="93"/>
        <v>0.67168937670360684</v>
      </c>
      <c r="T35" s="21">
        <f ca="1">F35/29.603</f>
        <v>387.99999999999659</v>
      </c>
      <c r="U35" s="21">
        <f t="shared" ca="1" si="94"/>
        <v>6.6896551724137341</v>
      </c>
      <c r="V35" s="18">
        <f t="shared" ca="1" si="95"/>
        <v>133.01724137931035</v>
      </c>
      <c r="W35" s="76"/>
      <c r="X35" s="8">
        <v>6</v>
      </c>
      <c r="Y35" s="8" t="s">
        <v>31</v>
      </c>
      <c r="Z35" s="8">
        <f t="shared" ref="Z35:AI35" si="103">SUM(D50)</f>
        <v>15</v>
      </c>
      <c r="AA35" s="9">
        <f t="shared" ca="1" si="103"/>
        <v>15</v>
      </c>
      <c r="AB35" s="11">
        <f t="shared" ca="1" si="103"/>
        <v>2781.76</v>
      </c>
      <c r="AC35" s="9">
        <f t="shared" ca="1" si="103"/>
        <v>872</v>
      </c>
      <c r="AD35" s="9">
        <f t="shared" ca="1" si="103"/>
        <v>9</v>
      </c>
      <c r="AE35" s="9">
        <f t="shared" ca="1" si="103"/>
        <v>881</v>
      </c>
      <c r="AF35" s="9">
        <f t="shared" ca="1" si="103"/>
        <v>1197</v>
      </c>
      <c r="AG35" s="9">
        <f t="shared" ca="1" si="103"/>
        <v>0</v>
      </c>
      <c r="AH35" s="9">
        <f t="shared" ca="1" si="103"/>
        <v>1197</v>
      </c>
      <c r="AI35" s="9">
        <f t="shared" ca="1" si="103"/>
        <v>2078</v>
      </c>
      <c r="AJ35" s="11">
        <f t="shared" ca="1" si="99"/>
        <v>185.45066666666668</v>
      </c>
      <c r="AK35" s="8">
        <f t="shared" si="100"/>
        <v>2717</v>
      </c>
      <c r="AL35" s="12">
        <f t="shared" ca="1" si="77"/>
        <v>0.76481413323518588</v>
      </c>
      <c r="AM35" s="13">
        <f t="shared" si="101"/>
        <v>1.5</v>
      </c>
      <c r="AN35" s="12">
        <f t="shared" ca="1" si="79"/>
        <v>0.49800605851451357</v>
      </c>
      <c r="AO35" s="14">
        <f t="shared" ca="1" si="80"/>
        <v>0.74700908777177033</v>
      </c>
      <c r="AP35" s="13">
        <f t="shared" ref="AP35:AQ35" ca="1" si="104">SUM(T50)</f>
        <v>64</v>
      </c>
      <c r="AQ35" s="13">
        <f t="shared" ca="1" si="104"/>
        <v>4.2666666666666666</v>
      </c>
      <c r="AR35" s="9">
        <f t="shared" ca="1" si="82"/>
        <v>138.53333333333333</v>
      </c>
      <c r="AS35" s="76"/>
      <c r="AT35" s="76"/>
    </row>
    <row r="36" spans="1:46" ht="15.75" customHeight="1" x14ac:dyDescent="0.25">
      <c r="A36" s="70"/>
      <c r="B36" s="16">
        <v>4</v>
      </c>
      <c r="C36" s="16" t="s">
        <v>32</v>
      </c>
      <c r="D36" s="17">
        <v>42</v>
      </c>
      <c r="E36" s="18">
        <f ca="1">IFERROR(__xludf.DUMMYFUNCTION("COUNT(IMPORTRANGE(""https://docs.google.com/spreadsheets/d/1vmCj5YcMSPHj1m64syDndQ6cqVL3yolcU03Y8KHmvdc/edit"",""2!d2:d43""))"),40)</f>
        <v>40</v>
      </c>
      <c r="F36" s="23">
        <f ca="1">IFERROR(__xludf.DUMMYFUNCTION("SUM(IMPORTRANGE(""https://docs.google.com/spreadsheets/d/1vmCj5YcMSPHj1m64syDndQ6cqVL3yolcU03Y8KHmvdc/edit"",""2!Q2:Q43""))"),7891.56499999999)</f>
        <v>7891.5649999999896</v>
      </c>
      <c r="G36" s="16">
        <f ca="1">IFERROR(__xludf.DUMMYFUNCTION("IMPORTRANGE(""https://docs.google.com/spreadsheets/d/1vmCj5YcMSPHj1m64syDndQ6cqVL3yolcU03Y8KHmvdc/edit"",""2!e50"")"),4178)</f>
        <v>4178</v>
      </c>
      <c r="H36" s="16">
        <f ca="1">IFERROR(__xludf.DUMMYFUNCTION("IMPORTRANGE(""https://docs.google.com/spreadsheets/d/1vmCj5YcMSPHj1m64syDndQ6cqVL3yolcU03Y8KHmvdc/edit"",""2!e51"")"),0)</f>
        <v>0</v>
      </c>
      <c r="I36" s="18">
        <f t="shared" ca="1" si="87"/>
        <v>4178</v>
      </c>
      <c r="J36" s="16">
        <f ca="1">IFERROR(__xludf.DUMMYFUNCTION("IMPORTRANGE(""https://docs.google.com/spreadsheets/d/1vmCj5YcMSPHj1m64syDndQ6cqVL3yolcU03Y8KHmvdc/edit"",""2!e54"")"),4916)</f>
        <v>4916</v>
      </c>
      <c r="K36" s="16">
        <f ca="1">IFERROR(__xludf.DUMMYFUNCTION("IMPORTRANGE(""https://docs.google.com/spreadsheets/d/1vmCj5YcMSPHj1m64syDndQ6cqVL3yolcU03Y8KHmvdc/edit"",""2!e55"")"),0)</f>
        <v>0</v>
      </c>
      <c r="L36" s="18">
        <f t="shared" ca="1" si="88"/>
        <v>4916</v>
      </c>
      <c r="M36" s="18">
        <f t="shared" ca="1" si="89"/>
        <v>9094</v>
      </c>
      <c r="N36" s="19">
        <f t="shared" ca="1" si="90"/>
        <v>197.28912499999973</v>
      </c>
      <c r="O36" s="16">
        <v>13817</v>
      </c>
      <c r="P36" s="20">
        <f t="shared" ca="1" si="91"/>
        <v>0.65817471231092128</v>
      </c>
      <c r="Q36" s="21">
        <v>1.5</v>
      </c>
      <c r="R36" s="20">
        <f t="shared" ca="1" si="92"/>
        <v>0.7682464335865794</v>
      </c>
      <c r="S36" s="22">
        <f t="shared" ca="1" si="93"/>
        <v>1.152369650379869</v>
      </c>
      <c r="T36" s="21">
        <f ca="1">F36/25.089</f>
        <v>314.54282753397865</v>
      </c>
      <c r="U36" s="21">
        <f t="shared" ca="1" si="94"/>
        <v>7.8635706883494665</v>
      </c>
      <c r="V36" s="18">
        <f t="shared" ca="1" si="95"/>
        <v>227.35</v>
      </c>
      <c r="W36" s="76"/>
      <c r="X36" s="24" t="s">
        <v>33</v>
      </c>
      <c r="Y36" s="24">
        <v>6</v>
      </c>
      <c r="Z36" s="24">
        <f t="shared" ref="Z36:AI36" si="105">SUM(Z30:Z35)</f>
        <v>186</v>
      </c>
      <c r="AA36" s="25">
        <f t="shared" ca="1" si="105"/>
        <v>183</v>
      </c>
      <c r="AB36" s="26">
        <f t="shared" ca="1" si="105"/>
        <v>35183.520999999972</v>
      </c>
      <c r="AC36" s="25">
        <f t="shared" ca="1" si="105"/>
        <v>10785</v>
      </c>
      <c r="AD36" s="25">
        <f t="shared" ca="1" si="105"/>
        <v>324</v>
      </c>
      <c r="AE36" s="25">
        <f t="shared" ca="1" si="105"/>
        <v>11109</v>
      </c>
      <c r="AF36" s="25">
        <f t="shared" ca="1" si="105"/>
        <v>14455</v>
      </c>
      <c r="AG36" s="25">
        <f t="shared" ca="1" si="105"/>
        <v>501</v>
      </c>
      <c r="AH36" s="25">
        <f t="shared" ca="1" si="105"/>
        <v>14956</v>
      </c>
      <c r="AI36" s="25">
        <f t="shared" ca="1" si="105"/>
        <v>26065</v>
      </c>
      <c r="AJ36" s="27">
        <f t="shared" ca="1" si="99"/>
        <v>192.25967759562826</v>
      </c>
      <c r="AK36" s="24">
        <f>SUM(AK30:AK35)</f>
        <v>35074</v>
      </c>
      <c r="AL36" s="28">
        <f t="shared" ca="1" si="77"/>
        <v>0.74314306893995552</v>
      </c>
      <c r="AM36" s="29">
        <v>1.5</v>
      </c>
      <c r="AN36" s="28">
        <f t="shared" ca="1" si="79"/>
        <v>0.49388651768726272</v>
      </c>
      <c r="AO36" s="30">
        <f t="shared" ca="1" si="80"/>
        <v>0.7408297765308941</v>
      </c>
      <c r="AP36" s="29">
        <f ca="1">SUM(AP30:AP35)</f>
        <v>1326.7970923219737</v>
      </c>
      <c r="AQ36" s="29">
        <f ca="1">AP36/AA36</f>
        <v>7.2502573350927522</v>
      </c>
      <c r="AR36" s="25">
        <f t="shared" ca="1" si="82"/>
        <v>142.43169398907105</v>
      </c>
      <c r="AS36" s="76"/>
      <c r="AT36" s="76"/>
    </row>
    <row r="37" spans="1:46" ht="15.75" customHeight="1" x14ac:dyDescent="0.25">
      <c r="A37" s="70"/>
      <c r="B37" s="16">
        <v>5</v>
      </c>
      <c r="C37" s="16" t="s">
        <v>34</v>
      </c>
      <c r="D37" s="17">
        <v>40</v>
      </c>
      <c r="E37" s="18">
        <f ca="1">IFERROR(__xludf.DUMMYFUNCTION("COUNT(IMPORTRANGE(""https://docs.google.com/spreadsheets/d/14_Y-fpuq1wcec3DlT_1PBYekOC0YblQMrWVfO12YO3k/edit"",""2!d2:d41""))"),37)</f>
        <v>37</v>
      </c>
      <c r="F37" s="23">
        <f ca="1">IFERROR(__xludf.DUMMYFUNCTION("SUM(IMPORTRANGE(""https://docs.google.com/spreadsheets/d/14_Y-fpuq1wcec3DlT_1PBYekOC0YblQMrWVfO12YO3k/edit"",""2!Q2:Q41""))"),7412.037)</f>
        <v>7412.0370000000003</v>
      </c>
      <c r="G37" s="18">
        <f ca="1">IFERROR(__xludf.DUMMYFUNCTION("IMPORTRANGE(""https://docs.google.com/spreadsheets/d/14_Y-fpuq1wcec3DlT_1PBYekOC0YblQMrWVfO12YO3k/edit"",""2!e48"")"),2473)</f>
        <v>2473</v>
      </c>
      <c r="H37" s="18">
        <f ca="1">IFERROR(__xludf.DUMMYFUNCTION("IMPORTRANGE(""https://docs.google.com/spreadsheets/d/14_Y-fpuq1wcec3DlT_1PBYekOC0YblQMrWVfO12YO3k/edit"",""2!e49"")"),0)</f>
        <v>0</v>
      </c>
      <c r="I37" s="18">
        <f t="shared" ca="1" si="87"/>
        <v>2473</v>
      </c>
      <c r="J37" s="18">
        <f ca="1">IFERROR(__xludf.DUMMYFUNCTION("IMPORTRANGE(""https://docs.google.com/spreadsheets/d/14_Y-fpuq1wcec3DlT_1PBYekOC0YblQMrWVfO12YO3k/edit"",""2!e52"")"),2902)</f>
        <v>2902</v>
      </c>
      <c r="K37" s="18">
        <f ca="1">IFERROR(__xludf.DUMMYFUNCTION("IMPORTRANGE(""https://docs.google.com/spreadsheets/d/14_Y-fpuq1wcec3DlT_1PBYekOC0YblQMrWVfO12YO3k/edit"",""2!e53"")"),201)</f>
        <v>201</v>
      </c>
      <c r="L37" s="18">
        <f t="shared" ca="1" si="88"/>
        <v>3103</v>
      </c>
      <c r="M37" s="18">
        <f t="shared" ca="1" si="89"/>
        <v>5576</v>
      </c>
      <c r="N37" s="19">
        <f t="shared" ca="1" si="90"/>
        <v>200.32532432432433</v>
      </c>
      <c r="O37" s="16">
        <v>9354</v>
      </c>
      <c r="P37" s="20">
        <f t="shared" ca="1" si="91"/>
        <v>0.5961086166345948</v>
      </c>
      <c r="Q37" s="21">
        <v>1.5</v>
      </c>
      <c r="R37" s="20">
        <f t="shared" ca="1" si="92"/>
        <v>0.50152654841487343</v>
      </c>
      <c r="S37" s="22">
        <f t="shared" ca="1" si="93"/>
        <v>0.75228982262231014</v>
      </c>
      <c r="T37" s="21">
        <f ca="1">F37/30.713</f>
        <v>241.33223716341615</v>
      </c>
      <c r="U37" s="21">
        <f t="shared" ca="1" si="94"/>
        <v>6.5224928963085445</v>
      </c>
      <c r="V37" s="18">
        <f t="shared" ca="1" si="95"/>
        <v>150.70270270270271</v>
      </c>
      <c r="W37" s="76"/>
      <c r="X37" s="100" t="s">
        <v>35</v>
      </c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9"/>
      <c r="AS37" s="76"/>
      <c r="AT37" s="76"/>
    </row>
    <row r="38" spans="1:46" ht="15.75" customHeight="1" x14ac:dyDescent="0.25">
      <c r="A38" s="70"/>
      <c r="B38" s="16">
        <v>6</v>
      </c>
      <c r="C38" s="16" t="s">
        <v>23</v>
      </c>
      <c r="D38" s="17">
        <v>35</v>
      </c>
      <c r="E38" s="18">
        <f ca="1">IFERROR(__xludf.DUMMYFUNCTION("COUNT(IMPORTRANGE(""https://docs.google.com/spreadsheets/d/1lJqjdj05V4LOXuBOiTdE65GV4ZITyx1cMLcDdcuoUnE/edit"",""2!d2:d36""))"),35)</f>
        <v>35</v>
      </c>
      <c r="F38" s="23">
        <f ca="1">IFERROR(__xludf.DUMMYFUNCTION("SUM(IMPORTRANGE(""https://docs.google.com/spreadsheets/d/1lJqjdj05V4LOXuBOiTdE65GV4ZITyx1cMLcDdcuoUnE/edit"",""2!Q2:Q36""))"),6815.47999999999)</f>
        <v>6815.4799999999896</v>
      </c>
      <c r="G38" s="18">
        <f ca="1">IFERROR(__xludf.DUMMYFUNCTION("IMPORTRANGE(""https://docs.google.com/spreadsheets/d/1lJqjdj05V4LOXuBOiTdE65GV4ZITyx1cMLcDdcuoUnE/edit"",""2!e43"")"),1644)</f>
        <v>1644</v>
      </c>
      <c r="H38" s="18">
        <f ca="1">IFERROR(__xludf.DUMMYFUNCTION("IMPORTRANGE(""https://docs.google.com/spreadsheets/d/1lJqjdj05V4LOXuBOiTdE65GV4ZITyx1cMLcDdcuoUnE/edit"",""2!e44"")"),0)</f>
        <v>0</v>
      </c>
      <c r="I38" s="18">
        <f t="shared" ca="1" si="87"/>
        <v>1644</v>
      </c>
      <c r="J38" s="18">
        <f ca="1">IFERROR(__xludf.DUMMYFUNCTION("IMPORTRANGE(""https://docs.google.com/spreadsheets/d/1lJqjdj05V4LOXuBOiTdE65GV4ZITyx1cMLcDdcuoUnE/edit"",""2!e47"")"),2926)</f>
        <v>2926</v>
      </c>
      <c r="K38" s="18">
        <f ca="1">IFERROR(__xludf.DUMMYFUNCTION("IMPORTRANGE(""https://docs.google.com/spreadsheets/d/1lJqjdj05V4LOXuBOiTdE65GV4ZITyx1cMLcDdcuoUnE/edit"",""2!e48"")"),0)</f>
        <v>0</v>
      </c>
      <c r="L38" s="18">
        <f t="shared" ca="1" si="88"/>
        <v>2926</v>
      </c>
      <c r="M38" s="18">
        <f t="shared" ca="1" si="89"/>
        <v>4570</v>
      </c>
      <c r="N38" s="19">
        <f t="shared" ca="1" si="90"/>
        <v>194.7279999999997</v>
      </c>
      <c r="O38" s="16">
        <v>6853</v>
      </c>
      <c r="P38" s="20">
        <f t="shared" ca="1" si="91"/>
        <v>0.66686122865898145</v>
      </c>
      <c r="Q38" s="21">
        <v>1.5</v>
      </c>
      <c r="R38" s="20">
        <f t="shared" ca="1" si="92"/>
        <v>0.44702158419754312</v>
      </c>
      <c r="S38" s="22">
        <f t="shared" ca="1" si="93"/>
        <v>0.67053237629631468</v>
      </c>
      <c r="T38" s="21">
        <f ca="1">F38/33.74</f>
        <v>201.99999999999969</v>
      </c>
      <c r="U38" s="21">
        <f t="shared" ca="1" si="94"/>
        <v>5.7714285714285625</v>
      </c>
      <c r="V38" s="18">
        <f t="shared" ca="1" si="95"/>
        <v>130.57142857142858</v>
      </c>
      <c r="W38" s="76"/>
      <c r="X38" s="1" t="s">
        <v>2</v>
      </c>
      <c r="Y38" s="1" t="s">
        <v>3</v>
      </c>
      <c r="Z38" s="1" t="s">
        <v>4</v>
      </c>
      <c r="AA38" s="1" t="s">
        <v>5</v>
      </c>
      <c r="AB38" s="2" t="s">
        <v>6</v>
      </c>
      <c r="AC38" s="1" t="s">
        <v>7</v>
      </c>
      <c r="AD38" s="1" t="s">
        <v>8</v>
      </c>
      <c r="AE38" s="1" t="s">
        <v>9</v>
      </c>
      <c r="AF38" s="1" t="s">
        <v>10</v>
      </c>
      <c r="AG38" s="1" t="s">
        <v>11</v>
      </c>
      <c r="AH38" s="1" t="s">
        <v>12</v>
      </c>
      <c r="AI38" s="1" t="s">
        <v>13</v>
      </c>
      <c r="AJ38" s="2" t="s">
        <v>14</v>
      </c>
      <c r="AK38" s="1" t="s">
        <v>15</v>
      </c>
      <c r="AL38" s="1" t="s">
        <v>16</v>
      </c>
      <c r="AM38" s="3" t="s">
        <v>17</v>
      </c>
      <c r="AN38" s="4" t="s">
        <v>18</v>
      </c>
      <c r="AO38" s="5" t="s">
        <v>19</v>
      </c>
      <c r="AP38" s="6" t="s">
        <v>20</v>
      </c>
      <c r="AQ38" s="6" t="s">
        <v>21</v>
      </c>
      <c r="AR38" s="7" t="s">
        <v>22</v>
      </c>
      <c r="AS38" s="76"/>
      <c r="AT38" s="76"/>
    </row>
    <row r="39" spans="1:46" ht="15.75" customHeight="1" x14ac:dyDescent="0.25">
      <c r="A39" s="70"/>
      <c r="B39" s="16">
        <v>7</v>
      </c>
      <c r="C39" s="16" t="s">
        <v>24</v>
      </c>
      <c r="D39" s="17">
        <v>44</v>
      </c>
      <c r="E39" s="31">
        <f ca="1">IFERROR(__xludf.DUMMYFUNCTION("COUNT(IMPORTRANGE(""https://docs.google.com/spreadsheets/d/1_7EEO26q9Yq-XhNFiy7I6Zh4Yg6uGjTs9y0UqNvPKcQ/edit"",""2!d2:d45""))"),43)</f>
        <v>43</v>
      </c>
      <c r="F39" s="32">
        <f ca="1">IFERROR(__xludf.DUMMYFUNCTION("SUM(IMPORTRANGE(""https://docs.google.com/spreadsheets/d/1_7EEO26q9Yq-XhNFiy7I6Zh4Yg6uGjTs9y0UqNvPKcQ/edit"",""2!Q2:Q45""))"),8063.01899999999)</f>
        <v>8063.0189999999902</v>
      </c>
      <c r="G39" s="31">
        <f ca="1">IFERROR(__xludf.DUMMYFUNCTION("IMPORTRANGE(""https://docs.google.com/spreadsheets/d/1_7EEO26q9Yq-XhNFiy7I6Zh4Yg6uGjTs9y0UqNvPKcQ/edit"",""2!e53"")"),1033)</f>
        <v>1033</v>
      </c>
      <c r="H39" s="31">
        <f ca="1">IFERROR(__xludf.DUMMYFUNCTION("IMPORTRANGE(""https://docs.google.com/spreadsheets/d/1_7EEO26q9Yq-XhNFiy7I6Zh4Yg6uGjTs9y0UqNvPKcQ/edit"",""2!e54"")"),0)</f>
        <v>0</v>
      </c>
      <c r="I39" s="31">
        <f t="shared" ca="1" si="87"/>
        <v>1033</v>
      </c>
      <c r="J39" s="31">
        <f ca="1">IFERROR(__xludf.DUMMYFUNCTION("IMPORTRANGE(""https://docs.google.com/spreadsheets/d/1_7EEO26q9Yq-XhNFiy7I6Zh4Yg6uGjTs9y0UqNvPKcQ/edit"",""2!e57"")"),1363)</f>
        <v>1363</v>
      </c>
      <c r="K39" s="31">
        <f ca="1">IFERROR(__xludf.DUMMYFUNCTION("IMPORTRANGE(""https://docs.google.com/spreadsheets/d/1_7EEO26q9Yq-XhNFiy7I6Zh4Yg6uGjTs9y0UqNvPKcQ/edit"",""2!e58"")"),0)</f>
        <v>0</v>
      </c>
      <c r="L39" s="18">
        <f t="shared" ca="1" si="88"/>
        <v>1363</v>
      </c>
      <c r="M39" s="18">
        <f t="shared" ca="1" si="89"/>
        <v>2396</v>
      </c>
      <c r="N39" s="19">
        <f t="shared" ca="1" si="90"/>
        <v>187.51206976744163</v>
      </c>
      <c r="O39" s="16">
        <v>1580</v>
      </c>
      <c r="P39" s="33">
        <f t="shared" ca="1" si="91"/>
        <v>1.5164556962025317</v>
      </c>
      <c r="Q39" s="21">
        <v>1.5</v>
      </c>
      <c r="R39" s="20">
        <f t="shared" ca="1" si="92"/>
        <v>0.19810611054411942</v>
      </c>
      <c r="S39" s="22">
        <f t="shared" ca="1" si="93"/>
        <v>0.29715916581617913</v>
      </c>
      <c r="T39" s="21">
        <f ca="1">F39/26.805</f>
        <v>300.80279798545013</v>
      </c>
      <c r="U39" s="21">
        <f t="shared" ca="1" si="94"/>
        <v>6.9954139066383751</v>
      </c>
      <c r="V39" s="18">
        <f t="shared" ca="1" si="95"/>
        <v>55.720930232558139</v>
      </c>
      <c r="W39" s="76"/>
      <c r="X39" s="8">
        <v>1</v>
      </c>
      <c r="Y39" s="8" t="s">
        <v>28</v>
      </c>
      <c r="Z39" s="8">
        <f t="shared" ref="Z39:AI39" si="106">SUM(D34)</f>
        <v>33</v>
      </c>
      <c r="AA39" s="9">
        <f t="shared" ca="1" si="106"/>
        <v>32</v>
      </c>
      <c r="AB39" s="11">
        <f t="shared" ca="1" si="106"/>
        <v>6219.8630000000003</v>
      </c>
      <c r="AC39" s="9">
        <f t="shared" ca="1" si="106"/>
        <v>2043</v>
      </c>
      <c r="AD39" s="9">
        <f t="shared" ca="1" si="106"/>
        <v>90</v>
      </c>
      <c r="AE39" s="9">
        <f t="shared" ca="1" si="106"/>
        <v>2133</v>
      </c>
      <c r="AF39" s="9">
        <f t="shared" ca="1" si="106"/>
        <v>2353</v>
      </c>
      <c r="AG39" s="9">
        <f t="shared" ca="1" si="106"/>
        <v>136</v>
      </c>
      <c r="AH39" s="9">
        <f t="shared" ca="1" si="106"/>
        <v>2489</v>
      </c>
      <c r="AI39" s="9">
        <f t="shared" ca="1" si="106"/>
        <v>4622</v>
      </c>
      <c r="AJ39" s="11">
        <f t="shared" ref="AJ39:AJ45" ca="1" si="107">AB39/AA39</f>
        <v>194.37071875000001</v>
      </c>
      <c r="AK39" s="8">
        <f t="shared" ref="AK39:AK40" si="108">SUM(O34)</f>
        <v>7315</v>
      </c>
      <c r="AL39" s="12">
        <f t="shared" ref="AL39:AL45" ca="1" si="109">AI39/AK39</f>
        <v>0.63185235816814767</v>
      </c>
      <c r="AM39" s="13">
        <f t="shared" ref="AM39:AM40" si="110">SUM(Q34)</f>
        <v>1.5</v>
      </c>
      <c r="AN39" s="12">
        <f t="shared" ref="AN39:AN45" ca="1" si="111">AO39/AM39</f>
        <v>0.49540212273700135</v>
      </c>
      <c r="AO39" s="14">
        <f t="shared" ref="AO39:AO45" ca="1" si="112">AI39/AB39</f>
        <v>0.74310318410550202</v>
      </c>
      <c r="AP39" s="13">
        <f t="shared" ref="AP39:AQ39" ca="1" si="113">SUM(T34)</f>
        <v>201.30960934718584</v>
      </c>
      <c r="AQ39" s="13">
        <f t="shared" ca="1" si="113"/>
        <v>6.2909252920995575</v>
      </c>
      <c r="AR39" s="9">
        <f t="shared" ref="AR39:AR45" ca="1" si="114">AI39/AA39</f>
        <v>144.4375</v>
      </c>
      <c r="AS39" s="76"/>
      <c r="AT39" s="76"/>
    </row>
    <row r="40" spans="1:46" ht="15.75" customHeight="1" x14ac:dyDescent="0.25">
      <c r="A40" s="70"/>
      <c r="B40" s="16">
        <v>8</v>
      </c>
      <c r="C40" s="16" t="s">
        <v>25</v>
      </c>
      <c r="D40" s="34">
        <v>32</v>
      </c>
      <c r="E40" s="18">
        <f ca="1">IFERROR(__xludf.DUMMYFUNCTION("COUNT(IMPORTRANGE(""https://docs.google.com/spreadsheets/d/1vLOLpiE-XsbnCnwWPcoi87PlUSXfqIAAQn3kvqHfO6s/edit"",""2!d2:D33""))"),31)</f>
        <v>31</v>
      </c>
      <c r="F40" s="23">
        <f ca="1">IFERROR(__xludf.DUMMYFUNCTION("SUM(IMPORTRANGE(""https://docs.google.com/spreadsheets/d/1vLOLpiE-XsbnCnwWPcoi87PlUSXfqIAAQn3kvqHfO6s/edit"",""2!Q2:Q33""))"),6091.148)</f>
        <v>6091.1480000000001</v>
      </c>
      <c r="G40" s="18">
        <f ca="1">IFERROR(__xludf.DUMMYFUNCTION("IMPORTRANGE(""https://docs.google.com/spreadsheets/d/1vLOLpiE-XsbnCnwWPcoi87PlUSXfqIAAQn3kvqHfO6s/edit"",""2!e40"")"),2281)</f>
        <v>2281</v>
      </c>
      <c r="H40" s="18">
        <f ca="1">IFERROR(__xludf.DUMMYFUNCTION("IMPORTRANGE(""https://docs.google.com/spreadsheets/d/1vLOLpiE-XsbnCnwWPcoi87PlUSXfqIAAQn3kvqHfO6s/edit"",""2!e41"")"),315)</f>
        <v>315</v>
      </c>
      <c r="I40" s="18">
        <f t="shared" ca="1" si="87"/>
        <v>2596</v>
      </c>
      <c r="J40" s="18">
        <f ca="1">IFERROR(__xludf.DUMMYFUNCTION("IMPORTRANGE(""https://docs.google.com/spreadsheets/d/1vLOLpiE-XsbnCnwWPcoi87PlUSXfqIAAQn3kvqHfO6s/edit"",""2!e44"")"),3045)</f>
        <v>3045</v>
      </c>
      <c r="K40" s="18">
        <f ca="1">IFERROR(__xludf.DUMMYFUNCTION("IMPORTRANGE(""https://docs.google.com/spreadsheets/d/1vLOLpiE-XsbnCnwWPcoi87PlUSXfqIAAQn3kvqHfO6s/edit"",""2!e45"")"),438)</f>
        <v>438</v>
      </c>
      <c r="L40" s="18">
        <f ca="1">J40+K40</f>
        <v>3483</v>
      </c>
      <c r="M40" s="18">
        <f t="shared" ca="1" si="89"/>
        <v>6079</v>
      </c>
      <c r="N40" s="19">
        <f t="shared" ca="1" si="90"/>
        <v>196.48864516129032</v>
      </c>
      <c r="O40" s="16">
        <v>6622</v>
      </c>
      <c r="P40" s="20">
        <f t="shared" ca="1" si="91"/>
        <v>0.9180006040471157</v>
      </c>
      <c r="Q40" s="21">
        <v>1.5</v>
      </c>
      <c r="R40" s="20">
        <f t="shared" ca="1" si="92"/>
        <v>0.66533708697714566</v>
      </c>
      <c r="S40" s="22">
        <f t="shared" ca="1" si="93"/>
        <v>0.99800563046571844</v>
      </c>
      <c r="T40" s="21">
        <f ca="1">F40/23.84</f>
        <v>255.5011744966443</v>
      </c>
      <c r="U40" s="21">
        <f t="shared" ca="1" si="94"/>
        <v>8.241973370859494</v>
      </c>
      <c r="V40" s="18">
        <f t="shared" ca="1" si="95"/>
        <v>196.09677419354838</v>
      </c>
      <c r="W40" s="76"/>
      <c r="X40" s="8">
        <v>2</v>
      </c>
      <c r="Y40" s="8" t="s">
        <v>30</v>
      </c>
      <c r="Z40" s="8">
        <f t="shared" ref="Z40:AI40" si="115">SUM(D35)</f>
        <v>60</v>
      </c>
      <c r="AA40" s="9">
        <f t="shared" ca="1" si="115"/>
        <v>58</v>
      </c>
      <c r="AB40" s="10">
        <f t="shared" ca="1" si="115"/>
        <v>11485.9639999999</v>
      </c>
      <c r="AC40" s="9">
        <f t="shared" ca="1" si="115"/>
        <v>3147</v>
      </c>
      <c r="AD40" s="9">
        <f t="shared" ca="1" si="115"/>
        <v>0</v>
      </c>
      <c r="AE40" s="9">
        <f t="shared" ca="1" si="115"/>
        <v>3147</v>
      </c>
      <c r="AF40" s="9">
        <f t="shared" ca="1" si="115"/>
        <v>4568</v>
      </c>
      <c r="AG40" s="9">
        <f t="shared" ca="1" si="115"/>
        <v>0</v>
      </c>
      <c r="AH40" s="9">
        <f t="shared" ca="1" si="115"/>
        <v>4568</v>
      </c>
      <c r="AI40" s="9">
        <f t="shared" ca="1" si="115"/>
        <v>7715</v>
      </c>
      <c r="AJ40" s="11">
        <f t="shared" ca="1" si="107"/>
        <v>198.0338620689638</v>
      </c>
      <c r="AK40" s="8">
        <f t="shared" si="108"/>
        <v>11164</v>
      </c>
      <c r="AL40" s="12">
        <f t="shared" ca="1" si="109"/>
        <v>0.69106055177355785</v>
      </c>
      <c r="AM40" s="13">
        <f t="shared" si="110"/>
        <v>1.5</v>
      </c>
      <c r="AN40" s="12">
        <f t="shared" ca="1" si="111"/>
        <v>0.44779291780240454</v>
      </c>
      <c r="AO40" s="14">
        <f t="shared" ca="1" si="112"/>
        <v>0.67168937670360684</v>
      </c>
      <c r="AP40" s="13">
        <f t="shared" ref="AP40:AQ40" ca="1" si="116">SUM(T35)</f>
        <v>387.99999999999659</v>
      </c>
      <c r="AQ40" s="13">
        <f t="shared" ca="1" si="116"/>
        <v>6.6896551724137341</v>
      </c>
      <c r="AR40" s="9">
        <f t="shared" ca="1" si="114"/>
        <v>133.01724137931035</v>
      </c>
      <c r="AS40" s="76"/>
      <c r="AT40" s="76"/>
    </row>
    <row r="41" spans="1:46" ht="15.75" customHeight="1" x14ac:dyDescent="0.25">
      <c r="A41" s="70"/>
      <c r="B41" s="16">
        <v>9</v>
      </c>
      <c r="C41" s="16" t="s">
        <v>36</v>
      </c>
      <c r="D41" s="34">
        <v>24</v>
      </c>
      <c r="E41" s="18">
        <f ca="1">IFERROR(__xludf.DUMMYFUNCTION("COUNT(IMPORTRANGE(""https://docs.google.com/spreadsheets/d/1WJJVq25XDtGjt-J2JPxeKs3jIvDZtkIREC0lFPXwf74/edit"",""2!d2:d31""))"),24)</f>
        <v>24</v>
      </c>
      <c r="F41" s="23">
        <f ca="1">IFERROR(__xludf.DUMMYFUNCTION("SUM(IMPORTRANGE(""https://docs.google.com/spreadsheets/d/1WJJVq25XDtGjt-J2JPxeKs3jIvDZtkIREC0lFPXwf74/edit"",""2!Q2:Q31""))"),4795.37599999999)</f>
        <v>4795.3759999999902</v>
      </c>
      <c r="G41" s="18">
        <f ca="1">IFERROR(__xludf.DUMMYFUNCTION("IMPORTRANGE(""https://docs.google.com/spreadsheets/d/1WJJVq25XDtGjt-J2JPxeKs3jIvDZtkIREC0lFPXwf74/edit"",""2!e38"")"),1258)</f>
        <v>1258</v>
      </c>
      <c r="H41" s="18">
        <f ca="1">IFERROR(__xludf.DUMMYFUNCTION("IMPORTRANGE(""https://docs.google.com/spreadsheets/d/1WJJVq25XDtGjt-J2JPxeKs3jIvDZtkIREC0lFPXwf74/edit"",""2!e39"")"),0)</f>
        <v>0</v>
      </c>
      <c r="I41" s="18">
        <f t="shared" ca="1" si="87"/>
        <v>1258</v>
      </c>
      <c r="J41" s="18">
        <f ca="1">IFERROR(__xludf.DUMMYFUNCTION("IMPORTRANGE(""https://docs.google.com/spreadsheets/d/1WJJVq25XDtGjt-J2JPxeKs3jIvDZtkIREC0lFPXwf74/edit"",""2!e42"")"),1932)</f>
        <v>1932</v>
      </c>
      <c r="K41" s="18">
        <f ca="1">IFERROR(__xludf.DUMMYFUNCTION("IMPORTRANGE(""https://docs.google.com/spreadsheets/d/1WJJVq25XDtGjt-J2JPxeKs3jIvDZtkIREC0lFPXwf74/edit"",""2!e43"")"),0)</f>
        <v>0</v>
      </c>
      <c r="L41" s="18">
        <f t="shared" ref="L41:L50" ca="1" si="117">SUM(J41:K41)</f>
        <v>1932</v>
      </c>
      <c r="M41" s="18">
        <f t="shared" ca="1" si="89"/>
        <v>3190</v>
      </c>
      <c r="N41" s="19">
        <f t="shared" ca="1" si="90"/>
        <v>199.80733333333293</v>
      </c>
      <c r="O41" s="16">
        <v>4796</v>
      </c>
      <c r="P41" s="20">
        <f t="shared" ca="1" si="91"/>
        <v>0.66513761467889909</v>
      </c>
      <c r="Q41" s="21">
        <v>1.5</v>
      </c>
      <c r="R41" s="20">
        <f t="shared" ca="1" si="92"/>
        <v>0.44348277729768659</v>
      </c>
      <c r="S41" s="22">
        <f t="shared" ca="1" si="93"/>
        <v>0.66522416594652989</v>
      </c>
      <c r="T41" s="21">
        <f ca="1">F41/37.414</f>
        <v>128.17063131448094</v>
      </c>
      <c r="U41" s="21">
        <f t="shared" ca="1" si="94"/>
        <v>5.3404429714367057</v>
      </c>
      <c r="V41" s="18">
        <f t="shared" ca="1" si="95"/>
        <v>132.91666666666666</v>
      </c>
      <c r="W41" s="76"/>
      <c r="X41" s="8">
        <v>3</v>
      </c>
      <c r="Y41" s="8" t="s">
        <v>34</v>
      </c>
      <c r="Z41" s="8">
        <f t="shared" ref="Z41:AI41" si="118">SUM(D37)</f>
        <v>40</v>
      </c>
      <c r="AA41" s="9">
        <f t="shared" ca="1" si="118"/>
        <v>37</v>
      </c>
      <c r="AB41" s="10">
        <f t="shared" ca="1" si="118"/>
        <v>7412.0370000000003</v>
      </c>
      <c r="AC41" s="9">
        <f t="shared" ca="1" si="118"/>
        <v>2473</v>
      </c>
      <c r="AD41" s="9">
        <f t="shared" ca="1" si="118"/>
        <v>0</v>
      </c>
      <c r="AE41" s="9">
        <f t="shared" ca="1" si="118"/>
        <v>2473</v>
      </c>
      <c r="AF41" s="9">
        <f t="shared" ca="1" si="118"/>
        <v>2902</v>
      </c>
      <c r="AG41" s="9">
        <f t="shared" ca="1" si="118"/>
        <v>201</v>
      </c>
      <c r="AH41" s="9">
        <f t="shared" ca="1" si="118"/>
        <v>3103</v>
      </c>
      <c r="AI41" s="9">
        <f t="shared" ca="1" si="118"/>
        <v>5576</v>
      </c>
      <c r="AJ41" s="11">
        <f t="shared" ca="1" si="107"/>
        <v>200.32532432432433</v>
      </c>
      <c r="AK41" s="8">
        <f>SUM(O37)</f>
        <v>9354</v>
      </c>
      <c r="AL41" s="12">
        <f t="shared" ca="1" si="109"/>
        <v>0.5961086166345948</v>
      </c>
      <c r="AM41" s="13">
        <f>SUM(Q37)</f>
        <v>1.5</v>
      </c>
      <c r="AN41" s="12">
        <f t="shared" ca="1" si="111"/>
        <v>0.50152654841487343</v>
      </c>
      <c r="AO41" s="14">
        <f t="shared" ca="1" si="112"/>
        <v>0.75228982262231014</v>
      </c>
      <c r="AP41" s="13">
        <f t="shared" ref="AP41:AQ41" ca="1" si="119">SUM(T37)</f>
        <v>241.33223716341615</v>
      </c>
      <c r="AQ41" s="13">
        <f t="shared" ca="1" si="119"/>
        <v>6.5224928963085445</v>
      </c>
      <c r="AR41" s="9">
        <f t="shared" ca="1" si="114"/>
        <v>150.70270270270271</v>
      </c>
      <c r="AS41" s="76"/>
      <c r="AT41" s="76"/>
    </row>
    <row r="42" spans="1:46" ht="15.75" customHeight="1" x14ac:dyDescent="0.25">
      <c r="A42" s="70"/>
      <c r="B42" s="16">
        <v>10</v>
      </c>
      <c r="C42" s="16" t="s">
        <v>37</v>
      </c>
      <c r="D42" s="17">
        <v>30</v>
      </c>
      <c r="E42" s="18">
        <f ca="1">IFERROR(__xludf.DUMMYFUNCTION("COUNT(IMPORTRANGE(""https://docs.google.com/spreadsheets/d/1rJyYfywRpWJW0zvDJHLOJtqUQqffoCGaqTVxxTDgV0k/edit"",""2!d2:d31""))"),28)</f>
        <v>28</v>
      </c>
      <c r="F42" s="23">
        <f ca="1">IFERROR(__xludf.DUMMYFUNCTION("SUM(IMPORTRANGE(""https://docs.google.com/spreadsheets/d/1rJyYfywRpWJW0zvDJHLOJtqUQqffoCGaqTVxxTDgV0k/edit"",""2!Q2:Q31""))"),5550.786)</f>
        <v>5550.7860000000001</v>
      </c>
      <c r="G42" s="18">
        <f ca="1">IFERROR(__xludf.DUMMYFUNCTION("(IMPORTRANGE(""https://docs.google.com/spreadsheets/d/1rJyYfywRpWJW0zvDJHLOJtqUQqffoCGaqTVxxTDgV0k/edit"",""2!e38""))"),2223)</f>
        <v>2223</v>
      </c>
      <c r="H42" s="18">
        <f ca="1">IFERROR(__xludf.DUMMYFUNCTION("(IMPORTRANGE(""https://docs.google.com/spreadsheets/d/1rJyYfywRpWJW0zvDJHLOJtqUQqffoCGaqTVxxTDgV0k/edit"",""2!e39""))"),0)</f>
        <v>0</v>
      </c>
      <c r="I42" s="18">
        <f t="shared" ca="1" si="87"/>
        <v>2223</v>
      </c>
      <c r="J42" s="18">
        <f ca="1">IFERROR(__xludf.DUMMYFUNCTION("(IMPORTRANGE(""https://docs.google.com/spreadsheets/d/1rJyYfywRpWJW0zvDJHLOJtqUQqffoCGaqTVxxTDgV0k/edit"",""2!e42""))"),2702)</f>
        <v>2702</v>
      </c>
      <c r="K42" s="18">
        <f ca="1">IFERROR(__xludf.DUMMYFUNCTION("(IMPORTRANGE(""https://docs.google.com/spreadsheets/d/1rJyYfywRpWJW0zvDJHLOJtqUQqffoCGaqTVxxTDgV0k/edit"",""2!e43""))"),0)</f>
        <v>0</v>
      </c>
      <c r="L42" s="18">
        <f t="shared" ca="1" si="117"/>
        <v>2702</v>
      </c>
      <c r="M42" s="18">
        <f t="shared" ca="1" si="89"/>
        <v>4925</v>
      </c>
      <c r="N42" s="19">
        <f t="shared" ca="1" si="90"/>
        <v>198.24235714285714</v>
      </c>
      <c r="O42" s="16">
        <v>5887</v>
      </c>
      <c r="P42" s="20">
        <f t="shared" ca="1" si="91"/>
        <v>0.83658909461525399</v>
      </c>
      <c r="Q42" s="21">
        <v>1.5</v>
      </c>
      <c r="R42" s="20">
        <f t="shared" ca="1" si="92"/>
        <v>0.59150782129473789</v>
      </c>
      <c r="S42" s="22">
        <f t="shared" ca="1" si="93"/>
        <v>0.88726173194210689</v>
      </c>
      <c r="T42" s="21">
        <f ca="1">F42/24.792</f>
        <v>223.89424007744432</v>
      </c>
      <c r="U42" s="21">
        <f t="shared" ca="1" si="94"/>
        <v>7.9962228599087259</v>
      </c>
      <c r="V42" s="18">
        <f t="shared" ca="1" si="95"/>
        <v>175.89285714285714</v>
      </c>
      <c r="W42" s="76"/>
      <c r="X42" s="8">
        <v>4</v>
      </c>
      <c r="Y42" s="8" t="s">
        <v>38</v>
      </c>
      <c r="Z42" s="8">
        <f t="shared" ref="Z42:AI42" si="120">SUM(D45)</f>
        <v>30</v>
      </c>
      <c r="AA42" s="9">
        <f t="shared" ca="1" si="120"/>
        <v>28</v>
      </c>
      <c r="AB42" s="10">
        <f t="shared" ca="1" si="120"/>
        <v>6036.0169999999998</v>
      </c>
      <c r="AC42" s="9">
        <f t="shared" ca="1" si="120"/>
        <v>1721</v>
      </c>
      <c r="AD42" s="9">
        <f t="shared" ca="1" si="120"/>
        <v>29</v>
      </c>
      <c r="AE42" s="9">
        <f t="shared" ca="1" si="120"/>
        <v>1750</v>
      </c>
      <c r="AF42" s="9">
        <f t="shared" ca="1" si="120"/>
        <v>2258</v>
      </c>
      <c r="AG42" s="9">
        <f t="shared" ca="1" si="120"/>
        <v>88</v>
      </c>
      <c r="AH42" s="9">
        <f t="shared" ca="1" si="120"/>
        <v>2346</v>
      </c>
      <c r="AI42" s="9">
        <f t="shared" ca="1" si="120"/>
        <v>4096</v>
      </c>
      <c r="AJ42" s="11">
        <f t="shared" ca="1" si="107"/>
        <v>215.5720357142857</v>
      </c>
      <c r="AK42" s="8">
        <v>7324</v>
      </c>
      <c r="AL42" s="12">
        <f t="shared" ca="1" si="109"/>
        <v>0.55925723648279624</v>
      </c>
      <c r="AM42" s="13">
        <f>SUM(Q45)</f>
        <v>1.5</v>
      </c>
      <c r="AN42" s="12">
        <f t="shared" ca="1" si="111"/>
        <v>0.45239545658447727</v>
      </c>
      <c r="AO42" s="14">
        <f t="shared" ca="1" si="112"/>
        <v>0.67859318487671594</v>
      </c>
      <c r="AP42" s="13">
        <f t="shared" ref="AP42:AQ42" ca="1" si="121">SUM(T45)</f>
        <v>146.4874893823565</v>
      </c>
      <c r="AQ42" s="13">
        <f t="shared" ca="1" si="121"/>
        <v>5.2316960493698748</v>
      </c>
      <c r="AR42" s="9">
        <f t="shared" ca="1" si="114"/>
        <v>146.28571428571428</v>
      </c>
      <c r="AS42" s="76"/>
      <c r="AT42" s="76"/>
    </row>
    <row r="43" spans="1:46" ht="15.75" customHeight="1" x14ac:dyDescent="0.25">
      <c r="A43" s="70"/>
      <c r="B43" s="16">
        <v>12</v>
      </c>
      <c r="C43" s="16" t="s">
        <v>39</v>
      </c>
      <c r="D43" s="17">
        <v>28</v>
      </c>
      <c r="E43" s="18">
        <f ca="1">IFERROR(__xludf.DUMMYFUNCTION("COUNT(IMPORTRANGE(""https://docs.google.com/spreadsheets/d/1uaTn2DZCfr7O1PvovOd0wElzVz8kpl_iPfnrkNPp0Is/edit"",""2!d2:d29""))"),28)</f>
        <v>28</v>
      </c>
      <c r="F43" s="23">
        <f ca="1">IFERROR(__xludf.DUMMYFUNCTION("SUM(IMPORTRANGE(""https://docs.google.com/spreadsheets/d/1uaTn2DZCfr7O1PvovOd0wElzVz8kpl_iPfnrkNPp0Is/edit"",""2!Q2:Q29""))"),5361.385)</f>
        <v>5361.3850000000002</v>
      </c>
      <c r="G43" s="18">
        <f ca="1">IFERROR(__xludf.DUMMYFUNCTION("IMPORTRANGE(""https://docs.google.com/spreadsheets/d/1uaTn2DZCfr7O1PvovOd0wElzVz8kpl_iPfnrkNPp0Is/edit"",""2!e36"")"),1143)</f>
        <v>1143</v>
      </c>
      <c r="H43" s="18">
        <f ca="1">IFERROR(__xludf.DUMMYFUNCTION("(IMPORTRANGE(""https://docs.google.com/spreadsheets/d/1uaTn2DZCfr7O1PvovOd0wElzVz8kpl_iPfnrkNPp0Is/edit"",""2!e37""))"),48)</f>
        <v>48</v>
      </c>
      <c r="I43" s="18">
        <f t="shared" ca="1" si="87"/>
        <v>1191</v>
      </c>
      <c r="J43" s="18">
        <f ca="1">IFERROR(__xludf.DUMMYFUNCTION("IMPORTRANGE(""https://docs.google.com/spreadsheets/d/1uaTn2DZCfr7O1PvovOd0wElzVz8kpl_iPfnrkNPp0Is/edit"",""2!e40"")"),1761)</f>
        <v>1761</v>
      </c>
      <c r="K43" s="18">
        <f ca="1">IFERROR(__xludf.DUMMYFUNCTION("IMPORTRANGE(""https://docs.google.com/spreadsheets/d/1uaTn2DZCfr7O1PvovOd0wElzVz8kpl_iPfnrkNPp0Is/edit"",""2!e41"")"),128)</f>
        <v>128</v>
      </c>
      <c r="L43" s="18">
        <f t="shared" ca="1" si="117"/>
        <v>1889</v>
      </c>
      <c r="M43" s="18">
        <f t="shared" ca="1" si="89"/>
        <v>3080</v>
      </c>
      <c r="N43" s="19">
        <f t="shared" ca="1" si="90"/>
        <v>191.47803571428571</v>
      </c>
      <c r="O43" s="16">
        <v>3569</v>
      </c>
      <c r="P43" s="20">
        <f t="shared" ca="1" si="91"/>
        <v>0.86298683104511065</v>
      </c>
      <c r="Q43" s="21">
        <v>1.5</v>
      </c>
      <c r="R43" s="20">
        <f t="shared" ca="1" si="92"/>
        <v>0.38298561534628334</v>
      </c>
      <c r="S43" s="22">
        <f t="shared" ca="1" si="93"/>
        <v>0.57447842301942498</v>
      </c>
      <c r="T43" s="21">
        <f ca="1">F43/21.463</f>
        <v>249.79662675301682</v>
      </c>
      <c r="U43" s="21">
        <f t="shared" ca="1" si="94"/>
        <v>8.9213080983220294</v>
      </c>
      <c r="V43" s="18">
        <f t="shared" ca="1" si="95"/>
        <v>110</v>
      </c>
      <c r="W43" s="76"/>
      <c r="X43" s="8">
        <v>5</v>
      </c>
      <c r="Y43" s="8" t="s">
        <v>40</v>
      </c>
      <c r="Z43" s="8">
        <f t="shared" ref="Z43:AI43" si="122">SUM(D47)</f>
        <v>30</v>
      </c>
      <c r="AA43" s="9">
        <f t="shared" ca="1" si="122"/>
        <v>28</v>
      </c>
      <c r="AB43" s="10">
        <f t="shared" ca="1" si="122"/>
        <v>5574.8279999999904</v>
      </c>
      <c r="AC43" s="9">
        <f t="shared" ca="1" si="122"/>
        <v>3081</v>
      </c>
      <c r="AD43" s="9">
        <f t="shared" ca="1" si="122"/>
        <v>11</v>
      </c>
      <c r="AE43" s="9">
        <f t="shared" ca="1" si="122"/>
        <v>3092</v>
      </c>
      <c r="AF43" s="9">
        <f t="shared" ca="1" si="122"/>
        <v>3717</v>
      </c>
      <c r="AG43" s="9">
        <f t="shared" ca="1" si="122"/>
        <v>0</v>
      </c>
      <c r="AH43" s="9">
        <f t="shared" ca="1" si="122"/>
        <v>3717</v>
      </c>
      <c r="AI43" s="9">
        <f t="shared" ca="1" si="122"/>
        <v>6809</v>
      </c>
      <c r="AJ43" s="11">
        <f t="shared" ca="1" si="107"/>
        <v>199.10099999999966</v>
      </c>
      <c r="AK43" s="8">
        <f t="shared" ref="AK43:AK44" si="123">SUM(O47)</f>
        <v>8239</v>
      </c>
      <c r="AL43" s="12">
        <f t="shared" ca="1" si="109"/>
        <v>0.82643524699599469</v>
      </c>
      <c r="AM43" s="13">
        <f t="shared" ref="AM43:AM44" si="124">SUM(Q47)</f>
        <v>1.5</v>
      </c>
      <c r="AN43" s="12">
        <f t="shared" ca="1" si="111"/>
        <v>0.81425531573948851</v>
      </c>
      <c r="AO43" s="14">
        <f t="shared" ca="1" si="112"/>
        <v>1.2213829736092328</v>
      </c>
      <c r="AP43" s="13">
        <f t="shared" ref="AP43:AQ43" ca="1" si="125">SUM(T47)</f>
        <v>195.99999999999966</v>
      </c>
      <c r="AQ43" s="13">
        <f t="shared" ca="1" si="125"/>
        <v>6.9999999999999876</v>
      </c>
      <c r="AR43" s="9">
        <f t="shared" ca="1" si="114"/>
        <v>243.17857142857142</v>
      </c>
      <c r="AS43" s="76"/>
      <c r="AT43" s="76"/>
    </row>
    <row r="44" spans="1:46" ht="15.75" customHeight="1" x14ac:dyDescent="0.25">
      <c r="A44" s="70"/>
      <c r="B44" s="16">
        <v>12</v>
      </c>
      <c r="C44" s="16" t="s">
        <v>41</v>
      </c>
      <c r="D44" s="17">
        <v>24</v>
      </c>
      <c r="E44" s="18">
        <f ca="1">IFERROR(__xludf.DUMMYFUNCTION("COUNT(IMPORTRANGE(""https://docs.google.com/spreadsheets/d/1oYscvfOJW7GMkxt8QcupWuzb3ohaYePd3Mt2V2ufHok/edit"",""2!d2:d25""))"),23)</f>
        <v>23</v>
      </c>
      <c r="F44" s="23">
        <f ca="1">IFERROR(__xludf.DUMMYFUNCTION("SUM(IMPORTRANGE(""https://docs.google.com/spreadsheets/d/1oYscvfOJW7GMkxt8QcupWuzb3ohaYePd3Mt2V2ufHok/edit"",""2!Q2:Q25""))"),4493.58)</f>
        <v>4493.58</v>
      </c>
      <c r="G44" s="18">
        <f ca="1">IFERROR(__xludf.DUMMYFUNCTION("IMPORTRANGE(""https://docs.google.com/spreadsheets/d/1oYscvfOJW7GMkxt8QcupWuzb3ohaYePd3Mt2V2ufHok/edit"",""2!e32"")"),1038)</f>
        <v>1038</v>
      </c>
      <c r="H44" s="18">
        <f ca="1">IFERROR(__xludf.DUMMYFUNCTION("IMPORTRANGE(""https://docs.google.com/spreadsheets/d/1oYscvfOJW7GMkxt8QcupWuzb3ohaYePd3Mt2V2ufHok/edit"",""2!e33"")"),145)</f>
        <v>145</v>
      </c>
      <c r="I44" s="18">
        <f t="shared" ca="1" si="87"/>
        <v>1183</v>
      </c>
      <c r="J44" s="18">
        <f ca="1">IFERROR(__xludf.DUMMYFUNCTION("IMPORTRANGE(""https://docs.google.com/spreadsheets/d/1oYscvfOJW7GMkxt8QcupWuzb3ohaYePd3Mt2V2ufHok/edit"",""2!e36"")"),1397)</f>
        <v>1397</v>
      </c>
      <c r="K44" s="18">
        <f ca="1">IFERROR(__xludf.DUMMYFUNCTION("IMPORTRANGE(""https://docs.google.com/spreadsheets/d/1oYscvfOJW7GMkxt8QcupWuzb3ohaYePd3Mt2V2ufHok/edit"",""2!e37"")"),50)</f>
        <v>50</v>
      </c>
      <c r="L44" s="18">
        <f t="shared" ca="1" si="117"/>
        <v>1447</v>
      </c>
      <c r="M44" s="18">
        <f t="shared" ca="1" si="89"/>
        <v>2630</v>
      </c>
      <c r="N44" s="19">
        <f t="shared" ca="1" si="90"/>
        <v>195.37304347826085</v>
      </c>
      <c r="O44" s="16">
        <v>3801</v>
      </c>
      <c r="P44" s="20">
        <f t="shared" ca="1" si="91"/>
        <v>0.69192317811102344</v>
      </c>
      <c r="Q44" s="21">
        <v>1.5</v>
      </c>
      <c r="R44" s="20">
        <f t="shared" ca="1" si="92"/>
        <v>0.3901862954110828</v>
      </c>
      <c r="S44" s="22">
        <f t="shared" ca="1" si="93"/>
        <v>0.58527944311662417</v>
      </c>
      <c r="T44" s="21">
        <f ca="1">F44/29.628</f>
        <v>151.66666666666666</v>
      </c>
      <c r="U44" s="21">
        <f t="shared" ca="1" si="94"/>
        <v>6.5942028985507246</v>
      </c>
      <c r="V44" s="18">
        <f t="shared" ca="1" si="95"/>
        <v>114.34782608695652</v>
      </c>
      <c r="W44" s="76"/>
      <c r="X44" s="8">
        <v>6</v>
      </c>
      <c r="Y44" s="8" t="s">
        <v>42</v>
      </c>
      <c r="Z44" s="8">
        <f t="shared" ref="Z44:AI44" si="126">SUM(D48)</f>
        <v>33</v>
      </c>
      <c r="AA44" s="9">
        <f t="shared" ca="1" si="126"/>
        <v>33</v>
      </c>
      <c r="AB44" s="10">
        <f t="shared" ca="1" si="126"/>
        <v>6501.82599999999</v>
      </c>
      <c r="AC44" s="9">
        <f t="shared" ca="1" si="126"/>
        <v>3406</v>
      </c>
      <c r="AD44" s="9">
        <f t="shared" ca="1" si="126"/>
        <v>0</v>
      </c>
      <c r="AE44" s="9">
        <f t="shared" ca="1" si="126"/>
        <v>3406</v>
      </c>
      <c r="AF44" s="9">
        <f t="shared" ca="1" si="126"/>
        <v>3645</v>
      </c>
      <c r="AG44" s="9">
        <f t="shared" ca="1" si="126"/>
        <v>241</v>
      </c>
      <c r="AH44" s="9">
        <f t="shared" ca="1" si="126"/>
        <v>3886</v>
      </c>
      <c r="AI44" s="9">
        <f t="shared" ca="1" si="126"/>
        <v>7292</v>
      </c>
      <c r="AJ44" s="11">
        <f t="shared" ca="1" si="107"/>
        <v>197.02503030303001</v>
      </c>
      <c r="AK44" s="8">
        <f t="shared" si="123"/>
        <v>9877</v>
      </c>
      <c r="AL44" s="12">
        <f t="shared" ca="1" si="109"/>
        <v>0.73828085451047887</v>
      </c>
      <c r="AM44" s="13">
        <f t="shared" si="124"/>
        <v>1.5</v>
      </c>
      <c r="AN44" s="12">
        <f t="shared" ca="1" si="111"/>
        <v>0.74768739325434741</v>
      </c>
      <c r="AO44" s="14">
        <f t="shared" ca="1" si="112"/>
        <v>1.1215310898815212</v>
      </c>
      <c r="AP44" s="13">
        <f t="shared" ref="AP44:AQ44" ca="1" si="127">SUM(T48)</f>
        <v>248.58826228254597</v>
      </c>
      <c r="AQ44" s="13">
        <f t="shared" ca="1" si="127"/>
        <v>7.5329776449256354</v>
      </c>
      <c r="AR44" s="9">
        <f t="shared" ca="1" si="114"/>
        <v>220.96969696969697</v>
      </c>
      <c r="AS44" s="76"/>
      <c r="AT44" s="76"/>
    </row>
    <row r="45" spans="1:46" ht="15.75" customHeight="1" x14ac:dyDescent="0.25">
      <c r="A45" s="70"/>
      <c r="B45" s="16">
        <v>13</v>
      </c>
      <c r="C45" s="16" t="s">
        <v>43</v>
      </c>
      <c r="D45" s="17">
        <v>30</v>
      </c>
      <c r="E45" s="18">
        <f ca="1">IFERROR(__xludf.DUMMYFUNCTION("COUNT(IMPORTRANGE(""https://docs.google.com/spreadsheets/d/1AxBmuQEdOYAeRnZ4C8vO6kuTNp7X_SGhpLXuY0n4ln4/edit"",""2!d2:d31""))"),28)</f>
        <v>28</v>
      </c>
      <c r="F45" s="23">
        <f ca="1">IFERROR(__xludf.DUMMYFUNCTION("SUM(IMPORTRANGE(""https://docs.google.com/spreadsheets/d/1AxBmuQEdOYAeRnZ4C8vO6kuTNp7X_SGhpLXuY0n4ln4/edit"",""2!Q2:Q31""))"),6036.017)</f>
        <v>6036.0169999999998</v>
      </c>
      <c r="G45" s="18">
        <f ca="1">IFERROR(__xludf.DUMMYFUNCTION("IMPORTRANGE(""https://docs.google.com/spreadsheets/d/1AxBmuQEdOYAeRnZ4C8vO6kuTNp7X_SGhpLXuY0n4ln4/edit"",""2!e38"")"),1721)</f>
        <v>1721</v>
      </c>
      <c r="H45" s="18">
        <f ca="1">IFERROR(__xludf.DUMMYFUNCTION("IMPORTRANGE(""https://docs.google.com/spreadsheets/d/1AxBmuQEdOYAeRnZ4C8vO6kuTNp7X_SGhpLXuY0n4ln4/edit"",""2!e39"")"),29)</f>
        <v>29</v>
      </c>
      <c r="I45" s="18">
        <f t="shared" ca="1" si="87"/>
        <v>1750</v>
      </c>
      <c r="J45" s="18">
        <f ca="1">IFERROR(__xludf.DUMMYFUNCTION("IMPORTRANGE(""https://docs.google.com/spreadsheets/d/1AxBmuQEdOYAeRnZ4C8vO6kuTNp7X_SGhpLXuY0n4ln4/edit"",""2!e42"")"),2258)</f>
        <v>2258</v>
      </c>
      <c r="K45" s="18">
        <f ca="1">IFERROR(__xludf.DUMMYFUNCTION("IMPORTRANGE(""https://docs.google.com/spreadsheets/d/1AxBmuQEdOYAeRnZ4C8vO6kuTNp7X_SGhpLXuY0n4ln4/edit"",""2!e43"")"),88)</f>
        <v>88</v>
      </c>
      <c r="L45" s="18">
        <f t="shared" ca="1" si="117"/>
        <v>2346</v>
      </c>
      <c r="M45" s="18">
        <f t="shared" ca="1" si="89"/>
        <v>4096</v>
      </c>
      <c r="N45" s="19">
        <f t="shared" ca="1" si="90"/>
        <v>215.5720357142857</v>
      </c>
      <c r="O45" s="16">
        <v>8345</v>
      </c>
      <c r="P45" s="20">
        <f t="shared" ca="1" si="91"/>
        <v>0.49083283403235473</v>
      </c>
      <c r="Q45" s="21">
        <v>1.5</v>
      </c>
      <c r="R45" s="20">
        <f t="shared" ca="1" si="92"/>
        <v>0.45239545658447727</v>
      </c>
      <c r="S45" s="22">
        <f t="shared" ca="1" si="93"/>
        <v>0.67859318487671594</v>
      </c>
      <c r="T45" s="21">
        <f ca="1">F45/41.205</f>
        <v>146.4874893823565</v>
      </c>
      <c r="U45" s="21">
        <f t="shared" ca="1" si="94"/>
        <v>5.2316960493698748</v>
      </c>
      <c r="V45" s="18">
        <f t="shared" ca="1" si="95"/>
        <v>146.28571428571428</v>
      </c>
      <c r="W45" s="76"/>
      <c r="X45" s="24" t="s">
        <v>33</v>
      </c>
      <c r="Y45" s="24">
        <v>6</v>
      </c>
      <c r="Z45" s="24">
        <f t="shared" ref="Z45:AI45" si="128">SUM(Z39:Z44)</f>
        <v>226</v>
      </c>
      <c r="AA45" s="25">
        <f t="shared" ca="1" si="128"/>
        <v>216</v>
      </c>
      <c r="AB45" s="27">
        <f t="shared" ca="1" si="128"/>
        <v>43230.534999999873</v>
      </c>
      <c r="AC45" s="25">
        <f t="shared" ca="1" si="128"/>
        <v>15871</v>
      </c>
      <c r="AD45" s="25">
        <f t="shared" ca="1" si="128"/>
        <v>130</v>
      </c>
      <c r="AE45" s="25">
        <f t="shared" ca="1" si="128"/>
        <v>16001</v>
      </c>
      <c r="AF45" s="25">
        <f t="shared" ca="1" si="128"/>
        <v>19443</v>
      </c>
      <c r="AG45" s="25">
        <f t="shared" ca="1" si="128"/>
        <v>666</v>
      </c>
      <c r="AH45" s="25">
        <f t="shared" ca="1" si="128"/>
        <v>20109</v>
      </c>
      <c r="AI45" s="25">
        <f t="shared" ca="1" si="128"/>
        <v>36110</v>
      </c>
      <c r="AJ45" s="27">
        <f t="shared" ca="1" si="107"/>
        <v>200.14136574074016</v>
      </c>
      <c r="AK45" s="24">
        <f>SUM(AK39:AK44)</f>
        <v>53273</v>
      </c>
      <c r="AL45" s="28">
        <f t="shared" ca="1" si="109"/>
        <v>0.67782929438927786</v>
      </c>
      <c r="AM45" s="29">
        <v>1.5</v>
      </c>
      <c r="AN45" s="28">
        <f t="shared" ca="1" si="111"/>
        <v>0.55685948215383885</v>
      </c>
      <c r="AO45" s="30">
        <f t="shared" ca="1" si="112"/>
        <v>0.83528922323075827</v>
      </c>
      <c r="AP45" s="29">
        <f ca="1">SUM(AP39:AP44)</f>
        <v>1421.7175981755006</v>
      </c>
      <c r="AQ45" s="29">
        <f ca="1">AP45/AA45</f>
        <v>6.5820259174791698</v>
      </c>
      <c r="AR45" s="25">
        <f t="shared" ca="1" si="114"/>
        <v>167.17592592592592</v>
      </c>
      <c r="AS45" s="76"/>
      <c r="AT45" s="76"/>
    </row>
    <row r="46" spans="1:46" ht="15.75" customHeight="1" x14ac:dyDescent="0.25">
      <c r="A46" s="70"/>
      <c r="B46" s="16">
        <v>14</v>
      </c>
      <c r="C46" s="16" t="s">
        <v>27</v>
      </c>
      <c r="D46" s="17">
        <v>30</v>
      </c>
      <c r="E46" s="18">
        <f ca="1">IFERROR(__xludf.DUMMYFUNCTION("COUNT(IMPORTRANGE(""https://docs.google.com/spreadsheets/d/1LsL4JuXvBtfJ-TVi4NFml9lV_pmd61b789A_nbO-QrA/edit"",""2!d2:d31""))"),30)</f>
        <v>30</v>
      </c>
      <c r="F46" s="23">
        <f ca="1">IFERROR(__xludf.DUMMYFUNCTION("SUM(IMPORTRANGE(""https://docs.google.com/spreadsheets/d/1LsL4JuXvBtfJ-TVi4NFml9lV_pmd61b789A_nbO-QrA/edit"",""2!Q2:Q31""))"),5625.63999999999)</f>
        <v>5625.6399999999903</v>
      </c>
      <c r="G46" s="18">
        <f ca="1">IFERROR(__xludf.DUMMYFUNCTION("IMPORTRANGE(""https://docs.google.com/spreadsheets/d/1LsL4JuXvBtfJ-TVi4NFml9lV_pmd61b789A_nbO-QrA/edit"",""2!e38"")"),2359)</f>
        <v>2359</v>
      </c>
      <c r="H46" s="18">
        <f ca="1">IFERROR(__xludf.DUMMYFUNCTION("IMPORTRANGE(""https://docs.google.com/spreadsheets/d/1LsL4JuXvBtfJ-TVi4NFml9lV_pmd61b789A_nbO-QrA/edit"",""2!e39"")"),0)</f>
        <v>0</v>
      </c>
      <c r="I46" s="18">
        <f t="shared" ca="1" si="87"/>
        <v>2359</v>
      </c>
      <c r="J46" s="18">
        <f ca="1">IFERROR(__xludf.DUMMYFUNCTION("IMPORTRANGE(""https://docs.google.com/spreadsheets/d/1LsL4JuXvBtfJ-TVi4NFml9lV_pmd61b789A_nbO-QrA/edit"",""2!e42"")"),2239)</f>
        <v>2239</v>
      </c>
      <c r="K46" s="18">
        <f ca="1">IFERROR(__xludf.DUMMYFUNCTION("IMPORTRANGE(""https://docs.google.com/spreadsheets/d/1LsL4JuXvBtfJ-TVi4NFml9lV_pmd61b789A_nbO-QrA/edit"",""2!e43"")"),63)</f>
        <v>63</v>
      </c>
      <c r="L46" s="18">
        <f t="shared" ca="1" si="117"/>
        <v>2302</v>
      </c>
      <c r="M46" s="18">
        <f t="shared" ca="1" si="89"/>
        <v>4661</v>
      </c>
      <c r="N46" s="19">
        <f t="shared" ca="1" si="90"/>
        <v>187.52133333333302</v>
      </c>
      <c r="O46" s="16">
        <v>8101</v>
      </c>
      <c r="P46" s="20">
        <f t="shared" ca="1" si="91"/>
        <v>0.57536106653499564</v>
      </c>
      <c r="Q46" s="21">
        <v>1.5</v>
      </c>
      <c r="R46" s="20">
        <f t="shared" ca="1" si="92"/>
        <v>0.55235196943518228</v>
      </c>
      <c r="S46" s="22">
        <f t="shared" ca="1" si="93"/>
        <v>0.82852795415277336</v>
      </c>
      <c r="T46" s="21">
        <f ca="1">F46/19.985</f>
        <v>281.49311983987945</v>
      </c>
      <c r="U46" s="21">
        <f t="shared" ca="1" si="94"/>
        <v>9.3831039946626493</v>
      </c>
      <c r="V46" s="18">
        <f t="shared" ca="1" si="95"/>
        <v>155.36666666666667</v>
      </c>
      <c r="W46" s="76"/>
      <c r="X46" s="97" t="s">
        <v>44</v>
      </c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9"/>
      <c r="AS46" s="76"/>
      <c r="AT46" s="76"/>
    </row>
    <row r="47" spans="1:46" ht="15.75" customHeight="1" x14ac:dyDescent="0.25">
      <c r="A47" s="70"/>
      <c r="B47" s="16">
        <v>15</v>
      </c>
      <c r="C47" s="16" t="s">
        <v>40</v>
      </c>
      <c r="D47" s="17">
        <v>30</v>
      </c>
      <c r="E47" s="18">
        <f ca="1">IFERROR(__xludf.DUMMYFUNCTION("COUNT(IMPORTRANGE(""https://docs.google.com/spreadsheets/d/1Krav0MVlY0vbUNsFRDnb_kR72_tyuGnWBYbGjNZrl18/edit"",""2!d2:d31""))"),28)</f>
        <v>28</v>
      </c>
      <c r="F47" s="23">
        <f ca="1">IFERROR(__xludf.DUMMYFUNCTION("SUM(IMPORTRANGE(""https://docs.google.com/spreadsheets/d/1Krav0MVlY0vbUNsFRDnb_kR72_tyuGnWBYbGjNZrl18/edit"",""2!Q2:Q31""))"),5574.82799999999)</f>
        <v>5574.8279999999904</v>
      </c>
      <c r="G47" s="18">
        <f ca="1">IFERROR(__xludf.DUMMYFUNCTION("IMPORTRANGE(""https://docs.google.com/spreadsheets/d/1Krav0MVlY0vbUNsFRDnb_kR72_tyuGnWBYbGjNZrl18/edit"",""2!e38"")"),3081)</f>
        <v>3081</v>
      </c>
      <c r="H47" s="18">
        <f ca="1">IFERROR(__xludf.DUMMYFUNCTION("IMPORTRANGE(""https://docs.google.com/spreadsheets/d/1Krav0MVlY0vbUNsFRDnb_kR72_tyuGnWBYbGjNZrl18/edit"",""2!e39"")"),11)</f>
        <v>11</v>
      </c>
      <c r="I47" s="18">
        <f t="shared" ca="1" si="87"/>
        <v>3092</v>
      </c>
      <c r="J47" s="18">
        <f ca="1">IFERROR(__xludf.DUMMYFUNCTION("IMPORTRANGE(""https://docs.google.com/spreadsheets/d/1Krav0MVlY0vbUNsFRDnb_kR72_tyuGnWBYbGjNZrl18/edit"",""2!e42"")"),3717)</f>
        <v>3717</v>
      </c>
      <c r="K47" s="18">
        <f ca="1">IFERROR(__xludf.DUMMYFUNCTION("IMPORTRANGE(""https://docs.google.com/spreadsheets/d/1Krav0MVlY0vbUNsFRDnb_kR72_tyuGnWBYbGjNZrl18/edit"",""2!e43"")"),0)</f>
        <v>0</v>
      </c>
      <c r="L47" s="18">
        <f t="shared" ca="1" si="117"/>
        <v>3717</v>
      </c>
      <c r="M47" s="18">
        <f t="shared" ca="1" si="89"/>
        <v>6809</v>
      </c>
      <c r="N47" s="19">
        <f t="shared" ca="1" si="90"/>
        <v>199.10099999999966</v>
      </c>
      <c r="O47" s="16">
        <v>8239</v>
      </c>
      <c r="P47" s="20">
        <f t="shared" ca="1" si="91"/>
        <v>0.82643524699599469</v>
      </c>
      <c r="Q47" s="21">
        <v>1.5</v>
      </c>
      <c r="R47" s="20">
        <f t="shared" ca="1" si="92"/>
        <v>0.81425531573948851</v>
      </c>
      <c r="S47" s="22">
        <f t="shared" ca="1" si="93"/>
        <v>1.2213829736092328</v>
      </c>
      <c r="T47" s="21">
        <f ca="1">F47/28.443</f>
        <v>195.99999999999966</v>
      </c>
      <c r="U47" s="21">
        <f t="shared" ca="1" si="94"/>
        <v>6.9999999999999876</v>
      </c>
      <c r="V47" s="18">
        <f t="shared" ca="1" si="95"/>
        <v>243.17857142857142</v>
      </c>
      <c r="W47" s="76"/>
      <c r="X47" s="1" t="s">
        <v>2</v>
      </c>
      <c r="Y47" s="1" t="s">
        <v>3</v>
      </c>
      <c r="Z47" s="1" t="s">
        <v>4</v>
      </c>
      <c r="AA47" s="1" t="s">
        <v>5</v>
      </c>
      <c r="AB47" s="2" t="s">
        <v>6</v>
      </c>
      <c r="AC47" s="1" t="s">
        <v>7</v>
      </c>
      <c r="AD47" s="1" t="s">
        <v>8</v>
      </c>
      <c r="AE47" s="1" t="s">
        <v>9</v>
      </c>
      <c r="AF47" s="1" t="s">
        <v>10</v>
      </c>
      <c r="AG47" s="1" t="s">
        <v>11</v>
      </c>
      <c r="AH47" s="1" t="s">
        <v>12</v>
      </c>
      <c r="AI47" s="1" t="s">
        <v>13</v>
      </c>
      <c r="AJ47" s="2" t="s">
        <v>14</v>
      </c>
      <c r="AK47" s="1" t="s">
        <v>15</v>
      </c>
      <c r="AL47" s="1" t="s">
        <v>16</v>
      </c>
      <c r="AM47" s="3" t="s">
        <v>17</v>
      </c>
      <c r="AN47" s="4" t="s">
        <v>18</v>
      </c>
      <c r="AO47" s="5" t="s">
        <v>19</v>
      </c>
      <c r="AP47" s="6" t="s">
        <v>20</v>
      </c>
      <c r="AQ47" s="6" t="s">
        <v>21</v>
      </c>
      <c r="AR47" s="7" t="s">
        <v>22</v>
      </c>
      <c r="AS47" s="76"/>
      <c r="AT47" s="76"/>
    </row>
    <row r="48" spans="1:46" ht="15.75" customHeight="1" x14ac:dyDescent="0.25">
      <c r="A48" s="70"/>
      <c r="B48" s="16">
        <v>16</v>
      </c>
      <c r="C48" s="16" t="s">
        <v>42</v>
      </c>
      <c r="D48" s="17">
        <v>33</v>
      </c>
      <c r="E48" s="18">
        <f ca="1">IFERROR(__xludf.DUMMYFUNCTION("COUNT(IMPORTRANGE(""https://docs.google.com/spreadsheets/d/1uXtm-E8PG0CetlFmSpTX3RK0LNEMnpR-mxbET9AGD6w/edit"",""2!d2:d34""))"),33)</f>
        <v>33</v>
      </c>
      <c r="F48" s="23">
        <f ca="1">IFERROR(__xludf.DUMMYFUNCTION("SUM(IMPORTRANGE(""https://docs.google.com/spreadsheets/d/1uXtm-E8PG0CetlFmSpTX3RK0LNEMnpR-mxbET9AGD6w/edit"",""2!Q2:Q34""))"),6501.82599999999)</f>
        <v>6501.82599999999</v>
      </c>
      <c r="G48" s="18">
        <f ca="1">IFERROR(__xludf.DUMMYFUNCTION("IMPORTRANGE(""https://docs.google.com/spreadsheets/d/1uXtm-E8PG0CetlFmSpTX3RK0LNEMnpR-mxbET9AGD6w/edit"",""2!e41"")"),3406)</f>
        <v>3406</v>
      </c>
      <c r="H48" s="18">
        <f ca="1">IFERROR(__xludf.DUMMYFUNCTION("IMPORTRANGE(""https://docs.google.com/spreadsheets/d/1uXtm-E8PG0CetlFmSpTX3RK0LNEMnpR-mxbET9AGD6w/edit"",""2!e42"")"),0)</f>
        <v>0</v>
      </c>
      <c r="I48" s="18">
        <f t="shared" ca="1" si="87"/>
        <v>3406</v>
      </c>
      <c r="J48" s="18">
        <f ca="1">IFERROR(__xludf.DUMMYFUNCTION("IMPORTRANGE(""https://docs.google.com/spreadsheets/d/1uXtm-E8PG0CetlFmSpTX3RK0LNEMnpR-mxbET9AGD6w/edit"",""2!e45"")"),3645)</f>
        <v>3645</v>
      </c>
      <c r="K48" s="18">
        <f ca="1">IFERROR(__xludf.DUMMYFUNCTION("IMPORTRANGE(""https://docs.google.com/spreadsheets/d/1uXtm-E8PG0CetlFmSpTX3RK0LNEMnpR-mxbET9AGD6w/edit"",""2!e46"")"),241)</f>
        <v>241</v>
      </c>
      <c r="L48" s="18">
        <f t="shared" ca="1" si="117"/>
        <v>3886</v>
      </c>
      <c r="M48" s="18">
        <f t="shared" ca="1" si="89"/>
        <v>7292</v>
      </c>
      <c r="N48" s="19">
        <f t="shared" ca="1" si="90"/>
        <v>197.02503030303001</v>
      </c>
      <c r="O48" s="16">
        <v>9877</v>
      </c>
      <c r="P48" s="20">
        <f t="shared" ca="1" si="91"/>
        <v>0.73828085451047887</v>
      </c>
      <c r="Q48" s="21">
        <v>1.5</v>
      </c>
      <c r="R48" s="20">
        <f t="shared" ca="1" si="92"/>
        <v>0.74768739325434741</v>
      </c>
      <c r="S48" s="22">
        <f t="shared" ca="1" si="93"/>
        <v>1.1215310898815212</v>
      </c>
      <c r="T48" s="21">
        <f ca="1">F48/26.155</f>
        <v>248.58826228254597</v>
      </c>
      <c r="U48" s="21">
        <f t="shared" ca="1" si="94"/>
        <v>7.5329776449256354</v>
      </c>
      <c r="V48" s="18">
        <f t="shared" ca="1" si="95"/>
        <v>220.96969696969697</v>
      </c>
      <c r="W48" s="76"/>
      <c r="X48" s="8">
        <v>1</v>
      </c>
      <c r="Y48" s="8" t="s">
        <v>26</v>
      </c>
      <c r="Z48" s="8">
        <f t="shared" ref="Z48:AI48" si="129">SUM(D33)</f>
        <v>20</v>
      </c>
      <c r="AA48" s="9">
        <f t="shared" ca="1" si="129"/>
        <v>20</v>
      </c>
      <c r="AB48" s="11">
        <f t="shared" ca="1" si="129"/>
        <v>3820.58699999999</v>
      </c>
      <c r="AC48" s="9">
        <f t="shared" ca="1" si="129"/>
        <v>2015</v>
      </c>
      <c r="AD48" s="9">
        <f t="shared" ca="1" si="129"/>
        <v>0</v>
      </c>
      <c r="AE48" s="9">
        <f t="shared" ca="1" si="129"/>
        <v>2015</v>
      </c>
      <c r="AF48" s="9">
        <f t="shared" ca="1" si="129"/>
        <v>2286</v>
      </c>
      <c r="AG48" s="9">
        <f t="shared" ca="1" si="129"/>
        <v>0</v>
      </c>
      <c r="AH48" s="9">
        <f t="shared" ca="1" si="129"/>
        <v>2286</v>
      </c>
      <c r="AI48" s="9">
        <f t="shared" ca="1" si="129"/>
        <v>4301</v>
      </c>
      <c r="AJ48" s="11">
        <f t="shared" ref="AJ48:AJ54" ca="1" si="130">AB48/AA48</f>
        <v>191.02934999999951</v>
      </c>
      <c r="AK48" s="8">
        <f>SUM(O33)</f>
        <v>5161</v>
      </c>
      <c r="AL48" s="12">
        <f t="shared" ref="AL48:AL54" ca="1" si="131">AI48/AK48</f>
        <v>0.83336562681650839</v>
      </c>
      <c r="AM48" s="13">
        <f>SUM(Q33)</f>
        <v>1.5</v>
      </c>
      <c r="AN48" s="12">
        <f t="shared" ref="AN48:AN54" ca="1" si="132">AO48/AM48</f>
        <v>0.7504954954129669</v>
      </c>
      <c r="AO48" s="14">
        <f t="shared" ref="AO48:AO54" ca="1" si="133">AI48/AB48</f>
        <v>1.1257432431194503</v>
      </c>
      <c r="AP48" s="13">
        <f t="shared" ref="AP48:AQ48" ca="1" si="134">SUM(T33)</f>
        <v>265.04245577523346</v>
      </c>
      <c r="AQ48" s="13">
        <f t="shared" ca="1" si="134"/>
        <v>13.252122788761673</v>
      </c>
      <c r="AR48" s="9">
        <f t="shared" ref="AR48:AR54" ca="1" si="135">AI48/AA48</f>
        <v>215.05</v>
      </c>
      <c r="AS48" s="76"/>
      <c r="AT48" s="76"/>
    </row>
    <row r="49" spans="1:46" ht="15.75" customHeight="1" x14ac:dyDescent="0.25">
      <c r="A49" s="70"/>
      <c r="B49" s="16">
        <v>17</v>
      </c>
      <c r="C49" s="16" t="s">
        <v>29</v>
      </c>
      <c r="D49" s="17">
        <v>30</v>
      </c>
      <c r="E49" s="18">
        <f ca="1">IFERROR(__xludf.DUMMYFUNCTION("COUNT(IMPORTRANGE(""https://docs.google.com/spreadsheets/d/12xcKI0lSnAsjEsxfm9K8Qx0B_89Gzsh816mowItkQao/edit"",""2!d2:d31""))"),29)</f>
        <v>29</v>
      </c>
      <c r="F49" s="23">
        <f ca="1">IFERROR(__xludf.DUMMYFUNCTION("SUM(IMPORTRANGE(""https://docs.google.com/spreadsheets/d/12xcKI0lSnAsjEsxfm9K8Qx0B_89Gzsh816mowItkQao/edit"",""2!Q2:Q31""))"),5806.474)</f>
        <v>5806.4740000000002</v>
      </c>
      <c r="G49" s="18">
        <f ca="1">IFERROR(__xludf.DUMMYFUNCTION("IMPORTRANGE(""https://docs.google.com/spreadsheets/d/12xcKI0lSnAsjEsxfm9K8Qx0B_89Gzsh816mowItkQao/edit"",""2!e38"")"),2596)</f>
        <v>2596</v>
      </c>
      <c r="H49" s="18">
        <f ca="1">IFERROR(__xludf.DUMMYFUNCTION("IMPORTRANGE(""https://docs.google.com/spreadsheets/d/12xcKI0lSnAsjEsxfm9K8Qx0B_89Gzsh816mowItkQao/edit"",""2!e39"")"),0)</f>
        <v>0</v>
      </c>
      <c r="I49" s="18">
        <f t="shared" ca="1" si="87"/>
        <v>2596</v>
      </c>
      <c r="J49" s="18">
        <f ca="1">IFERROR(__xludf.DUMMYFUNCTION("IMPORTRANGE(""https://docs.google.com/spreadsheets/d/12xcKI0lSnAsjEsxfm9K8Qx0B_89Gzsh816mowItkQao/edit"",""2!e42"")"),3685)</f>
        <v>3685</v>
      </c>
      <c r="K49" s="18">
        <f ca="1">IFERROR(__xludf.DUMMYFUNCTION("IMPORTRANGE(""https://docs.google.com/spreadsheets/d/12xcKI0lSnAsjEsxfm9K8Qx0B_89Gzsh816mowItkQao/edit"",""2!e43"")"),0)</f>
        <v>0</v>
      </c>
      <c r="L49" s="18">
        <f t="shared" ca="1" si="117"/>
        <v>3685</v>
      </c>
      <c r="M49" s="18">
        <f t="shared" ca="1" si="89"/>
        <v>6281</v>
      </c>
      <c r="N49" s="19">
        <f t="shared" ca="1" si="90"/>
        <v>200.22324137931034</v>
      </c>
      <c r="O49" s="16">
        <v>9201</v>
      </c>
      <c r="P49" s="20">
        <f t="shared" ca="1" si="91"/>
        <v>0.68264319095750459</v>
      </c>
      <c r="Q49" s="21">
        <v>1.5</v>
      </c>
      <c r="R49" s="20">
        <f t="shared" ca="1" si="92"/>
        <v>0.72114907142154305</v>
      </c>
      <c r="S49" s="22">
        <f t="shared" ca="1" si="93"/>
        <v>1.0817236071323146</v>
      </c>
      <c r="T49" s="21">
        <f ca="1">F49/26.038</f>
        <v>223</v>
      </c>
      <c r="U49" s="21">
        <f t="shared" ca="1" si="94"/>
        <v>7.6896551724137927</v>
      </c>
      <c r="V49" s="18">
        <f t="shared" ca="1" si="95"/>
        <v>216.58620689655172</v>
      </c>
      <c r="W49" s="76"/>
      <c r="X49" s="8">
        <v>2</v>
      </c>
      <c r="Y49" s="8" t="s">
        <v>32</v>
      </c>
      <c r="Z49" s="8">
        <f t="shared" ref="Z49:AI49" si="136">SUM(D36)</f>
        <v>42</v>
      </c>
      <c r="AA49" s="9">
        <f t="shared" ca="1" si="136"/>
        <v>40</v>
      </c>
      <c r="AB49" s="10">
        <f t="shared" ca="1" si="136"/>
        <v>7891.5649999999896</v>
      </c>
      <c r="AC49" s="8">
        <f t="shared" ca="1" si="136"/>
        <v>4178</v>
      </c>
      <c r="AD49" s="8">
        <f t="shared" ca="1" si="136"/>
        <v>0</v>
      </c>
      <c r="AE49" s="9">
        <f t="shared" ca="1" si="136"/>
        <v>4178</v>
      </c>
      <c r="AF49" s="8">
        <f t="shared" ca="1" si="136"/>
        <v>4916</v>
      </c>
      <c r="AG49" s="8">
        <f t="shared" ca="1" si="136"/>
        <v>0</v>
      </c>
      <c r="AH49" s="9">
        <f t="shared" ca="1" si="136"/>
        <v>4916</v>
      </c>
      <c r="AI49" s="9">
        <f t="shared" ca="1" si="136"/>
        <v>9094</v>
      </c>
      <c r="AJ49" s="11">
        <f t="shared" ca="1" si="130"/>
        <v>197.28912499999973</v>
      </c>
      <c r="AK49" s="8">
        <f>SUM(O36)</f>
        <v>13817</v>
      </c>
      <c r="AL49" s="12">
        <f t="shared" ca="1" si="131"/>
        <v>0.65817471231092128</v>
      </c>
      <c r="AM49" s="13">
        <f>SUM(Q36)</f>
        <v>1.5</v>
      </c>
      <c r="AN49" s="12">
        <f t="shared" ca="1" si="132"/>
        <v>0.7682464335865794</v>
      </c>
      <c r="AO49" s="14">
        <f t="shared" ca="1" si="133"/>
        <v>1.152369650379869</v>
      </c>
      <c r="AP49" s="13">
        <f t="shared" ref="AP49:AQ49" ca="1" si="137">SUM(T36)</f>
        <v>314.54282753397865</v>
      </c>
      <c r="AQ49" s="13">
        <f t="shared" ca="1" si="137"/>
        <v>7.8635706883494665</v>
      </c>
      <c r="AR49" s="9">
        <f t="shared" ca="1" si="135"/>
        <v>227.35</v>
      </c>
      <c r="AS49" s="76"/>
      <c r="AT49" s="76"/>
    </row>
    <row r="50" spans="1:46" ht="15.75" customHeight="1" x14ac:dyDescent="0.25">
      <c r="A50" s="70"/>
      <c r="B50" s="16">
        <v>18</v>
      </c>
      <c r="C50" s="16" t="s">
        <v>31</v>
      </c>
      <c r="D50" s="17">
        <v>15</v>
      </c>
      <c r="E50" s="18">
        <f ca="1">IFERROR(__xludf.DUMMYFUNCTION("COUNT(IMPORTRANGE(""https://docs.google.com/spreadsheets/d/1fgCFOFzOla4Qim6_-zG-lbYhLCItqv_kZiAHoErRgcM/edit"",""2!d2:d16""))"),15)</f>
        <v>15</v>
      </c>
      <c r="F50" s="19">
        <f ca="1">IFERROR(__xludf.DUMMYFUNCTION("SUM(IMPORTRANGE(""https://docs.google.com/spreadsheets/d/1fgCFOFzOla4Qim6_-zG-lbYhLCItqv_kZiAHoErRgcM/edit"",""2!Q2:Q16""))"),2781.76)</f>
        <v>2781.76</v>
      </c>
      <c r="G50" s="18">
        <f ca="1">IFERROR(__xludf.DUMMYFUNCTION("IMPORTRANGE(""https://docs.google.com/spreadsheets/d/1fgCFOFzOla4Qim6_-zG-lbYhLCItqv_kZiAHoErRgcM/edit"",""2!e23"")"),872)</f>
        <v>872</v>
      </c>
      <c r="H50" s="18">
        <f ca="1">IFERROR(__xludf.DUMMYFUNCTION("IMPORTRANGE(""https://docs.google.com/spreadsheets/d/1fgCFOFzOla4Qim6_-zG-lbYhLCItqv_kZiAHoErRgcM/edit"",""2!e24"")"),9)</f>
        <v>9</v>
      </c>
      <c r="I50" s="18">
        <f t="shared" ca="1" si="87"/>
        <v>881</v>
      </c>
      <c r="J50" s="18">
        <f ca="1">IFERROR(__xludf.DUMMYFUNCTION("IMPORTRANGE(""https://docs.google.com/spreadsheets/d/1fgCFOFzOla4Qim6_-zG-lbYhLCItqv_kZiAHoErRgcM/edit"",""2!e27"")"),1197)</f>
        <v>1197</v>
      </c>
      <c r="K50" s="18">
        <f ca="1">IFERROR(__xludf.DUMMYFUNCTION("IMPORTRANGE(""https://docs.google.com/spreadsheets/d/1fgCFOFzOla4Qim6_-zG-lbYhLCItqv_kZiAHoErRgcM/edit"",""2!e28"")"),0)</f>
        <v>0</v>
      </c>
      <c r="L50" s="18">
        <f t="shared" ca="1" si="117"/>
        <v>1197</v>
      </c>
      <c r="M50" s="18">
        <f t="shared" ca="1" si="89"/>
        <v>2078</v>
      </c>
      <c r="N50" s="19">
        <f t="shared" ca="1" si="90"/>
        <v>185.45066666666668</v>
      </c>
      <c r="O50" s="16">
        <v>2717</v>
      </c>
      <c r="P50" s="20">
        <f t="shared" ca="1" si="91"/>
        <v>0.76481413323518588</v>
      </c>
      <c r="Q50" s="21">
        <v>1.5</v>
      </c>
      <c r="R50" s="20">
        <f t="shared" ca="1" si="92"/>
        <v>0.49800605851451357</v>
      </c>
      <c r="S50" s="22">
        <f t="shared" ca="1" si="93"/>
        <v>0.74700908777177033</v>
      </c>
      <c r="T50" s="21">
        <f ca="1">F50/43.465</f>
        <v>64</v>
      </c>
      <c r="U50" s="21">
        <f t="shared" ca="1" si="94"/>
        <v>4.2666666666666666</v>
      </c>
      <c r="V50" s="18">
        <f t="shared" ca="1" si="95"/>
        <v>138.53333333333333</v>
      </c>
      <c r="W50" s="76"/>
      <c r="X50" s="8">
        <v>3</v>
      </c>
      <c r="Y50" s="8" t="s">
        <v>36</v>
      </c>
      <c r="Z50" s="8">
        <f t="shared" ref="Z50:AI50" si="138">SUM(D41)</f>
        <v>24</v>
      </c>
      <c r="AA50" s="9">
        <f t="shared" ca="1" si="138"/>
        <v>24</v>
      </c>
      <c r="AB50" s="10">
        <f t="shared" ca="1" si="138"/>
        <v>4795.3759999999902</v>
      </c>
      <c r="AC50" s="9">
        <f t="shared" ca="1" si="138"/>
        <v>1258</v>
      </c>
      <c r="AD50" s="9">
        <f t="shared" ca="1" si="138"/>
        <v>0</v>
      </c>
      <c r="AE50" s="9">
        <f t="shared" ca="1" si="138"/>
        <v>1258</v>
      </c>
      <c r="AF50" s="9">
        <f t="shared" ca="1" si="138"/>
        <v>1932</v>
      </c>
      <c r="AG50" s="9">
        <f t="shared" ca="1" si="138"/>
        <v>0</v>
      </c>
      <c r="AH50" s="9">
        <f t="shared" ca="1" si="138"/>
        <v>1932</v>
      </c>
      <c r="AI50" s="9">
        <f t="shared" ca="1" si="138"/>
        <v>3190</v>
      </c>
      <c r="AJ50" s="11">
        <f t="shared" ca="1" si="130"/>
        <v>199.80733333333293</v>
      </c>
      <c r="AK50" s="8">
        <f t="shared" ref="AK50:AK53" si="139">SUM(O41)</f>
        <v>4796</v>
      </c>
      <c r="AL50" s="12">
        <f t="shared" ca="1" si="131"/>
        <v>0.66513761467889909</v>
      </c>
      <c r="AM50" s="13">
        <f t="shared" ref="AM50:AM53" si="140">SUM(Q41)</f>
        <v>1.5</v>
      </c>
      <c r="AN50" s="12">
        <f t="shared" ca="1" si="132"/>
        <v>0.44348277729768659</v>
      </c>
      <c r="AO50" s="14">
        <f t="shared" ca="1" si="133"/>
        <v>0.66522416594652989</v>
      </c>
      <c r="AP50" s="13">
        <f t="shared" ref="AP50:AQ50" ca="1" si="141">SUM(T41)</f>
        <v>128.17063131448094</v>
      </c>
      <c r="AQ50" s="13">
        <f t="shared" ca="1" si="141"/>
        <v>5.3404429714367057</v>
      </c>
      <c r="AR50" s="9">
        <f t="shared" ca="1" si="135"/>
        <v>132.91666666666666</v>
      </c>
      <c r="AS50" s="76"/>
      <c r="AT50" s="76"/>
    </row>
    <row r="51" spans="1:46" ht="15.75" customHeight="1" x14ac:dyDescent="0.2">
      <c r="A51" s="70"/>
      <c r="B51" s="98" t="s">
        <v>33</v>
      </c>
      <c r="C51" s="98">
        <v>18</v>
      </c>
      <c r="D51" s="98">
        <f t="shared" ref="D51:M51" si="142">SUM(D33:D50)</f>
        <v>580</v>
      </c>
      <c r="E51" s="74">
        <f t="shared" ca="1" si="142"/>
        <v>562</v>
      </c>
      <c r="F51" s="99">
        <f t="shared" ca="1" si="142"/>
        <v>110327.33499999979</v>
      </c>
      <c r="G51" s="74">
        <f t="shared" ca="1" si="142"/>
        <v>38511</v>
      </c>
      <c r="H51" s="74">
        <f t="shared" ca="1" si="142"/>
        <v>647</v>
      </c>
      <c r="I51" s="74">
        <f t="shared" ca="1" si="142"/>
        <v>39158</v>
      </c>
      <c r="J51" s="74">
        <f t="shared" ca="1" si="142"/>
        <v>48892</v>
      </c>
      <c r="K51" s="74">
        <f t="shared" ca="1" si="142"/>
        <v>1345</v>
      </c>
      <c r="L51" s="74">
        <f t="shared" ca="1" si="142"/>
        <v>50237</v>
      </c>
      <c r="M51" s="74">
        <f t="shared" ca="1" si="142"/>
        <v>89395</v>
      </c>
      <c r="N51" s="99">
        <f t="shared" ca="1" si="90"/>
        <v>196.31198398576475</v>
      </c>
      <c r="O51" s="98">
        <f>SUM(O33:O50)</f>
        <v>126399</v>
      </c>
      <c r="P51" s="69">
        <f t="shared" ca="1" si="91"/>
        <v>0.70724451933955179</v>
      </c>
      <c r="Q51" s="72">
        <v>1.5</v>
      </c>
      <c r="R51" s="69">
        <f t="shared" ca="1" si="92"/>
        <v>0.54018042461251137</v>
      </c>
      <c r="S51" s="73">
        <f t="shared" ca="1" si="93"/>
        <v>0.810270636918767</v>
      </c>
      <c r="T51" s="72">
        <f ca="1">SUM(T33:T50)</f>
        <v>4081.6281386182955</v>
      </c>
      <c r="U51" s="72">
        <f t="shared" ca="1" si="94"/>
        <v>7.2626835206731233</v>
      </c>
      <c r="V51" s="74">
        <f t="shared" ca="1" si="95"/>
        <v>159.0658362989324</v>
      </c>
      <c r="W51" s="76"/>
      <c r="X51" s="8">
        <v>4</v>
      </c>
      <c r="Y51" s="8" t="s">
        <v>37</v>
      </c>
      <c r="Z51" s="8">
        <f t="shared" ref="Z51:AI51" si="143">SUM(D42)</f>
        <v>30</v>
      </c>
      <c r="AA51" s="9">
        <f t="shared" ca="1" si="143"/>
        <v>28</v>
      </c>
      <c r="AB51" s="10">
        <f t="shared" ca="1" si="143"/>
        <v>5550.7860000000001</v>
      </c>
      <c r="AC51" s="9">
        <f t="shared" ca="1" si="143"/>
        <v>2223</v>
      </c>
      <c r="AD51" s="9">
        <f t="shared" ca="1" si="143"/>
        <v>0</v>
      </c>
      <c r="AE51" s="9">
        <f t="shared" ca="1" si="143"/>
        <v>2223</v>
      </c>
      <c r="AF51" s="9">
        <f t="shared" ca="1" si="143"/>
        <v>2702</v>
      </c>
      <c r="AG51" s="9">
        <f t="shared" ca="1" si="143"/>
        <v>0</v>
      </c>
      <c r="AH51" s="9">
        <f t="shared" ca="1" si="143"/>
        <v>2702</v>
      </c>
      <c r="AI51" s="9">
        <f t="shared" ca="1" si="143"/>
        <v>4925</v>
      </c>
      <c r="AJ51" s="11">
        <f t="shared" ca="1" si="130"/>
        <v>198.24235714285714</v>
      </c>
      <c r="AK51" s="8">
        <f t="shared" si="139"/>
        <v>5887</v>
      </c>
      <c r="AL51" s="12">
        <f t="shared" ca="1" si="131"/>
        <v>0.83658909461525399</v>
      </c>
      <c r="AM51" s="13">
        <f t="shared" si="140"/>
        <v>1.5</v>
      </c>
      <c r="AN51" s="12">
        <f t="shared" ca="1" si="132"/>
        <v>0.59150782129473789</v>
      </c>
      <c r="AO51" s="14">
        <f t="shared" ca="1" si="133"/>
        <v>0.88726173194210689</v>
      </c>
      <c r="AP51" s="13">
        <f t="shared" ref="AP51:AQ51" ca="1" si="144">SUM(T42)</f>
        <v>223.89424007744432</v>
      </c>
      <c r="AQ51" s="13">
        <f t="shared" ca="1" si="144"/>
        <v>7.9962228599087259</v>
      </c>
      <c r="AR51" s="9">
        <f t="shared" ca="1" si="135"/>
        <v>175.89285714285714</v>
      </c>
      <c r="AS51" s="76"/>
      <c r="AT51" s="76"/>
    </row>
    <row r="52" spans="1:46" ht="15.75" customHeight="1" x14ac:dyDescent="0.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6"/>
      <c r="X52" s="8">
        <v>5</v>
      </c>
      <c r="Y52" s="8" t="s">
        <v>39</v>
      </c>
      <c r="Z52" s="8">
        <f t="shared" ref="Z52:AI52" si="145">SUM(D43)</f>
        <v>28</v>
      </c>
      <c r="AA52" s="9">
        <f t="shared" ca="1" si="145"/>
        <v>28</v>
      </c>
      <c r="AB52" s="10">
        <f t="shared" ca="1" si="145"/>
        <v>5361.3850000000002</v>
      </c>
      <c r="AC52" s="9">
        <f t="shared" ca="1" si="145"/>
        <v>1143</v>
      </c>
      <c r="AD52" s="9">
        <f t="shared" ca="1" si="145"/>
        <v>48</v>
      </c>
      <c r="AE52" s="9">
        <f t="shared" ca="1" si="145"/>
        <v>1191</v>
      </c>
      <c r="AF52" s="9">
        <f t="shared" ca="1" si="145"/>
        <v>1761</v>
      </c>
      <c r="AG52" s="9">
        <f t="shared" ca="1" si="145"/>
        <v>128</v>
      </c>
      <c r="AH52" s="9">
        <f t="shared" ca="1" si="145"/>
        <v>1889</v>
      </c>
      <c r="AI52" s="9">
        <f t="shared" ca="1" si="145"/>
        <v>3080</v>
      </c>
      <c r="AJ52" s="11">
        <f t="shared" ca="1" si="130"/>
        <v>191.47803571428571</v>
      </c>
      <c r="AK52" s="8">
        <f t="shared" si="139"/>
        <v>3569</v>
      </c>
      <c r="AL52" s="12">
        <f t="shared" ca="1" si="131"/>
        <v>0.86298683104511065</v>
      </c>
      <c r="AM52" s="13">
        <f t="shared" si="140"/>
        <v>1.5</v>
      </c>
      <c r="AN52" s="12">
        <f t="shared" ca="1" si="132"/>
        <v>0.38298561534628334</v>
      </c>
      <c r="AO52" s="14">
        <f t="shared" ca="1" si="133"/>
        <v>0.57447842301942498</v>
      </c>
      <c r="AP52" s="13">
        <f t="shared" ref="AP52:AQ52" ca="1" si="146">SUM(T43)</f>
        <v>249.79662675301682</v>
      </c>
      <c r="AQ52" s="13">
        <f t="shared" ca="1" si="146"/>
        <v>8.9213080983220294</v>
      </c>
      <c r="AR52" s="9">
        <f t="shared" ca="1" si="135"/>
        <v>110</v>
      </c>
      <c r="AS52" s="76"/>
      <c r="AT52" s="76"/>
    </row>
    <row r="53" spans="1:46" ht="15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6"/>
      <c r="X53" s="8">
        <v>6</v>
      </c>
      <c r="Y53" s="8" t="s">
        <v>41</v>
      </c>
      <c r="Z53" s="8">
        <f t="shared" ref="Z53:AI53" si="147">SUM(D44)</f>
        <v>24</v>
      </c>
      <c r="AA53" s="9">
        <f t="shared" ca="1" si="147"/>
        <v>23</v>
      </c>
      <c r="AB53" s="10">
        <f t="shared" ca="1" si="147"/>
        <v>4493.58</v>
      </c>
      <c r="AC53" s="9">
        <f t="shared" ca="1" si="147"/>
        <v>1038</v>
      </c>
      <c r="AD53" s="9">
        <f t="shared" ca="1" si="147"/>
        <v>145</v>
      </c>
      <c r="AE53" s="9">
        <f t="shared" ca="1" si="147"/>
        <v>1183</v>
      </c>
      <c r="AF53" s="9">
        <f t="shared" ca="1" si="147"/>
        <v>1397</v>
      </c>
      <c r="AG53" s="9">
        <f t="shared" ca="1" si="147"/>
        <v>50</v>
      </c>
      <c r="AH53" s="9">
        <f t="shared" ca="1" si="147"/>
        <v>1447</v>
      </c>
      <c r="AI53" s="9">
        <f t="shared" ca="1" si="147"/>
        <v>2630</v>
      </c>
      <c r="AJ53" s="11">
        <f t="shared" ca="1" si="130"/>
        <v>195.37304347826085</v>
      </c>
      <c r="AK53" s="8">
        <f t="shared" si="139"/>
        <v>3801</v>
      </c>
      <c r="AL53" s="12">
        <f t="shared" ca="1" si="131"/>
        <v>0.69192317811102344</v>
      </c>
      <c r="AM53" s="13">
        <f t="shared" si="140"/>
        <v>1.5</v>
      </c>
      <c r="AN53" s="12">
        <f t="shared" ca="1" si="132"/>
        <v>0.3901862954110828</v>
      </c>
      <c r="AO53" s="14">
        <f t="shared" ca="1" si="133"/>
        <v>0.58527944311662417</v>
      </c>
      <c r="AP53" s="13">
        <f t="shared" ref="AP53:AQ53" ca="1" si="148">SUM(T44)</f>
        <v>151.66666666666666</v>
      </c>
      <c r="AQ53" s="13">
        <f t="shared" ca="1" si="148"/>
        <v>6.5942028985507246</v>
      </c>
      <c r="AR53" s="9">
        <f t="shared" ca="1" si="135"/>
        <v>114.34782608695652</v>
      </c>
      <c r="AS53" s="76"/>
      <c r="AT53" s="76"/>
    </row>
    <row r="54" spans="1:46" ht="15.75" customHeight="1" x14ac:dyDescent="0.25">
      <c r="A54" s="110" t="s">
        <v>45</v>
      </c>
      <c r="B54" s="76"/>
      <c r="C54" s="76"/>
      <c r="D54" s="75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24" t="s">
        <v>33</v>
      </c>
      <c r="Y54" s="24">
        <v>6</v>
      </c>
      <c r="Z54" s="24">
        <f t="shared" ref="Z54:AI54" si="149">SUM(Z48:Z53)</f>
        <v>168</v>
      </c>
      <c r="AA54" s="25">
        <f t="shared" ca="1" si="149"/>
        <v>163</v>
      </c>
      <c r="AB54" s="27">
        <f t="shared" ca="1" si="149"/>
        <v>31913.278999999973</v>
      </c>
      <c r="AC54" s="25">
        <f t="shared" ca="1" si="149"/>
        <v>11855</v>
      </c>
      <c r="AD54" s="25">
        <f t="shared" ca="1" si="149"/>
        <v>193</v>
      </c>
      <c r="AE54" s="25">
        <f t="shared" ca="1" si="149"/>
        <v>12048</v>
      </c>
      <c r="AF54" s="25">
        <f t="shared" ca="1" si="149"/>
        <v>14994</v>
      </c>
      <c r="AG54" s="25">
        <f t="shared" ca="1" si="149"/>
        <v>178</v>
      </c>
      <c r="AH54" s="25">
        <f t="shared" ca="1" si="149"/>
        <v>15172</v>
      </c>
      <c r="AI54" s="25">
        <f t="shared" ca="1" si="149"/>
        <v>27220</v>
      </c>
      <c r="AJ54" s="27">
        <f t="shared" ca="1" si="130"/>
        <v>195.78698773006118</v>
      </c>
      <c r="AK54" s="24">
        <f>SUM(AK48:AK53)</f>
        <v>37031</v>
      </c>
      <c r="AL54" s="28">
        <f t="shared" ca="1" si="131"/>
        <v>0.7350598147498042</v>
      </c>
      <c r="AM54" s="29">
        <v>1.5</v>
      </c>
      <c r="AN54" s="28">
        <f t="shared" ca="1" si="132"/>
        <v>0.5686243230182233</v>
      </c>
      <c r="AO54" s="30">
        <f t="shared" ca="1" si="133"/>
        <v>0.85293648452733495</v>
      </c>
      <c r="AP54" s="29">
        <f ca="1">SUM(AP48:AP53)</f>
        <v>1333.113448120821</v>
      </c>
      <c r="AQ54" s="29">
        <f ca="1">AP54/AA54</f>
        <v>8.1786101111706806</v>
      </c>
      <c r="AR54" s="25">
        <f t="shared" ca="1" si="135"/>
        <v>166.99386503067484</v>
      </c>
      <c r="AS54" s="76"/>
      <c r="AT54" s="76"/>
    </row>
    <row r="55" spans="1:46" ht="15.75" customHeight="1" x14ac:dyDescent="0.2">
      <c r="A55" s="110" t="s">
        <v>45</v>
      </c>
      <c r="B55" s="76"/>
      <c r="C55" s="76"/>
      <c r="D55" s="75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7" t="s">
        <v>1</v>
      </c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9"/>
      <c r="AS55" s="76"/>
      <c r="AT55" s="76"/>
    </row>
    <row r="56" spans="1:46" ht="15.75" customHeight="1" x14ac:dyDescent="0.2">
      <c r="A56" s="109">
        <v>46206</v>
      </c>
      <c r="B56" s="80" t="s">
        <v>2</v>
      </c>
      <c r="C56" s="80" t="s">
        <v>3</v>
      </c>
      <c r="D56" s="80" t="s">
        <v>4</v>
      </c>
      <c r="E56" s="80" t="s">
        <v>5</v>
      </c>
      <c r="F56" s="81" t="s">
        <v>6</v>
      </c>
      <c r="G56" s="80" t="s">
        <v>7</v>
      </c>
      <c r="H56" s="80" t="s">
        <v>8</v>
      </c>
      <c r="I56" s="80" t="s">
        <v>9</v>
      </c>
      <c r="J56" s="80" t="s">
        <v>10</v>
      </c>
      <c r="K56" s="80" t="s">
        <v>11</v>
      </c>
      <c r="L56" s="80" t="s">
        <v>12</v>
      </c>
      <c r="M56" s="80" t="s">
        <v>13</v>
      </c>
      <c r="N56" s="81" t="s">
        <v>14</v>
      </c>
      <c r="O56" s="80" t="s">
        <v>15</v>
      </c>
      <c r="P56" s="80" t="s">
        <v>16</v>
      </c>
      <c r="Q56" s="80" t="s">
        <v>17</v>
      </c>
      <c r="R56" s="80" t="s">
        <v>18</v>
      </c>
      <c r="S56" s="106" t="s">
        <v>19</v>
      </c>
      <c r="T56" s="107" t="s">
        <v>20</v>
      </c>
      <c r="U56" s="107" t="s">
        <v>21</v>
      </c>
      <c r="V56" s="105" t="s">
        <v>22</v>
      </c>
      <c r="W56" s="76"/>
      <c r="X56" s="1" t="s">
        <v>2</v>
      </c>
      <c r="Y56" s="1" t="s">
        <v>3</v>
      </c>
      <c r="Z56" s="1" t="s">
        <v>4</v>
      </c>
      <c r="AA56" s="1" t="s">
        <v>5</v>
      </c>
      <c r="AB56" s="2" t="s">
        <v>6</v>
      </c>
      <c r="AC56" s="1" t="s">
        <v>7</v>
      </c>
      <c r="AD56" s="1" t="s">
        <v>8</v>
      </c>
      <c r="AE56" s="1" t="s">
        <v>9</v>
      </c>
      <c r="AF56" s="1" t="s">
        <v>10</v>
      </c>
      <c r="AG56" s="1" t="s">
        <v>11</v>
      </c>
      <c r="AH56" s="1" t="s">
        <v>12</v>
      </c>
      <c r="AI56" s="1" t="s">
        <v>13</v>
      </c>
      <c r="AJ56" s="2" t="s">
        <v>14</v>
      </c>
      <c r="AK56" s="1" t="s">
        <v>15</v>
      </c>
      <c r="AL56" s="1" t="s">
        <v>16</v>
      </c>
      <c r="AM56" s="3" t="s">
        <v>17</v>
      </c>
      <c r="AN56" s="4" t="s">
        <v>18</v>
      </c>
      <c r="AO56" s="5" t="s">
        <v>19</v>
      </c>
      <c r="AP56" s="6" t="s">
        <v>20</v>
      </c>
      <c r="AQ56" s="6" t="s">
        <v>21</v>
      </c>
      <c r="AR56" s="7" t="s">
        <v>22</v>
      </c>
      <c r="AS56" s="76"/>
      <c r="AT56" s="76"/>
    </row>
    <row r="57" spans="1:46" ht="15.75" customHeight="1" x14ac:dyDescent="0.2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6"/>
      <c r="X57" s="8">
        <v>1</v>
      </c>
      <c r="Y57" s="8" t="s">
        <v>23</v>
      </c>
      <c r="Z57" s="8">
        <f t="shared" ref="Z57:AI57" si="150">SUM(D65)</f>
        <v>35</v>
      </c>
      <c r="AA57" s="9">
        <f t="shared" ca="1" si="150"/>
        <v>35</v>
      </c>
      <c r="AB57" s="10">
        <f t="shared" ca="1" si="150"/>
        <v>6984.1799999999903</v>
      </c>
      <c r="AC57" s="9">
        <f t="shared" ca="1" si="150"/>
        <v>1806</v>
      </c>
      <c r="AD57" s="9">
        <f t="shared" ca="1" si="150"/>
        <v>0</v>
      </c>
      <c r="AE57" s="9">
        <f t="shared" ca="1" si="150"/>
        <v>1806</v>
      </c>
      <c r="AF57" s="9">
        <f t="shared" ca="1" si="150"/>
        <v>2871</v>
      </c>
      <c r="AG57" s="9">
        <f t="shared" ca="1" si="150"/>
        <v>0</v>
      </c>
      <c r="AH57" s="9">
        <f t="shared" ca="1" si="150"/>
        <v>2871</v>
      </c>
      <c r="AI57" s="9">
        <f t="shared" ca="1" si="150"/>
        <v>4677</v>
      </c>
      <c r="AJ57" s="11">
        <f t="shared" ref="AJ57:AJ59" ca="1" si="151">AB57/AA57</f>
        <v>199.54799999999972</v>
      </c>
      <c r="AK57" s="8">
        <f>SUM(O65)</f>
        <v>6853</v>
      </c>
      <c r="AL57" s="12">
        <f t="shared" ref="AL57:AL63" ca="1" si="152">AI57/AK57</f>
        <v>0.68247482854224428</v>
      </c>
      <c r="AM57" s="13">
        <f t="shared" ref="AM57:AM59" si="153">SUM(Q65)</f>
        <v>1.5</v>
      </c>
      <c r="AN57" s="12">
        <f t="shared" ref="AN57:AN63" ca="1" si="154">AO57/AM57</f>
        <v>0.44643752022427891</v>
      </c>
      <c r="AO57" s="14">
        <f t="shared" ref="AO57:AO63" ca="1" si="155">AI57/AB57</f>
        <v>0.66965628033641833</v>
      </c>
      <c r="AP57" s="13">
        <f t="shared" ref="AP57:AQ57" ca="1" si="156">SUM(T65)</f>
        <v>206.99999999999969</v>
      </c>
      <c r="AQ57" s="13">
        <f t="shared" ca="1" si="156"/>
        <v>5.9142857142857057</v>
      </c>
      <c r="AR57" s="9">
        <f t="shared" ref="AR57:AR63" ca="1" si="157">AI57/AA57</f>
        <v>133.62857142857143</v>
      </c>
      <c r="AS57" s="76"/>
      <c r="AT57" s="76"/>
    </row>
    <row r="58" spans="1:46" ht="15.75" customHeight="1" x14ac:dyDescent="0.2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6"/>
      <c r="X58" s="8">
        <v>2</v>
      </c>
      <c r="Y58" s="8" t="s">
        <v>24</v>
      </c>
      <c r="Z58" s="8">
        <f t="shared" ref="Z58:AI58" si="158">SUM(D66)</f>
        <v>44</v>
      </c>
      <c r="AA58" s="9">
        <f t="shared" ca="1" si="158"/>
        <v>43</v>
      </c>
      <c r="AB58" s="10">
        <f t="shared" ca="1" si="158"/>
        <v>8604.1119999999901</v>
      </c>
      <c r="AC58" s="9">
        <f t="shared" ca="1" si="158"/>
        <v>1070</v>
      </c>
      <c r="AD58" s="9">
        <f t="shared" ca="1" si="158"/>
        <v>0</v>
      </c>
      <c r="AE58" s="9">
        <f t="shared" ca="1" si="158"/>
        <v>1070</v>
      </c>
      <c r="AF58" s="9">
        <f t="shared" ca="1" si="158"/>
        <v>1113</v>
      </c>
      <c r="AG58" s="9">
        <f t="shared" ca="1" si="158"/>
        <v>0</v>
      </c>
      <c r="AH58" s="9">
        <f t="shared" ca="1" si="158"/>
        <v>1113</v>
      </c>
      <c r="AI58" s="9">
        <f t="shared" ca="1" si="158"/>
        <v>2183</v>
      </c>
      <c r="AJ58" s="11">
        <f t="shared" ca="1" si="151"/>
        <v>200.09562790697652</v>
      </c>
      <c r="AK58" s="8">
        <v>1580</v>
      </c>
      <c r="AL58" s="15">
        <f t="shared" ca="1" si="152"/>
        <v>1.3816455696202532</v>
      </c>
      <c r="AM58" s="13">
        <f t="shared" si="153"/>
        <v>1.5</v>
      </c>
      <c r="AN58" s="12">
        <f t="shared" ca="1" si="154"/>
        <v>0.169143931800671</v>
      </c>
      <c r="AO58" s="14">
        <f t="shared" ca="1" si="155"/>
        <v>0.2537158977010065</v>
      </c>
      <c r="AP58" s="13">
        <f t="shared" ref="AP58:AQ58" ca="1" si="159">SUM(T66)</f>
        <v>320.98906920350646</v>
      </c>
      <c r="AQ58" s="13">
        <f t="shared" ca="1" si="159"/>
        <v>7.4648620745001502</v>
      </c>
      <c r="AR58" s="9">
        <f t="shared" ca="1" si="157"/>
        <v>50.767441860465119</v>
      </c>
      <c r="AS58" s="76"/>
      <c r="AT58" s="76"/>
    </row>
    <row r="59" spans="1:46" ht="15.75" customHeight="1" x14ac:dyDescent="0.2">
      <c r="A59" s="70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6"/>
      <c r="X59" s="8">
        <v>3</v>
      </c>
      <c r="Y59" s="8" t="s">
        <v>25</v>
      </c>
      <c r="Z59" s="8">
        <f t="shared" ref="Z59:AI59" si="160">SUM(D67)</f>
        <v>32</v>
      </c>
      <c r="AA59" s="9">
        <f t="shared" ca="1" si="160"/>
        <v>32</v>
      </c>
      <c r="AB59" s="10">
        <f t="shared" ca="1" si="160"/>
        <v>6148.9520000000002</v>
      </c>
      <c r="AC59" s="9">
        <f t="shared" ca="1" si="160"/>
        <v>2196</v>
      </c>
      <c r="AD59" s="9">
        <f t="shared" ca="1" si="160"/>
        <v>280</v>
      </c>
      <c r="AE59" s="9">
        <f t="shared" ca="1" si="160"/>
        <v>2476</v>
      </c>
      <c r="AF59" s="9">
        <f t="shared" ca="1" si="160"/>
        <v>3060</v>
      </c>
      <c r="AG59" s="9">
        <f t="shared" ca="1" si="160"/>
        <v>128</v>
      </c>
      <c r="AH59" s="9">
        <f t="shared" ca="1" si="160"/>
        <v>3188</v>
      </c>
      <c r="AI59" s="9">
        <f t="shared" ca="1" si="160"/>
        <v>5664</v>
      </c>
      <c r="AJ59" s="11">
        <f t="shared" ca="1" si="151"/>
        <v>192.15475000000001</v>
      </c>
      <c r="AK59" s="8">
        <f>SUM(O67)</f>
        <v>6622</v>
      </c>
      <c r="AL59" s="12">
        <f t="shared" ca="1" si="152"/>
        <v>0.85533071579583209</v>
      </c>
      <c r="AM59" s="13">
        <f t="shared" si="153"/>
        <v>1.5</v>
      </c>
      <c r="AN59" s="12">
        <f t="shared" ca="1" si="154"/>
        <v>0.61408838449218661</v>
      </c>
      <c r="AO59" s="14">
        <f t="shared" ca="1" si="155"/>
        <v>0.92113257673827997</v>
      </c>
      <c r="AP59" s="13">
        <f t="shared" ref="AP59:AQ59" ca="1" si="161">SUM(T67)</f>
        <v>257.92583892617449</v>
      </c>
      <c r="AQ59" s="13">
        <f t="shared" ca="1" si="161"/>
        <v>8.0601824664429529</v>
      </c>
      <c r="AR59" s="9">
        <f t="shared" ca="1" si="157"/>
        <v>177</v>
      </c>
      <c r="AS59" s="76"/>
      <c r="AT59" s="76"/>
    </row>
    <row r="60" spans="1:46" ht="15.75" customHeight="1" x14ac:dyDescent="0.25">
      <c r="A60" s="70"/>
      <c r="B60" s="16">
        <v>1</v>
      </c>
      <c r="C60" s="16" t="s">
        <v>26</v>
      </c>
      <c r="D60" s="17">
        <v>20</v>
      </c>
      <c r="E60" s="18">
        <f ca="1">IFERROR(__xludf.DUMMYFUNCTION("COUNT(IMPORTRANGE(""https://docs.google.com/spreadsheets/d/1z0o91thOT38lgejTE_Bd2p3v_9VCDdQRkUsMIVqpQCk/edit"",""3!d2:d21""))"),19)</f>
        <v>19</v>
      </c>
      <c r="F60" s="19">
        <f ca="1">IFERROR(__xludf.DUMMYFUNCTION("SUM(IMPORTRANGE(""https://docs.google.com/spreadsheets/d/1z0o91thOT38lgejTE_Bd2p3v_9VCDdQRkUsMIVqpQCk/edit"",""3!Q2:Q21""))"),3676.284)</f>
        <v>3676.2840000000001</v>
      </c>
      <c r="G60" s="18">
        <f ca="1">IFERROR(__xludf.DUMMYFUNCTION("IMPORTRANGE(""https://docs.google.com/spreadsheets/d/1z0o91thOT38lgejTE_Bd2p3v_9VCDdQRkUsMIVqpQCk/edit"",""3!e28"")"),1884)</f>
        <v>1884</v>
      </c>
      <c r="H60" s="18">
        <f ca="1">IFERROR(__xludf.DUMMYFUNCTION("IMPORTRANGE(""https://docs.google.com/spreadsheets/d/1z0o91thOT38lgejTE_Bd2p3v_9VCDdQRkUsMIVqpQCk/edit"",""3!e29"")"),101)</f>
        <v>101</v>
      </c>
      <c r="I60" s="18">
        <f t="shared" ref="I60:I77" ca="1" si="162">SUM(G60:H60)</f>
        <v>1985</v>
      </c>
      <c r="J60" s="18">
        <f ca="1">IFERROR(__xludf.DUMMYFUNCTION("IMPORTRANGE(""https://docs.google.com/spreadsheets/d/1z0o91thOT38lgejTE_Bd2p3v_9VCDdQRkUsMIVqpQCk/edit"",""3!e32"")"),2559)</f>
        <v>2559</v>
      </c>
      <c r="K60" s="18">
        <f ca="1">IFERROR(__xludf.DUMMYFUNCTION("IMPORTRANGE(""https://docs.google.com/spreadsheets/d/1z0o91thOT38lgejTE_Bd2p3v_9VCDdQRkUsMIVqpQCk/edit"",""3!e33"")"),0)</f>
        <v>0</v>
      </c>
      <c r="L60" s="18">
        <f t="shared" ref="L60:L66" ca="1" si="163">SUM(J60:K60)</f>
        <v>2559</v>
      </c>
      <c r="M60" s="18">
        <f t="shared" ref="M60:M77" ca="1" si="164">SUM(I60+L60)</f>
        <v>4544</v>
      </c>
      <c r="N60" s="19">
        <f t="shared" ref="N60:N78" ca="1" si="165">F60/E60</f>
        <v>193.48863157894738</v>
      </c>
      <c r="O60" s="16">
        <v>5161</v>
      </c>
      <c r="P60" s="20">
        <f t="shared" ref="P60:P78" ca="1" si="166">M60/O60</f>
        <v>0.88044952528579734</v>
      </c>
      <c r="Q60" s="21">
        <v>1.5</v>
      </c>
      <c r="R60" s="20">
        <f t="shared" ref="R60:R78" ca="1" si="167">S60/Q60</f>
        <v>0.82402048735444089</v>
      </c>
      <c r="S60" s="22">
        <f t="shared" ref="S60:S78" ca="1" si="168">M60/F60</f>
        <v>1.2360307310316614</v>
      </c>
      <c r="T60" s="21">
        <f ca="1">F60/14.415</f>
        <v>255.03184183142562</v>
      </c>
      <c r="U60" s="21">
        <f t="shared" ref="U60:U78" ca="1" si="169">T60/E60</f>
        <v>13.422728517443455</v>
      </c>
      <c r="V60" s="18">
        <f t="shared" ref="V60:V78" ca="1" si="170">M60/E60</f>
        <v>239.15789473684211</v>
      </c>
      <c r="W60" s="76"/>
      <c r="X60" s="8">
        <v>4</v>
      </c>
      <c r="Y60" s="8" t="s">
        <v>27</v>
      </c>
      <c r="Z60" s="8">
        <f t="shared" ref="Z60:AK60" si="171">SUM(D73)</f>
        <v>30</v>
      </c>
      <c r="AA60" s="9">
        <f t="shared" ca="1" si="171"/>
        <v>30</v>
      </c>
      <c r="AB60" s="10">
        <f t="shared" ca="1" si="171"/>
        <v>5305.88</v>
      </c>
      <c r="AC60" s="9">
        <f t="shared" ca="1" si="171"/>
        <v>1460</v>
      </c>
      <c r="AD60" s="9">
        <f t="shared" ca="1" si="171"/>
        <v>30</v>
      </c>
      <c r="AE60" s="9">
        <f t="shared" ca="1" si="171"/>
        <v>1490</v>
      </c>
      <c r="AF60" s="9">
        <f t="shared" ca="1" si="171"/>
        <v>2365</v>
      </c>
      <c r="AG60" s="9">
        <f t="shared" ca="1" si="171"/>
        <v>64</v>
      </c>
      <c r="AH60" s="9">
        <f t="shared" ca="1" si="171"/>
        <v>2429</v>
      </c>
      <c r="AI60" s="9">
        <f t="shared" ca="1" si="171"/>
        <v>3919</v>
      </c>
      <c r="AJ60" s="11">
        <f t="shared" ca="1" si="171"/>
        <v>176.86266666666668</v>
      </c>
      <c r="AK60" s="8">
        <f t="shared" si="171"/>
        <v>8101</v>
      </c>
      <c r="AL60" s="12">
        <f t="shared" ca="1" si="152"/>
        <v>0.48376743611899764</v>
      </c>
      <c r="AM60" s="13">
        <f>SUM(Q73)</f>
        <v>1.5</v>
      </c>
      <c r="AN60" s="12">
        <f t="shared" ca="1" si="154"/>
        <v>0.49240967882173486</v>
      </c>
      <c r="AO60" s="14">
        <f t="shared" ca="1" si="155"/>
        <v>0.73861451823260227</v>
      </c>
      <c r="AP60" s="13">
        <f t="shared" ref="AP60:AQ60" ca="1" si="172">SUM(T73)</f>
        <v>265.49311983987991</v>
      </c>
      <c r="AQ60" s="13">
        <f t="shared" ca="1" si="172"/>
        <v>8.8497706613293303</v>
      </c>
      <c r="AR60" s="9">
        <f t="shared" ca="1" si="157"/>
        <v>130.63333333333333</v>
      </c>
      <c r="AS60" s="76"/>
      <c r="AT60" s="76"/>
    </row>
    <row r="61" spans="1:46" ht="15.75" customHeight="1" x14ac:dyDescent="0.25">
      <c r="A61" s="70"/>
      <c r="B61" s="16">
        <v>2</v>
      </c>
      <c r="C61" s="16" t="s">
        <v>28</v>
      </c>
      <c r="D61" s="17">
        <v>33</v>
      </c>
      <c r="E61" s="18">
        <f ca="1">IFERROR(__xludf.DUMMYFUNCTION("COUNT(IMPORTRANGE(""https://docs.google.com/spreadsheets/d/10a85iNN0y9GF6ngQfF1JXGAzFk-T7ywH4-TZtQcOTaE/edit"",""3!d2:d34""))"),33)</f>
        <v>33</v>
      </c>
      <c r="F61" s="19">
        <f ca="1">IFERROR(__xludf.DUMMYFUNCTION("SUM(IMPORTRANGE(""https://docs.google.com/spreadsheets/d/10a85iNN0y9GF6ngQfF1JXGAzFk-T7ywH4-TZtQcOTaE/edit"",""3!Q2:Q34""))"),6267.385)</f>
        <v>6267.3850000000002</v>
      </c>
      <c r="G61" s="18">
        <f ca="1">IFERROR(__xludf.DUMMYFUNCTION("IMPORTRANGE(""https://docs.google.com/spreadsheets/d/10a85iNN0y9GF6ngQfF1JXGAzFk-T7ywH4-TZtQcOTaE/edit"",""3!e41"")"),2129)</f>
        <v>2129</v>
      </c>
      <c r="H61" s="18">
        <f ca="1">IFERROR(__xludf.DUMMYFUNCTION("IMPORTRANGE(""https://docs.google.com/spreadsheets/d/10a85iNN0y9GF6ngQfF1JXGAzFk-T7ywH4-TZtQcOTaE/edit"",""3!e42"")"),56)</f>
        <v>56</v>
      </c>
      <c r="I61" s="18">
        <f t="shared" ca="1" si="162"/>
        <v>2185</v>
      </c>
      <c r="J61" s="18">
        <f ca="1">IFERROR(__xludf.DUMMYFUNCTION("IMPORTRANGE(""https://docs.google.com/spreadsheets/d/10a85iNN0y9GF6ngQfF1JXGAzFk-T7ywH4-TZtQcOTaE/edit"",""3!e45"")"),2384)</f>
        <v>2384</v>
      </c>
      <c r="K61" s="18">
        <f ca="1">IFERROR(__xludf.DUMMYFUNCTION("IMPORTRANGE(""https://docs.google.com/spreadsheets/d/10a85iNN0y9GF6ngQfF1JXGAzFk-T7ywH4-TZtQcOTaE/edit"",""3!e46"")"),377)</f>
        <v>377</v>
      </c>
      <c r="L61" s="18">
        <f t="shared" ca="1" si="163"/>
        <v>2761</v>
      </c>
      <c r="M61" s="18">
        <f t="shared" ca="1" si="164"/>
        <v>4946</v>
      </c>
      <c r="N61" s="19">
        <f t="shared" ca="1" si="165"/>
        <v>189.92075757575759</v>
      </c>
      <c r="O61" s="16">
        <v>7315</v>
      </c>
      <c r="P61" s="20">
        <f t="shared" ca="1" si="166"/>
        <v>0.67614490772385505</v>
      </c>
      <c r="Q61" s="21">
        <v>1.5</v>
      </c>
      <c r="R61" s="20">
        <f t="shared" ca="1" si="167"/>
        <v>0.52610990601875163</v>
      </c>
      <c r="S61" s="22">
        <f t="shared" ca="1" si="168"/>
        <v>0.78916485902812739</v>
      </c>
      <c r="T61" s="21">
        <f ca="1">F61/30.897</f>
        <v>202.84768747774868</v>
      </c>
      <c r="U61" s="21">
        <f t="shared" ca="1" si="169"/>
        <v>6.1468996205378383</v>
      </c>
      <c r="V61" s="18">
        <f t="shared" ca="1" si="170"/>
        <v>149.87878787878788</v>
      </c>
      <c r="W61" s="76"/>
      <c r="X61" s="8">
        <v>5</v>
      </c>
      <c r="Y61" s="8" t="s">
        <v>29</v>
      </c>
      <c r="Z61" s="8">
        <f t="shared" ref="Z61:AI61" si="173">SUM(D76)</f>
        <v>30</v>
      </c>
      <c r="AA61" s="9">
        <f t="shared" ca="1" si="173"/>
        <v>30</v>
      </c>
      <c r="AB61" s="10">
        <f t="shared" ca="1" si="173"/>
        <v>5962.7020000000002</v>
      </c>
      <c r="AC61" s="9">
        <f t="shared" ca="1" si="173"/>
        <v>2453</v>
      </c>
      <c r="AD61" s="9">
        <f t="shared" ca="1" si="173"/>
        <v>0</v>
      </c>
      <c r="AE61" s="9">
        <f t="shared" ca="1" si="173"/>
        <v>2453</v>
      </c>
      <c r="AF61" s="9">
        <f t="shared" ca="1" si="173"/>
        <v>3533</v>
      </c>
      <c r="AG61" s="9">
        <f t="shared" ca="1" si="173"/>
        <v>0</v>
      </c>
      <c r="AH61" s="9">
        <f t="shared" ca="1" si="173"/>
        <v>3533</v>
      </c>
      <c r="AI61" s="9">
        <f t="shared" ca="1" si="173"/>
        <v>5986</v>
      </c>
      <c r="AJ61" s="11">
        <f t="shared" ref="AJ61:AJ63" ca="1" si="174">AB61/AA61</f>
        <v>198.75673333333333</v>
      </c>
      <c r="AK61" s="8">
        <f t="shared" ref="AK61:AK62" si="175">SUM(O76)</f>
        <v>9201</v>
      </c>
      <c r="AL61" s="12">
        <f t="shared" ca="1" si="152"/>
        <v>0.65058145853711558</v>
      </c>
      <c r="AM61" s="13">
        <f t="shared" ref="AM61:AM62" si="176">SUM(Q76)</f>
        <v>1.5</v>
      </c>
      <c r="AN61" s="12">
        <f t="shared" ca="1" si="154"/>
        <v>0.66927152600728101</v>
      </c>
      <c r="AO61" s="14">
        <f t="shared" ca="1" si="155"/>
        <v>1.0039072890109215</v>
      </c>
      <c r="AP61" s="13">
        <f t="shared" ref="AP61:AQ61" ca="1" si="177">SUM(T76)</f>
        <v>229</v>
      </c>
      <c r="AQ61" s="13">
        <f t="shared" ca="1" si="177"/>
        <v>7.6333333333333337</v>
      </c>
      <c r="AR61" s="9">
        <f t="shared" ca="1" si="157"/>
        <v>199.53333333333333</v>
      </c>
      <c r="AS61" s="76"/>
      <c r="AT61" s="76"/>
    </row>
    <row r="62" spans="1:46" ht="15.75" customHeight="1" x14ac:dyDescent="0.25">
      <c r="A62" s="70"/>
      <c r="B62" s="16">
        <v>3</v>
      </c>
      <c r="C62" s="16" t="s">
        <v>30</v>
      </c>
      <c r="D62" s="17">
        <v>60</v>
      </c>
      <c r="E62" s="18">
        <f ca="1">IFERROR(__xludf.DUMMYFUNCTION("COUNT(IMPORTRANGE(""https://docs.google.com/spreadsheets/d/1WojVzHhpzodJL1e5UDHeu3A3u5MTSZwvxHu0BrwvL9w/edit"",""3!d2:d61""))"),55)</f>
        <v>55</v>
      </c>
      <c r="F62" s="23">
        <f ca="1">IFERROR(__xludf.DUMMYFUNCTION("SUM(IMPORTRANGE(""https://docs.google.com/spreadsheets/d/1WojVzHhpzodJL1e5UDHeu3A3u5MTSZwvxHu0BrwvL9w/edit"",""3!Q2:Q61""))"),10893.9039999999)</f>
        <v>10893.9039999999</v>
      </c>
      <c r="G62" s="18">
        <f ca="1">IFERROR(__xludf.DUMMYFUNCTION("IMPORTRANGE(""https://docs.google.com/spreadsheets/d/1WojVzHhpzodJL1e5UDHeu3A3u5MTSZwvxHu0BrwvL9w/edit"",""3!e68"")"),2720)</f>
        <v>2720</v>
      </c>
      <c r="H62" s="18">
        <f ca="1">IFERROR(__xludf.DUMMYFUNCTION("IMPORTRANGE(""https://docs.google.com/spreadsheets/d/1WojVzHhpzodJL1e5UDHeu3A3u5MTSZwvxHu0BrwvL9w/edit"",""3!e69"")"),0)</f>
        <v>0</v>
      </c>
      <c r="I62" s="18">
        <f t="shared" ca="1" si="162"/>
        <v>2720</v>
      </c>
      <c r="J62" s="18">
        <f ca="1">IFERROR(__xludf.DUMMYFUNCTION("IMPORTRANGE(""https://docs.google.com/spreadsheets/d/1WojVzHhpzodJL1e5UDHeu3A3u5MTSZwvxHu0BrwvL9w/edit"",""3!e72"")"),4777)</f>
        <v>4777</v>
      </c>
      <c r="K62" s="18">
        <f ca="1">IFERROR(__xludf.DUMMYFUNCTION("IMPORTRANGE(""https://docs.google.com/spreadsheets/d/1WojVzHhpzodJL1e5UDHeu3A3u5MTSZwvxHu0BrwvL9w/edit"",""3!e73"")"),0)</f>
        <v>0</v>
      </c>
      <c r="L62" s="18">
        <f t="shared" ca="1" si="163"/>
        <v>4777</v>
      </c>
      <c r="M62" s="18">
        <f t="shared" ca="1" si="164"/>
        <v>7497</v>
      </c>
      <c r="N62" s="19">
        <f t="shared" ca="1" si="165"/>
        <v>198.07098181818</v>
      </c>
      <c r="O62" s="16">
        <v>11164</v>
      </c>
      <c r="P62" s="20">
        <f t="shared" ca="1" si="166"/>
        <v>0.67153350053744176</v>
      </c>
      <c r="Q62" s="21">
        <v>1.5</v>
      </c>
      <c r="R62" s="20">
        <f t="shared" ca="1" si="167"/>
        <v>0.45878869503531933</v>
      </c>
      <c r="S62" s="22">
        <f t="shared" ca="1" si="168"/>
        <v>0.68818304255297902</v>
      </c>
      <c r="T62" s="21">
        <f ca="1">F62/29.603</f>
        <v>367.99999999999659</v>
      </c>
      <c r="U62" s="21">
        <f t="shared" ca="1" si="169"/>
        <v>6.6909090909090292</v>
      </c>
      <c r="V62" s="18">
        <f t="shared" ca="1" si="170"/>
        <v>136.30909090909091</v>
      </c>
      <c r="W62" s="76"/>
      <c r="X62" s="8">
        <v>6</v>
      </c>
      <c r="Y62" s="8" t="s">
        <v>31</v>
      </c>
      <c r="Z62" s="8">
        <f t="shared" ref="Z62:AI62" si="178">SUM(D77)</f>
        <v>15</v>
      </c>
      <c r="AA62" s="9">
        <f t="shared" ca="1" si="178"/>
        <v>15</v>
      </c>
      <c r="AB62" s="11">
        <f t="shared" ca="1" si="178"/>
        <v>3042.5499999999902</v>
      </c>
      <c r="AC62" s="9">
        <f t="shared" ca="1" si="178"/>
        <v>847</v>
      </c>
      <c r="AD62" s="9">
        <f t="shared" ca="1" si="178"/>
        <v>12</v>
      </c>
      <c r="AE62" s="9">
        <f t="shared" ca="1" si="178"/>
        <v>859</v>
      </c>
      <c r="AF62" s="9">
        <f t="shared" ca="1" si="178"/>
        <v>1078</v>
      </c>
      <c r="AG62" s="9">
        <f t="shared" ca="1" si="178"/>
        <v>110</v>
      </c>
      <c r="AH62" s="9">
        <f t="shared" ca="1" si="178"/>
        <v>1188</v>
      </c>
      <c r="AI62" s="9">
        <f t="shared" ca="1" si="178"/>
        <v>2047</v>
      </c>
      <c r="AJ62" s="11">
        <f t="shared" ca="1" si="174"/>
        <v>202.83666666666602</v>
      </c>
      <c r="AK62" s="8">
        <f t="shared" si="175"/>
        <v>2717</v>
      </c>
      <c r="AL62" s="12">
        <f t="shared" ca="1" si="152"/>
        <v>0.7534044902465955</v>
      </c>
      <c r="AM62" s="13">
        <f t="shared" si="176"/>
        <v>1.5</v>
      </c>
      <c r="AN62" s="12">
        <f t="shared" ca="1" si="154"/>
        <v>0.4485272770099657</v>
      </c>
      <c r="AO62" s="14">
        <f t="shared" ca="1" si="155"/>
        <v>0.67279091551494852</v>
      </c>
      <c r="AP62" s="13">
        <f t="shared" ref="AP62:AQ62" ca="1" si="179">SUM(T77)</f>
        <v>69.999999999999773</v>
      </c>
      <c r="AQ62" s="13">
        <f t="shared" ca="1" si="179"/>
        <v>4.6666666666666519</v>
      </c>
      <c r="AR62" s="9">
        <f t="shared" ca="1" si="157"/>
        <v>136.46666666666667</v>
      </c>
      <c r="AS62" s="76"/>
      <c r="AT62" s="76"/>
    </row>
    <row r="63" spans="1:46" ht="15.75" customHeight="1" x14ac:dyDescent="0.25">
      <c r="A63" s="70"/>
      <c r="B63" s="16">
        <v>4</v>
      </c>
      <c r="C63" s="16" t="s">
        <v>32</v>
      </c>
      <c r="D63" s="17">
        <v>42</v>
      </c>
      <c r="E63" s="18">
        <f ca="1">IFERROR(__xludf.DUMMYFUNCTION("COUNT(IMPORTRANGE(""https://docs.google.com/spreadsheets/d/1vmCj5YcMSPHj1m64syDndQ6cqVL3yolcU03Y8KHmvdc/edit"",""3!d2:d43""))"),40)</f>
        <v>40</v>
      </c>
      <c r="F63" s="23">
        <f ca="1">IFERROR(__xludf.DUMMYFUNCTION("SUM(IMPORTRANGE(""https://docs.google.com/spreadsheets/d/1vmCj5YcMSPHj1m64syDndQ6cqVL3yolcU03Y8KHmvdc/edit"",""3!Q2:Q43""))"),7891.56499999999)</f>
        <v>7891.5649999999896</v>
      </c>
      <c r="G63" s="16">
        <f ca="1">IFERROR(__xludf.DUMMYFUNCTION("IMPORTRANGE(""https://docs.google.com/spreadsheets/d/1vmCj5YcMSPHj1m64syDndQ6cqVL3yolcU03Y8KHmvdc/edit"",""3!e50"")"),4240)</f>
        <v>4240</v>
      </c>
      <c r="H63" s="16">
        <f ca="1">IFERROR(__xludf.DUMMYFUNCTION("IMPORTRANGE(""https://docs.google.com/spreadsheets/d/1vmCj5YcMSPHj1m64syDndQ6cqVL3yolcU03Y8KHmvdc/edit"",""3!e51"")"),0)</f>
        <v>0</v>
      </c>
      <c r="I63" s="18">
        <f t="shared" ca="1" si="162"/>
        <v>4240</v>
      </c>
      <c r="J63" s="16">
        <f ca="1">IFERROR(__xludf.DUMMYFUNCTION("IMPORTRANGE(""https://docs.google.com/spreadsheets/d/1vmCj5YcMSPHj1m64syDndQ6cqVL3yolcU03Y8KHmvdc/edit"",""3!e54"")"),4792)</f>
        <v>4792</v>
      </c>
      <c r="K63" s="16">
        <f ca="1">IFERROR(__xludf.DUMMYFUNCTION("IMPORTRANGE(""https://docs.google.com/spreadsheets/d/1vmCj5YcMSPHj1m64syDndQ6cqVL3yolcU03Y8KHmvdc/edit"",""3!e55"")"),0)</f>
        <v>0</v>
      </c>
      <c r="L63" s="18">
        <f t="shared" ca="1" si="163"/>
        <v>4792</v>
      </c>
      <c r="M63" s="18">
        <f t="shared" ca="1" si="164"/>
        <v>9032</v>
      </c>
      <c r="N63" s="19">
        <f t="shared" ca="1" si="165"/>
        <v>197.28912499999973</v>
      </c>
      <c r="O63" s="16">
        <v>13817</v>
      </c>
      <c r="P63" s="20">
        <f t="shared" ca="1" si="166"/>
        <v>0.65368748642976049</v>
      </c>
      <c r="Q63" s="21">
        <v>1.5</v>
      </c>
      <c r="R63" s="20">
        <f t="shared" ca="1" si="167"/>
        <v>0.76300877371387565</v>
      </c>
      <c r="S63" s="22">
        <f t="shared" ca="1" si="168"/>
        <v>1.1445131605708134</v>
      </c>
      <c r="T63" s="21">
        <f ca="1">F63/25.089</f>
        <v>314.54282753397865</v>
      </c>
      <c r="U63" s="21">
        <f t="shared" ca="1" si="169"/>
        <v>7.8635706883494665</v>
      </c>
      <c r="V63" s="18">
        <f t="shared" ca="1" si="170"/>
        <v>225.8</v>
      </c>
      <c r="W63" s="76"/>
      <c r="X63" s="24" t="s">
        <v>33</v>
      </c>
      <c r="Y63" s="24">
        <v>6</v>
      </c>
      <c r="Z63" s="24">
        <f t="shared" ref="Z63:AI63" si="180">SUM(Z57:Z62)</f>
        <v>186</v>
      </c>
      <c r="AA63" s="25">
        <f t="shared" ca="1" si="180"/>
        <v>185</v>
      </c>
      <c r="AB63" s="26">
        <f t="shared" ca="1" si="180"/>
        <v>36048.375999999967</v>
      </c>
      <c r="AC63" s="25">
        <f t="shared" ca="1" si="180"/>
        <v>9832</v>
      </c>
      <c r="AD63" s="25">
        <f t="shared" ca="1" si="180"/>
        <v>322</v>
      </c>
      <c r="AE63" s="25">
        <f t="shared" ca="1" si="180"/>
        <v>10154</v>
      </c>
      <c r="AF63" s="25">
        <f t="shared" ca="1" si="180"/>
        <v>14020</v>
      </c>
      <c r="AG63" s="25">
        <f t="shared" ca="1" si="180"/>
        <v>302</v>
      </c>
      <c r="AH63" s="25">
        <f t="shared" ca="1" si="180"/>
        <v>14322</v>
      </c>
      <c r="AI63" s="25">
        <f t="shared" ca="1" si="180"/>
        <v>24476</v>
      </c>
      <c r="AJ63" s="27">
        <f t="shared" ca="1" si="174"/>
        <v>194.8560864864863</v>
      </c>
      <c r="AK63" s="24">
        <f>SUM(AK57:AK62)</f>
        <v>35074</v>
      </c>
      <c r="AL63" s="28">
        <f t="shared" ca="1" si="152"/>
        <v>0.69783885499230203</v>
      </c>
      <c r="AM63" s="29">
        <v>1.5</v>
      </c>
      <c r="AN63" s="28">
        <f t="shared" ca="1" si="154"/>
        <v>0.45265099690852506</v>
      </c>
      <c r="AO63" s="30">
        <f t="shared" ca="1" si="155"/>
        <v>0.67897649536278759</v>
      </c>
      <c r="AP63" s="29">
        <f ca="1">SUM(AP57:AP62)</f>
        <v>1350.4080279695602</v>
      </c>
      <c r="AQ63" s="29">
        <f ca="1">AP63/AA63</f>
        <v>7.2995028538895141</v>
      </c>
      <c r="AR63" s="25">
        <f t="shared" ca="1" si="157"/>
        <v>132.3027027027027</v>
      </c>
      <c r="AS63" s="76"/>
      <c r="AT63" s="76"/>
    </row>
    <row r="64" spans="1:46" ht="15.75" customHeight="1" x14ac:dyDescent="0.25">
      <c r="A64" s="70"/>
      <c r="B64" s="16">
        <v>5</v>
      </c>
      <c r="C64" s="16" t="s">
        <v>34</v>
      </c>
      <c r="D64" s="17">
        <v>40</v>
      </c>
      <c r="E64" s="18">
        <f ca="1">IFERROR(__xludf.DUMMYFUNCTION("COUNT(IMPORTRANGE(""https://docs.google.com/spreadsheets/d/14_Y-fpuq1wcec3DlT_1PBYekOC0YblQMrWVfO12YO3k/edit"",""3!d2:d41""))"),38)</f>
        <v>38</v>
      </c>
      <c r="F64" s="23">
        <f ca="1">IFERROR(__xludf.DUMMYFUNCTION("SUM(IMPORTRANGE(""https://docs.google.com/spreadsheets/d/14_Y-fpuq1wcec3DlT_1PBYekOC0YblQMrWVfO12YO3k/edit"",""3!Q2:Q41""))"),6988.239)</f>
        <v>6988.2389999999996</v>
      </c>
      <c r="G64" s="18">
        <f ca="1">IFERROR(__xludf.DUMMYFUNCTION("IMPORTRANGE(""https://docs.google.com/spreadsheets/d/14_Y-fpuq1wcec3DlT_1PBYekOC0YblQMrWVfO12YO3k/edit"",""3!e48"")"),2258)</f>
        <v>2258</v>
      </c>
      <c r="H64" s="18">
        <f ca="1">IFERROR(__xludf.DUMMYFUNCTION("IMPORTRANGE(""https://docs.google.com/spreadsheets/d/14_Y-fpuq1wcec3DlT_1PBYekOC0YblQMrWVfO12YO3k/edit"",""3!e49"")"),0)</f>
        <v>0</v>
      </c>
      <c r="I64" s="18">
        <f t="shared" ca="1" si="162"/>
        <v>2258</v>
      </c>
      <c r="J64" s="18">
        <f ca="1">IFERROR(__xludf.DUMMYFUNCTION("IMPORTRANGE(""https://docs.google.com/spreadsheets/d/14_Y-fpuq1wcec3DlT_1PBYekOC0YblQMrWVfO12YO3k/edit"",""3!e52"")"),2883)</f>
        <v>2883</v>
      </c>
      <c r="K64" s="18">
        <f ca="1">IFERROR(__xludf.DUMMYFUNCTION("IMPORTRANGE(""https://docs.google.com/spreadsheets/d/14_Y-fpuq1wcec3DlT_1PBYekOC0YblQMrWVfO12YO3k/edit"",""3!e53"")"),36)</f>
        <v>36</v>
      </c>
      <c r="L64" s="18">
        <f t="shared" ca="1" si="163"/>
        <v>2919</v>
      </c>
      <c r="M64" s="18">
        <f t="shared" ca="1" si="164"/>
        <v>5177</v>
      </c>
      <c r="N64" s="19">
        <f t="shared" ca="1" si="165"/>
        <v>183.90102631578947</v>
      </c>
      <c r="O64" s="16">
        <v>9354</v>
      </c>
      <c r="P64" s="20">
        <f t="shared" ca="1" si="166"/>
        <v>0.55345306820611506</v>
      </c>
      <c r="Q64" s="21">
        <v>1.5</v>
      </c>
      <c r="R64" s="20">
        <f t="shared" ca="1" si="167"/>
        <v>0.49387740363964849</v>
      </c>
      <c r="S64" s="22">
        <f t="shared" ca="1" si="168"/>
        <v>0.74081610545947274</v>
      </c>
      <c r="T64" s="21">
        <f ca="1">F64/30.713</f>
        <v>227.53358512681925</v>
      </c>
      <c r="U64" s="21">
        <f t="shared" ca="1" si="169"/>
        <v>5.9877259243899799</v>
      </c>
      <c r="V64" s="18">
        <f t="shared" ca="1" si="170"/>
        <v>136.23684210526315</v>
      </c>
      <c r="W64" s="76"/>
      <c r="X64" s="100" t="s">
        <v>35</v>
      </c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9"/>
      <c r="AS64" s="76"/>
      <c r="AT64" s="76"/>
    </row>
    <row r="65" spans="1:46" ht="15.75" customHeight="1" x14ac:dyDescent="0.25">
      <c r="A65" s="70"/>
      <c r="B65" s="16">
        <v>6</v>
      </c>
      <c r="C65" s="16" t="s">
        <v>23</v>
      </c>
      <c r="D65" s="17">
        <v>35</v>
      </c>
      <c r="E65" s="18">
        <f ca="1">IFERROR(__xludf.DUMMYFUNCTION("COUNT(IMPORTRANGE(""https://docs.google.com/spreadsheets/d/1lJqjdj05V4LOXuBOiTdE65GV4ZITyx1cMLcDdcuoUnE/edit"",""3!d2:d36""))"),35)</f>
        <v>35</v>
      </c>
      <c r="F65" s="23">
        <f ca="1">IFERROR(__xludf.DUMMYFUNCTION("SUM(IMPORTRANGE(""https://docs.google.com/spreadsheets/d/1lJqjdj05V4LOXuBOiTdE65GV4ZITyx1cMLcDdcuoUnE/edit"",""3!Q2:Q36""))"),6984.17999999999)</f>
        <v>6984.1799999999903</v>
      </c>
      <c r="G65" s="18">
        <f ca="1">IFERROR(__xludf.DUMMYFUNCTION("IMPORTRANGE(""https://docs.google.com/spreadsheets/d/1lJqjdj05V4LOXuBOiTdE65GV4ZITyx1cMLcDdcuoUnE/edit"",""3!e43"")"),1806)</f>
        <v>1806</v>
      </c>
      <c r="H65" s="18">
        <f ca="1">IFERROR(__xludf.DUMMYFUNCTION("IMPORTRANGE(""https://docs.google.com/spreadsheets/d/1lJqjdj05V4LOXuBOiTdE65GV4ZITyx1cMLcDdcuoUnE/edit"",""3!e44"")"),0)</f>
        <v>0</v>
      </c>
      <c r="I65" s="18">
        <f t="shared" ca="1" si="162"/>
        <v>1806</v>
      </c>
      <c r="J65" s="18">
        <f ca="1">IFERROR(__xludf.DUMMYFUNCTION("IMPORTRANGE(""https://docs.google.com/spreadsheets/d/1lJqjdj05V4LOXuBOiTdE65GV4ZITyx1cMLcDdcuoUnE/edit"",""3!e47"")"),2871)</f>
        <v>2871</v>
      </c>
      <c r="K65" s="18">
        <f ca="1">IFERROR(__xludf.DUMMYFUNCTION("IMPORTRANGE(""https://docs.google.com/spreadsheets/d/1lJqjdj05V4LOXuBOiTdE65GV4ZITyx1cMLcDdcuoUnE/edit"",""3!e48"")"),0)</f>
        <v>0</v>
      </c>
      <c r="L65" s="18">
        <f t="shared" ca="1" si="163"/>
        <v>2871</v>
      </c>
      <c r="M65" s="18">
        <f t="shared" ca="1" si="164"/>
        <v>4677</v>
      </c>
      <c r="N65" s="19">
        <f t="shared" ca="1" si="165"/>
        <v>199.54799999999972</v>
      </c>
      <c r="O65" s="16">
        <v>6853</v>
      </c>
      <c r="P65" s="20">
        <f t="shared" ca="1" si="166"/>
        <v>0.68247482854224428</v>
      </c>
      <c r="Q65" s="21">
        <v>1.5</v>
      </c>
      <c r="R65" s="20">
        <f t="shared" ca="1" si="167"/>
        <v>0.44643752022427891</v>
      </c>
      <c r="S65" s="22">
        <f t="shared" ca="1" si="168"/>
        <v>0.66965628033641833</v>
      </c>
      <c r="T65" s="21">
        <f ca="1">F65/33.74</f>
        <v>206.99999999999969</v>
      </c>
      <c r="U65" s="21">
        <f t="shared" ca="1" si="169"/>
        <v>5.9142857142857057</v>
      </c>
      <c r="V65" s="18">
        <f t="shared" ca="1" si="170"/>
        <v>133.62857142857143</v>
      </c>
      <c r="W65" s="76"/>
      <c r="X65" s="1" t="s">
        <v>2</v>
      </c>
      <c r="Y65" s="1" t="s">
        <v>3</v>
      </c>
      <c r="Z65" s="1" t="s">
        <v>4</v>
      </c>
      <c r="AA65" s="1" t="s">
        <v>5</v>
      </c>
      <c r="AB65" s="2" t="s">
        <v>6</v>
      </c>
      <c r="AC65" s="1" t="s">
        <v>7</v>
      </c>
      <c r="AD65" s="1" t="s">
        <v>8</v>
      </c>
      <c r="AE65" s="1" t="s">
        <v>9</v>
      </c>
      <c r="AF65" s="1" t="s">
        <v>10</v>
      </c>
      <c r="AG65" s="1" t="s">
        <v>11</v>
      </c>
      <c r="AH65" s="1" t="s">
        <v>12</v>
      </c>
      <c r="AI65" s="1" t="s">
        <v>13</v>
      </c>
      <c r="AJ65" s="2" t="s">
        <v>14</v>
      </c>
      <c r="AK65" s="1" t="s">
        <v>15</v>
      </c>
      <c r="AL65" s="1" t="s">
        <v>16</v>
      </c>
      <c r="AM65" s="3" t="s">
        <v>17</v>
      </c>
      <c r="AN65" s="4" t="s">
        <v>18</v>
      </c>
      <c r="AO65" s="5" t="s">
        <v>19</v>
      </c>
      <c r="AP65" s="6" t="s">
        <v>20</v>
      </c>
      <c r="AQ65" s="6" t="s">
        <v>21</v>
      </c>
      <c r="AR65" s="7" t="s">
        <v>22</v>
      </c>
      <c r="AS65" s="76"/>
      <c r="AT65" s="76"/>
    </row>
    <row r="66" spans="1:46" ht="15.75" customHeight="1" x14ac:dyDescent="0.25">
      <c r="A66" s="70"/>
      <c r="B66" s="16">
        <v>7</v>
      </c>
      <c r="C66" s="16" t="s">
        <v>24</v>
      </c>
      <c r="D66" s="17">
        <v>44</v>
      </c>
      <c r="E66" s="31">
        <f ca="1">IFERROR(__xludf.DUMMYFUNCTION("COUNT(IMPORTRANGE(""https://docs.google.com/spreadsheets/d/1_7EEO26q9Yq-XhNFiy7I6Zh4Yg6uGjTs9y0UqNvPKcQ/edit"",""3!d2:d45""))"),43)</f>
        <v>43</v>
      </c>
      <c r="F66" s="32">
        <f ca="1">IFERROR(__xludf.DUMMYFUNCTION("SUM(IMPORTRANGE(""https://docs.google.com/spreadsheets/d/1_7EEO26q9Yq-XhNFiy7I6Zh4Yg6uGjTs9y0UqNvPKcQ/edit"",""3!Q2:Q45""))"),8604.11199999999)</f>
        <v>8604.1119999999901</v>
      </c>
      <c r="G66" s="31">
        <f ca="1">IFERROR(__xludf.DUMMYFUNCTION("IMPORTRANGE(""https://docs.google.com/spreadsheets/d/1_7EEO26q9Yq-XhNFiy7I6Zh4Yg6uGjTs9y0UqNvPKcQ/edit"",""3!e53"")"),1070)</f>
        <v>1070</v>
      </c>
      <c r="H66" s="31">
        <f ca="1">IFERROR(__xludf.DUMMYFUNCTION("IMPORTRANGE(""https://docs.google.com/spreadsheets/d/1_7EEO26q9Yq-XhNFiy7I6Zh4Yg6uGjTs9y0UqNvPKcQ/edit"",""3!e54"")"),0)</f>
        <v>0</v>
      </c>
      <c r="I66" s="31">
        <f t="shared" ca="1" si="162"/>
        <v>1070</v>
      </c>
      <c r="J66" s="31">
        <f ca="1">IFERROR(__xludf.DUMMYFUNCTION("IMPORTRANGE(""https://docs.google.com/spreadsheets/d/1_7EEO26q9Yq-XhNFiy7I6Zh4Yg6uGjTs9y0UqNvPKcQ/edit"",""3!e57"")"),1113)</f>
        <v>1113</v>
      </c>
      <c r="K66" s="31">
        <f ca="1">IFERROR(__xludf.DUMMYFUNCTION("IMPORTRANGE(""https://docs.google.com/spreadsheets/d/1_7EEO26q9Yq-XhNFiy7I6Zh4Yg6uGjTs9y0UqNvPKcQ/edit"",""3!e58"")"),0)</f>
        <v>0</v>
      </c>
      <c r="L66" s="18">
        <f t="shared" ca="1" si="163"/>
        <v>1113</v>
      </c>
      <c r="M66" s="18">
        <f t="shared" ca="1" si="164"/>
        <v>2183</v>
      </c>
      <c r="N66" s="19">
        <f t="shared" ca="1" si="165"/>
        <v>200.09562790697652</v>
      </c>
      <c r="O66" s="16">
        <v>1580</v>
      </c>
      <c r="P66" s="33">
        <f t="shared" ca="1" si="166"/>
        <v>1.3816455696202532</v>
      </c>
      <c r="Q66" s="21">
        <v>1.5</v>
      </c>
      <c r="R66" s="20">
        <f t="shared" ca="1" si="167"/>
        <v>0.169143931800671</v>
      </c>
      <c r="S66" s="22">
        <f t="shared" ca="1" si="168"/>
        <v>0.2537158977010065</v>
      </c>
      <c r="T66" s="21">
        <f ca="1">F66/26.805</f>
        <v>320.98906920350646</v>
      </c>
      <c r="U66" s="21">
        <f t="shared" ca="1" si="169"/>
        <v>7.4648620745001502</v>
      </c>
      <c r="V66" s="18">
        <f t="shared" ca="1" si="170"/>
        <v>50.767441860465119</v>
      </c>
      <c r="W66" s="76"/>
      <c r="X66" s="8">
        <v>1</v>
      </c>
      <c r="Y66" s="8" t="s">
        <v>28</v>
      </c>
      <c r="Z66" s="8">
        <f t="shared" ref="Z66:AI66" si="181">SUM(D61)</f>
        <v>33</v>
      </c>
      <c r="AA66" s="9">
        <f t="shared" ca="1" si="181"/>
        <v>33</v>
      </c>
      <c r="AB66" s="11">
        <f t="shared" ca="1" si="181"/>
        <v>6267.3850000000002</v>
      </c>
      <c r="AC66" s="9">
        <f t="shared" ca="1" si="181"/>
        <v>2129</v>
      </c>
      <c r="AD66" s="9">
        <f t="shared" ca="1" si="181"/>
        <v>56</v>
      </c>
      <c r="AE66" s="9">
        <f t="shared" ca="1" si="181"/>
        <v>2185</v>
      </c>
      <c r="AF66" s="9">
        <f t="shared" ca="1" si="181"/>
        <v>2384</v>
      </c>
      <c r="AG66" s="9">
        <f t="shared" ca="1" si="181"/>
        <v>377</v>
      </c>
      <c r="AH66" s="9">
        <f t="shared" ca="1" si="181"/>
        <v>2761</v>
      </c>
      <c r="AI66" s="9">
        <f t="shared" ca="1" si="181"/>
        <v>4946</v>
      </c>
      <c r="AJ66" s="11">
        <f t="shared" ref="AJ66:AJ72" ca="1" si="182">AB66/AA66</f>
        <v>189.92075757575759</v>
      </c>
      <c r="AK66" s="8">
        <f t="shared" ref="AK66:AK67" si="183">SUM(O61)</f>
        <v>7315</v>
      </c>
      <c r="AL66" s="12">
        <f t="shared" ref="AL66:AL72" ca="1" si="184">AI66/AK66</f>
        <v>0.67614490772385505</v>
      </c>
      <c r="AM66" s="13">
        <f t="shared" ref="AM66:AM67" si="185">SUM(Q61)</f>
        <v>1.5</v>
      </c>
      <c r="AN66" s="12">
        <f t="shared" ref="AN66:AN72" ca="1" si="186">AO66/AM66</f>
        <v>0.52610990601875163</v>
      </c>
      <c r="AO66" s="14">
        <f t="shared" ref="AO66:AO72" ca="1" si="187">AI66/AB66</f>
        <v>0.78916485902812739</v>
      </c>
      <c r="AP66" s="13">
        <f t="shared" ref="AP66:AQ66" ca="1" si="188">SUM(T61)</f>
        <v>202.84768747774868</v>
      </c>
      <c r="AQ66" s="13">
        <f t="shared" ca="1" si="188"/>
        <v>6.1468996205378383</v>
      </c>
      <c r="AR66" s="9">
        <f t="shared" ref="AR66:AR72" ca="1" si="189">AI66/AA66</f>
        <v>149.87878787878788</v>
      </c>
      <c r="AS66" s="76"/>
      <c r="AT66" s="76"/>
    </row>
    <row r="67" spans="1:46" ht="15.75" customHeight="1" x14ac:dyDescent="0.25">
      <c r="A67" s="70"/>
      <c r="B67" s="16">
        <v>8</v>
      </c>
      <c r="C67" s="16" t="s">
        <v>25</v>
      </c>
      <c r="D67" s="34">
        <v>32</v>
      </c>
      <c r="E67" s="18">
        <f ca="1">IFERROR(__xludf.DUMMYFUNCTION("COUNT(IMPORTRANGE(""https://docs.google.com/spreadsheets/d/1vLOLpiE-XsbnCnwWPcoi87PlUSXfqIAAQn3kvqHfO6s/edit"",""3!d2:D33""))"),32)</f>
        <v>32</v>
      </c>
      <c r="F67" s="23">
        <f ca="1">IFERROR(__xludf.DUMMYFUNCTION("SUM(IMPORTRANGE(""https://docs.google.com/spreadsheets/d/1vLOLpiE-XsbnCnwWPcoi87PlUSXfqIAAQn3kvqHfO6s/edit"",""3!Q2:Q33""))"),6148.952)</f>
        <v>6148.9520000000002</v>
      </c>
      <c r="G67" s="18">
        <f ca="1">IFERROR(__xludf.DUMMYFUNCTION("IMPORTRANGE(""https://docs.google.com/spreadsheets/d/1vLOLpiE-XsbnCnwWPcoi87PlUSXfqIAAQn3kvqHfO6s/edit"",""3!e40"")"),2196)</f>
        <v>2196</v>
      </c>
      <c r="H67" s="18">
        <f ca="1">IFERROR(__xludf.DUMMYFUNCTION("IMPORTRANGE(""https://docs.google.com/spreadsheets/d/1vLOLpiE-XsbnCnwWPcoi87PlUSXfqIAAQn3kvqHfO6s/edit"",""3!e41"")"),280)</f>
        <v>280</v>
      </c>
      <c r="I67" s="18">
        <f t="shared" ca="1" si="162"/>
        <v>2476</v>
      </c>
      <c r="J67" s="18">
        <f ca="1">IFERROR(__xludf.DUMMYFUNCTION("IMPORTRANGE(""https://docs.google.com/spreadsheets/d/1vLOLpiE-XsbnCnwWPcoi87PlUSXfqIAAQn3kvqHfO6s/edit"",""3!e44"")"),3060)</f>
        <v>3060</v>
      </c>
      <c r="K67" s="18">
        <f ca="1">IFERROR(__xludf.DUMMYFUNCTION("IMPORTRANGE(""https://docs.google.com/spreadsheets/d/1vLOLpiE-XsbnCnwWPcoi87PlUSXfqIAAQn3kvqHfO6s/edit"",""3!e45"")"),128)</f>
        <v>128</v>
      </c>
      <c r="L67" s="18">
        <f ca="1">J67+K67</f>
        <v>3188</v>
      </c>
      <c r="M67" s="18">
        <f t="shared" ca="1" si="164"/>
        <v>5664</v>
      </c>
      <c r="N67" s="19">
        <f t="shared" ca="1" si="165"/>
        <v>192.15475000000001</v>
      </c>
      <c r="O67" s="16">
        <v>6622</v>
      </c>
      <c r="P67" s="20">
        <f t="shared" ca="1" si="166"/>
        <v>0.85533071579583209</v>
      </c>
      <c r="Q67" s="21">
        <v>1.5</v>
      </c>
      <c r="R67" s="20">
        <f t="shared" ca="1" si="167"/>
        <v>0.61408838449218661</v>
      </c>
      <c r="S67" s="22">
        <f t="shared" ca="1" si="168"/>
        <v>0.92113257673827997</v>
      </c>
      <c r="T67" s="21">
        <f ca="1">F67/23.84</f>
        <v>257.92583892617449</v>
      </c>
      <c r="U67" s="21">
        <f t="shared" ca="1" si="169"/>
        <v>8.0601824664429529</v>
      </c>
      <c r="V67" s="18">
        <f t="shared" ca="1" si="170"/>
        <v>177</v>
      </c>
      <c r="W67" s="76"/>
      <c r="X67" s="8">
        <v>2</v>
      </c>
      <c r="Y67" s="8" t="s">
        <v>30</v>
      </c>
      <c r="Z67" s="8">
        <f t="shared" ref="Z67:AI67" si="190">SUM(D62)</f>
        <v>60</v>
      </c>
      <c r="AA67" s="9">
        <f t="shared" ca="1" si="190"/>
        <v>55</v>
      </c>
      <c r="AB67" s="10">
        <f t="shared" ca="1" si="190"/>
        <v>10893.9039999999</v>
      </c>
      <c r="AC67" s="9">
        <f t="shared" ca="1" si="190"/>
        <v>2720</v>
      </c>
      <c r="AD67" s="9">
        <f t="shared" ca="1" si="190"/>
        <v>0</v>
      </c>
      <c r="AE67" s="9">
        <f t="shared" ca="1" si="190"/>
        <v>2720</v>
      </c>
      <c r="AF67" s="9">
        <f t="shared" ca="1" si="190"/>
        <v>4777</v>
      </c>
      <c r="AG67" s="9">
        <f t="shared" ca="1" si="190"/>
        <v>0</v>
      </c>
      <c r="AH67" s="9">
        <f t="shared" ca="1" si="190"/>
        <v>4777</v>
      </c>
      <c r="AI67" s="9">
        <f t="shared" ca="1" si="190"/>
        <v>7497</v>
      </c>
      <c r="AJ67" s="11">
        <f t="shared" ca="1" si="182"/>
        <v>198.07098181818</v>
      </c>
      <c r="AK67" s="8">
        <f t="shared" si="183"/>
        <v>11164</v>
      </c>
      <c r="AL67" s="12">
        <f t="shared" ca="1" si="184"/>
        <v>0.67153350053744176</v>
      </c>
      <c r="AM67" s="13">
        <f t="shared" si="185"/>
        <v>1.5</v>
      </c>
      <c r="AN67" s="12">
        <f t="shared" ca="1" si="186"/>
        <v>0.45878869503531933</v>
      </c>
      <c r="AO67" s="14">
        <f t="shared" ca="1" si="187"/>
        <v>0.68818304255297902</v>
      </c>
      <c r="AP67" s="13">
        <f t="shared" ref="AP67:AQ67" ca="1" si="191">SUM(T62)</f>
        <v>367.99999999999659</v>
      </c>
      <c r="AQ67" s="13">
        <f t="shared" ca="1" si="191"/>
        <v>6.6909090909090292</v>
      </c>
      <c r="AR67" s="9">
        <f t="shared" ca="1" si="189"/>
        <v>136.30909090909091</v>
      </c>
      <c r="AS67" s="76"/>
      <c r="AT67" s="76"/>
    </row>
    <row r="68" spans="1:46" ht="15.75" customHeight="1" x14ac:dyDescent="0.25">
      <c r="A68" s="70"/>
      <c r="B68" s="16">
        <v>9</v>
      </c>
      <c r="C68" s="16" t="s">
        <v>36</v>
      </c>
      <c r="D68" s="34">
        <v>24</v>
      </c>
      <c r="E68" s="18">
        <f ca="1">IFERROR(__xludf.DUMMYFUNCTION("COUNT(IMPORTRANGE(""https://docs.google.com/spreadsheets/d/1WJJVq25XDtGjt-J2JPxeKs3jIvDZtkIREC0lFPXwf74/edit"",""3!d2:d31""))"),24)</f>
        <v>24</v>
      </c>
      <c r="F68" s="23">
        <f ca="1">IFERROR(__xludf.DUMMYFUNCTION("SUM(IMPORTRANGE(""https://docs.google.com/spreadsheets/d/1WJJVq25XDtGjt-J2JPxeKs3jIvDZtkIREC0lFPXwf74/edit"",""3!Q2:Q31""))"),4745.19399999999)</f>
        <v>4745.1939999999904</v>
      </c>
      <c r="G68" s="18">
        <f ca="1">IFERROR(__xludf.DUMMYFUNCTION("IMPORTRANGE(""https://docs.google.com/spreadsheets/d/1WJJVq25XDtGjt-J2JPxeKs3jIvDZtkIREC0lFPXwf74/edit"",""3!e38"")"),1189)</f>
        <v>1189</v>
      </c>
      <c r="H68" s="18">
        <f ca="1">IFERROR(__xludf.DUMMYFUNCTION("IMPORTRANGE(""https://docs.google.com/spreadsheets/d/1WJJVq25XDtGjt-J2JPxeKs3jIvDZtkIREC0lFPXwf74/edit"",""3!e39"")"),0)</f>
        <v>0</v>
      </c>
      <c r="I68" s="18">
        <f t="shared" ca="1" si="162"/>
        <v>1189</v>
      </c>
      <c r="J68" s="18">
        <f ca="1">IFERROR(__xludf.DUMMYFUNCTION("IMPORTRANGE(""https://docs.google.com/spreadsheets/d/1WJJVq25XDtGjt-J2JPxeKs3jIvDZtkIREC0lFPXwf74/edit"",""3!e42"")"),1969)</f>
        <v>1969</v>
      </c>
      <c r="K68" s="18">
        <f ca="1">IFERROR(__xludf.DUMMYFUNCTION("IMPORTRANGE(""https://docs.google.com/spreadsheets/d/1WJJVq25XDtGjt-J2JPxeKs3jIvDZtkIREC0lFPXwf74/edit"",""3!e43"")"),0)</f>
        <v>0</v>
      </c>
      <c r="L68" s="18">
        <f t="shared" ref="L68:L77" ca="1" si="192">SUM(J68:K68)</f>
        <v>1969</v>
      </c>
      <c r="M68" s="18">
        <f t="shared" ca="1" si="164"/>
        <v>3158</v>
      </c>
      <c r="N68" s="19">
        <f t="shared" ca="1" si="165"/>
        <v>197.71641666666628</v>
      </c>
      <c r="O68" s="16">
        <v>4796</v>
      </c>
      <c r="P68" s="20">
        <f t="shared" ca="1" si="166"/>
        <v>0.65846538782318598</v>
      </c>
      <c r="Q68" s="21">
        <v>1.5</v>
      </c>
      <c r="R68" s="20">
        <f t="shared" ca="1" si="167"/>
        <v>0.44367697787136579</v>
      </c>
      <c r="S68" s="22">
        <f t="shared" ca="1" si="168"/>
        <v>0.66551546680704865</v>
      </c>
      <c r="T68" s="21">
        <f ca="1">F68/37.414</f>
        <v>126.82936868551853</v>
      </c>
      <c r="U68" s="21">
        <f t="shared" ca="1" si="169"/>
        <v>5.2845570285632721</v>
      </c>
      <c r="V68" s="18">
        <f t="shared" ca="1" si="170"/>
        <v>131.58333333333334</v>
      </c>
      <c r="W68" s="76"/>
      <c r="X68" s="8">
        <v>3</v>
      </c>
      <c r="Y68" s="8" t="s">
        <v>34</v>
      </c>
      <c r="Z68" s="8">
        <f t="shared" ref="Z68:AI68" si="193">SUM(D64)</f>
        <v>40</v>
      </c>
      <c r="AA68" s="9">
        <f t="shared" ca="1" si="193"/>
        <v>38</v>
      </c>
      <c r="AB68" s="10">
        <f t="shared" ca="1" si="193"/>
        <v>6988.2389999999996</v>
      </c>
      <c r="AC68" s="9">
        <f t="shared" ca="1" si="193"/>
        <v>2258</v>
      </c>
      <c r="AD68" s="9">
        <f t="shared" ca="1" si="193"/>
        <v>0</v>
      </c>
      <c r="AE68" s="9">
        <f t="shared" ca="1" si="193"/>
        <v>2258</v>
      </c>
      <c r="AF68" s="9">
        <f t="shared" ca="1" si="193"/>
        <v>2883</v>
      </c>
      <c r="AG68" s="9">
        <f t="shared" ca="1" si="193"/>
        <v>36</v>
      </c>
      <c r="AH68" s="9">
        <f t="shared" ca="1" si="193"/>
        <v>2919</v>
      </c>
      <c r="AI68" s="9">
        <f t="shared" ca="1" si="193"/>
        <v>5177</v>
      </c>
      <c r="AJ68" s="11">
        <f t="shared" ca="1" si="182"/>
        <v>183.90102631578947</v>
      </c>
      <c r="AK68" s="8">
        <f>SUM(O64)</f>
        <v>9354</v>
      </c>
      <c r="AL68" s="12">
        <f t="shared" ca="1" si="184"/>
        <v>0.55345306820611506</v>
      </c>
      <c r="AM68" s="13">
        <f>SUM(Q64)</f>
        <v>1.5</v>
      </c>
      <c r="AN68" s="12">
        <f t="shared" ca="1" si="186"/>
        <v>0.49387740363964849</v>
      </c>
      <c r="AO68" s="14">
        <f t="shared" ca="1" si="187"/>
        <v>0.74081610545947274</v>
      </c>
      <c r="AP68" s="13">
        <f t="shared" ref="AP68:AQ68" ca="1" si="194">SUM(T64)</f>
        <v>227.53358512681925</v>
      </c>
      <c r="AQ68" s="13">
        <f t="shared" ca="1" si="194"/>
        <v>5.9877259243899799</v>
      </c>
      <c r="AR68" s="9">
        <f t="shared" ca="1" si="189"/>
        <v>136.23684210526315</v>
      </c>
      <c r="AS68" s="76"/>
      <c r="AT68" s="76"/>
    </row>
    <row r="69" spans="1:46" ht="15.75" customHeight="1" x14ac:dyDescent="0.25">
      <c r="A69" s="70"/>
      <c r="B69" s="16">
        <v>10</v>
      </c>
      <c r="C69" s="16" t="s">
        <v>37</v>
      </c>
      <c r="D69" s="17">
        <v>30</v>
      </c>
      <c r="E69" s="18">
        <f ca="1">IFERROR(__xludf.DUMMYFUNCTION("COUNT(IMPORTRANGE(""https://docs.google.com/spreadsheets/d/1rJyYfywRpWJW0zvDJHLOJtqUQqffoCGaqTVxxTDgV0k/edit"",""3!d2:d31""))"),29)</f>
        <v>29</v>
      </c>
      <c r="F69" s="23">
        <f ca="1">IFERROR(__xludf.DUMMYFUNCTION("SUM(IMPORTRANGE(""https://docs.google.com/spreadsheets/d/1rJyYfywRpWJW0zvDJHLOJtqUQqffoCGaqTVxxTDgV0k/edit"",""3!Q2:Q31""))"),5539.476)</f>
        <v>5539.4759999999997</v>
      </c>
      <c r="G69" s="18">
        <f ca="1">IFERROR(__xludf.DUMMYFUNCTION("(IMPORTRANGE(""https://docs.google.com/spreadsheets/d/1rJyYfywRpWJW0zvDJHLOJtqUQqffoCGaqTVxxTDgV0k/edit"",""3!e38""))"),2148)</f>
        <v>2148</v>
      </c>
      <c r="H69" s="18">
        <f ca="1">IFERROR(__xludf.DUMMYFUNCTION("(IMPORTRANGE(""https://docs.google.com/spreadsheets/d/1rJyYfywRpWJW0zvDJHLOJtqUQqffoCGaqTVxxTDgV0k/edit"",""3!e39""))"),0)</f>
        <v>0</v>
      </c>
      <c r="I69" s="18">
        <f t="shared" ca="1" si="162"/>
        <v>2148</v>
      </c>
      <c r="J69" s="18">
        <f ca="1">IFERROR(__xludf.DUMMYFUNCTION("(IMPORTRANGE(""https://docs.google.com/spreadsheets/d/1rJyYfywRpWJW0zvDJHLOJtqUQqffoCGaqTVxxTDgV0k/edit"",""3!e42""))"),2430)</f>
        <v>2430</v>
      </c>
      <c r="K69" s="18">
        <f ca="1">IFERROR(__xludf.DUMMYFUNCTION("(IMPORTRANGE(""https://docs.google.com/spreadsheets/d/1rJyYfywRpWJW0zvDJHLOJtqUQqffoCGaqTVxxTDgV0k/edit"",""3!e43""))"),93)</f>
        <v>93</v>
      </c>
      <c r="L69" s="18">
        <f t="shared" ca="1" si="192"/>
        <v>2523</v>
      </c>
      <c r="M69" s="18">
        <f t="shared" ca="1" si="164"/>
        <v>4671</v>
      </c>
      <c r="N69" s="19">
        <f t="shared" ca="1" si="165"/>
        <v>191.01641379310342</v>
      </c>
      <c r="O69" s="16">
        <v>5887</v>
      </c>
      <c r="P69" s="20">
        <f t="shared" ca="1" si="166"/>
        <v>0.79344317988788859</v>
      </c>
      <c r="Q69" s="21">
        <v>1.5</v>
      </c>
      <c r="R69" s="20">
        <f t="shared" ca="1" si="167"/>
        <v>0.56214703340171523</v>
      </c>
      <c r="S69" s="22">
        <f t="shared" ca="1" si="168"/>
        <v>0.84322055010257291</v>
      </c>
      <c r="T69" s="21">
        <f ca="1">F69/24.792</f>
        <v>223.43804453049367</v>
      </c>
      <c r="U69" s="21">
        <f t="shared" ca="1" si="169"/>
        <v>7.7047601562239194</v>
      </c>
      <c r="V69" s="18">
        <f t="shared" ca="1" si="170"/>
        <v>161.06896551724137</v>
      </c>
      <c r="W69" s="76"/>
      <c r="X69" s="8">
        <v>4</v>
      </c>
      <c r="Y69" s="8" t="s">
        <v>38</v>
      </c>
      <c r="Z69" s="8">
        <f t="shared" ref="Z69:AI69" si="195">SUM(D72)</f>
        <v>30</v>
      </c>
      <c r="AA69" s="9">
        <f t="shared" ca="1" si="195"/>
        <v>29</v>
      </c>
      <c r="AB69" s="10">
        <f t="shared" ca="1" si="195"/>
        <v>6263.16</v>
      </c>
      <c r="AC69" s="9">
        <f t="shared" ca="1" si="195"/>
        <v>1706</v>
      </c>
      <c r="AD69" s="9">
        <f t="shared" ca="1" si="195"/>
        <v>177</v>
      </c>
      <c r="AE69" s="9">
        <f t="shared" ca="1" si="195"/>
        <v>1883</v>
      </c>
      <c r="AF69" s="9">
        <f t="shared" ca="1" si="195"/>
        <v>2583</v>
      </c>
      <c r="AG69" s="9">
        <f t="shared" ca="1" si="195"/>
        <v>0</v>
      </c>
      <c r="AH69" s="9">
        <f t="shared" ca="1" si="195"/>
        <v>2583</v>
      </c>
      <c r="AI69" s="9">
        <f t="shared" ca="1" si="195"/>
        <v>4466</v>
      </c>
      <c r="AJ69" s="11">
        <f t="shared" ca="1" si="182"/>
        <v>215.97103448275863</v>
      </c>
      <c r="AK69" s="8">
        <v>7324</v>
      </c>
      <c r="AL69" s="12">
        <f t="shared" ca="1" si="184"/>
        <v>0.60977607864554884</v>
      </c>
      <c r="AM69" s="13">
        <f>SUM(Q72)</f>
        <v>1.5</v>
      </c>
      <c r="AN69" s="12">
        <f t="shared" ca="1" si="186"/>
        <v>0.47537238923056946</v>
      </c>
      <c r="AO69" s="14">
        <f t="shared" ca="1" si="187"/>
        <v>0.71305858384585419</v>
      </c>
      <c r="AP69" s="13">
        <f t="shared" ref="AP69:AQ69" ca="1" si="196">SUM(T72)</f>
        <v>152</v>
      </c>
      <c r="AQ69" s="13">
        <f t="shared" ca="1" si="196"/>
        <v>5.2413793103448274</v>
      </c>
      <c r="AR69" s="9">
        <f t="shared" ca="1" si="189"/>
        <v>154</v>
      </c>
      <c r="AS69" s="76"/>
      <c r="AT69" s="76"/>
    </row>
    <row r="70" spans="1:46" ht="15.75" customHeight="1" x14ac:dyDescent="0.25">
      <c r="A70" s="70"/>
      <c r="B70" s="16">
        <v>12</v>
      </c>
      <c r="C70" s="16" t="s">
        <v>39</v>
      </c>
      <c r="D70" s="17">
        <v>28</v>
      </c>
      <c r="E70" s="18">
        <f ca="1">IFERROR(__xludf.DUMMYFUNCTION("COUNT(IMPORTRANGE(""https://docs.google.com/spreadsheets/d/1uaTn2DZCfr7O1PvovOd0wElzVz8kpl_iPfnrkNPp0Is/edit"",""3!d2:d29""))"),27)</f>
        <v>27</v>
      </c>
      <c r="F70" s="23">
        <f ca="1">IFERROR(__xludf.DUMMYFUNCTION("SUM(IMPORTRANGE(""https://docs.google.com/spreadsheets/d/1uaTn2DZCfr7O1PvovOd0wElzVz8kpl_iPfnrkNPp0Is/edit"",""3!Q2:Q29""))"),5404.311)</f>
        <v>5404.3109999999997</v>
      </c>
      <c r="G70" s="18">
        <f ca="1">IFERROR(__xludf.DUMMYFUNCTION("IMPORTRANGE(""https://docs.google.com/spreadsheets/d/1uaTn2DZCfr7O1PvovOd0wElzVz8kpl_iPfnrkNPp0Is/edit"",""3!e36"")"),1046)</f>
        <v>1046</v>
      </c>
      <c r="H70" s="18">
        <f ca="1">IFERROR(__xludf.DUMMYFUNCTION("(IMPORTRANGE(""https://docs.google.com/spreadsheets/d/1uaTn2DZCfr7O1PvovOd0wElzVz8kpl_iPfnrkNPp0Is/edit"",""3!e37""))"),112)</f>
        <v>112</v>
      </c>
      <c r="I70" s="18">
        <f t="shared" ca="1" si="162"/>
        <v>1158</v>
      </c>
      <c r="J70" s="18">
        <f ca="1">IFERROR(__xludf.DUMMYFUNCTION("IMPORTRANGE(""https://docs.google.com/spreadsheets/d/1uaTn2DZCfr7O1PvovOd0wElzVz8kpl_iPfnrkNPp0Is/edit"",""3!e40"")"),1963)</f>
        <v>1963</v>
      </c>
      <c r="K70" s="18">
        <f ca="1">IFERROR(__xludf.DUMMYFUNCTION("IMPORTRANGE(""https://docs.google.com/spreadsheets/d/1uaTn2DZCfr7O1PvovOd0wElzVz8kpl_iPfnrkNPp0Is/edit"",""3!e41"")"),163)</f>
        <v>163</v>
      </c>
      <c r="L70" s="18">
        <f t="shared" ca="1" si="192"/>
        <v>2126</v>
      </c>
      <c r="M70" s="18">
        <f t="shared" ca="1" si="164"/>
        <v>3284</v>
      </c>
      <c r="N70" s="19">
        <f t="shared" ca="1" si="165"/>
        <v>200.15966666666665</v>
      </c>
      <c r="O70" s="16">
        <v>3569</v>
      </c>
      <c r="P70" s="20">
        <f t="shared" ca="1" si="166"/>
        <v>0.92014569907537125</v>
      </c>
      <c r="Q70" s="21">
        <v>1.5</v>
      </c>
      <c r="R70" s="20">
        <f t="shared" ca="1" si="167"/>
        <v>0.40510868699697955</v>
      </c>
      <c r="S70" s="22">
        <f t="shared" ca="1" si="168"/>
        <v>0.60766303049546933</v>
      </c>
      <c r="T70" s="21">
        <f ca="1">F70/21.463</f>
        <v>251.7966267530168</v>
      </c>
      <c r="U70" s="21">
        <f t="shared" ca="1" si="169"/>
        <v>9.325800990852473</v>
      </c>
      <c r="V70" s="18">
        <f t="shared" ca="1" si="170"/>
        <v>121.62962962962963</v>
      </c>
      <c r="W70" s="76"/>
      <c r="X70" s="8">
        <v>5</v>
      </c>
      <c r="Y70" s="8" t="s">
        <v>40</v>
      </c>
      <c r="Z70" s="8">
        <f t="shared" ref="Z70:AI70" si="197">SUM(D74)</f>
        <v>30</v>
      </c>
      <c r="AA70" s="9">
        <f t="shared" ca="1" si="197"/>
        <v>29</v>
      </c>
      <c r="AB70" s="10">
        <f t="shared" ca="1" si="197"/>
        <v>5546.3849999999902</v>
      </c>
      <c r="AC70" s="9">
        <f t="shared" ca="1" si="197"/>
        <v>3255</v>
      </c>
      <c r="AD70" s="9">
        <f t="shared" ca="1" si="197"/>
        <v>0</v>
      </c>
      <c r="AE70" s="9">
        <f t="shared" ca="1" si="197"/>
        <v>3255</v>
      </c>
      <c r="AF70" s="9">
        <f t="shared" ca="1" si="197"/>
        <v>3774</v>
      </c>
      <c r="AG70" s="9">
        <f t="shared" ca="1" si="197"/>
        <v>60</v>
      </c>
      <c r="AH70" s="9">
        <f t="shared" ca="1" si="197"/>
        <v>3834</v>
      </c>
      <c r="AI70" s="9">
        <f t="shared" ca="1" si="197"/>
        <v>7089</v>
      </c>
      <c r="AJ70" s="11">
        <f t="shared" ca="1" si="182"/>
        <v>191.25465517241346</v>
      </c>
      <c r="AK70" s="8">
        <f t="shared" ref="AK70:AK71" si="198">SUM(O74)</f>
        <v>8239</v>
      </c>
      <c r="AL70" s="12">
        <f t="shared" ca="1" si="184"/>
        <v>0.86041995387789783</v>
      </c>
      <c r="AM70" s="13">
        <f t="shared" ref="AM70:AM71" si="199">SUM(Q74)</f>
        <v>1.5</v>
      </c>
      <c r="AN70" s="12">
        <f t="shared" ca="1" si="186"/>
        <v>0.85208653925034206</v>
      </c>
      <c r="AO70" s="14">
        <f t="shared" ca="1" si="187"/>
        <v>1.2781298088755131</v>
      </c>
      <c r="AP70" s="13">
        <f t="shared" ref="AP70:AQ70" ca="1" si="200">SUM(T74)</f>
        <v>194.99999999999966</v>
      </c>
      <c r="AQ70" s="13">
        <f t="shared" ca="1" si="200"/>
        <v>6.7241379310344707</v>
      </c>
      <c r="AR70" s="9">
        <f t="shared" ca="1" si="189"/>
        <v>244.44827586206895</v>
      </c>
      <c r="AS70" s="76"/>
      <c r="AT70" s="76"/>
    </row>
    <row r="71" spans="1:46" ht="15.75" customHeight="1" x14ac:dyDescent="0.25">
      <c r="A71" s="70"/>
      <c r="B71" s="16">
        <v>12</v>
      </c>
      <c r="C71" s="16" t="s">
        <v>41</v>
      </c>
      <c r="D71" s="17">
        <v>24</v>
      </c>
      <c r="E71" s="18">
        <f ca="1">IFERROR(__xludf.DUMMYFUNCTION("COUNT(IMPORTRANGE(""https://docs.google.com/spreadsheets/d/1oYscvfOJW7GMkxt8QcupWuzb3ohaYePd3Mt2V2ufHok/edit"",""3!d2:d25""))"),23)</f>
        <v>23</v>
      </c>
      <c r="F71" s="23">
        <f ca="1">IFERROR(__xludf.DUMMYFUNCTION("SUM(IMPORTRANGE(""https://docs.google.com/spreadsheets/d/1oYscvfOJW7GMkxt8QcupWuzb3ohaYePd3Mt2V2ufHok/edit"",""3!Q2:Q25""))"),4348.732)</f>
        <v>4348.732</v>
      </c>
      <c r="G71" s="18">
        <f ca="1">IFERROR(__xludf.DUMMYFUNCTION("IMPORTRANGE(""https://docs.google.com/spreadsheets/d/1oYscvfOJW7GMkxt8QcupWuzb3ohaYePd3Mt2V2ufHok/edit"",""3!e32"")"),965)</f>
        <v>965</v>
      </c>
      <c r="H71" s="18">
        <f ca="1">IFERROR(__xludf.DUMMYFUNCTION("IMPORTRANGE(""https://docs.google.com/spreadsheets/d/1oYscvfOJW7GMkxt8QcupWuzb3ohaYePd3Mt2V2ufHok/edit"",""3!e33"")"),213)</f>
        <v>213</v>
      </c>
      <c r="I71" s="18">
        <f t="shared" ca="1" si="162"/>
        <v>1178</v>
      </c>
      <c r="J71" s="18">
        <f ca="1">IFERROR(__xludf.DUMMYFUNCTION("IMPORTRANGE(""https://docs.google.com/spreadsheets/d/1oYscvfOJW7GMkxt8QcupWuzb3ohaYePd3Mt2V2ufHok/edit"",""3!e36"")"),1560)</f>
        <v>1560</v>
      </c>
      <c r="K71" s="18">
        <f ca="1">IFERROR(__xludf.DUMMYFUNCTION("IMPORTRANGE(""https://docs.google.com/spreadsheets/d/1oYscvfOJW7GMkxt8QcupWuzb3ohaYePd3Mt2V2ufHok/edit"",""3!e37"")"),134)</f>
        <v>134</v>
      </c>
      <c r="L71" s="18">
        <f t="shared" ca="1" si="192"/>
        <v>1694</v>
      </c>
      <c r="M71" s="18">
        <f t="shared" ca="1" si="164"/>
        <v>2872</v>
      </c>
      <c r="N71" s="19">
        <f t="shared" ca="1" si="165"/>
        <v>189.07530434782609</v>
      </c>
      <c r="O71" s="16">
        <v>3801</v>
      </c>
      <c r="P71" s="20">
        <f t="shared" ca="1" si="166"/>
        <v>0.75559063404367277</v>
      </c>
      <c r="Q71" s="21">
        <v>1.5</v>
      </c>
      <c r="R71" s="20">
        <f t="shared" ca="1" si="167"/>
        <v>0.44028159625993663</v>
      </c>
      <c r="S71" s="22">
        <f t="shared" ca="1" si="168"/>
        <v>0.66042239438990491</v>
      </c>
      <c r="T71" s="21">
        <f ca="1">F71/29.628</f>
        <v>146.77777777777777</v>
      </c>
      <c r="U71" s="21">
        <f t="shared" ca="1" si="169"/>
        <v>6.3816425120772946</v>
      </c>
      <c r="V71" s="18">
        <f t="shared" ca="1" si="170"/>
        <v>124.8695652173913</v>
      </c>
      <c r="W71" s="76"/>
      <c r="X71" s="8">
        <v>6</v>
      </c>
      <c r="Y71" s="8" t="s">
        <v>42</v>
      </c>
      <c r="Z71" s="8">
        <f t="shared" ref="Z71:AI71" si="201">SUM(D75)</f>
        <v>33</v>
      </c>
      <c r="AA71" s="9">
        <f t="shared" ca="1" si="201"/>
        <v>33</v>
      </c>
      <c r="AB71" s="10">
        <f t="shared" ca="1" si="201"/>
        <v>6257.1999999999898</v>
      </c>
      <c r="AC71" s="9">
        <f t="shared" ca="1" si="201"/>
        <v>2770</v>
      </c>
      <c r="AD71" s="9">
        <f t="shared" ca="1" si="201"/>
        <v>40</v>
      </c>
      <c r="AE71" s="9">
        <f t="shared" ca="1" si="201"/>
        <v>2810</v>
      </c>
      <c r="AF71" s="9">
        <f t="shared" ca="1" si="201"/>
        <v>3893</v>
      </c>
      <c r="AG71" s="9">
        <f t="shared" ca="1" si="201"/>
        <v>311</v>
      </c>
      <c r="AH71" s="9">
        <f t="shared" ca="1" si="201"/>
        <v>4204</v>
      </c>
      <c r="AI71" s="9">
        <f t="shared" ca="1" si="201"/>
        <v>7014</v>
      </c>
      <c r="AJ71" s="11">
        <f t="shared" ca="1" si="182"/>
        <v>189.61212121212091</v>
      </c>
      <c r="AK71" s="8">
        <f t="shared" si="198"/>
        <v>9877</v>
      </c>
      <c r="AL71" s="12">
        <f t="shared" ca="1" si="184"/>
        <v>0.71013465627214745</v>
      </c>
      <c r="AM71" s="13">
        <f t="shared" si="199"/>
        <v>1.5</v>
      </c>
      <c r="AN71" s="12">
        <f t="shared" ca="1" si="186"/>
        <v>0.74729911142364125</v>
      </c>
      <c r="AO71" s="14">
        <f t="shared" ca="1" si="187"/>
        <v>1.1209486671354618</v>
      </c>
      <c r="AP71" s="13">
        <f t="shared" ref="AP71:AQ71" ca="1" si="202">SUM(T75)</f>
        <v>239.23532785318255</v>
      </c>
      <c r="AQ71" s="13">
        <f t="shared" ca="1" si="202"/>
        <v>7.2495553894903804</v>
      </c>
      <c r="AR71" s="9">
        <f t="shared" ca="1" si="189"/>
        <v>212.54545454545453</v>
      </c>
      <c r="AS71" s="76"/>
      <c r="AT71" s="76"/>
    </row>
    <row r="72" spans="1:46" ht="15.75" customHeight="1" x14ac:dyDescent="0.25">
      <c r="A72" s="70"/>
      <c r="B72" s="16">
        <v>13</v>
      </c>
      <c r="C72" s="16" t="s">
        <v>43</v>
      </c>
      <c r="D72" s="17">
        <v>30</v>
      </c>
      <c r="E72" s="18">
        <f ca="1">IFERROR(__xludf.DUMMYFUNCTION("COUNT(IMPORTRANGE(""https://docs.google.com/spreadsheets/d/1AxBmuQEdOYAeRnZ4C8vO6kuTNp7X_SGhpLXuY0n4ln4/edit"",""3!d2:d31""))"),29)</f>
        <v>29</v>
      </c>
      <c r="F72" s="23">
        <f ca="1">IFERROR(__xludf.DUMMYFUNCTION("SUM(IMPORTRANGE(""https://docs.google.com/spreadsheets/d/1AxBmuQEdOYAeRnZ4C8vO6kuTNp7X_SGhpLXuY0n4ln4/edit"",""3!Q2:Q31""))"),6263.16)</f>
        <v>6263.16</v>
      </c>
      <c r="G72" s="18">
        <f ca="1">IFERROR(__xludf.DUMMYFUNCTION("IMPORTRANGE(""https://docs.google.com/spreadsheets/d/1AxBmuQEdOYAeRnZ4C8vO6kuTNp7X_SGhpLXuY0n4ln4/edit"",""3!e38"")"),1706)</f>
        <v>1706</v>
      </c>
      <c r="H72" s="18">
        <f ca="1">IFERROR(__xludf.DUMMYFUNCTION("IMPORTRANGE(""https://docs.google.com/spreadsheets/d/1AxBmuQEdOYAeRnZ4C8vO6kuTNp7X_SGhpLXuY0n4ln4/edit"",""3!e39"")"),177)</f>
        <v>177</v>
      </c>
      <c r="I72" s="18">
        <f t="shared" ca="1" si="162"/>
        <v>1883</v>
      </c>
      <c r="J72" s="18">
        <f ca="1">IFERROR(__xludf.DUMMYFUNCTION("IMPORTRANGE(""https://docs.google.com/spreadsheets/d/1AxBmuQEdOYAeRnZ4C8vO6kuTNp7X_SGhpLXuY0n4ln4/edit"",""3!e42"")"),2583)</f>
        <v>2583</v>
      </c>
      <c r="K72" s="18">
        <f ca="1">IFERROR(__xludf.DUMMYFUNCTION("IMPORTRANGE(""https://docs.google.com/spreadsheets/d/1AxBmuQEdOYAeRnZ4C8vO6kuTNp7X_SGhpLXuY0n4ln4/edit"",""3!e43"")"),0)</f>
        <v>0</v>
      </c>
      <c r="L72" s="18">
        <f t="shared" ca="1" si="192"/>
        <v>2583</v>
      </c>
      <c r="M72" s="18">
        <f t="shared" ca="1" si="164"/>
        <v>4466</v>
      </c>
      <c r="N72" s="19">
        <f t="shared" ca="1" si="165"/>
        <v>215.97103448275863</v>
      </c>
      <c r="O72" s="16">
        <v>8345</v>
      </c>
      <c r="P72" s="20">
        <f t="shared" ca="1" si="166"/>
        <v>0.5351707609346914</v>
      </c>
      <c r="Q72" s="21">
        <v>1.5</v>
      </c>
      <c r="R72" s="20">
        <f t="shared" ca="1" si="167"/>
        <v>0.47537238923056946</v>
      </c>
      <c r="S72" s="22">
        <f t="shared" ca="1" si="168"/>
        <v>0.71305858384585419</v>
      </c>
      <c r="T72" s="21">
        <f ca="1">F72/41.205</f>
        <v>152</v>
      </c>
      <c r="U72" s="21">
        <f t="shared" ca="1" si="169"/>
        <v>5.2413793103448274</v>
      </c>
      <c r="V72" s="18">
        <f t="shared" ca="1" si="170"/>
        <v>154</v>
      </c>
      <c r="W72" s="76"/>
      <c r="X72" s="24" t="s">
        <v>33</v>
      </c>
      <c r="Y72" s="24">
        <v>6</v>
      </c>
      <c r="Z72" s="24">
        <f t="shared" ref="Z72:AI72" si="203">SUM(Z66:Z71)</f>
        <v>226</v>
      </c>
      <c r="AA72" s="25">
        <f t="shared" ca="1" si="203"/>
        <v>217</v>
      </c>
      <c r="AB72" s="27">
        <f t="shared" ca="1" si="203"/>
        <v>42216.272999999885</v>
      </c>
      <c r="AC72" s="25">
        <f t="shared" ca="1" si="203"/>
        <v>14838</v>
      </c>
      <c r="AD72" s="25">
        <f t="shared" ca="1" si="203"/>
        <v>273</v>
      </c>
      <c r="AE72" s="25">
        <f t="shared" ca="1" si="203"/>
        <v>15111</v>
      </c>
      <c r="AF72" s="25">
        <f t="shared" ca="1" si="203"/>
        <v>20294</v>
      </c>
      <c r="AG72" s="25">
        <f t="shared" ca="1" si="203"/>
        <v>784</v>
      </c>
      <c r="AH72" s="25">
        <f t="shared" ca="1" si="203"/>
        <v>21078</v>
      </c>
      <c r="AI72" s="25">
        <f t="shared" ca="1" si="203"/>
        <v>36189</v>
      </c>
      <c r="AJ72" s="27">
        <f t="shared" ca="1" si="182"/>
        <v>194.54503686635891</v>
      </c>
      <c r="AK72" s="24">
        <f>SUM(AK66:AK71)</f>
        <v>53273</v>
      </c>
      <c r="AL72" s="28">
        <f t="shared" ca="1" si="184"/>
        <v>0.67931222195108221</v>
      </c>
      <c r="AM72" s="29">
        <v>1.5</v>
      </c>
      <c r="AN72" s="28">
        <f t="shared" ca="1" si="186"/>
        <v>0.57148578700919583</v>
      </c>
      <c r="AO72" s="30">
        <f t="shared" ca="1" si="187"/>
        <v>0.85722868051379375</v>
      </c>
      <c r="AP72" s="29">
        <f ca="1">SUM(AP66:AP71)</f>
        <v>1384.6166004577467</v>
      </c>
      <c r="AQ72" s="29">
        <f ca="1">AP72/AA72</f>
        <v>6.380721661095607</v>
      </c>
      <c r="AR72" s="25">
        <f t="shared" ca="1" si="189"/>
        <v>166.76958525345623</v>
      </c>
      <c r="AS72" s="76"/>
      <c r="AT72" s="76"/>
    </row>
    <row r="73" spans="1:46" ht="15.75" customHeight="1" x14ac:dyDescent="0.25">
      <c r="A73" s="70"/>
      <c r="B73" s="16">
        <v>14</v>
      </c>
      <c r="C73" s="16" t="s">
        <v>27</v>
      </c>
      <c r="D73" s="17">
        <v>30</v>
      </c>
      <c r="E73" s="18">
        <f ca="1">IFERROR(__xludf.DUMMYFUNCTION("COUNT(IMPORTRANGE(""https://docs.google.com/spreadsheets/d/1LsL4JuXvBtfJ-TVi4NFml9lV_pmd61b789A_nbO-QrA/edit"",""3!d2:d31""))"),30)</f>
        <v>30</v>
      </c>
      <c r="F73" s="23">
        <f ca="1">IFERROR(__xludf.DUMMYFUNCTION("SUM(IMPORTRANGE(""https://docs.google.com/spreadsheets/d/1LsL4JuXvBtfJ-TVi4NFml9lV_pmd61b789A_nbO-QrA/edit"",""3!Q2:Q31""))"),5305.88)</f>
        <v>5305.88</v>
      </c>
      <c r="G73" s="18">
        <f ca="1">IFERROR(__xludf.DUMMYFUNCTION("IMPORTRANGE(""https://docs.google.com/spreadsheets/d/1LsL4JuXvBtfJ-TVi4NFml9lV_pmd61b789A_nbO-QrA/edit"",""3!e38"")"),1460)</f>
        <v>1460</v>
      </c>
      <c r="H73" s="18">
        <f ca="1">IFERROR(__xludf.DUMMYFUNCTION("IMPORTRANGE(""https://docs.google.com/spreadsheets/d/1LsL4JuXvBtfJ-TVi4NFml9lV_pmd61b789A_nbO-QrA/edit"",""3!e39"")"),30)</f>
        <v>30</v>
      </c>
      <c r="I73" s="18">
        <f t="shared" ca="1" si="162"/>
        <v>1490</v>
      </c>
      <c r="J73" s="18">
        <f ca="1">IFERROR(__xludf.DUMMYFUNCTION("IMPORTRANGE(""https://docs.google.com/spreadsheets/d/1LsL4JuXvBtfJ-TVi4NFml9lV_pmd61b789A_nbO-QrA/edit"",""3!e42"")"),2365)</f>
        <v>2365</v>
      </c>
      <c r="K73" s="18">
        <f ca="1">IFERROR(__xludf.DUMMYFUNCTION("IMPORTRANGE(""https://docs.google.com/spreadsheets/d/1LsL4JuXvBtfJ-TVi4NFml9lV_pmd61b789A_nbO-QrA/edit"",""3!e43"")"),64)</f>
        <v>64</v>
      </c>
      <c r="L73" s="18">
        <f t="shared" ca="1" si="192"/>
        <v>2429</v>
      </c>
      <c r="M73" s="18">
        <f t="shared" ca="1" si="164"/>
        <v>3919</v>
      </c>
      <c r="N73" s="19">
        <f t="shared" ca="1" si="165"/>
        <v>176.86266666666668</v>
      </c>
      <c r="O73" s="16">
        <v>8101</v>
      </c>
      <c r="P73" s="20">
        <f t="shared" ca="1" si="166"/>
        <v>0.48376743611899764</v>
      </c>
      <c r="Q73" s="21">
        <v>1.5</v>
      </c>
      <c r="R73" s="20">
        <f t="shared" ca="1" si="167"/>
        <v>0.49240967882173486</v>
      </c>
      <c r="S73" s="22">
        <f t="shared" ca="1" si="168"/>
        <v>0.73861451823260227</v>
      </c>
      <c r="T73" s="21">
        <f ca="1">F73/19.985</f>
        <v>265.49311983987991</v>
      </c>
      <c r="U73" s="21">
        <f t="shared" ca="1" si="169"/>
        <v>8.8497706613293303</v>
      </c>
      <c r="V73" s="18">
        <f t="shared" ca="1" si="170"/>
        <v>130.63333333333333</v>
      </c>
      <c r="W73" s="76"/>
      <c r="X73" s="97" t="s">
        <v>44</v>
      </c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9"/>
      <c r="AS73" s="76"/>
      <c r="AT73" s="76"/>
    </row>
    <row r="74" spans="1:46" ht="15.75" customHeight="1" x14ac:dyDescent="0.25">
      <c r="A74" s="70"/>
      <c r="B74" s="16">
        <v>15</v>
      </c>
      <c r="C74" s="16" t="s">
        <v>40</v>
      </c>
      <c r="D74" s="17">
        <v>30</v>
      </c>
      <c r="E74" s="18">
        <f ca="1">IFERROR(__xludf.DUMMYFUNCTION("COUNT(IMPORTRANGE(""https://docs.google.com/spreadsheets/d/1Krav0MVlY0vbUNsFRDnb_kR72_tyuGnWBYbGjNZrl18/edit"",""3!d2:d31""))"),29)</f>
        <v>29</v>
      </c>
      <c r="F74" s="23">
        <f ca="1">IFERROR(__xludf.DUMMYFUNCTION("SUM(IMPORTRANGE(""https://docs.google.com/spreadsheets/d/1Krav0MVlY0vbUNsFRDnb_kR72_tyuGnWBYbGjNZrl18/edit"",""3!Q2:Q31""))"),5546.38499999999)</f>
        <v>5546.3849999999902</v>
      </c>
      <c r="G74" s="18">
        <f ca="1">IFERROR(__xludf.DUMMYFUNCTION("IMPORTRANGE(""https://docs.google.com/spreadsheets/d/1Krav0MVlY0vbUNsFRDnb_kR72_tyuGnWBYbGjNZrl18/edit"",""3!e38"")"),3255)</f>
        <v>3255</v>
      </c>
      <c r="H74" s="18">
        <f ca="1">IFERROR(__xludf.DUMMYFUNCTION("IMPORTRANGE(""https://docs.google.com/spreadsheets/d/1Krav0MVlY0vbUNsFRDnb_kR72_tyuGnWBYbGjNZrl18/edit"",""3!e39"")"),0)</f>
        <v>0</v>
      </c>
      <c r="I74" s="18">
        <f t="shared" ca="1" si="162"/>
        <v>3255</v>
      </c>
      <c r="J74" s="18">
        <f ca="1">IFERROR(__xludf.DUMMYFUNCTION("IMPORTRANGE(""https://docs.google.com/spreadsheets/d/1Krav0MVlY0vbUNsFRDnb_kR72_tyuGnWBYbGjNZrl18/edit"",""3!e42"")"),3774)</f>
        <v>3774</v>
      </c>
      <c r="K74" s="18">
        <f ca="1">IFERROR(__xludf.DUMMYFUNCTION("IMPORTRANGE(""https://docs.google.com/spreadsheets/d/1Krav0MVlY0vbUNsFRDnb_kR72_tyuGnWBYbGjNZrl18/edit"",""3!e43"")"),60)</f>
        <v>60</v>
      </c>
      <c r="L74" s="18">
        <f t="shared" ca="1" si="192"/>
        <v>3834</v>
      </c>
      <c r="M74" s="18">
        <f t="shared" ca="1" si="164"/>
        <v>7089</v>
      </c>
      <c r="N74" s="19">
        <f t="shared" ca="1" si="165"/>
        <v>191.25465517241346</v>
      </c>
      <c r="O74" s="16">
        <v>8239</v>
      </c>
      <c r="P74" s="20">
        <f t="shared" ca="1" si="166"/>
        <v>0.86041995387789783</v>
      </c>
      <c r="Q74" s="21">
        <v>1.5</v>
      </c>
      <c r="R74" s="20">
        <f t="shared" ca="1" si="167"/>
        <v>0.85208653925034206</v>
      </c>
      <c r="S74" s="22">
        <f t="shared" ca="1" si="168"/>
        <v>1.2781298088755131</v>
      </c>
      <c r="T74" s="21">
        <f ca="1">F74/28.443</f>
        <v>194.99999999999966</v>
      </c>
      <c r="U74" s="21">
        <f t="shared" ca="1" si="169"/>
        <v>6.7241379310344707</v>
      </c>
      <c r="V74" s="18">
        <f t="shared" ca="1" si="170"/>
        <v>244.44827586206895</v>
      </c>
      <c r="W74" s="76"/>
      <c r="X74" s="1" t="s">
        <v>2</v>
      </c>
      <c r="Y74" s="1" t="s">
        <v>3</v>
      </c>
      <c r="Z74" s="1" t="s">
        <v>4</v>
      </c>
      <c r="AA74" s="1" t="s">
        <v>5</v>
      </c>
      <c r="AB74" s="2" t="s">
        <v>6</v>
      </c>
      <c r="AC74" s="1" t="s">
        <v>7</v>
      </c>
      <c r="AD74" s="1" t="s">
        <v>8</v>
      </c>
      <c r="AE74" s="1" t="s">
        <v>9</v>
      </c>
      <c r="AF74" s="1" t="s">
        <v>10</v>
      </c>
      <c r="AG74" s="1" t="s">
        <v>11</v>
      </c>
      <c r="AH74" s="1" t="s">
        <v>12</v>
      </c>
      <c r="AI74" s="1" t="s">
        <v>13</v>
      </c>
      <c r="AJ74" s="2" t="s">
        <v>14</v>
      </c>
      <c r="AK74" s="1" t="s">
        <v>15</v>
      </c>
      <c r="AL74" s="1" t="s">
        <v>16</v>
      </c>
      <c r="AM74" s="3" t="s">
        <v>17</v>
      </c>
      <c r="AN74" s="4" t="s">
        <v>18</v>
      </c>
      <c r="AO74" s="5" t="s">
        <v>19</v>
      </c>
      <c r="AP74" s="6" t="s">
        <v>20</v>
      </c>
      <c r="AQ74" s="6" t="s">
        <v>21</v>
      </c>
      <c r="AR74" s="7" t="s">
        <v>22</v>
      </c>
      <c r="AS74" s="76"/>
      <c r="AT74" s="76"/>
    </row>
    <row r="75" spans="1:46" ht="15.75" customHeight="1" x14ac:dyDescent="0.25">
      <c r="A75" s="70"/>
      <c r="B75" s="16">
        <v>16</v>
      </c>
      <c r="C75" s="16" t="s">
        <v>42</v>
      </c>
      <c r="D75" s="17">
        <v>33</v>
      </c>
      <c r="E75" s="18">
        <f ca="1">IFERROR(__xludf.DUMMYFUNCTION("COUNT(IMPORTRANGE(""https://docs.google.com/spreadsheets/d/1uXtm-E8PG0CetlFmSpTX3RK0LNEMnpR-mxbET9AGD6w/edit"",""3!d2:d34""))"),33)</f>
        <v>33</v>
      </c>
      <c r="F75" s="23">
        <f ca="1">IFERROR(__xludf.DUMMYFUNCTION("SUM(IMPORTRANGE(""https://docs.google.com/spreadsheets/d/1uXtm-E8PG0CetlFmSpTX3RK0LNEMnpR-mxbET9AGD6w/edit"",""3!Q2:Q34""))"),6257.19999999999)</f>
        <v>6257.1999999999898</v>
      </c>
      <c r="G75" s="18">
        <f ca="1">IFERROR(__xludf.DUMMYFUNCTION("IMPORTRANGE(""https://docs.google.com/spreadsheets/d/1uXtm-E8PG0CetlFmSpTX3RK0LNEMnpR-mxbET9AGD6w/edit"",""3!e41"")"),2770)</f>
        <v>2770</v>
      </c>
      <c r="H75" s="18">
        <f ca="1">IFERROR(__xludf.DUMMYFUNCTION("IMPORTRANGE(""https://docs.google.com/spreadsheets/d/1uXtm-E8PG0CetlFmSpTX3RK0LNEMnpR-mxbET9AGD6w/edit"",""3!e42"")"),40)</f>
        <v>40</v>
      </c>
      <c r="I75" s="18">
        <f t="shared" ca="1" si="162"/>
        <v>2810</v>
      </c>
      <c r="J75" s="18">
        <f ca="1">IFERROR(__xludf.DUMMYFUNCTION("IMPORTRANGE(""https://docs.google.com/spreadsheets/d/1uXtm-E8PG0CetlFmSpTX3RK0LNEMnpR-mxbET9AGD6w/edit"",""3!e45"")"),3893)</f>
        <v>3893</v>
      </c>
      <c r="K75" s="18">
        <f ca="1">IFERROR(__xludf.DUMMYFUNCTION("IMPORTRANGE(""https://docs.google.com/spreadsheets/d/1uXtm-E8PG0CetlFmSpTX3RK0LNEMnpR-mxbET9AGD6w/edit"",""3!e46"")"),311)</f>
        <v>311</v>
      </c>
      <c r="L75" s="18">
        <f t="shared" ca="1" si="192"/>
        <v>4204</v>
      </c>
      <c r="M75" s="18">
        <f t="shared" ca="1" si="164"/>
        <v>7014</v>
      </c>
      <c r="N75" s="19">
        <f t="shared" ca="1" si="165"/>
        <v>189.61212121212091</v>
      </c>
      <c r="O75" s="16">
        <v>9877</v>
      </c>
      <c r="P75" s="20">
        <f t="shared" ca="1" si="166"/>
        <v>0.71013465627214745</v>
      </c>
      <c r="Q75" s="21">
        <v>1.5</v>
      </c>
      <c r="R75" s="20">
        <f t="shared" ca="1" si="167"/>
        <v>0.74729911142364125</v>
      </c>
      <c r="S75" s="22">
        <f t="shared" ca="1" si="168"/>
        <v>1.1209486671354618</v>
      </c>
      <c r="T75" s="21">
        <f ca="1">F75/26.155</f>
        <v>239.23532785318255</v>
      </c>
      <c r="U75" s="21">
        <f t="shared" ca="1" si="169"/>
        <v>7.2495553894903804</v>
      </c>
      <c r="V75" s="18">
        <f t="shared" ca="1" si="170"/>
        <v>212.54545454545453</v>
      </c>
      <c r="W75" s="76"/>
      <c r="X75" s="8">
        <v>1</v>
      </c>
      <c r="Y75" s="8" t="s">
        <v>26</v>
      </c>
      <c r="Z75" s="8">
        <f t="shared" ref="Z75:AI75" si="204">SUM(D60)</f>
        <v>20</v>
      </c>
      <c r="AA75" s="9">
        <f t="shared" ca="1" si="204"/>
        <v>19</v>
      </c>
      <c r="AB75" s="11">
        <f t="shared" ca="1" si="204"/>
        <v>3676.2840000000001</v>
      </c>
      <c r="AC75" s="9">
        <f t="shared" ca="1" si="204"/>
        <v>1884</v>
      </c>
      <c r="AD75" s="9">
        <f t="shared" ca="1" si="204"/>
        <v>101</v>
      </c>
      <c r="AE75" s="9">
        <f t="shared" ca="1" si="204"/>
        <v>1985</v>
      </c>
      <c r="AF75" s="9">
        <f t="shared" ca="1" si="204"/>
        <v>2559</v>
      </c>
      <c r="AG75" s="9">
        <f t="shared" ca="1" si="204"/>
        <v>0</v>
      </c>
      <c r="AH75" s="9">
        <f t="shared" ca="1" si="204"/>
        <v>2559</v>
      </c>
      <c r="AI75" s="9">
        <f t="shared" ca="1" si="204"/>
        <v>4544</v>
      </c>
      <c r="AJ75" s="11">
        <f t="shared" ref="AJ75:AJ81" ca="1" si="205">AB75/AA75</f>
        <v>193.48863157894738</v>
      </c>
      <c r="AK75" s="8">
        <f>SUM(O60)</f>
        <v>5161</v>
      </c>
      <c r="AL75" s="12">
        <f t="shared" ref="AL75:AL81" ca="1" si="206">AI75/AK75</f>
        <v>0.88044952528579734</v>
      </c>
      <c r="AM75" s="13">
        <f>SUM(Q60)</f>
        <v>1.5</v>
      </c>
      <c r="AN75" s="12">
        <f t="shared" ref="AN75:AN81" ca="1" si="207">AO75/AM75</f>
        <v>0.82402048735444089</v>
      </c>
      <c r="AO75" s="14">
        <f t="shared" ref="AO75:AO81" ca="1" si="208">AI75/AB75</f>
        <v>1.2360307310316614</v>
      </c>
      <c r="AP75" s="13">
        <f t="shared" ref="AP75:AQ75" ca="1" si="209">SUM(T60)</f>
        <v>255.03184183142562</v>
      </c>
      <c r="AQ75" s="13">
        <f t="shared" ca="1" si="209"/>
        <v>13.422728517443455</v>
      </c>
      <c r="AR75" s="9">
        <f t="shared" ref="AR75:AR81" ca="1" si="210">AI75/AA75</f>
        <v>239.15789473684211</v>
      </c>
      <c r="AS75" s="76"/>
      <c r="AT75" s="76"/>
    </row>
    <row r="76" spans="1:46" ht="15.75" customHeight="1" x14ac:dyDescent="0.25">
      <c r="A76" s="70"/>
      <c r="B76" s="16">
        <v>17</v>
      </c>
      <c r="C76" s="16" t="s">
        <v>29</v>
      </c>
      <c r="D76" s="17">
        <v>30</v>
      </c>
      <c r="E76" s="18">
        <f ca="1">IFERROR(__xludf.DUMMYFUNCTION("COUNT(IMPORTRANGE(""https://docs.google.com/spreadsheets/d/12xcKI0lSnAsjEsxfm9K8Qx0B_89Gzsh816mowItkQao/edit"",""3!d2:d31""))"),30)</f>
        <v>30</v>
      </c>
      <c r="F76" s="23">
        <f ca="1">IFERROR(__xludf.DUMMYFUNCTION("SUM(IMPORTRANGE(""https://docs.google.com/spreadsheets/d/12xcKI0lSnAsjEsxfm9K8Qx0B_89Gzsh816mowItkQao/edit"",""3!Q2:Q31""))"),5962.702)</f>
        <v>5962.7020000000002</v>
      </c>
      <c r="G76" s="18">
        <f ca="1">IFERROR(__xludf.DUMMYFUNCTION("IMPORTRANGE(""https://docs.google.com/spreadsheets/d/12xcKI0lSnAsjEsxfm9K8Qx0B_89Gzsh816mowItkQao/edit"",""3!e38"")"),2453)</f>
        <v>2453</v>
      </c>
      <c r="H76" s="18">
        <f ca="1">IFERROR(__xludf.DUMMYFUNCTION("IMPORTRANGE(""https://docs.google.com/spreadsheets/d/12xcKI0lSnAsjEsxfm9K8Qx0B_89Gzsh816mowItkQao/edit"",""3!e39"")"),0)</f>
        <v>0</v>
      </c>
      <c r="I76" s="18">
        <f t="shared" ca="1" si="162"/>
        <v>2453</v>
      </c>
      <c r="J76" s="18">
        <f ca="1">IFERROR(__xludf.DUMMYFUNCTION("IMPORTRANGE(""https://docs.google.com/spreadsheets/d/12xcKI0lSnAsjEsxfm9K8Qx0B_89Gzsh816mowItkQao/edit"",""3!e42"")"),3533)</f>
        <v>3533</v>
      </c>
      <c r="K76" s="18">
        <f ca="1">IFERROR(__xludf.DUMMYFUNCTION("IMPORTRANGE(""https://docs.google.com/spreadsheets/d/12xcKI0lSnAsjEsxfm9K8Qx0B_89Gzsh816mowItkQao/edit"",""3!e43"")"),0)</f>
        <v>0</v>
      </c>
      <c r="L76" s="18">
        <f t="shared" ca="1" si="192"/>
        <v>3533</v>
      </c>
      <c r="M76" s="18">
        <f t="shared" ca="1" si="164"/>
        <v>5986</v>
      </c>
      <c r="N76" s="19">
        <f t="shared" ca="1" si="165"/>
        <v>198.75673333333333</v>
      </c>
      <c r="O76" s="16">
        <v>9201</v>
      </c>
      <c r="P76" s="20">
        <f t="shared" ca="1" si="166"/>
        <v>0.65058145853711558</v>
      </c>
      <c r="Q76" s="21">
        <v>1.5</v>
      </c>
      <c r="R76" s="20">
        <f t="shared" ca="1" si="167"/>
        <v>0.66927152600728101</v>
      </c>
      <c r="S76" s="22">
        <f t="shared" ca="1" si="168"/>
        <v>1.0039072890109215</v>
      </c>
      <c r="T76" s="21">
        <f ca="1">F76/26.038</f>
        <v>229</v>
      </c>
      <c r="U76" s="21">
        <f t="shared" ca="1" si="169"/>
        <v>7.6333333333333337</v>
      </c>
      <c r="V76" s="18">
        <f t="shared" ca="1" si="170"/>
        <v>199.53333333333333</v>
      </c>
      <c r="W76" s="76"/>
      <c r="X76" s="8">
        <v>2</v>
      </c>
      <c r="Y76" s="8" t="s">
        <v>32</v>
      </c>
      <c r="Z76" s="8">
        <f t="shared" ref="Z76:AI76" si="211">SUM(D63)</f>
        <v>42</v>
      </c>
      <c r="AA76" s="9">
        <f t="shared" ca="1" si="211"/>
        <v>40</v>
      </c>
      <c r="AB76" s="10">
        <f t="shared" ca="1" si="211"/>
        <v>7891.5649999999896</v>
      </c>
      <c r="AC76" s="8">
        <f t="shared" ca="1" si="211"/>
        <v>4240</v>
      </c>
      <c r="AD76" s="8">
        <f t="shared" ca="1" si="211"/>
        <v>0</v>
      </c>
      <c r="AE76" s="9">
        <f t="shared" ca="1" si="211"/>
        <v>4240</v>
      </c>
      <c r="AF76" s="8">
        <f t="shared" ca="1" si="211"/>
        <v>4792</v>
      </c>
      <c r="AG76" s="8">
        <f t="shared" ca="1" si="211"/>
        <v>0</v>
      </c>
      <c r="AH76" s="9">
        <f t="shared" ca="1" si="211"/>
        <v>4792</v>
      </c>
      <c r="AI76" s="9">
        <f t="shared" ca="1" si="211"/>
        <v>9032</v>
      </c>
      <c r="AJ76" s="11">
        <f t="shared" ca="1" si="205"/>
        <v>197.28912499999973</v>
      </c>
      <c r="AK76" s="8">
        <f>SUM(O63)</f>
        <v>13817</v>
      </c>
      <c r="AL76" s="12">
        <f t="shared" ca="1" si="206"/>
        <v>0.65368748642976049</v>
      </c>
      <c r="AM76" s="13">
        <f>SUM(Q63)</f>
        <v>1.5</v>
      </c>
      <c r="AN76" s="12">
        <f t="shared" ca="1" si="207"/>
        <v>0.76300877371387565</v>
      </c>
      <c r="AO76" s="14">
        <f t="shared" ca="1" si="208"/>
        <v>1.1445131605708134</v>
      </c>
      <c r="AP76" s="13">
        <f t="shared" ref="AP76:AQ76" ca="1" si="212">SUM(T63)</f>
        <v>314.54282753397865</v>
      </c>
      <c r="AQ76" s="13">
        <f t="shared" ca="1" si="212"/>
        <v>7.8635706883494665</v>
      </c>
      <c r="AR76" s="9">
        <f t="shared" ca="1" si="210"/>
        <v>225.8</v>
      </c>
      <c r="AS76" s="76"/>
      <c r="AT76" s="76"/>
    </row>
    <row r="77" spans="1:46" ht="15.75" customHeight="1" x14ac:dyDescent="0.25">
      <c r="A77" s="70"/>
      <c r="B77" s="16">
        <v>18</v>
      </c>
      <c r="C77" s="16" t="s">
        <v>31</v>
      </c>
      <c r="D77" s="17">
        <v>15</v>
      </c>
      <c r="E77" s="18">
        <f ca="1">IFERROR(__xludf.DUMMYFUNCTION("COUNT(IMPORTRANGE(""https://docs.google.com/spreadsheets/d/1fgCFOFzOla4Qim6_-zG-lbYhLCItqv_kZiAHoErRgcM/edit"",""3!d2:d16""))"),15)</f>
        <v>15</v>
      </c>
      <c r="F77" s="19">
        <f ca="1">IFERROR(__xludf.DUMMYFUNCTION("SUM(IMPORTRANGE(""https://docs.google.com/spreadsheets/d/1fgCFOFzOla4Qim6_-zG-lbYhLCItqv_kZiAHoErRgcM/edit"",""3!Q2:Q16""))"),3042.54999999999)</f>
        <v>3042.5499999999902</v>
      </c>
      <c r="G77" s="18">
        <f ca="1">IFERROR(__xludf.DUMMYFUNCTION("IMPORTRANGE(""https://docs.google.com/spreadsheets/d/1fgCFOFzOla4Qim6_-zG-lbYhLCItqv_kZiAHoErRgcM/edit"",""3!e23"")"),847)</f>
        <v>847</v>
      </c>
      <c r="H77" s="18">
        <f ca="1">IFERROR(__xludf.DUMMYFUNCTION("IMPORTRANGE(""https://docs.google.com/spreadsheets/d/1fgCFOFzOla4Qim6_-zG-lbYhLCItqv_kZiAHoErRgcM/edit"",""3!e24"")"),12)</f>
        <v>12</v>
      </c>
      <c r="I77" s="18">
        <f t="shared" ca="1" si="162"/>
        <v>859</v>
      </c>
      <c r="J77" s="18">
        <f ca="1">IFERROR(__xludf.DUMMYFUNCTION("IMPORTRANGE(""https://docs.google.com/spreadsheets/d/1fgCFOFzOla4Qim6_-zG-lbYhLCItqv_kZiAHoErRgcM/edit"",""3!e27"")"),1078)</f>
        <v>1078</v>
      </c>
      <c r="K77" s="18">
        <f ca="1">IFERROR(__xludf.DUMMYFUNCTION("IMPORTRANGE(""https://docs.google.com/spreadsheets/d/1fgCFOFzOla4Qim6_-zG-lbYhLCItqv_kZiAHoErRgcM/edit"",""3!e28"")"),110)</f>
        <v>110</v>
      </c>
      <c r="L77" s="18">
        <f t="shared" ca="1" si="192"/>
        <v>1188</v>
      </c>
      <c r="M77" s="18">
        <f t="shared" ca="1" si="164"/>
        <v>2047</v>
      </c>
      <c r="N77" s="19">
        <f t="shared" ca="1" si="165"/>
        <v>202.83666666666602</v>
      </c>
      <c r="O77" s="16">
        <v>2717</v>
      </c>
      <c r="P77" s="20">
        <f t="shared" ca="1" si="166"/>
        <v>0.7534044902465955</v>
      </c>
      <c r="Q77" s="21">
        <v>1.5</v>
      </c>
      <c r="R77" s="20">
        <f t="shared" ca="1" si="167"/>
        <v>0.4485272770099657</v>
      </c>
      <c r="S77" s="22">
        <f t="shared" ca="1" si="168"/>
        <v>0.67279091551494852</v>
      </c>
      <c r="T77" s="21">
        <f ca="1">F77/43.465</f>
        <v>69.999999999999773</v>
      </c>
      <c r="U77" s="21">
        <f t="shared" ca="1" si="169"/>
        <v>4.6666666666666519</v>
      </c>
      <c r="V77" s="18">
        <f t="shared" ca="1" si="170"/>
        <v>136.46666666666667</v>
      </c>
      <c r="W77" s="76"/>
      <c r="X77" s="8">
        <v>3</v>
      </c>
      <c r="Y77" s="8" t="s">
        <v>36</v>
      </c>
      <c r="Z77" s="8">
        <f t="shared" ref="Z77:AI77" si="213">SUM(D68)</f>
        <v>24</v>
      </c>
      <c r="AA77" s="9">
        <f t="shared" ca="1" si="213"/>
        <v>24</v>
      </c>
      <c r="AB77" s="10">
        <f t="shared" ca="1" si="213"/>
        <v>4745.1939999999904</v>
      </c>
      <c r="AC77" s="9">
        <f t="shared" ca="1" si="213"/>
        <v>1189</v>
      </c>
      <c r="AD77" s="9">
        <f t="shared" ca="1" si="213"/>
        <v>0</v>
      </c>
      <c r="AE77" s="9">
        <f t="shared" ca="1" si="213"/>
        <v>1189</v>
      </c>
      <c r="AF77" s="9">
        <f t="shared" ca="1" si="213"/>
        <v>1969</v>
      </c>
      <c r="AG77" s="9">
        <f t="shared" ca="1" si="213"/>
        <v>0</v>
      </c>
      <c r="AH77" s="9">
        <f t="shared" ca="1" si="213"/>
        <v>1969</v>
      </c>
      <c r="AI77" s="9">
        <f t="shared" ca="1" si="213"/>
        <v>3158</v>
      </c>
      <c r="AJ77" s="11">
        <f t="shared" ca="1" si="205"/>
        <v>197.71641666666628</v>
      </c>
      <c r="AK77" s="8">
        <f t="shared" ref="AK77:AK80" si="214">SUM(O68)</f>
        <v>4796</v>
      </c>
      <c r="AL77" s="12">
        <f t="shared" ca="1" si="206"/>
        <v>0.65846538782318598</v>
      </c>
      <c r="AM77" s="13">
        <f t="shared" ref="AM77:AM80" si="215">SUM(Q68)</f>
        <v>1.5</v>
      </c>
      <c r="AN77" s="12">
        <f t="shared" ca="1" si="207"/>
        <v>0.44367697787136579</v>
      </c>
      <c r="AO77" s="14">
        <f t="shared" ca="1" si="208"/>
        <v>0.66551546680704865</v>
      </c>
      <c r="AP77" s="13">
        <f t="shared" ref="AP77:AQ77" ca="1" si="216">SUM(T68)</f>
        <v>126.82936868551853</v>
      </c>
      <c r="AQ77" s="13">
        <f t="shared" ca="1" si="216"/>
        <v>5.2845570285632721</v>
      </c>
      <c r="AR77" s="9">
        <f t="shared" ca="1" si="210"/>
        <v>131.58333333333334</v>
      </c>
      <c r="AS77" s="76"/>
      <c r="AT77" s="76"/>
    </row>
    <row r="78" spans="1:46" ht="15.75" customHeight="1" x14ac:dyDescent="0.2">
      <c r="A78" s="70"/>
      <c r="B78" s="98" t="s">
        <v>33</v>
      </c>
      <c r="C78" s="98">
        <v>18</v>
      </c>
      <c r="D78" s="98">
        <f t="shared" ref="D78:M78" si="217">SUM(D60:D77)</f>
        <v>580</v>
      </c>
      <c r="E78" s="74">
        <f t="shared" ca="1" si="217"/>
        <v>564</v>
      </c>
      <c r="F78" s="99">
        <f t="shared" ca="1" si="217"/>
        <v>109870.21099999985</v>
      </c>
      <c r="G78" s="74">
        <f t="shared" ca="1" si="217"/>
        <v>36142</v>
      </c>
      <c r="H78" s="74">
        <f t="shared" ca="1" si="217"/>
        <v>1021</v>
      </c>
      <c r="I78" s="74">
        <f t="shared" ca="1" si="217"/>
        <v>37163</v>
      </c>
      <c r="J78" s="74">
        <f t="shared" ca="1" si="217"/>
        <v>49587</v>
      </c>
      <c r="K78" s="74">
        <f t="shared" ca="1" si="217"/>
        <v>1476</v>
      </c>
      <c r="L78" s="74">
        <f t="shared" ca="1" si="217"/>
        <v>51063</v>
      </c>
      <c r="M78" s="74">
        <f t="shared" ca="1" si="217"/>
        <v>88226</v>
      </c>
      <c r="N78" s="99">
        <f t="shared" ca="1" si="165"/>
        <v>194.80533865248199</v>
      </c>
      <c r="O78" s="98">
        <f>SUM(O60:O77)</f>
        <v>126399</v>
      </c>
      <c r="P78" s="69">
        <f t="shared" ca="1" si="166"/>
        <v>0.69799602844959219</v>
      </c>
      <c r="Q78" s="72">
        <v>1.5</v>
      </c>
      <c r="R78" s="69">
        <f t="shared" ca="1" si="167"/>
        <v>0.53533467168214877</v>
      </c>
      <c r="S78" s="73">
        <f t="shared" ca="1" si="168"/>
        <v>0.80300200752322315</v>
      </c>
      <c r="T78" s="72">
        <f ca="1">SUM(T60:T77)</f>
        <v>4053.4411155395183</v>
      </c>
      <c r="U78" s="72">
        <f t="shared" ca="1" si="169"/>
        <v>7.186952332516876</v>
      </c>
      <c r="V78" s="74">
        <f t="shared" ca="1" si="170"/>
        <v>156.4290780141844</v>
      </c>
      <c r="W78" s="76"/>
      <c r="X78" s="8">
        <v>4</v>
      </c>
      <c r="Y78" s="8" t="s">
        <v>37</v>
      </c>
      <c r="Z78" s="8">
        <f t="shared" ref="Z78:AI78" si="218">SUM(D69)</f>
        <v>30</v>
      </c>
      <c r="AA78" s="9">
        <f t="shared" ca="1" si="218"/>
        <v>29</v>
      </c>
      <c r="AB78" s="10">
        <f t="shared" ca="1" si="218"/>
        <v>5539.4759999999997</v>
      </c>
      <c r="AC78" s="9">
        <f t="shared" ca="1" si="218"/>
        <v>2148</v>
      </c>
      <c r="AD78" s="9">
        <f t="shared" ca="1" si="218"/>
        <v>0</v>
      </c>
      <c r="AE78" s="9">
        <f t="shared" ca="1" si="218"/>
        <v>2148</v>
      </c>
      <c r="AF78" s="9">
        <f t="shared" ca="1" si="218"/>
        <v>2430</v>
      </c>
      <c r="AG78" s="9">
        <f t="shared" ca="1" si="218"/>
        <v>93</v>
      </c>
      <c r="AH78" s="9">
        <f t="shared" ca="1" si="218"/>
        <v>2523</v>
      </c>
      <c r="AI78" s="9">
        <f t="shared" ca="1" si="218"/>
        <v>4671</v>
      </c>
      <c r="AJ78" s="11">
        <f t="shared" ca="1" si="205"/>
        <v>191.01641379310342</v>
      </c>
      <c r="AK78" s="8">
        <f t="shared" si="214"/>
        <v>5887</v>
      </c>
      <c r="AL78" s="12">
        <f t="shared" ca="1" si="206"/>
        <v>0.79344317988788859</v>
      </c>
      <c r="AM78" s="13">
        <f t="shared" si="215"/>
        <v>1.5</v>
      </c>
      <c r="AN78" s="12">
        <f t="shared" ca="1" si="207"/>
        <v>0.56214703340171523</v>
      </c>
      <c r="AO78" s="14">
        <f t="shared" ca="1" si="208"/>
        <v>0.84322055010257291</v>
      </c>
      <c r="AP78" s="13">
        <f t="shared" ref="AP78:AQ78" ca="1" si="219">SUM(T69)</f>
        <v>223.43804453049367</v>
      </c>
      <c r="AQ78" s="13">
        <f t="shared" ca="1" si="219"/>
        <v>7.7047601562239194</v>
      </c>
      <c r="AR78" s="9">
        <f t="shared" ca="1" si="210"/>
        <v>161.06896551724137</v>
      </c>
      <c r="AS78" s="76"/>
      <c r="AT78" s="76"/>
    </row>
    <row r="79" spans="1:46" ht="15.75" customHeight="1" x14ac:dyDescent="0.2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6"/>
      <c r="X79" s="8">
        <v>5</v>
      </c>
      <c r="Y79" s="8" t="s">
        <v>39</v>
      </c>
      <c r="Z79" s="8">
        <f t="shared" ref="Z79:AI79" si="220">SUM(D70)</f>
        <v>28</v>
      </c>
      <c r="AA79" s="9">
        <f t="shared" ca="1" si="220"/>
        <v>27</v>
      </c>
      <c r="AB79" s="10">
        <f t="shared" ca="1" si="220"/>
        <v>5404.3109999999997</v>
      </c>
      <c r="AC79" s="9">
        <f t="shared" ca="1" si="220"/>
        <v>1046</v>
      </c>
      <c r="AD79" s="9">
        <f t="shared" ca="1" si="220"/>
        <v>112</v>
      </c>
      <c r="AE79" s="9">
        <f t="shared" ca="1" si="220"/>
        <v>1158</v>
      </c>
      <c r="AF79" s="9">
        <f t="shared" ca="1" si="220"/>
        <v>1963</v>
      </c>
      <c r="AG79" s="9">
        <f t="shared" ca="1" si="220"/>
        <v>163</v>
      </c>
      <c r="AH79" s="9">
        <f t="shared" ca="1" si="220"/>
        <v>2126</v>
      </c>
      <c r="AI79" s="9">
        <f t="shared" ca="1" si="220"/>
        <v>3284</v>
      </c>
      <c r="AJ79" s="11">
        <f t="shared" ca="1" si="205"/>
        <v>200.15966666666665</v>
      </c>
      <c r="AK79" s="8">
        <f t="shared" si="214"/>
        <v>3569</v>
      </c>
      <c r="AL79" s="12">
        <f t="shared" ca="1" si="206"/>
        <v>0.92014569907537125</v>
      </c>
      <c r="AM79" s="13">
        <f t="shared" si="215"/>
        <v>1.5</v>
      </c>
      <c r="AN79" s="12">
        <f t="shared" ca="1" si="207"/>
        <v>0.40510868699697955</v>
      </c>
      <c r="AO79" s="14">
        <f t="shared" ca="1" si="208"/>
        <v>0.60766303049546933</v>
      </c>
      <c r="AP79" s="13">
        <f t="shared" ref="AP79:AQ79" ca="1" si="221">SUM(T70)</f>
        <v>251.7966267530168</v>
      </c>
      <c r="AQ79" s="13">
        <f t="shared" ca="1" si="221"/>
        <v>9.325800990852473</v>
      </c>
      <c r="AR79" s="9">
        <f t="shared" ca="1" si="210"/>
        <v>121.62962962962963</v>
      </c>
      <c r="AS79" s="76"/>
      <c r="AT79" s="76"/>
    </row>
    <row r="80" spans="1:46" ht="15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6"/>
      <c r="X80" s="8">
        <v>6</v>
      </c>
      <c r="Y80" s="8" t="s">
        <v>41</v>
      </c>
      <c r="Z80" s="8">
        <f t="shared" ref="Z80:AI80" si="222">SUM(D71)</f>
        <v>24</v>
      </c>
      <c r="AA80" s="9">
        <f t="shared" ca="1" si="222"/>
        <v>23</v>
      </c>
      <c r="AB80" s="10">
        <f t="shared" ca="1" si="222"/>
        <v>4348.732</v>
      </c>
      <c r="AC80" s="9">
        <f t="shared" ca="1" si="222"/>
        <v>965</v>
      </c>
      <c r="AD80" s="9">
        <f t="shared" ca="1" si="222"/>
        <v>213</v>
      </c>
      <c r="AE80" s="9">
        <f t="shared" ca="1" si="222"/>
        <v>1178</v>
      </c>
      <c r="AF80" s="9">
        <f t="shared" ca="1" si="222"/>
        <v>1560</v>
      </c>
      <c r="AG80" s="9">
        <f t="shared" ca="1" si="222"/>
        <v>134</v>
      </c>
      <c r="AH80" s="9">
        <f t="shared" ca="1" si="222"/>
        <v>1694</v>
      </c>
      <c r="AI80" s="9">
        <f t="shared" ca="1" si="222"/>
        <v>2872</v>
      </c>
      <c r="AJ80" s="11">
        <f t="shared" ca="1" si="205"/>
        <v>189.07530434782609</v>
      </c>
      <c r="AK80" s="8">
        <f t="shared" si="214"/>
        <v>3801</v>
      </c>
      <c r="AL80" s="12">
        <f t="shared" ca="1" si="206"/>
        <v>0.75559063404367277</v>
      </c>
      <c r="AM80" s="13">
        <f t="shared" si="215"/>
        <v>1.5</v>
      </c>
      <c r="AN80" s="12">
        <f t="shared" ca="1" si="207"/>
        <v>0.44028159625993663</v>
      </c>
      <c r="AO80" s="14">
        <f t="shared" ca="1" si="208"/>
        <v>0.66042239438990491</v>
      </c>
      <c r="AP80" s="13">
        <f t="shared" ref="AP80:AQ80" ca="1" si="223">SUM(T71)</f>
        <v>146.77777777777777</v>
      </c>
      <c r="AQ80" s="13">
        <f t="shared" ca="1" si="223"/>
        <v>6.3816425120772946</v>
      </c>
      <c r="AR80" s="9">
        <f t="shared" ca="1" si="210"/>
        <v>124.8695652173913</v>
      </c>
      <c r="AS80" s="76"/>
      <c r="AT80" s="76"/>
    </row>
    <row r="81" spans="1:46" ht="15.75" customHeight="1" x14ac:dyDescent="0.25">
      <c r="A81" s="110" t="s">
        <v>45</v>
      </c>
      <c r="B81" s="76"/>
      <c r="C81" s="76"/>
      <c r="D81" s="75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24" t="s">
        <v>33</v>
      </c>
      <c r="Y81" s="24">
        <v>6</v>
      </c>
      <c r="Z81" s="24">
        <f t="shared" ref="Z81:AI81" si="224">SUM(Z75:Z80)</f>
        <v>168</v>
      </c>
      <c r="AA81" s="25">
        <f t="shared" ca="1" si="224"/>
        <v>162</v>
      </c>
      <c r="AB81" s="27">
        <f t="shared" ca="1" si="224"/>
        <v>31605.56199999998</v>
      </c>
      <c r="AC81" s="25">
        <f t="shared" ca="1" si="224"/>
        <v>11472</v>
      </c>
      <c r="AD81" s="25">
        <f t="shared" ca="1" si="224"/>
        <v>426</v>
      </c>
      <c r="AE81" s="25">
        <f t="shared" ca="1" si="224"/>
        <v>11898</v>
      </c>
      <c r="AF81" s="25">
        <f t="shared" ca="1" si="224"/>
        <v>15273</v>
      </c>
      <c r="AG81" s="25">
        <f t="shared" ca="1" si="224"/>
        <v>390</v>
      </c>
      <c r="AH81" s="25">
        <f t="shared" ca="1" si="224"/>
        <v>15663</v>
      </c>
      <c r="AI81" s="25">
        <f t="shared" ca="1" si="224"/>
        <v>27561</v>
      </c>
      <c r="AJ81" s="27">
        <f t="shared" ca="1" si="205"/>
        <v>195.09606172839494</v>
      </c>
      <c r="AK81" s="24">
        <f>SUM(AK75:AK80)</f>
        <v>37031</v>
      </c>
      <c r="AL81" s="28">
        <f t="shared" ca="1" si="206"/>
        <v>0.74426831573546492</v>
      </c>
      <c r="AM81" s="29">
        <v>1.5</v>
      </c>
      <c r="AN81" s="28">
        <f t="shared" ca="1" si="207"/>
        <v>0.58135337065039405</v>
      </c>
      <c r="AO81" s="30">
        <f t="shared" ca="1" si="208"/>
        <v>0.87203005597559113</v>
      </c>
      <c r="AP81" s="29">
        <f ca="1">SUM(AP75:AP80)</f>
        <v>1318.4164871122111</v>
      </c>
      <c r="AQ81" s="29">
        <f ca="1">AP81/AA81</f>
        <v>8.1383733772358706</v>
      </c>
      <c r="AR81" s="25">
        <f t="shared" ca="1" si="210"/>
        <v>170.12962962962962</v>
      </c>
      <c r="AS81" s="76"/>
      <c r="AT81" s="76"/>
    </row>
    <row r="82" spans="1:46" ht="15.75" customHeight="1" x14ac:dyDescent="0.2">
      <c r="A82" s="110" t="s">
        <v>45</v>
      </c>
      <c r="B82" s="76"/>
      <c r="C82" s="76"/>
      <c r="D82" s="75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7" t="s">
        <v>1</v>
      </c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9"/>
      <c r="AS82" s="76"/>
      <c r="AT82" s="76"/>
    </row>
    <row r="83" spans="1:46" ht="15.75" customHeight="1" x14ac:dyDescent="0.2">
      <c r="A83" s="113">
        <v>46207</v>
      </c>
      <c r="B83" s="80" t="s">
        <v>2</v>
      </c>
      <c r="C83" s="80" t="s">
        <v>3</v>
      </c>
      <c r="D83" s="80" t="s">
        <v>4</v>
      </c>
      <c r="E83" s="80" t="s">
        <v>5</v>
      </c>
      <c r="F83" s="81" t="s">
        <v>6</v>
      </c>
      <c r="G83" s="80" t="s">
        <v>7</v>
      </c>
      <c r="H83" s="80" t="s">
        <v>8</v>
      </c>
      <c r="I83" s="80" t="s">
        <v>9</v>
      </c>
      <c r="J83" s="80" t="s">
        <v>10</v>
      </c>
      <c r="K83" s="80" t="s">
        <v>11</v>
      </c>
      <c r="L83" s="80" t="s">
        <v>12</v>
      </c>
      <c r="M83" s="80" t="s">
        <v>13</v>
      </c>
      <c r="N83" s="81" t="s">
        <v>14</v>
      </c>
      <c r="O83" s="80" t="s">
        <v>15</v>
      </c>
      <c r="P83" s="80" t="s">
        <v>16</v>
      </c>
      <c r="Q83" s="80" t="s">
        <v>17</v>
      </c>
      <c r="R83" s="80" t="s">
        <v>18</v>
      </c>
      <c r="S83" s="106" t="s">
        <v>19</v>
      </c>
      <c r="T83" s="107" t="s">
        <v>20</v>
      </c>
      <c r="U83" s="107" t="s">
        <v>21</v>
      </c>
      <c r="V83" s="105" t="s">
        <v>22</v>
      </c>
      <c r="W83" s="76"/>
      <c r="X83" s="1" t="s">
        <v>2</v>
      </c>
      <c r="Y83" s="1" t="s">
        <v>3</v>
      </c>
      <c r="Z83" s="1" t="s">
        <v>4</v>
      </c>
      <c r="AA83" s="1" t="s">
        <v>5</v>
      </c>
      <c r="AB83" s="2" t="s">
        <v>6</v>
      </c>
      <c r="AC83" s="1" t="s">
        <v>7</v>
      </c>
      <c r="AD83" s="1" t="s">
        <v>8</v>
      </c>
      <c r="AE83" s="1" t="s">
        <v>9</v>
      </c>
      <c r="AF83" s="1" t="s">
        <v>10</v>
      </c>
      <c r="AG83" s="1" t="s">
        <v>11</v>
      </c>
      <c r="AH83" s="1" t="s">
        <v>12</v>
      </c>
      <c r="AI83" s="1" t="s">
        <v>13</v>
      </c>
      <c r="AJ83" s="2" t="s">
        <v>14</v>
      </c>
      <c r="AK83" s="1" t="s">
        <v>15</v>
      </c>
      <c r="AL83" s="1" t="s">
        <v>16</v>
      </c>
      <c r="AM83" s="3" t="s">
        <v>17</v>
      </c>
      <c r="AN83" s="4" t="s">
        <v>18</v>
      </c>
      <c r="AO83" s="5" t="s">
        <v>19</v>
      </c>
      <c r="AP83" s="6" t="s">
        <v>20</v>
      </c>
      <c r="AQ83" s="6" t="s">
        <v>21</v>
      </c>
      <c r="AR83" s="7" t="s">
        <v>22</v>
      </c>
      <c r="AS83" s="76"/>
      <c r="AT83" s="76"/>
    </row>
    <row r="84" spans="1:46" ht="15.75" customHeight="1" x14ac:dyDescent="0.2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6"/>
      <c r="X84" s="8">
        <v>1</v>
      </c>
      <c r="Y84" s="8" t="s">
        <v>23</v>
      </c>
      <c r="Z84" s="8">
        <f t="shared" ref="Z84:AI84" si="225">SUM(D92)</f>
        <v>28</v>
      </c>
      <c r="AA84" s="9">
        <f t="shared" ca="1" si="225"/>
        <v>28</v>
      </c>
      <c r="AB84" s="10">
        <f t="shared" ca="1" si="225"/>
        <v>5503.2079999999896</v>
      </c>
      <c r="AC84" s="9">
        <f t="shared" ca="1" si="225"/>
        <v>1231</v>
      </c>
      <c r="AD84" s="9">
        <f t="shared" ca="1" si="225"/>
        <v>0</v>
      </c>
      <c r="AE84" s="9">
        <f t="shared" ca="1" si="225"/>
        <v>1231</v>
      </c>
      <c r="AF84" s="9">
        <f t="shared" ca="1" si="225"/>
        <v>2257</v>
      </c>
      <c r="AG84" s="9">
        <f t="shared" ca="1" si="225"/>
        <v>0</v>
      </c>
      <c r="AH84" s="9">
        <f t="shared" ca="1" si="225"/>
        <v>2257</v>
      </c>
      <c r="AI84" s="9">
        <f t="shared" ca="1" si="225"/>
        <v>3488</v>
      </c>
      <c r="AJ84" s="11">
        <f t="shared" ref="AJ84:AJ86" ca="1" si="226">AB84/AA84</f>
        <v>196.5431428571425</v>
      </c>
      <c r="AK84" s="8">
        <f>SUM(O92)</f>
        <v>6853</v>
      </c>
      <c r="AL84" s="12">
        <f t="shared" ref="AL84:AL90" ca="1" si="227">AI84/AK84</f>
        <v>0.50897417189552019</v>
      </c>
      <c r="AM84" s="13">
        <f t="shared" ref="AM84:AM86" si="228">SUM(Q92)</f>
        <v>1.5</v>
      </c>
      <c r="AN84" s="12">
        <f t="shared" ref="AN84:AN90" ca="1" si="229">AO84/AM84</f>
        <v>0.42254142190034205</v>
      </c>
      <c r="AO84" s="14">
        <f t="shared" ref="AO84:AO90" ca="1" si="230">AI84/AB84</f>
        <v>0.63381213285051308</v>
      </c>
      <c r="AP84" s="13">
        <f t="shared" ref="AP84:AQ84" ca="1" si="231">SUM(T92)</f>
        <v>163.10634262003524</v>
      </c>
      <c r="AQ84" s="13">
        <f t="shared" ca="1" si="231"/>
        <v>5.8252265221441153</v>
      </c>
      <c r="AR84" s="9">
        <f t="shared" ref="AR84:AR90" ca="1" si="232">AI84/AA84</f>
        <v>124.57142857142857</v>
      </c>
      <c r="AS84" s="76"/>
      <c r="AT84" s="76"/>
    </row>
    <row r="85" spans="1:46" ht="15.75" customHeight="1" x14ac:dyDescent="0.2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6"/>
      <c r="X85" s="8">
        <v>2</v>
      </c>
      <c r="Y85" s="8" t="s">
        <v>24</v>
      </c>
      <c r="Z85" s="8">
        <f t="shared" ref="Z85:AI85" si="233">SUM(D93)</f>
        <v>37</v>
      </c>
      <c r="AA85" s="9">
        <f t="shared" ca="1" si="233"/>
        <v>37</v>
      </c>
      <c r="AB85" s="10">
        <f t="shared" ca="1" si="233"/>
        <v>7106.9929999999904</v>
      </c>
      <c r="AC85" s="9">
        <f t="shared" ca="1" si="233"/>
        <v>743</v>
      </c>
      <c r="AD85" s="9">
        <f t="shared" ca="1" si="233"/>
        <v>0</v>
      </c>
      <c r="AE85" s="9">
        <f t="shared" ca="1" si="233"/>
        <v>743</v>
      </c>
      <c r="AF85" s="9">
        <f t="shared" ca="1" si="233"/>
        <v>1007</v>
      </c>
      <c r="AG85" s="9">
        <f t="shared" ca="1" si="233"/>
        <v>15</v>
      </c>
      <c r="AH85" s="9">
        <f t="shared" ca="1" si="233"/>
        <v>1022</v>
      </c>
      <c r="AI85" s="9">
        <f t="shared" ca="1" si="233"/>
        <v>1765</v>
      </c>
      <c r="AJ85" s="11">
        <f t="shared" ca="1" si="226"/>
        <v>192.08089189189164</v>
      </c>
      <c r="AK85" s="8">
        <v>1580</v>
      </c>
      <c r="AL85" s="15">
        <f t="shared" ca="1" si="227"/>
        <v>1.1170886075949367</v>
      </c>
      <c r="AM85" s="13">
        <f t="shared" si="228"/>
        <v>1.5</v>
      </c>
      <c r="AN85" s="12">
        <f t="shared" ca="1" si="229"/>
        <v>0.16556463002941865</v>
      </c>
      <c r="AO85" s="14">
        <f t="shared" ca="1" si="230"/>
        <v>0.24834694504412799</v>
      </c>
      <c r="AP85" s="13">
        <f t="shared" ref="AP85:AQ85" ca="1" si="234">SUM(T93)</f>
        <v>265.13684014176425</v>
      </c>
      <c r="AQ85" s="13">
        <f t="shared" ca="1" si="234"/>
        <v>7.1658605443720065</v>
      </c>
      <c r="AR85" s="9">
        <f t="shared" ca="1" si="232"/>
        <v>47.702702702702702</v>
      </c>
      <c r="AS85" s="76"/>
      <c r="AT85" s="76"/>
    </row>
    <row r="86" spans="1:46" ht="15.75" customHeight="1" x14ac:dyDescent="0.2">
      <c r="A86" s="70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6"/>
      <c r="X86" s="8">
        <v>3</v>
      </c>
      <c r="Y86" s="8" t="s">
        <v>25</v>
      </c>
      <c r="Z86" s="8">
        <f t="shared" ref="Z86:AI86" si="235">SUM(D94)</f>
        <v>27</v>
      </c>
      <c r="AA86" s="9">
        <f t="shared" ca="1" si="235"/>
        <v>26</v>
      </c>
      <c r="AB86" s="10">
        <f t="shared" ca="1" si="235"/>
        <v>4640.8720000000003</v>
      </c>
      <c r="AC86" s="9">
        <f t="shared" ca="1" si="235"/>
        <v>1785</v>
      </c>
      <c r="AD86" s="9">
        <f t="shared" ca="1" si="235"/>
        <v>276</v>
      </c>
      <c r="AE86" s="9">
        <f t="shared" ca="1" si="235"/>
        <v>2061</v>
      </c>
      <c r="AF86" s="9">
        <f t="shared" ca="1" si="235"/>
        <v>1976</v>
      </c>
      <c r="AG86" s="9">
        <f t="shared" ca="1" si="235"/>
        <v>264</v>
      </c>
      <c r="AH86" s="9">
        <f t="shared" ca="1" si="235"/>
        <v>2240</v>
      </c>
      <c r="AI86" s="9">
        <f t="shared" ca="1" si="235"/>
        <v>4301</v>
      </c>
      <c r="AJ86" s="11">
        <f t="shared" ca="1" si="226"/>
        <v>178.49507692307694</v>
      </c>
      <c r="AK86" s="8">
        <f>SUM(O94)</f>
        <v>6622</v>
      </c>
      <c r="AL86" s="12">
        <f t="shared" ca="1" si="227"/>
        <v>0.64950166112956809</v>
      </c>
      <c r="AM86" s="13">
        <f t="shared" si="228"/>
        <v>1.5</v>
      </c>
      <c r="AN86" s="12">
        <f t="shared" ca="1" si="229"/>
        <v>0.61784365811712394</v>
      </c>
      <c r="AO86" s="14">
        <f t="shared" ca="1" si="230"/>
        <v>0.92676548717568585</v>
      </c>
      <c r="AP86" s="13">
        <f t="shared" ref="AP86:AQ86" ca="1" si="236">SUM(T94)</f>
        <v>194.66744966442954</v>
      </c>
      <c r="AQ86" s="13">
        <f t="shared" ca="1" si="236"/>
        <v>7.4872096024780594</v>
      </c>
      <c r="AR86" s="9">
        <f t="shared" ca="1" si="232"/>
        <v>165.42307692307693</v>
      </c>
      <c r="AS86" s="76"/>
      <c r="AT86" s="76"/>
    </row>
    <row r="87" spans="1:46" ht="15.75" customHeight="1" x14ac:dyDescent="0.25">
      <c r="A87" s="70"/>
      <c r="B87" s="16">
        <v>1</v>
      </c>
      <c r="C87" s="16" t="s">
        <v>26</v>
      </c>
      <c r="D87" s="17">
        <v>16</v>
      </c>
      <c r="E87" s="18">
        <f ca="1">IFERROR(__xludf.DUMMYFUNCTION("COUNT(IMPORTRANGE(""https://docs.google.com/spreadsheets/d/1z0o91thOT38lgejTE_Bd2p3v_9VCDdQRkUsMIVqpQCk/edit"",""4!d2:d21""))"),16)</f>
        <v>16</v>
      </c>
      <c r="F87" s="19">
        <f ca="1">IFERROR(__xludf.DUMMYFUNCTION("SUM(IMPORTRANGE(""https://docs.google.com/spreadsheets/d/1z0o91thOT38lgejTE_Bd2p3v_9VCDdQRkUsMIVqpQCk/edit"",""4!Q2:Q21""))"),3063.723)</f>
        <v>3063.723</v>
      </c>
      <c r="G87" s="18">
        <f ca="1">IFERROR(__xludf.DUMMYFUNCTION("IMPORTRANGE(""https://docs.google.com/spreadsheets/d/1z0o91thOT38lgejTE_Bd2p3v_9VCDdQRkUsMIVqpQCk/edit"",""4!e28"")"),1422)</f>
        <v>1422</v>
      </c>
      <c r="H87" s="18">
        <f ca="1">IFERROR(__xludf.DUMMYFUNCTION("IMPORTRANGE(""https://docs.google.com/spreadsheets/d/1z0o91thOT38lgejTE_Bd2p3v_9VCDdQRkUsMIVqpQCk/edit"",""4!e29"")"),107)</f>
        <v>107</v>
      </c>
      <c r="I87" s="18">
        <f t="shared" ref="I87:I104" ca="1" si="237">SUM(G87:H87)</f>
        <v>1529</v>
      </c>
      <c r="J87" s="18">
        <f ca="1">IFERROR(__xludf.DUMMYFUNCTION("IMPORTRANGE(""https://docs.google.com/spreadsheets/d/1z0o91thOT38lgejTE_Bd2p3v_9VCDdQRkUsMIVqpQCk/edit"",""4!e32"")"),1158)</f>
        <v>1158</v>
      </c>
      <c r="K87" s="18">
        <f ca="1">IFERROR(__xludf.DUMMYFUNCTION("IMPORTRANGE(""https://docs.google.com/spreadsheets/d/1z0o91thOT38lgejTE_Bd2p3v_9VCDdQRkUsMIVqpQCk/edit"",""4!e33"")"),38)</f>
        <v>38</v>
      </c>
      <c r="L87" s="18">
        <f t="shared" ref="L87:L93" ca="1" si="238">SUM(J87:K87)</f>
        <v>1196</v>
      </c>
      <c r="M87" s="18">
        <f t="shared" ref="M87:M104" ca="1" si="239">SUM(I87+L87)</f>
        <v>2725</v>
      </c>
      <c r="N87" s="19">
        <f t="shared" ref="N87:N105" ca="1" si="240">F87/E87</f>
        <v>191.4826875</v>
      </c>
      <c r="O87" s="16">
        <v>5161</v>
      </c>
      <c r="P87" s="20">
        <f t="shared" ref="P87:P105" ca="1" si="241">M87/O87</f>
        <v>0.52799844991280764</v>
      </c>
      <c r="Q87" s="21">
        <v>1.5</v>
      </c>
      <c r="R87" s="20">
        <f t="shared" ref="R87:R105" ca="1" si="242">S87/Q87</f>
        <v>0.59296048195827977</v>
      </c>
      <c r="S87" s="22">
        <f t="shared" ref="S87:S105" ca="1" si="243">M87/F87</f>
        <v>0.8894407229374196</v>
      </c>
      <c r="T87" s="21">
        <f ca="1">F87/14.415</f>
        <v>212.53714880332987</v>
      </c>
      <c r="U87" s="21">
        <f t="shared" ref="U87:U105" ca="1" si="244">T87/E87</f>
        <v>13.283571800208117</v>
      </c>
      <c r="V87" s="18">
        <f t="shared" ref="V87:V105" ca="1" si="245">M87/E87</f>
        <v>170.3125</v>
      </c>
      <c r="W87" s="76"/>
      <c r="X87" s="8">
        <v>4</v>
      </c>
      <c r="Y87" s="8" t="s">
        <v>27</v>
      </c>
      <c r="Z87" s="8">
        <f t="shared" ref="Z87:AK87" si="246">SUM(D100)</f>
        <v>24</v>
      </c>
      <c r="AA87" s="9">
        <f t="shared" ca="1" si="246"/>
        <v>24</v>
      </c>
      <c r="AB87" s="10">
        <f t="shared" ca="1" si="246"/>
        <v>4132.7879999999996</v>
      </c>
      <c r="AC87" s="9">
        <f t="shared" ca="1" si="246"/>
        <v>1503</v>
      </c>
      <c r="AD87" s="9">
        <f t="shared" ca="1" si="246"/>
        <v>85</v>
      </c>
      <c r="AE87" s="9">
        <f t="shared" ca="1" si="246"/>
        <v>1588</v>
      </c>
      <c r="AF87" s="9">
        <f t="shared" ca="1" si="246"/>
        <v>1742</v>
      </c>
      <c r="AG87" s="9">
        <f t="shared" ca="1" si="246"/>
        <v>79</v>
      </c>
      <c r="AH87" s="9">
        <f t="shared" ca="1" si="246"/>
        <v>1821</v>
      </c>
      <c r="AI87" s="9">
        <f t="shared" ca="1" si="246"/>
        <v>3409</v>
      </c>
      <c r="AJ87" s="11">
        <f t="shared" ca="1" si="246"/>
        <v>172.19949999999997</v>
      </c>
      <c r="AK87" s="8">
        <f t="shared" si="246"/>
        <v>8101</v>
      </c>
      <c r="AL87" s="12">
        <f t="shared" ca="1" si="227"/>
        <v>0.42081224540180223</v>
      </c>
      <c r="AM87" s="13">
        <f>SUM(Q100)</f>
        <v>1.5</v>
      </c>
      <c r="AN87" s="12">
        <f t="shared" ca="1" si="229"/>
        <v>0.54991126248592159</v>
      </c>
      <c r="AO87" s="14">
        <f t="shared" ca="1" si="230"/>
        <v>0.82486689372888233</v>
      </c>
      <c r="AP87" s="13">
        <f t="shared" ref="AP87:AQ87" ca="1" si="247">SUM(T100)</f>
        <v>206.79449587190391</v>
      </c>
      <c r="AQ87" s="13">
        <f t="shared" ca="1" si="247"/>
        <v>8.616437327995996</v>
      </c>
      <c r="AR87" s="9">
        <f t="shared" ca="1" si="232"/>
        <v>142.04166666666666</v>
      </c>
      <c r="AS87" s="76"/>
      <c r="AT87" s="76"/>
    </row>
    <row r="88" spans="1:46" ht="15.75" customHeight="1" x14ac:dyDescent="0.25">
      <c r="A88" s="70"/>
      <c r="B88" s="16">
        <v>2</v>
      </c>
      <c r="C88" s="16" t="s">
        <v>28</v>
      </c>
      <c r="D88" s="17">
        <v>26</v>
      </c>
      <c r="E88" s="18">
        <f ca="1">IFERROR(__xludf.DUMMYFUNCTION("COUNT(IMPORTRANGE(""https://docs.google.com/spreadsheets/d/10a85iNN0y9GF6ngQfF1JXGAzFk-T7ywH4-TZtQcOTaE/edit"",""4!d2:d34""))"),26)</f>
        <v>26</v>
      </c>
      <c r="F88" s="19">
        <f ca="1">IFERROR(__xludf.DUMMYFUNCTION("SUM(IMPORTRANGE(""https://docs.google.com/spreadsheets/d/10a85iNN0y9GF6ngQfF1JXGAzFk-T7ywH4-TZtQcOTaE/edit"",""4!Q2:Q34""))"),4953.086)</f>
        <v>4953.0860000000002</v>
      </c>
      <c r="G88" s="18">
        <f ca="1">IFERROR(__xludf.DUMMYFUNCTION("IMPORTRANGE(""https://docs.google.com/spreadsheets/d/10a85iNN0y9GF6ngQfF1JXGAzFk-T7ywH4-TZtQcOTaE/edit"",""4!e41"")"),1763)</f>
        <v>1763</v>
      </c>
      <c r="H88" s="18">
        <f ca="1">IFERROR(__xludf.DUMMYFUNCTION("IMPORTRANGE(""https://docs.google.com/spreadsheets/d/10a85iNN0y9GF6ngQfF1JXGAzFk-T7ywH4-TZtQcOTaE/edit"",""4!e42"")"),38)</f>
        <v>38</v>
      </c>
      <c r="I88" s="18">
        <f t="shared" ca="1" si="237"/>
        <v>1801</v>
      </c>
      <c r="J88" s="18">
        <f ca="1">IFERROR(__xludf.DUMMYFUNCTION("IMPORTRANGE(""https://docs.google.com/spreadsheets/d/10a85iNN0y9GF6ngQfF1JXGAzFk-T7ywH4-TZtQcOTaE/edit"",""4!e45"")"),1867)</f>
        <v>1867</v>
      </c>
      <c r="K88" s="18">
        <f ca="1">IFERROR(__xludf.DUMMYFUNCTION("IMPORTRANGE(""https://docs.google.com/spreadsheets/d/10a85iNN0y9GF6ngQfF1JXGAzFk-T7ywH4-TZtQcOTaE/edit"",""4!e46"")"),243)</f>
        <v>243</v>
      </c>
      <c r="L88" s="18">
        <f t="shared" ca="1" si="238"/>
        <v>2110</v>
      </c>
      <c r="M88" s="18">
        <f t="shared" ca="1" si="239"/>
        <v>3911</v>
      </c>
      <c r="N88" s="19">
        <f t="shared" ca="1" si="240"/>
        <v>190.50330769230771</v>
      </c>
      <c r="O88" s="16">
        <v>7315</v>
      </c>
      <c r="P88" s="20">
        <f t="shared" ca="1" si="241"/>
        <v>0.53465481886534516</v>
      </c>
      <c r="Q88" s="21">
        <v>1.5</v>
      </c>
      <c r="R88" s="20">
        <f t="shared" ca="1" si="242"/>
        <v>0.52640582726270713</v>
      </c>
      <c r="S88" s="22">
        <f t="shared" ca="1" si="243"/>
        <v>0.78960874089406075</v>
      </c>
      <c r="T88" s="21">
        <f ca="1">F88/30.897</f>
        <v>160.30960934718581</v>
      </c>
      <c r="U88" s="21">
        <f t="shared" ca="1" si="244"/>
        <v>6.1657542056609929</v>
      </c>
      <c r="V88" s="18">
        <f t="shared" ca="1" si="245"/>
        <v>150.42307692307693</v>
      </c>
      <c r="W88" s="76"/>
      <c r="X88" s="8">
        <v>5</v>
      </c>
      <c r="Y88" s="8" t="s">
        <v>29</v>
      </c>
      <c r="Z88" s="8">
        <f t="shared" ref="Z88:AI88" si="248">SUM(D103)</f>
        <v>24</v>
      </c>
      <c r="AA88" s="9">
        <f t="shared" ca="1" si="248"/>
        <v>24</v>
      </c>
      <c r="AB88" s="10">
        <f t="shared" ca="1" si="248"/>
        <v>4660.8019999999997</v>
      </c>
      <c r="AC88" s="9">
        <f t="shared" ca="1" si="248"/>
        <v>1292</v>
      </c>
      <c r="AD88" s="9">
        <f t="shared" ca="1" si="248"/>
        <v>0</v>
      </c>
      <c r="AE88" s="9">
        <f t="shared" ca="1" si="248"/>
        <v>1292</v>
      </c>
      <c r="AF88" s="9">
        <f t="shared" ca="1" si="248"/>
        <v>3603</v>
      </c>
      <c r="AG88" s="9">
        <f t="shared" ca="1" si="248"/>
        <v>0</v>
      </c>
      <c r="AH88" s="9">
        <f t="shared" ca="1" si="248"/>
        <v>3603</v>
      </c>
      <c r="AI88" s="9">
        <f t="shared" ca="1" si="248"/>
        <v>4895</v>
      </c>
      <c r="AJ88" s="11">
        <f t="shared" ref="AJ88:AJ90" ca="1" si="249">AB88/AA88</f>
        <v>194.20008333333331</v>
      </c>
      <c r="AK88" s="8">
        <f t="shared" ref="AK88:AK89" si="250">SUM(O103)</f>
        <v>9201</v>
      </c>
      <c r="AL88" s="12">
        <f t="shared" ca="1" si="227"/>
        <v>0.53200739050103252</v>
      </c>
      <c r="AM88" s="13">
        <f t="shared" ref="AM88:AM89" si="251">SUM(Q103)</f>
        <v>1.5</v>
      </c>
      <c r="AN88" s="12">
        <f t="shared" ca="1" si="229"/>
        <v>0.70016562242578295</v>
      </c>
      <c r="AO88" s="14">
        <f t="shared" ca="1" si="230"/>
        <v>1.0502484336386744</v>
      </c>
      <c r="AP88" s="13">
        <f t="shared" ref="AP88:AQ88" ca="1" si="252">SUM(T103)</f>
        <v>179</v>
      </c>
      <c r="AQ88" s="13">
        <f t="shared" ca="1" si="252"/>
        <v>7.458333333333333</v>
      </c>
      <c r="AR88" s="9">
        <f t="shared" ca="1" si="232"/>
        <v>203.95833333333334</v>
      </c>
      <c r="AS88" s="76"/>
      <c r="AT88" s="76"/>
    </row>
    <row r="89" spans="1:46" ht="15.75" customHeight="1" x14ac:dyDescent="0.25">
      <c r="A89" s="70"/>
      <c r="B89" s="16">
        <v>3</v>
      </c>
      <c r="C89" s="16" t="s">
        <v>30</v>
      </c>
      <c r="D89" s="17">
        <v>48</v>
      </c>
      <c r="E89" s="18">
        <f ca="1">IFERROR(__xludf.DUMMYFUNCTION("COUNT(IMPORTRANGE(""https://docs.google.com/spreadsheets/d/1WojVzHhpzodJL1e5UDHeu3A3u5MTSZwvxHu0BrwvL9w/edit"",""4!d2:d61""))"),47)</f>
        <v>47</v>
      </c>
      <c r="F89" s="23">
        <f ca="1">IFERROR(__xludf.DUMMYFUNCTION("SUM(IMPORTRANGE(""https://docs.google.com/spreadsheets/d/1WojVzHhpzodJL1e5UDHeu3A3u5MTSZwvxHu0BrwvL9w/edit"",""4!Q2:Q61""))"),8906.214)</f>
        <v>8906.2139999999999</v>
      </c>
      <c r="G89" s="18">
        <f ca="1">IFERROR(__xludf.DUMMYFUNCTION("IMPORTRANGE(""https://docs.google.com/spreadsheets/d/1WojVzHhpzodJL1e5UDHeu3A3u5MTSZwvxHu0BrwvL9w/edit"",""4!e68"")"),2439)</f>
        <v>2439</v>
      </c>
      <c r="H89" s="18">
        <f ca="1">IFERROR(__xludf.DUMMYFUNCTION("IMPORTRANGE(""https://docs.google.com/spreadsheets/d/1WojVzHhpzodJL1e5UDHeu3A3u5MTSZwvxHu0BrwvL9w/edit"",""4!e69"")"),0)</f>
        <v>0</v>
      </c>
      <c r="I89" s="18">
        <f t="shared" ca="1" si="237"/>
        <v>2439</v>
      </c>
      <c r="J89" s="18">
        <f ca="1">IFERROR(__xludf.DUMMYFUNCTION("IMPORTRANGE(""https://docs.google.com/spreadsheets/d/1WojVzHhpzodJL1e5UDHeu3A3u5MTSZwvxHu0BrwvL9w/edit"",""4!e72"")"),4237)</f>
        <v>4237</v>
      </c>
      <c r="K89" s="18">
        <f ca="1">IFERROR(__xludf.DUMMYFUNCTION("IMPORTRANGE(""https://docs.google.com/spreadsheets/d/1WojVzHhpzodJL1e5UDHeu3A3u5MTSZwvxHu0BrwvL9w/edit"",""4!e73"")"),0)</f>
        <v>0</v>
      </c>
      <c r="L89" s="18">
        <f t="shared" ca="1" si="238"/>
        <v>4237</v>
      </c>
      <c r="M89" s="18">
        <f t="shared" ca="1" si="239"/>
        <v>6676</v>
      </c>
      <c r="N89" s="19">
        <f t="shared" ca="1" si="240"/>
        <v>189.49391489361702</v>
      </c>
      <c r="O89" s="16">
        <v>11164</v>
      </c>
      <c r="P89" s="20">
        <f t="shared" ca="1" si="241"/>
        <v>0.59799355069867433</v>
      </c>
      <c r="Q89" s="21">
        <v>1.5</v>
      </c>
      <c r="R89" s="20">
        <f t="shared" ca="1" si="242"/>
        <v>0.49972599655326794</v>
      </c>
      <c r="S89" s="22">
        <f t="shared" ca="1" si="243"/>
        <v>0.74958899482990193</v>
      </c>
      <c r="T89" s="21">
        <f ca="1">F89/29.603</f>
        <v>300.85511603553692</v>
      </c>
      <c r="U89" s="21">
        <f t="shared" ca="1" si="244"/>
        <v>6.4011726816071688</v>
      </c>
      <c r="V89" s="18">
        <f t="shared" ca="1" si="245"/>
        <v>142.04255319148936</v>
      </c>
      <c r="W89" s="76"/>
      <c r="X89" s="8">
        <v>6</v>
      </c>
      <c r="Y89" s="8" t="s">
        <v>31</v>
      </c>
      <c r="Z89" s="8">
        <f t="shared" ref="Z89:AI89" si="253">SUM(D104)</f>
        <v>12</v>
      </c>
      <c r="AA89" s="9">
        <f t="shared" ca="1" si="253"/>
        <v>11</v>
      </c>
      <c r="AB89" s="11">
        <f t="shared" ca="1" si="253"/>
        <v>2129.7849999999999</v>
      </c>
      <c r="AC89" s="9">
        <f t="shared" ca="1" si="253"/>
        <v>691</v>
      </c>
      <c r="AD89" s="9">
        <f t="shared" ca="1" si="253"/>
        <v>0</v>
      </c>
      <c r="AE89" s="9">
        <f t="shared" ca="1" si="253"/>
        <v>691</v>
      </c>
      <c r="AF89" s="9">
        <f t="shared" ca="1" si="253"/>
        <v>663</v>
      </c>
      <c r="AG89" s="9">
        <f t="shared" ca="1" si="253"/>
        <v>0</v>
      </c>
      <c r="AH89" s="9">
        <f t="shared" ca="1" si="253"/>
        <v>663</v>
      </c>
      <c r="AI89" s="9">
        <f t="shared" ca="1" si="253"/>
        <v>1354</v>
      </c>
      <c r="AJ89" s="11">
        <f t="shared" ca="1" si="249"/>
        <v>193.61681818181816</v>
      </c>
      <c r="AK89" s="8">
        <f t="shared" si="250"/>
        <v>2717</v>
      </c>
      <c r="AL89" s="12">
        <f t="shared" ca="1" si="227"/>
        <v>0.49834376150165621</v>
      </c>
      <c r="AM89" s="13">
        <f t="shared" si="251"/>
        <v>1.5</v>
      </c>
      <c r="AN89" s="12">
        <f t="shared" ca="1" si="229"/>
        <v>0.42382994840637278</v>
      </c>
      <c r="AO89" s="14">
        <f t="shared" ca="1" si="230"/>
        <v>0.63574492260955917</v>
      </c>
      <c r="AP89" s="13">
        <f t="shared" ref="AP89:AQ89" ca="1" si="254">SUM(T104)</f>
        <v>48.999999999999993</v>
      </c>
      <c r="AQ89" s="13">
        <f t="shared" ca="1" si="254"/>
        <v>4.4545454545454541</v>
      </c>
      <c r="AR89" s="9">
        <f t="shared" ca="1" si="232"/>
        <v>123.09090909090909</v>
      </c>
      <c r="AS89" s="76"/>
      <c r="AT89" s="76"/>
    </row>
    <row r="90" spans="1:46" ht="15.75" customHeight="1" x14ac:dyDescent="0.25">
      <c r="A90" s="70"/>
      <c r="B90" s="16">
        <v>4</v>
      </c>
      <c r="C90" s="16" t="s">
        <v>32</v>
      </c>
      <c r="D90" s="17">
        <v>33</v>
      </c>
      <c r="E90" s="18">
        <f ca="1">IFERROR(__xludf.DUMMYFUNCTION("COUNT(IMPORTRANGE(""https://docs.google.com/spreadsheets/d/1vmCj5YcMSPHj1m64syDndQ6cqVL3yolcU03Y8KHmvdc/edit"",""4!d2:d43""))"),32)</f>
        <v>32</v>
      </c>
      <c r="F90" s="23">
        <f ca="1">IFERROR(__xludf.DUMMYFUNCTION("SUM(IMPORTRANGE(""https://docs.google.com/spreadsheets/d/1vmCj5YcMSPHj1m64syDndQ6cqVL3yolcU03Y8KHmvdc/edit"",""4!Q2:Q43""))"),6148.95399999999)</f>
        <v>6148.9539999999897</v>
      </c>
      <c r="G90" s="16">
        <f ca="1">IFERROR(__xludf.DUMMYFUNCTION("IMPORTRANGE(""https://docs.google.com/spreadsheets/d/1vmCj5YcMSPHj1m64syDndQ6cqVL3yolcU03Y8KHmvdc/edit"",""4!e50"")"),3337)</f>
        <v>3337</v>
      </c>
      <c r="H90" s="16">
        <f ca="1">IFERROR(__xludf.DUMMYFUNCTION("IMPORTRANGE(""https://docs.google.com/spreadsheets/d/1vmCj5YcMSPHj1m64syDndQ6cqVL3yolcU03Y8KHmvdc/edit"",""4!e51"")"),50)</f>
        <v>50</v>
      </c>
      <c r="I90" s="18">
        <f t="shared" ca="1" si="237"/>
        <v>3387</v>
      </c>
      <c r="J90" s="16">
        <f ca="1">IFERROR(__xludf.DUMMYFUNCTION("IMPORTRANGE(""https://docs.google.com/spreadsheets/d/1vmCj5YcMSPHj1m64syDndQ6cqVL3yolcU03Y8KHmvdc/edit"",""4!e54"")"),3342)</f>
        <v>3342</v>
      </c>
      <c r="K90" s="16">
        <f ca="1">IFERROR(__xludf.DUMMYFUNCTION("IMPORTRANGE(""https://docs.google.com/spreadsheets/d/1vmCj5YcMSPHj1m64syDndQ6cqVL3yolcU03Y8KHmvdc/edit"",""4!e55"")"),110)</f>
        <v>110</v>
      </c>
      <c r="L90" s="18">
        <f t="shared" ca="1" si="238"/>
        <v>3452</v>
      </c>
      <c r="M90" s="18">
        <f t="shared" ca="1" si="239"/>
        <v>6839</v>
      </c>
      <c r="N90" s="19">
        <f t="shared" ca="1" si="240"/>
        <v>192.15481249999968</v>
      </c>
      <c r="O90" s="16">
        <v>13817</v>
      </c>
      <c r="P90" s="20">
        <f t="shared" ca="1" si="241"/>
        <v>0.4949699645364406</v>
      </c>
      <c r="Q90" s="21">
        <v>1.5</v>
      </c>
      <c r="R90" s="20">
        <f t="shared" ca="1" si="242"/>
        <v>0.74148112562451118</v>
      </c>
      <c r="S90" s="22">
        <f t="shared" ca="1" si="243"/>
        <v>1.1122216884367668</v>
      </c>
      <c r="T90" s="21">
        <f ca="1">F90/25.089</f>
        <v>245.08565506795767</v>
      </c>
      <c r="U90" s="21">
        <f t="shared" ca="1" si="244"/>
        <v>7.6589267208736773</v>
      </c>
      <c r="V90" s="18">
        <f t="shared" ca="1" si="245"/>
        <v>213.71875</v>
      </c>
      <c r="W90" s="76"/>
      <c r="X90" s="24" t="s">
        <v>33</v>
      </c>
      <c r="Y90" s="24">
        <v>6</v>
      </c>
      <c r="Z90" s="24">
        <f t="shared" ref="Z90:AI90" si="255">SUM(Z84:Z89)</f>
        <v>152</v>
      </c>
      <c r="AA90" s="25">
        <f t="shared" ca="1" si="255"/>
        <v>150</v>
      </c>
      <c r="AB90" s="26">
        <f t="shared" ca="1" si="255"/>
        <v>28174.447999999978</v>
      </c>
      <c r="AC90" s="25">
        <f t="shared" ca="1" si="255"/>
        <v>7245</v>
      </c>
      <c r="AD90" s="25">
        <f t="shared" ca="1" si="255"/>
        <v>361</v>
      </c>
      <c r="AE90" s="25">
        <f t="shared" ca="1" si="255"/>
        <v>7606</v>
      </c>
      <c r="AF90" s="25">
        <f t="shared" ca="1" si="255"/>
        <v>11248</v>
      </c>
      <c r="AG90" s="25">
        <f t="shared" ca="1" si="255"/>
        <v>358</v>
      </c>
      <c r="AH90" s="25">
        <f t="shared" ca="1" si="255"/>
        <v>11606</v>
      </c>
      <c r="AI90" s="25">
        <f t="shared" ca="1" si="255"/>
        <v>19212</v>
      </c>
      <c r="AJ90" s="27">
        <f t="shared" ca="1" si="249"/>
        <v>187.8296533333332</v>
      </c>
      <c r="AK90" s="24">
        <f>SUM(AK84:AK89)</f>
        <v>35074</v>
      </c>
      <c r="AL90" s="28">
        <f t="shared" ca="1" si="227"/>
        <v>0.5477561726635114</v>
      </c>
      <c r="AM90" s="29">
        <v>1.5</v>
      </c>
      <c r="AN90" s="28">
        <f t="shared" ca="1" si="229"/>
        <v>0.45459630655408084</v>
      </c>
      <c r="AO90" s="30">
        <f t="shared" ca="1" si="230"/>
        <v>0.68189445983112129</v>
      </c>
      <c r="AP90" s="29">
        <f ca="1">SUM(AP84:AP89)</f>
        <v>1057.7051282981329</v>
      </c>
      <c r="AQ90" s="29">
        <f ca="1">AP90/AA90</f>
        <v>7.0513675219875527</v>
      </c>
      <c r="AR90" s="25">
        <f t="shared" ca="1" si="232"/>
        <v>128.08000000000001</v>
      </c>
      <c r="AS90" s="76"/>
      <c r="AT90" s="76"/>
    </row>
    <row r="91" spans="1:46" ht="15.75" customHeight="1" x14ac:dyDescent="0.25">
      <c r="A91" s="70"/>
      <c r="B91" s="16">
        <v>5</v>
      </c>
      <c r="C91" s="16" t="s">
        <v>34</v>
      </c>
      <c r="D91" s="17">
        <v>32</v>
      </c>
      <c r="E91" s="18">
        <f ca="1">IFERROR(__xludf.DUMMYFUNCTION("COUNT(IMPORTRANGE(""https://docs.google.com/spreadsheets/d/14_Y-fpuq1wcec3DlT_1PBYekOC0YblQMrWVfO12YO3k/edit"",""4!d2:d41""))"),31)</f>
        <v>31</v>
      </c>
      <c r="F91" s="23">
        <f ca="1">IFERROR(__xludf.DUMMYFUNCTION("SUM(IMPORTRANGE(""https://docs.google.com/spreadsheets/d/14_Y-fpuq1wcec3DlT_1PBYekOC0YblQMrWVfO12YO3k/edit"",""4!Q2:Q41""))"),5909.646)</f>
        <v>5909.6459999999997</v>
      </c>
      <c r="G91" s="18">
        <f ca="1">IFERROR(__xludf.DUMMYFUNCTION("IMPORTRANGE(""https://docs.google.com/spreadsheets/d/14_Y-fpuq1wcec3DlT_1PBYekOC0YblQMrWVfO12YO3k/edit"",""4!e48"")"),1750)</f>
        <v>1750</v>
      </c>
      <c r="H91" s="18">
        <f ca="1">IFERROR(__xludf.DUMMYFUNCTION("IMPORTRANGE(""https://docs.google.com/spreadsheets/d/14_Y-fpuq1wcec3DlT_1PBYekOC0YblQMrWVfO12YO3k/edit"",""4!e49"")"),0)</f>
        <v>0</v>
      </c>
      <c r="I91" s="18">
        <f t="shared" ca="1" si="237"/>
        <v>1750</v>
      </c>
      <c r="J91" s="18">
        <f ca="1">IFERROR(__xludf.DUMMYFUNCTION("IMPORTRANGE(""https://docs.google.com/spreadsheets/d/14_Y-fpuq1wcec3DlT_1PBYekOC0YblQMrWVfO12YO3k/edit"",""4!e52"")"),2688)</f>
        <v>2688</v>
      </c>
      <c r="K91" s="18">
        <f ca="1">IFERROR(__xludf.DUMMYFUNCTION("IMPORTRANGE(""https://docs.google.com/spreadsheets/d/14_Y-fpuq1wcec3DlT_1PBYekOC0YblQMrWVfO12YO3k/edit"",""4!e53"")"),75)</f>
        <v>75</v>
      </c>
      <c r="L91" s="18">
        <f t="shared" ca="1" si="238"/>
        <v>2763</v>
      </c>
      <c r="M91" s="18">
        <f t="shared" ca="1" si="239"/>
        <v>4513</v>
      </c>
      <c r="N91" s="19">
        <f t="shared" ca="1" si="240"/>
        <v>190.63374193548387</v>
      </c>
      <c r="O91" s="16">
        <v>9354</v>
      </c>
      <c r="P91" s="20">
        <f t="shared" ca="1" si="241"/>
        <v>0.48246739362839425</v>
      </c>
      <c r="Q91" s="21">
        <v>1.5</v>
      </c>
      <c r="R91" s="20">
        <f t="shared" ca="1" si="242"/>
        <v>0.50911114924086265</v>
      </c>
      <c r="S91" s="22">
        <f t="shared" ca="1" si="243"/>
        <v>0.76366672386129397</v>
      </c>
      <c r="T91" s="21">
        <f ca="1">F91/30.713</f>
        <v>192.41513365675772</v>
      </c>
      <c r="U91" s="21">
        <f t="shared" ca="1" si="244"/>
        <v>6.2069397953792809</v>
      </c>
      <c r="V91" s="18">
        <f t="shared" ca="1" si="245"/>
        <v>145.58064516129033</v>
      </c>
      <c r="W91" s="76"/>
      <c r="X91" s="100" t="s">
        <v>35</v>
      </c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9"/>
      <c r="AS91" s="76"/>
      <c r="AT91" s="76"/>
    </row>
    <row r="92" spans="1:46" ht="15.75" customHeight="1" x14ac:dyDescent="0.25">
      <c r="A92" s="70"/>
      <c r="B92" s="16">
        <v>6</v>
      </c>
      <c r="C92" s="16" t="s">
        <v>23</v>
      </c>
      <c r="D92" s="17">
        <v>28</v>
      </c>
      <c r="E92" s="18">
        <f ca="1">IFERROR(__xludf.DUMMYFUNCTION("COUNT(IMPORTRANGE(""https://docs.google.com/spreadsheets/d/1lJqjdj05V4LOXuBOiTdE65GV4ZITyx1cMLcDdcuoUnE/edit"",""4!d2:d36""))"),28)</f>
        <v>28</v>
      </c>
      <c r="F92" s="23">
        <f ca="1">IFERROR(__xludf.DUMMYFUNCTION("SUM(IMPORTRANGE(""https://docs.google.com/spreadsheets/d/1lJqjdj05V4LOXuBOiTdE65GV4ZITyx1cMLcDdcuoUnE/edit"",""4!Q2:Q36""))"),5503.20799999999)</f>
        <v>5503.2079999999896</v>
      </c>
      <c r="G92" s="18">
        <f ca="1">IFERROR(__xludf.DUMMYFUNCTION("IMPORTRANGE(""https://docs.google.com/spreadsheets/d/1lJqjdj05V4LOXuBOiTdE65GV4ZITyx1cMLcDdcuoUnE/edit"",""4!e43"")"),1231)</f>
        <v>1231</v>
      </c>
      <c r="H92" s="18">
        <f ca="1">IFERROR(__xludf.DUMMYFUNCTION("IMPORTRANGE(""https://docs.google.com/spreadsheets/d/1lJqjdj05V4LOXuBOiTdE65GV4ZITyx1cMLcDdcuoUnE/edit"",""4!e44"")"),0)</f>
        <v>0</v>
      </c>
      <c r="I92" s="18">
        <f t="shared" ca="1" si="237"/>
        <v>1231</v>
      </c>
      <c r="J92" s="18">
        <f ca="1">IFERROR(__xludf.DUMMYFUNCTION("IMPORTRANGE(""https://docs.google.com/spreadsheets/d/1lJqjdj05V4LOXuBOiTdE65GV4ZITyx1cMLcDdcuoUnE/edit"",""4!e47"")"),2257)</f>
        <v>2257</v>
      </c>
      <c r="K92" s="18">
        <f ca="1">IFERROR(__xludf.DUMMYFUNCTION("IMPORTRANGE(""https://docs.google.com/spreadsheets/d/1lJqjdj05V4LOXuBOiTdE65GV4ZITyx1cMLcDdcuoUnE/edit"",""4!e48"")"),0)</f>
        <v>0</v>
      </c>
      <c r="L92" s="18">
        <f t="shared" ca="1" si="238"/>
        <v>2257</v>
      </c>
      <c r="M92" s="18">
        <f t="shared" ca="1" si="239"/>
        <v>3488</v>
      </c>
      <c r="N92" s="19">
        <f t="shared" ca="1" si="240"/>
        <v>196.5431428571425</v>
      </c>
      <c r="O92" s="16">
        <v>6853</v>
      </c>
      <c r="P92" s="20">
        <f t="shared" ca="1" si="241"/>
        <v>0.50897417189552019</v>
      </c>
      <c r="Q92" s="21">
        <v>1.5</v>
      </c>
      <c r="R92" s="20">
        <f t="shared" ca="1" si="242"/>
        <v>0.42254142190034205</v>
      </c>
      <c r="S92" s="22">
        <f t="shared" ca="1" si="243"/>
        <v>0.63381213285051308</v>
      </c>
      <c r="T92" s="21">
        <f ca="1">F92/33.74</f>
        <v>163.10634262003524</v>
      </c>
      <c r="U92" s="21">
        <f t="shared" ca="1" si="244"/>
        <v>5.8252265221441153</v>
      </c>
      <c r="V92" s="18">
        <f t="shared" ca="1" si="245"/>
        <v>124.57142857142857</v>
      </c>
      <c r="W92" s="76"/>
      <c r="X92" s="1" t="s">
        <v>2</v>
      </c>
      <c r="Y92" s="1" t="s">
        <v>3</v>
      </c>
      <c r="Z92" s="1" t="s">
        <v>4</v>
      </c>
      <c r="AA92" s="1" t="s">
        <v>5</v>
      </c>
      <c r="AB92" s="2" t="s">
        <v>6</v>
      </c>
      <c r="AC92" s="1" t="s">
        <v>7</v>
      </c>
      <c r="AD92" s="1" t="s">
        <v>8</v>
      </c>
      <c r="AE92" s="1" t="s">
        <v>9</v>
      </c>
      <c r="AF92" s="1" t="s">
        <v>10</v>
      </c>
      <c r="AG92" s="1" t="s">
        <v>11</v>
      </c>
      <c r="AH92" s="1" t="s">
        <v>12</v>
      </c>
      <c r="AI92" s="1" t="s">
        <v>13</v>
      </c>
      <c r="AJ92" s="2" t="s">
        <v>14</v>
      </c>
      <c r="AK92" s="1" t="s">
        <v>15</v>
      </c>
      <c r="AL92" s="1" t="s">
        <v>16</v>
      </c>
      <c r="AM92" s="3" t="s">
        <v>17</v>
      </c>
      <c r="AN92" s="4" t="s">
        <v>18</v>
      </c>
      <c r="AO92" s="5" t="s">
        <v>19</v>
      </c>
      <c r="AP92" s="6" t="s">
        <v>20</v>
      </c>
      <c r="AQ92" s="6" t="s">
        <v>21</v>
      </c>
      <c r="AR92" s="7" t="s">
        <v>22</v>
      </c>
      <c r="AS92" s="76"/>
      <c r="AT92" s="76"/>
    </row>
    <row r="93" spans="1:46" ht="15.75" customHeight="1" x14ac:dyDescent="0.25">
      <c r="A93" s="70"/>
      <c r="B93" s="16">
        <v>7</v>
      </c>
      <c r="C93" s="16" t="s">
        <v>24</v>
      </c>
      <c r="D93" s="17">
        <v>37</v>
      </c>
      <c r="E93" s="31">
        <f ca="1">IFERROR(__xludf.DUMMYFUNCTION("COUNT(IMPORTRANGE(""https://docs.google.com/spreadsheets/d/1_7EEO26q9Yq-XhNFiy7I6Zh4Yg6uGjTs9y0UqNvPKcQ/edit"",""4!d2:d45""))"),37)</f>
        <v>37</v>
      </c>
      <c r="F93" s="32">
        <f ca="1">IFERROR(__xludf.DUMMYFUNCTION("SUM(IMPORTRANGE(""https://docs.google.com/spreadsheets/d/1_7EEO26q9Yq-XhNFiy7I6Zh4Yg6uGjTs9y0UqNvPKcQ/edit"",""4!Q2:Q45""))"),7106.99299999999)</f>
        <v>7106.9929999999904</v>
      </c>
      <c r="G93" s="31">
        <f ca="1">IFERROR(__xludf.DUMMYFUNCTION("IMPORTRANGE(""https://docs.google.com/spreadsheets/d/1_7EEO26q9Yq-XhNFiy7I6Zh4Yg6uGjTs9y0UqNvPKcQ/edit"",""4!e53"")"),743)</f>
        <v>743</v>
      </c>
      <c r="H93" s="31">
        <f ca="1">IFERROR(__xludf.DUMMYFUNCTION("IMPORTRANGE(""https://docs.google.com/spreadsheets/d/1_7EEO26q9Yq-XhNFiy7I6Zh4Yg6uGjTs9y0UqNvPKcQ/edit"",""4!e54"")"),0)</f>
        <v>0</v>
      </c>
      <c r="I93" s="31">
        <f t="shared" ca="1" si="237"/>
        <v>743</v>
      </c>
      <c r="J93" s="31">
        <f ca="1">IFERROR(__xludf.DUMMYFUNCTION("IMPORTRANGE(""https://docs.google.com/spreadsheets/d/1_7EEO26q9Yq-XhNFiy7I6Zh4Yg6uGjTs9y0UqNvPKcQ/edit"",""4!e57"")"),1007)</f>
        <v>1007</v>
      </c>
      <c r="K93" s="31">
        <f ca="1">IFERROR(__xludf.DUMMYFUNCTION("IMPORTRANGE(""https://docs.google.com/spreadsheets/d/1_7EEO26q9Yq-XhNFiy7I6Zh4Yg6uGjTs9y0UqNvPKcQ/edit"",""4!e58"")"),15)</f>
        <v>15</v>
      </c>
      <c r="L93" s="18">
        <f t="shared" ca="1" si="238"/>
        <v>1022</v>
      </c>
      <c r="M93" s="18">
        <f t="shared" ca="1" si="239"/>
        <v>1765</v>
      </c>
      <c r="N93" s="19">
        <f t="shared" ca="1" si="240"/>
        <v>192.08089189189164</v>
      </c>
      <c r="O93" s="16">
        <v>1580</v>
      </c>
      <c r="P93" s="33">
        <f t="shared" ca="1" si="241"/>
        <v>1.1170886075949367</v>
      </c>
      <c r="Q93" s="21">
        <v>1.5</v>
      </c>
      <c r="R93" s="20">
        <f t="shared" ca="1" si="242"/>
        <v>0.16556463002941865</v>
      </c>
      <c r="S93" s="22">
        <f t="shared" ca="1" si="243"/>
        <v>0.24834694504412799</v>
      </c>
      <c r="T93" s="21">
        <f ca="1">F93/26.805</f>
        <v>265.13684014176425</v>
      </c>
      <c r="U93" s="21">
        <f t="shared" ca="1" si="244"/>
        <v>7.1658605443720065</v>
      </c>
      <c r="V93" s="18">
        <f t="shared" ca="1" si="245"/>
        <v>47.702702702702702</v>
      </c>
      <c r="W93" s="76"/>
      <c r="X93" s="8">
        <v>1</v>
      </c>
      <c r="Y93" s="8" t="s">
        <v>28</v>
      </c>
      <c r="Z93" s="8">
        <f t="shared" ref="Z93:AI93" si="256">SUM(D88)</f>
        <v>26</v>
      </c>
      <c r="AA93" s="9">
        <f t="shared" ca="1" si="256"/>
        <v>26</v>
      </c>
      <c r="AB93" s="11">
        <f t="shared" ca="1" si="256"/>
        <v>4953.0860000000002</v>
      </c>
      <c r="AC93" s="9">
        <f t="shared" ca="1" si="256"/>
        <v>1763</v>
      </c>
      <c r="AD93" s="9">
        <f t="shared" ca="1" si="256"/>
        <v>38</v>
      </c>
      <c r="AE93" s="9">
        <f t="shared" ca="1" si="256"/>
        <v>1801</v>
      </c>
      <c r="AF93" s="9">
        <f t="shared" ca="1" si="256"/>
        <v>1867</v>
      </c>
      <c r="AG93" s="9">
        <f t="shared" ca="1" si="256"/>
        <v>243</v>
      </c>
      <c r="AH93" s="9">
        <f t="shared" ca="1" si="256"/>
        <v>2110</v>
      </c>
      <c r="AI93" s="9">
        <f t="shared" ca="1" si="256"/>
        <v>3911</v>
      </c>
      <c r="AJ93" s="11">
        <f t="shared" ref="AJ93:AJ99" ca="1" si="257">AB93/AA93</f>
        <v>190.50330769230771</v>
      </c>
      <c r="AK93" s="8">
        <f t="shared" ref="AK93:AK94" si="258">SUM(O88)</f>
        <v>7315</v>
      </c>
      <c r="AL93" s="12">
        <f t="shared" ref="AL93:AL99" ca="1" si="259">AI93/AK93</f>
        <v>0.53465481886534516</v>
      </c>
      <c r="AM93" s="13">
        <f t="shared" ref="AM93:AM94" si="260">SUM(Q88)</f>
        <v>1.5</v>
      </c>
      <c r="AN93" s="12">
        <f t="shared" ref="AN93:AN99" ca="1" si="261">AO93/AM93</f>
        <v>0.52640582726270713</v>
      </c>
      <c r="AO93" s="14">
        <f t="shared" ref="AO93:AO99" ca="1" si="262">AI93/AB93</f>
        <v>0.78960874089406075</v>
      </c>
      <c r="AP93" s="13">
        <f t="shared" ref="AP93:AQ93" ca="1" si="263">SUM(T88)</f>
        <v>160.30960934718581</v>
      </c>
      <c r="AQ93" s="13">
        <f t="shared" ca="1" si="263"/>
        <v>6.1657542056609929</v>
      </c>
      <c r="AR93" s="9">
        <f t="shared" ref="AR93:AR99" ca="1" si="264">AI93/AA93</f>
        <v>150.42307692307693</v>
      </c>
      <c r="AS93" s="76"/>
      <c r="AT93" s="76"/>
    </row>
    <row r="94" spans="1:46" ht="15.75" customHeight="1" x14ac:dyDescent="0.25">
      <c r="A94" s="70"/>
      <c r="B94" s="16">
        <v>8</v>
      </c>
      <c r="C94" s="16" t="s">
        <v>25</v>
      </c>
      <c r="D94" s="34">
        <v>27</v>
      </c>
      <c r="E94" s="18">
        <f ca="1">IFERROR(__xludf.DUMMYFUNCTION("COUNT(IMPORTRANGE(""https://docs.google.com/spreadsheets/d/1vLOLpiE-XsbnCnwWPcoi87PlUSXfqIAAQn3kvqHfO6s/edit"",""4!d2:D33""))"),26)</f>
        <v>26</v>
      </c>
      <c r="F94" s="23">
        <f ca="1">IFERROR(__xludf.DUMMYFUNCTION("SUM(IMPORTRANGE(""https://docs.google.com/spreadsheets/d/1vLOLpiE-XsbnCnwWPcoi87PlUSXfqIAAQn3kvqHfO6s/edit"",""4!Q2:Q33""))"),4640.872)</f>
        <v>4640.8720000000003</v>
      </c>
      <c r="G94" s="18">
        <f ca="1">IFERROR(__xludf.DUMMYFUNCTION("IMPORTRANGE(""https://docs.google.com/spreadsheets/d/1vLOLpiE-XsbnCnwWPcoi87PlUSXfqIAAQn3kvqHfO6s/edit"",""4!e40"")"),1785)</f>
        <v>1785</v>
      </c>
      <c r="H94" s="18">
        <f ca="1">IFERROR(__xludf.DUMMYFUNCTION("IMPORTRANGE(""https://docs.google.com/spreadsheets/d/1vLOLpiE-XsbnCnwWPcoi87PlUSXfqIAAQn3kvqHfO6s/edit"",""4!e41"")"),276)</f>
        <v>276</v>
      </c>
      <c r="I94" s="18">
        <f t="shared" ca="1" si="237"/>
        <v>2061</v>
      </c>
      <c r="J94" s="18">
        <f ca="1">IFERROR(__xludf.DUMMYFUNCTION("IMPORTRANGE(""https://docs.google.com/spreadsheets/d/1vLOLpiE-XsbnCnwWPcoi87PlUSXfqIAAQn3kvqHfO6s/edit"",""4!e44"")"),1976)</f>
        <v>1976</v>
      </c>
      <c r="K94" s="18">
        <f ca="1">IFERROR(__xludf.DUMMYFUNCTION("IMPORTRANGE(""https://docs.google.com/spreadsheets/d/1vLOLpiE-XsbnCnwWPcoi87PlUSXfqIAAQn3kvqHfO6s/edit"",""4!e45"")"),264)</f>
        <v>264</v>
      </c>
      <c r="L94" s="18">
        <f ca="1">J94+K94</f>
        <v>2240</v>
      </c>
      <c r="M94" s="18">
        <f t="shared" ca="1" si="239"/>
        <v>4301</v>
      </c>
      <c r="N94" s="19">
        <f t="shared" ca="1" si="240"/>
        <v>178.49507692307694</v>
      </c>
      <c r="O94" s="16">
        <v>6622</v>
      </c>
      <c r="P94" s="20">
        <f t="shared" ca="1" si="241"/>
        <v>0.64950166112956809</v>
      </c>
      <c r="Q94" s="21">
        <v>1.5</v>
      </c>
      <c r="R94" s="20">
        <f t="shared" ca="1" si="242"/>
        <v>0.61784365811712394</v>
      </c>
      <c r="S94" s="22">
        <f t="shared" ca="1" si="243"/>
        <v>0.92676548717568585</v>
      </c>
      <c r="T94" s="21">
        <f ca="1">F94/23.84</f>
        <v>194.66744966442954</v>
      </c>
      <c r="U94" s="21">
        <f t="shared" ca="1" si="244"/>
        <v>7.4872096024780594</v>
      </c>
      <c r="V94" s="18">
        <f t="shared" ca="1" si="245"/>
        <v>165.42307692307693</v>
      </c>
      <c r="W94" s="76"/>
      <c r="X94" s="8">
        <v>2</v>
      </c>
      <c r="Y94" s="8" t="s">
        <v>30</v>
      </c>
      <c r="Z94" s="8">
        <f t="shared" ref="Z94:AI94" si="265">SUM(D89)</f>
        <v>48</v>
      </c>
      <c r="AA94" s="9">
        <f t="shared" ca="1" si="265"/>
        <v>47</v>
      </c>
      <c r="AB94" s="10">
        <f t="shared" ca="1" si="265"/>
        <v>8906.2139999999999</v>
      </c>
      <c r="AC94" s="9">
        <f t="shared" ca="1" si="265"/>
        <v>2439</v>
      </c>
      <c r="AD94" s="9">
        <f t="shared" ca="1" si="265"/>
        <v>0</v>
      </c>
      <c r="AE94" s="9">
        <f t="shared" ca="1" si="265"/>
        <v>2439</v>
      </c>
      <c r="AF94" s="9">
        <f t="shared" ca="1" si="265"/>
        <v>4237</v>
      </c>
      <c r="AG94" s="9">
        <f t="shared" ca="1" si="265"/>
        <v>0</v>
      </c>
      <c r="AH94" s="9">
        <f t="shared" ca="1" si="265"/>
        <v>4237</v>
      </c>
      <c r="AI94" s="9">
        <f t="shared" ca="1" si="265"/>
        <v>6676</v>
      </c>
      <c r="AJ94" s="11">
        <f t="shared" ca="1" si="257"/>
        <v>189.49391489361702</v>
      </c>
      <c r="AK94" s="8">
        <f t="shared" si="258"/>
        <v>11164</v>
      </c>
      <c r="AL94" s="12">
        <f t="shared" ca="1" si="259"/>
        <v>0.59799355069867433</v>
      </c>
      <c r="AM94" s="13">
        <f t="shared" si="260"/>
        <v>1.5</v>
      </c>
      <c r="AN94" s="12">
        <f t="shared" ca="1" si="261"/>
        <v>0.49972599655326794</v>
      </c>
      <c r="AO94" s="14">
        <f t="shared" ca="1" si="262"/>
        <v>0.74958899482990193</v>
      </c>
      <c r="AP94" s="13">
        <f t="shared" ref="AP94:AQ94" ca="1" si="266">SUM(T89)</f>
        <v>300.85511603553692</v>
      </c>
      <c r="AQ94" s="13">
        <f t="shared" ca="1" si="266"/>
        <v>6.4011726816071688</v>
      </c>
      <c r="AR94" s="9">
        <f t="shared" ca="1" si="264"/>
        <v>142.04255319148936</v>
      </c>
      <c r="AS94" s="76"/>
      <c r="AT94" s="76"/>
    </row>
    <row r="95" spans="1:46" ht="15.75" customHeight="1" x14ac:dyDescent="0.25">
      <c r="A95" s="70"/>
      <c r="B95" s="16">
        <v>9</v>
      </c>
      <c r="C95" s="16" t="s">
        <v>36</v>
      </c>
      <c r="D95" s="34">
        <v>24</v>
      </c>
      <c r="E95" s="18">
        <f ca="1">IFERROR(__xludf.DUMMYFUNCTION("COUNT(IMPORTRANGE(""https://docs.google.com/spreadsheets/d/1WJJVq25XDtGjt-J2JPxeKs3jIvDZtkIREC0lFPXwf74/edit"",""4!d2:d31""))"),24)</f>
        <v>24</v>
      </c>
      <c r="F95" s="23">
        <f ca="1">IFERROR(__xludf.DUMMYFUNCTION("SUM(IMPORTRANGE(""https://docs.google.com/spreadsheets/d/1WJJVq25XDtGjt-J2JPxeKs3jIvDZtkIREC0lFPXwf74/edit"",""4!Q2:Q31""))"),4689.87099999999)</f>
        <v>4689.8709999999901</v>
      </c>
      <c r="G95" s="18">
        <f ca="1">IFERROR(__xludf.DUMMYFUNCTION("IMPORTRANGE(""https://docs.google.com/spreadsheets/d/1WJJVq25XDtGjt-J2JPxeKs3jIvDZtkIREC0lFPXwf74/edit"",""4!e38"")"),1091)</f>
        <v>1091</v>
      </c>
      <c r="H95" s="18">
        <f ca="1">IFERROR(__xludf.DUMMYFUNCTION("IMPORTRANGE(""https://docs.google.com/spreadsheets/d/1WJJVq25XDtGjt-J2JPxeKs3jIvDZtkIREC0lFPXwf74/edit"",""4!e39"")"),0)</f>
        <v>0</v>
      </c>
      <c r="I95" s="18">
        <f t="shared" ca="1" si="237"/>
        <v>1091</v>
      </c>
      <c r="J95" s="18">
        <f ca="1">IFERROR(__xludf.DUMMYFUNCTION("IMPORTRANGE(""https://docs.google.com/spreadsheets/d/1WJJVq25XDtGjt-J2JPxeKs3jIvDZtkIREC0lFPXwf74/edit"",""4!e42"")"),1562)</f>
        <v>1562</v>
      </c>
      <c r="K95" s="18">
        <f ca="1">IFERROR(__xludf.DUMMYFUNCTION("IMPORTRANGE(""https://docs.google.com/spreadsheets/d/1WJJVq25XDtGjt-J2JPxeKs3jIvDZtkIREC0lFPXwf74/edit"",""4!e43"")"),0)</f>
        <v>0</v>
      </c>
      <c r="L95" s="18">
        <f t="shared" ref="L95:L104" ca="1" si="267">SUM(J95:K95)</f>
        <v>1562</v>
      </c>
      <c r="M95" s="18">
        <f t="shared" ca="1" si="239"/>
        <v>2653</v>
      </c>
      <c r="N95" s="19">
        <f t="shared" ca="1" si="240"/>
        <v>195.41129166666624</v>
      </c>
      <c r="O95" s="16">
        <v>4796</v>
      </c>
      <c r="P95" s="20">
        <f t="shared" ca="1" si="241"/>
        <v>0.55316930775646367</v>
      </c>
      <c r="Q95" s="21">
        <v>1.5</v>
      </c>
      <c r="R95" s="20">
        <f t="shared" ca="1" si="242"/>
        <v>0.3771248008029795</v>
      </c>
      <c r="S95" s="22">
        <f t="shared" ca="1" si="243"/>
        <v>0.56568720120446925</v>
      </c>
      <c r="T95" s="21">
        <f ca="1">F95/37.414</f>
        <v>125.35069759982868</v>
      </c>
      <c r="U95" s="21">
        <f t="shared" ca="1" si="244"/>
        <v>5.2229457333261946</v>
      </c>
      <c r="V95" s="18">
        <f t="shared" ca="1" si="245"/>
        <v>110.54166666666667</v>
      </c>
      <c r="W95" s="76"/>
      <c r="X95" s="8">
        <v>3</v>
      </c>
      <c r="Y95" s="8" t="s">
        <v>34</v>
      </c>
      <c r="Z95" s="8">
        <f t="shared" ref="Z95:AI95" si="268">SUM(D91)</f>
        <v>32</v>
      </c>
      <c r="AA95" s="9">
        <f t="shared" ca="1" si="268"/>
        <v>31</v>
      </c>
      <c r="AB95" s="10">
        <f t="shared" ca="1" si="268"/>
        <v>5909.6459999999997</v>
      </c>
      <c r="AC95" s="9">
        <f t="shared" ca="1" si="268"/>
        <v>1750</v>
      </c>
      <c r="AD95" s="9">
        <f t="shared" ca="1" si="268"/>
        <v>0</v>
      </c>
      <c r="AE95" s="9">
        <f t="shared" ca="1" si="268"/>
        <v>1750</v>
      </c>
      <c r="AF95" s="9">
        <f t="shared" ca="1" si="268"/>
        <v>2688</v>
      </c>
      <c r="AG95" s="9">
        <f t="shared" ca="1" si="268"/>
        <v>75</v>
      </c>
      <c r="AH95" s="9">
        <f t="shared" ca="1" si="268"/>
        <v>2763</v>
      </c>
      <c r="AI95" s="9">
        <f t="shared" ca="1" si="268"/>
        <v>4513</v>
      </c>
      <c r="AJ95" s="11">
        <f t="shared" ca="1" si="257"/>
        <v>190.63374193548387</v>
      </c>
      <c r="AK95" s="8">
        <f>SUM(O91)</f>
        <v>9354</v>
      </c>
      <c r="AL95" s="12">
        <f t="shared" ca="1" si="259"/>
        <v>0.48246739362839425</v>
      </c>
      <c r="AM95" s="13">
        <f>SUM(Q91)</f>
        <v>1.5</v>
      </c>
      <c r="AN95" s="12">
        <f t="shared" ca="1" si="261"/>
        <v>0.50911114924086265</v>
      </c>
      <c r="AO95" s="14">
        <f t="shared" ca="1" si="262"/>
        <v>0.76366672386129397</v>
      </c>
      <c r="AP95" s="13">
        <f t="shared" ref="AP95:AQ95" ca="1" si="269">SUM(T91)</f>
        <v>192.41513365675772</v>
      </c>
      <c r="AQ95" s="13">
        <f t="shared" ca="1" si="269"/>
        <v>6.2069397953792809</v>
      </c>
      <c r="AR95" s="9">
        <f t="shared" ca="1" si="264"/>
        <v>145.58064516129033</v>
      </c>
      <c r="AS95" s="76"/>
      <c r="AT95" s="76"/>
    </row>
    <row r="96" spans="1:46" ht="15.75" customHeight="1" x14ac:dyDescent="0.25">
      <c r="A96" s="70"/>
      <c r="B96" s="16">
        <v>10</v>
      </c>
      <c r="C96" s="16" t="s">
        <v>37</v>
      </c>
      <c r="D96" s="17">
        <v>24</v>
      </c>
      <c r="E96" s="18">
        <f ca="1">IFERROR(__xludf.DUMMYFUNCTION("COUNT(IMPORTRANGE(""https://docs.google.com/spreadsheets/d/1rJyYfywRpWJW0zvDJHLOJtqUQqffoCGaqTVxxTDgV0k/edit"",""4!d2:d31""))"),23)</f>
        <v>23</v>
      </c>
      <c r="F96" s="23">
        <f ca="1">IFERROR(__xludf.DUMMYFUNCTION("SUM(IMPORTRANGE(""https://docs.google.com/spreadsheets/d/1rJyYfywRpWJW0zvDJHLOJtqUQqffoCGaqTVxxTDgV0k/edit"",""4!Q2:Q31""))"),4509.522)</f>
        <v>4509.5219999999999</v>
      </c>
      <c r="G96" s="18">
        <f ca="1">IFERROR(__xludf.DUMMYFUNCTION("(IMPORTRANGE(""https://docs.google.com/spreadsheets/d/1rJyYfywRpWJW0zvDJHLOJtqUQqffoCGaqTVxxTDgV0k/edit"",""4!e38""))"),1313)</f>
        <v>1313</v>
      </c>
      <c r="H96" s="18">
        <f ca="1">IFERROR(__xludf.DUMMYFUNCTION("(IMPORTRANGE(""https://docs.google.com/spreadsheets/d/1rJyYfywRpWJW0zvDJHLOJtqUQqffoCGaqTVxxTDgV0k/edit"",""4!e39""))"),0)</f>
        <v>0</v>
      </c>
      <c r="I96" s="18">
        <f t="shared" ca="1" si="237"/>
        <v>1313</v>
      </c>
      <c r="J96" s="18">
        <f ca="1">IFERROR(__xludf.DUMMYFUNCTION("(IMPORTRANGE(""https://docs.google.com/spreadsheets/d/1rJyYfywRpWJW0zvDJHLOJtqUQqffoCGaqTVxxTDgV0k/edit"",""4!e42""))"),2246)</f>
        <v>2246</v>
      </c>
      <c r="K96" s="18">
        <f ca="1">IFERROR(__xludf.DUMMYFUNCTION("(IMPORTRANGE(""https://docs.google.com/spreadsheets/d/1rJyYfywRpWJW0zvDJHLOJtqUQqffoCGaqTVxxTDgV0k/edit"",""4!e43""))"),68)</f>
        <v>68</v>
      </c>
      <c r="L96" s="18">
        <f t="shared" ca="1" si="267"/>
        <v>2314</v>
      </c>
      <c r="M96" s="18">
        <f t="shared" ca="1" si="239"/>
        <v>3627</v>
      </c>
      <c r="N96" s="19">
        <f t="shared" ca="1" si="240"/>
        <v>196.06617391304349</v>
      </c>
      <c r="O96" s="16">
        <v>5887</v>
      </c>
      <c r="P96" s="20">
        <f t="shared" ca="1" si="241"/>
        <v>0.61610327841005608</v>
      </c>
      <c r="Q96" s="21">
        <v>1.5</v>
      </c>
      <c r="R96" s="20">
        <f t="shared" ca="1" si="242"/>
        <v>0.5361987368062513</v>
      </c>
      <c r="S96" s="22">
        <f t="shared" ca="1" si="243"/>
        <v>0.80429810520937695</v>
      </c>
      <c r="T96" s="21">
        <f ca="1">F96/24.792</f>
        <v>181.89424007744432</v>
      </c>
      <c r="U96" s="21">
        <f t="shared" ca="1" si="244"/>
        <v>7.9084452207584492</v>
      </c>
      <c r="V96" s="18">
        <f t="shared" ca="1" si="245"/>
        <v>157.69565217391303</v>
      </c>
      <c r="W96" s="76"/>
      <c r="X96" s="8">
        <v>4</v>
      </c>
      <c r="Y96" s="8" t="s">
        <v>38</v>
      </c>
      <c r="Z96" s="8">
        <f t="shared" ref="Z96:AI96" si="270">SUM(D99)</f>
        <v>24</v>
      </c>
      <c r="AA96" s="9">
        <f t="shared" ca="1" si="270"/>
        <v>23</v>
      </c>
      <c r="AB96" s="10">
        <f t="shared" ca="1" si="270"/>
        <v>4573.7550000000001</v>
      </c>
      <c r="AC96" s="9">
        <f t="shared" ca="1" si="270"/>
        <v>1457</v>
      </c>
      <c r="AD96" s="9">
        <f t="shared" ca="1" si="270"/>
        <v>140</v>
      </c>
      <c r="AE96" s="9">
        <f t="shared" ca="1" si="270"/>
        <v>1597</v>
      </c>
      <c r="AF96" s="9">
        <f t="shared" ca="1" si="270"/>
        <v>2262</v>
      </c>
      <c r="AG96" s="9">
        <f t="shared" ca="1" si="270"/>
        <v>0</v>
      </c>
      <c r="AH96" s="9">
        <f t="shared" ca="1" si="270"/>
        <v>2262</v>
      </c>
      <c r="AI96" s="9">
        <f t="shared" ca="1" si="270"/>
        <v>3859</v>
      </c>
      <c r="AJ96" s="11">
        <f t="shared" ca="1" si="257"/>
        <v>198.85891304347825</v>
      </c>
      <c r="AK96" s="8">
        <v>7324</v>
      </c>
      <c r="AL96" s="12">
        <f t="shared" ca="1" si="259"/>
        <v>0.52689787001638444</v>
      </c>
      <c r="AM96" s="13">
        <f>SUM(Q99)</f>
        <v>1.5</v>
      </c>
      <c r="AN96" s="12">
        <f t="shared" ca="1" si="261"/>
        <v>0.562484581414323</v>
      </c>
      <c r="AO96" s="14">
        <f t="shared" ca="1" si="262"/>
        <v>0.84372687212148445</v>
      </c>
      <c r="AP96" s="13">
        <f t="shared" ref="AP96:AQ96" ca="1" si="271">SUM(T99)</f>
        <v>111.00000000000001</v>
      </c>
      <c r="AQ96" s="13">
        <f t="shared" ca="1" si="271"/>
        <v>4.8260869565217401</v>
      </c>
      <c r="AR96" s="9">
        <f t="shared" ca="1" si="264"/>
        <v>167.78260869565219</v>
      </c>
      <c r="AS96" s="76"/>
      <c r="AT96" s="76"/>
    </row>
    <row r="97" spans="1:46" ht="15.75" customHeight="1" x14ac:dyDescent="0.25">
      <c r="A97" s="70"/>
      <c r="B97" s="16">
        <v>12</v>
      </c>
      <c r="C97" s="16" t="s">
        <v>39</v>
      </c>
      <c r="D97" s="17">
        <v>22</v>
      </c>
      <c r="E97" s="18">
        <f ca="1">IFERROR(__xludf.DUMMYFUNCTION("COUNT(IMPORTRANGE(""https://docs.google.com/spreadsheets/d/1uaTn2DZCfr7O1PvovOd0wElzVz8kpl_iPfnrkNPp0Is/edit"",""4!d2:d29""))"),22)</f>
        <v>22</v>
      </c>
      <c r="F97" s="23">
        <f ca="1">IFERROR(__xludf.DUMMYFUNCTION("SUM(IMPORTRANGE(""https://docs.google.com/spreadsheets/d/1uaTn2DZCfr7O1PvovOd0wElzVz8kpl_iPfnrkNPp0Is/edit"",""4!Q2:Q29""))"),4126.353)</f>
        <v>4126.3530000000001</v>
      </c>
      <c r="G97" s="18">
        <f ca="1">IFERROR(__xludf.DUMMYFUNCTION("IMPORTRANGE(""https://docs.google.com/spreadsheets/d/1uaTn2DZCfr7O1PvovOd0wElzVz8kpl_iPfnrkNPp0Is/edit"",""4!e36"")"),955)</f>
        <v>955</v>
      </c>
      <c r="H97" s="18">
        <f ca="1">IFERROR(__xludf.DUMMYFUNCTION("(IMPORTRANGE(""https://docs.google.com/spreadsheets/d/1uaTn2DZCfr7O1PvovOd0wElzVz8kpl_iPfnrkNPp0Is/edit"",""4!e37""))"),111)</f>
        <v>111</v>
      </c>
      <c r="I97" s="18">
        <f t="shared" ca="1" si="237"/>
        <v>1066</v>
      </c>
      <c r="J97" s="18">
        <f ca="1">IFERROR(__xludf.DUMMYFUNCTION("IMPORTRANGE(""https://docs.google.com/spreadsheets/d/1uaTn2DZCfr7O1PvovOd0wElzVz8kpl_iPfnrkNPp0Is/edit"",""4!e40"")"),1774)</f>
        <v>1774</v>
      </c>
      <c r="K97" s="18">
        <f ca="1">IFERROR(__xludf.DUMMYFUNCTION("IMPORTRANGE(""https://docs.google.com/spreadsheets/d/1uaTn2DZCfr7O1PvovOd0wElzVz8kpl_iPfnrkNPp0Is/edit"",""4!e41"")"),75)</f>
        <v>75</v>
      </c>
      <c r="L97" s="18">
        <f t="shared" ca="1" si="267"/>
        <v>1849</v>
      </c>
      <c r="M97" s="18">
        <f t="shared" ca="1" si="239"/>
        <v>2915</v>
      </c>
      <c r="N97" s="19">
        <f t="shared" ca="1" si="240"/>
        <v>187.5615</v>
      </c>
      <c r="O97" s="16">
        <v>3569</v>
      </c>
      <c r="P97" s="20">
        <f t="shared" ca="1" si="241"/>
        <v>0.81675539366769401</v>
      </c>
      <c r="Q97" s="21">
        <v>1.5</v>
      </c>
      <c r="R97" s="20">
        <f t="shared" ca="1" si="242"/>
        <v>0.47095663733406551</v>
      </c>
      <c r="S97" s="22">
        <f t="shared" ca="1" si="243"/>
        <v>0.70643495600109829</v>
      </c>
      <c r="T97" s="21">
        <f ca="1">F97/21.463</f>
        <v>192.25425150258584</v>
      </c>
      <c r="U97" s="21">
        <f t="shared" ca="1" si="244"/>
        <v>8.7388296137539019</v>
      </c>
      <c r="V97" s="18">
        <f t="shared" ca="1" si="245"/>
        <v>132.5</v>
      </c>
      <c r="W97" s="76"/>
      <c r="X97" s="8">
        <v>5</v>
      </c>
      <c r="Y97" s="8" t="s">
        <v>40</v>
      </c>
      <c r="Z97" s="8">
        <f t="shared" ref="Z97:AI97" si="272">SUM(D101)</f>
        <v>24</v>
      </c>
      <c r="AA97" s="9">
        <f t="shared" ca="1" si="272"/>
        <v>24</v>
      </c>
      <c r="AB97" s="10">
        <f t="shared" ca="1" si="272"/>
        <v>4493.9939999999997</v>
      </c>
      <c r="AC97" s="9">
        <f t="shared" ca="1" si="272"/>
        <v>2467</v>
      </c>
      <c r="AD97" s="9">
        <f t="shared" ca="1" si="272"/>
        <v>16</v>
      </c>
      <c r="AE97" s="9">
        <f t="shared" ca="1" si="272"/>
        <v>2483</v>
      </c>
      <c r="AF97" s="9">
        <f t="shared" ca="1" si="272"/>
        <v>3091</v>
      </c>
      <c r="AG97" s="9">
        <f t="shared" ca="1" si="272"/>
        <v>0</v>
      </c>
      <c r="AH97" s="9">
        <f t="shared" ca="1" si="272"/>
        <v>3091</v>
      </c>
      <c r="AI97" s="9">
        <f t="shared" ca="1" si="272"/>
        <v>5574</v>
      </c>
      <c r="AJ97" s="11">
        <f t="shared" ca="1" si="257"/>
        <v>187.24974999999998</v>
      </c>
      <c r="AK97" s="8">
        <f t="shared" ref="AK97:AK98" si="273">SUM(O101)</f>
        <v>8239</v>
      </c>
      <c r="AL97" s="12">
        <f t="shared" ca="1" si="259"/>
        <v>0.67653841485617183</v>
      </c>
      <c r="AM97" s="13">
        <f t="shared" ref="AM97:AM98" si="274">SUM(Q101)</f>
        <v>1.5</v>
      </c>
      <c r="AN97" s="12">
        <f t="shared" ca="1" si="261"/>
        <v>0.82688138880470252</v>
      </c>
      <c r="AO97" s="14">
        <f t="shared" ca="1" si="262"/>
        <v>1.2403220832070538</v>
      </c>
      <c r="AP97" s="13">
        <f t="shared" ref="AP97:AQ97" ca="1" si="275">SUM(T101)</f>
        <v>157.99999999999997</v>
      </c>
      <c r="AQ97" s="13">
        <f t="shared" ca="1" si="275"/>
        <v>6.5833333333333321</v>
      </c>
      <c r="AR97" s="9">
        <f t="shared" ca="1" si="264"/>
        <v>232.25</v>
      </c>
      <c r="AS97" s="76"/>
      <c r="AT97" s="76"/>
    </row>
    <row r="98" spans="1:46" ht="15.75" customHeight="1" x14ac:dyDescent="0.25">
      <c r="A98" s="70"/>
      <c r="B98" s="16">
        <v>12</v>
      </c>
      <c r="C98" s="16" t="s">
        <v>41</v>
      </c>
      <c r="D98" s="17">
        <v>20</v>
      </c>
      <c r="E98" s="18">
        <f ca="1">IFERROR(__xludf.DUMMYFUNCTION("COUNT(IMPORTRANGE(""https://docs.google.com/spreadsheets/d/1oYscvfOJW7GMkxt8QcupWuzb3ohaYePd3Mt2V2ufHok/edit"",""4!d2:d25""))"),20)</f>
        <v>20</v>
      </c>
      <c r="F98" s="23">
        <f ca="1">IFERROR(__xludf.DUMMYFUNCTION("SUM(IMPORTRANGE(""https://docs.google.com/spreadsheets/d/1oYscvfOJW7GMkxt8QcupWuzb3ohaYePd3Mt2V2ufHok/edit"",""4!Q2:Q25""))"),4006.364)</f>
        <v>4006.364</v>
      </c>
      <c r="G98" s="18">
        <f ca="1">IFERROR(__xludf.DUMMYFUNCTION("IMPORTRANGE(""https://docs.google.com/spreadsheets/d/1oYscvfOJW7GMkxt8QcupWuzb3ohaYePd3Mt2V2ufHok/edit"",""4!e32"")"),901)</f>
        <v>901</v>
      </c>
      <c r="H98" s="18">
        <f ca="1">IFERROR(__xludf.DUMMYFUNCTION("IMPORTRANGE(""https://docs.google.com/spreadsheets/d/1oYscvfOJW7GMkxt8QcupWuzb3ohaYePd3Mt2V2ufHok/edit"",""4!e33"")"),0)</f>
        <v>0</v>
      </c>
      <c r="I98" s="18">
        <f t="shared" ca="1" si="237"/>
        <v>901</v>
      </c>
      <c r="J98" s="18">
        <f ca="1">IFERROR(__xludf.DUMMYFUNCTION("IMPORTRANGE(""https://docs.google.com/spreadsheets/d/1oYscvfOJW7GMkxt8QcupWuzb3ohaYePd3Mt2V2ufHok/edit"",""4!e36"")"),1473)</f>
        <v>1473</v>
      </c>
      <c r="K98" s="18">
        <f ca="1">IFERROR(__xludf.DUMMYFUNCTION("IMPORTRANGE(""https://docs.google.com/spreadsheets/d/1oYscvfOJW7GMkxt8QcupWuzb3ohaYePd3Mt2V2ufHok/edit"",""4!e37"")"),0)</f>
        <v>0</v>
      </c>
      <c r="L98" s="18">
        <f t="shared" ca="1" si="267"/>
        <v>1473</v>
      </c>
      <c r="M98" s="18">
        <f t="shared" ca="1" si="239"/>
        <v>2374</v>
      </c>
      <c r="N98" s="19">
        <f t="shared" ca="1" si="240"/>
        <v>200.31819999999999</v>
      </c>
      <c r="O98" s="16">
        <v>3801</v>
      </c>
      <c r="P98" s="20">
        <f t="shared" ca="1" si="241"/>
        <v>0.62457248092607209</v>
      </c>
      <c r="Q98" s="21">
        <v>1.5</v>
      </c>
      <c r="R98" s="20">
        <f t="shared" ca="1" si="242"/>
        <v>0.39503816095259109</v>
      </c>
      <c r="S98" s="22">
        <f t="shared" ca="1" si="243"/>
        <v>0.59255724142888666</v>
      </c>
      <c r="T98" s="21">
        <f ca="1">F98/29.628</f>
        <v>135.22222222222223</v>
      </c>
      <c r="U98" s="21">
        <f t="shared" ca="1" si="244"/>
        <v>6.7611111111111111</v>
      </c>
      <c r="V98" s="18">
        <f t="shared" ca="1" si="245"/>
        <v>118.7</v>
      </c>
      <c r="W98" s="76"/>
      <c r="X98" s="8">
        <v>6</v>
      </c>
      <c r="Y98" s="8" t="s">
        <v>42</v>
      </c>
      <c r="Z98" s="8">
        <f t="shared" ref="Z98:AI98" si="276">SUM(D102)</f>
        <v>26</v>
      </c>
      <c r="AA98" s="9">
        <f t="shared" ca="1" si="276"/>
        <v>26</v>
      </c>
      <c r="AB98" s="10">
        <f t="shared" ca="1" si="276"/>
        <v>5178.6899999999896</v>
      </c>
      <c r="AC98" s="9">
        <f t="shared" ca="1" si="276"/>
        <v>2258</v>
      </c>
      <c r="AD98" s="9">
        <f t="shared" ca="1" si="276"/>
        <v>0</v>
      </c>
      <c r="AE98" s="9">
        <f t="shared" ca="1" si="276"/>
        <v>2258</v>
      </c>
      <c r="AF98" s="9">
        <f t="shared" ca="1" si="276"/>
        <v>3286</v>
      </c>
      <c r="AG98" s="9">
        <f t="shared" ca="1" si="276"/>
        <v>0</v>
      </c>
      <c r="AH98" s="9">
        <f t="shared" ca="1" si="276"/>
        <v>3286</v>
      </c>
      <c r="AI98" s="9">
        <f t="shared" ca="1" si="276"/>
        <v>5544</v>
      </c>
      <c r="AJ98" s="11">
        <f t="shared" ca="1" si="257"/>
        <v>199.18038461538421</v>
      </c>
      <c r="AK98" s="8">
        <f t="shared" si="273"/>
        <v>9877</v>
      </c>
      <c r="AL98" s="12">
        <f t="shared" ca="1" si="259"/>
        <v>0.56130403968816445</v>
      </c>
      <c r="AM98" s="13">
        <f t="shared" si="274"/>
        <v>1.5</v>
      </c>
      <c r="AN98" s="12">
        <f t="shared" ca="1" si="261"/>
        <v>0.71369400369591685</v>
      </c>
      <c r="AO98" s="14">
        <f t="shared" ca="1" si="262"/>
        <v>1.0705410055438753</v>
      </c>
      <c r="AP98" s="13">
        <f t="shared" ref="AP98:AQ98" ca="1" si="277">SUM(T102)</f>
        <v>197.9999999999996</v>
      </c>
      <c r="AQ98" s="13">
        <f t="shared" ca="1" si="277"/>
        <v>7.6153846153845999</v>
      </c>
      <c r="AR98" s="9">
        <f t="shared" ca="1" si="264"/>
        <v>213.23076923076923</v>
      </c>
      <c r="AS98" s="76"/>
      <c r="AT98" s="76"/>
    </row>
    <row r="99" spans="1:46" ht="15.75" customHeight="1" x14ac:dyDescent="0.25">
      <c r="A99" s="70"/>
      <c r="B99" s="16">
        <v>13</v>
      </c>
      <c r="C99" s="16" t="s">
        <v>43</v>
      </c>
      <c r="D99" s="17">
        <v>24</v>
      </c>
      <c r="E99" s="18">
        <f ca="1">IFERROR(__xludf.DUMMYFUNCTION("COUNT(IMPORTRANGE(""https://docs.google.com/spreadsheets/d/1AxBmuQEdOYAeRnZ4C8vO6kuTNp7X_SGhpLXuY0n4ln4/edit"",""4!d2:d31""))"),23)</f>
        <v>23</v>
      </c>
      <c r="F99" s="23">
        <f ca="1">IFERROR(__xludf.DUMMYFUNCTION("SUM(IMPORTRANGE(""https://docs.google.com/spreadsheets/d/1AxBmuQEdOYAeRnZ4C8vO6kuTNp7X_SGhpLXuY0n4ln4/edit"",""4!Q2:Q31""))"),4573.755)</f>
        <v>4573.7550000000001</v>
      </c>
      <c r="G99" s="18">
        <f ca="1">IFERROR(__xludf.DUMMYFUNCTION("IMPORTRANGE(""https://docs.google.com/spreadsheets/d/1AxBmuQEdOYAeRnZ4C8vO6kuTNp7X_SGhpLXuY0n4ln4/edit"",""4!e38"")"),1457)</f>
        <v>1457</v>
      </c>
      <c r="H99" s="18">
        <f ca="1">IFERROR(__xludf.DUMMYFUNCTION("IMPORTRANGE(""https://docs.google.com/spreadsheets/d/1AxBmuQEdOYAeRnZ4C8vO6kuTNp7X_SGhpLXuY0n4ln4/edit"",""4!e39"")"),140)</f>
        <v>140</v>
      </c>
      <c r="I99" s="18">
        <f t="shared" ca="1" si="237"/>
        <v>1597</v>
      </c>
      <c r="J99" s="18">
        <f ca="1">IFERROR(__xludf.DUMMYFUNCTION("IMPORTRANGE(""https://docs.google.com/spreadsheets/d/1AxBmuQEdOYAeRnZ4C8vO6kuTNp7X_SGhpLXuY0n4ln4/edit"",""4!e42"")"),2262)</f>
        <v>2262</v>
      </c>
      <c r="K99" s="18">
        <f ca="1">IFERROR(__xludf.DUMMYFUNCTION("IMPORTRANGE(""https://docs.google.com/spreadsheets/d/1AxBmuQEdOYAeRnZ4C8vO6kuTNp7X_SGhpLXuY0n4ln4/edit"",""4!e43"")"),0)</f>
        <v>0</v>
      </c>
      <c r="L99" s="18">
        <f t="shared" ca="1" si="267"/>
        <v>2262</v>
      </c>
      <c r="M99" s="18">
        <f t="shared" ca="1" si="239"/>
        <v>3859</v>
      </c>
      <c r="N99" s="19">
        <f t="shared" ca="1" si="240"/>
        <v>198.85891304347825</v>
      </c>
      <c r="O99" s="16">
        <v>8345</v>
      </c>
      <c r="P99" s="20">
        <f t="shared" ca="1" si="241"/>
        <v>0.46243259436788497</v>
      </c>
      <c r="Q99" s="21">
        <v>1.5</v>
      </c>
      <c r="R99" s="20">
        <f t="shared" ca="1" si="242"/>
        <v>0.562484581414323</v>
      </c>
      <c r="S99" s="22">
        <f t="shared" ca="1" si="243"/>
        <v>0.84372687212148445</v>
      </c>
      <c r="T99" s="21">
        <f ca="1">F99/41.205</f>
        <v>111.00000000000001</v>
      </c>
      <c r="U99" s="21">
        <f t="shared" ca="1" si="244"/>
        <v>4.8260869565217401</v>
      </c>
      <c r="V99" s="18">
        <f t="shared" ca="1" si="245"/>
        <v>167.78260869565219</v>
      </c>
      <c r="W99" s="76"/>
      <c r="X99" s="24" t="s">
        <v>33</v>
      </c>
      <c r="Y99" s="24">
        <v>6</v>
      </c>
      <c r="Z99" s="24">
        <f t="shared" ref="Z99:AI99" si="278">SUM(Z93:Z98)</f>
        <v>180</v>
      </c>
      <c r="AA99" s="25">
        <f t="shared" ca="1" si="278"/>
        <v>177</v>
      </c>
      <c r="AB99" s="27">
        <f t="shared" ca="1" si="278"/>
        <v>34015.384999999987</v>
      </c>
      <c r="AC99" s="25">
        <f t="shared" ca="1" si="278"/>
        <v>12134</v>
      </c>
      <c r="AD99" s="25">
        <f t="shared" ca="1" si="278"/>
        <v>194</v>
      </c>
      <c r="AE99" s="25">
        <f t="shared" ca="1" si="278"/>
        <v>12328</v>
      </c>
      <c r="AF99" s="25">
        <f t="shared" ca="1" si="278"/>
        <v>17431</v>
      </c>
      <c r="AG99" s="25">
        <f t="shared" ca="1" si="278"/>
        <v>318</v>
      </c>
      <c r="AH99" s="25">
        <f t="shared" ca="1" si="278"/>
        <v>17749</v>
      </c>
      <c r="AI99" s="25">
        <f t="shared" ca="1" si="278"/>
        <v>30077</v>
      </c>
      <c r="AJ99" s="27">
        <f t="shared" ca="1" si="257"/>
        <v>192.17731638418073</v>
      </c>
      <c r="AK99" s="24">
        <f>SUM(AK93:AK98)</f>
        <v>53273</v>
      </c>
      <c r="AL99" s="28">
        <f t="shared" ca="1" si="259"/>
        <v>0.56458243387832485</v>
      </c>
      <c r="AM99" s="29">
        <v>1.5</v>
      </c>
      <c r="AN99" s="28">
        <f t="shared" ca="1" si="261"/>
        <v>0.58947835908173141</v>
      </c>
      <c r="AO99" s="30">
        <f t="shared" ca="1" si="262"/>
        <v>0.88421753862259711</v>
      </c>
      <c r="AP99" s="29">
        <f ca="1">SUM(AP93:AP98)</f>
        <v>1120.57985903948</v>
      </c>
      <c r="AQ99" s="29">
        <f ca="1">AP99/AA99</f>
        <v>6.3309596555902825</v>
      </c>
      <c r="AR99" s="25">
        <f t="shared" ca="1" si="264"/>
        <v>169.92655367231637</v>
      </c>
      <c r="AS99" s="76"/>
      <c r="AT99" s="76"/>
    </row>
    <row r="100" spans="1:46" ht="15.75" customHeight="1" x14ac:dyDescent="0.25">
      <c r="A100" s="70"/>
      <c r="B100" s="16">
        <v>14</v>
      </c>
      <c r="C100" s="16" t="s">
        <v>27</v>
      </c>
      <c r="D100" s="17">
        <v>24</v>
      </c>
      <c r="E100" s="18">
        <f ca="1">IFERROR(__xludf.DUMMYFUNCTION("COUNT(IMPORTRANGE(""https://docs.google.com/spreadsheets/d/1LsL4JuXvBtfJ-TVi4NFml9lV_pmd61b789A_nbO-QrA/edit"",""4!d2:d31""))"),24)</f>
        <v>24</v>
      </c>
      <c r="F100" s="23">
        <f ca="1">IFERROR(__xludf.DUMMYFUNCTION("SUM(IMPORTRANGE(""https://docs.google.com/spreadsheets/d/1LsL4JuXvBtfJ-TVi4NFml9lV_pmd61b789A_nbO-QrA/edit"",""4!Q2:Q31""))"),4132.788)</f>
        <v>4132.7879999999996</v>
      </c>
      <c r="G100" s="18">
        <f ca="1">IFERROR(__xludf.DUMMYFUNCTION("IMPORTRANGE(""https://docs.google.com/spreadsheets/d/1LsL4JuXvBtfJ-TVi4NFml9lV_pmd61b789A_nbO-QrA/edit"",""4!e38"")"),1503)</f>
        <v>1503</v>
      </c>
      <c r="H100" s="18">
        <f ca="1">IFERROR(__xludf.DUMMYFUNCTION("IMPORTRANGE(""https://docs.google.com/spreadsheets/d/1LsL4JuXvBtfJ-TVi4NFml9lV_pmd61b789A_nbO-QrA/edit"",""4!e39"")"),85)</f>
        <v>85</v>
      </c>
      <c r="I100" s="18">
        <f t="shared" ca="1" si="237"/>
        <v>1588</v>
      </c>
      <c r="J100" s="18">
        <f ca="1">IFERROR(__xludf.DUMMYFUNCTION("IMPORTRANGE(""https://docs.google.com/spreadsheets/d/1LsL4JuXvBtfJ-TVi4NFml9lV_pmd61b789A_nbO-QrA/edit"",""4!e42"")"),1742)</f>
        <v>1742</v>
      </c>
      <c r="K100" s="18">
        <f ca="1">IFERROR(__xludf.DUMMYFUNCTION("IMPORTRANGE(""https://docs.google.com/spreadsheets/d/1LsL4JuXvBtfJ-TVi4NFml9lV_pmd61b789A_nbO-QrA/edit"",""4!e43"")"),79)</f>
        <v>79</v>
      </c>
      <c r="L100" s="18">
        <f t="shared" ca="1" si="267"/>
        <v>1821</v>
      </c>
      <c r="M100" s="18">
        <f t="shared" ca="1" si="239"/>
        <v>3409</v>
      </c>
      <c r="N100" s="19">
        <f t="shared" ca="1" si="240"/>
        <v>172.19949999999997</v>
      </c>
      <c r="O100" s="16">
        <v>8101</v>
      </c>
      <c r="P100" s="20">
        <f t="shared" ca="1" si="241"/>
        <v>0.42081224540180223</v>
      </c>
      <c r="Q100" s="21">
        <v>1.5</v>
      </c>
      <c r="R100" s="20">
        <f t="shared" ca="1" si="242"/>
        <v>0.54991126248592159</v>
      </c>
      <c r="S100" s="22">
        <f t="shared" ca="1" si="243"/>
        <v>0.82486689372888233</v>
      </c>
      <c r="T100" s="21">
        <f ca="1">F100/19.985</f>
        <v>206.79449587190391</v>
      </c>
      <c r="U100" s="21">
        <f t="shared" ca="1" si="244"/>
        <v>8.616437327995996</v>
      </c>
      <c r="V100" s="18">
        <f t="shared" ca="1" si="245"/>
        <v>142.04166666666666</v>
      </c>
      <c r="W100" s="76"/>
      <c r="X100" s="97" t="s">
        <v>44</v>
      </c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9"/>
      <c r="AS100" s="76"/>
      <c r="AT100" s="76"/>
    </row>
    <row r="101" spans="1:46" ht="15.75" customHeight="1" x14ac:dyDescent="0.25">
      <c r="A101" s="70"/>
      <c r="B101" s="16">
        <v>15</v>
      </c>
      <c r="C101" s="16" t="s">
        <v>40</v>
      </c>
      <c r="D101" s="17">
        <v>24</v>
      </c>
      <c r="E101" s="18">
        <f ca="1">IFERROR(__xludf.DUMMYFUNCTION("COUNT(IMPORTRANGE(""https://docs.google.com/spreadsheets/d/1Krav0MVlY0vbUNsFRDnb_kR72_tyuGnWBYbGjNZrl18/edit"",""4!d2:d31""))"),24)</f>
        <v>24</v>
      </c>
      <c r="F101" s="23">
        <f ca="1">IFERROR(__xludf.DUMMYFUNCTION("SUM(IMPORTRANGE(""https://docs.google.com/spreadsheets/d/1Krav0MVlY0vbUNsFRDnb_kR72_tyuGnWBYbGjNZrl18/edit"",""4!Q2:Q31""))"),4493.994)</f>
        <v>4493.9939999999997</v>
      </c>
      <c r="G101" s="18">
        <f ca="1">IFERROR(__xludf.DUMMYFUNCTION("IMPORTRANGE(""https://docs.google.com/spreadsheets/d/1Krav0MVlY0vbUNsFRDnb_kR72_tyuGnWBYbGjNZrl18/edit"",""4!e38"")"),2467)</f>
        <v>2467</v>
      </c>
      <c r="H101" s="18">
        <f ca="1">IFERROR(__xludf.DUMMYFUNCTION("IMPORTRANGE(""https://docs.google.com/spreadsheets/d/1Krav0MVlY0vbUNsFRDnb_kR72_tyuGnWBYbGjNZrl18/edit"",""4!e39"")"),16)</f>
        <v>16</v>
      </c>
      <c r="I101" s="18">
        <f t="shared" ca="1" si="237"/>
        <v>2483</v>
      </c>
      <c r="J101" s="18">
        <f ca="1">IFERROR(__xludf.DUMMYFUNCTION("IMPORTRANGE(""https://docs.google.com/spreadsheets/d/1Krav0MVlY0vbUNsFRDnb_kR72_tyuGnWBYbGjNZrl18/edit"",""4!e42"")"),3091)</f>
        <v>3091</v>
      </c>
      <c r="K101" s="18">
        <f ca="1">IFERROR(__xludf.DUMMYFUNCTION("IMPORTRANGE(""https://docs.google.com/spreadsheets/d/1Krav0MVlY0vbUNsFRDnb_kR72_tyuGnWBYbGjNZrl18/edit"",""4!e43"")"),0)</f>
        <v>0</v>
      </c>
      <c r="L101" s="18">
        <f t="shared" ca="1" si="267"/>
        <v>3091</v>
      </c>
      <c r="M101" s="18">
        <f t="shared" ca="1" si="239"/>
        <v>5574</v>
      </c>
      <c r="N101" s="19">
        <f t="shared" ca="1" si="240"/>
        <v>187.24974999999998</v>
      </c>
      <c r="O101" s="16">
        <v>8239</v>
      </c>
      <c r="P101" s="20">
        <f t="shared" ca="1" si="241"/>
        <v>0.67653841485617183</v>
      </c>
      <c r="Q101" s="21">
        <v>1.5</v>
      </c>
      <c r="R101" s="20">
        <f t="shared" ca="1" si="242"/>
        <v>0.82688138880470252</v>
      </c>
      <c r="S101" s="22">
        <f t="shared" ca="1" si="243"/>
        <v>1.2403220832070538</v>
      </c>
      <c r="T101" s="21">
        <f ca="1">F101/28.443</f>
        <v>157.99999999999997</v>
      </c>
      <c r="U101" s="21">
        <f t="shared" ca="1" si="244"/>
        <v>6.5833333333333321</v>
      </c>
      <c r="V101" s="18">
        <f t="shared" ca="1" si="245"/>
        <v>232.25</v>
      </c>
      <c r="W101" s="76"/>
      <c r="X101" s="1" t="s">
        <v>2</v>
      </c>
      <c r="Y101" s="1" t="s">
        <v>3</v>
      </c>
      <c r="Z101" s="1" t="s">
        <v>4</v>
      </c>
      <c r="AA101" s="1" t="s">
        <v>5</v>
      </c>
      <c r="AB101" s="2" t="s">
        <v>6</v>
      </c>
      <c r="AC101" s="1" t="s">
        <v>7</v>
      </c>
      <c r="AD101" s="1" t="s">
        <v>8</v>
      </c>
      <c r="AE101" s="1" t="s">
        <v>9</v>
      </c>
      <c r="AF101" s="1" t="s">
        <v>10</v>
      </c>
      <c r="AG101" s="1" t="s">
        <v>11</v>
      </c>
      <c r="AH101" s="1" t="s">
        <v>12</v>
      </c>
      <c r="AI101" s="1" t="s">
        <v>13</v>
      </c>
      <c r="AJ101" s="2" t="s">
        <v>14</v>
      </c>
      <c r="AK101" s="1" t="s">
        <v>15</v>
      </c>
      <c r="AL101" s="1" t="s">
        <v>16</v>
      </c>
      <c r="AM101" s="3" t="s">
        <v>17</v>
      </c>
      <c r="AN101" s="4" t="s">
        <v>18</v>
      </c>
      <c r="AO101" s="5" t="s">
        <v>19</v>
      </c>
      <c r="AP101" s="6" t="s">
        <v>20</v>
      </c>
      <c r="AQ101" s="6" t="s">
        <v>21</v>
      </c>
      <c r="AR101" s="7" t="s">
        <v>22</v>
      </c>
      <c r="AS101" s="76"/>
      <c r="AT101" s="76"/>
    </row>
    <row r="102" spans="1:46" ht="15.75" customHeight="1" x14ac:dyDescent="0.25">
      <c r="A102" s="70"/>
      <c r="B102" s="16">
        <v>16</v>
      </c>
      <c r="C102" s="16" t="s">
        <v>42</v>
      </c>
      <c r="D102" s="17">
        <v>26</v>
      </c>
      <c r="E102" s="18">
        <f ca="1">IFERROR(__xludf.DUMMYFUNCTION("COUNT(IMPORTRANGE(""https://docs.google.com/spreadsheets/d/1uXtm-E8PG0CetlFmSpTX3RK0LNEMnpR-mxbET9AGD6w/edit"",""4!d2:d34""))"),26)</f>
        <v>26</v>
      </c>
      <c r="F102" s="23">
        <f ca="1">IFERROR(__xludf.DUMMYFUNCTION("SUM(IMPORTRANGE(""https://docs.google.com/spreadsheets/d/1uXtm-E8PG0CetlFmSpTX3RK0LNEMnpR-mxbET9AGD6w/edit"",""4!Q2:Q34""))"),5178.68999999999)</f>
        <v>5178.6899999999896</v>
      </c>
      <c r="G102" s="18">
        <f ca="1">IFERROR(__xludf.DUMMYFUNCTION("IMPORTRANGE(""https://docs.google.com/spreadsheets/d/1uXtm-E8PG0CetlFmSpTX3RK0LNEMnpR-mxbET9AGD6w/edit"",""4!e41"")"),2258)</f>
        <v>2258</v>
      </c>
      <c r="H102" s="18">
        <f ca="1">IFERROR(__xludf.DUMMYFUNCTION("IMPORTRANGE(""https://docs.google.com/spreadsheets/d/1uXtm-E8PG0CetlFmSpTX3RK0LNEMnpR-mxbET9AGD6w/edit"",""4!e42"")"),0)</f>
        <v>0</v>
      </c>
      <c r="I102" s="18">
        <f t="shared" ca="1" si="237"/>
        <v>2258</v>
      </c>
      <c r="J102" s="18">
        <f ca="1">IFERROR(__xludf.DUMMYFUNCTION("IMPORTRANGE(""https://docs.google.com/spreadsheets/d/1uXtm-E8PG0CetlFmSpTX3RK0LNEMnpR-mxbET9AGD6w/edit"",""4!e45"")"),3286)</f>
        <v>3286</v>
      </c>
      <c r="K102" s="18">
        <f ca="1">IFERROR(__xludf.DUMMYFUNCTION("IMPORTRANGE(""https://docs.google.com/spreadsheets/d/1uXtm-E8PG0CetlFmSpTX3RK0LNEMnpR-mxbET9AGD6w/edit"",""4!e46"")"),0)</f>
        <v>0</v>
      </c>
      <c r="L102" s="18">
        <f t="shared" ca="1" si="267"/>
        <v>3286</v>
      </c>
      <c r="M102" s="18">
        <f t="shared" ca="1" si="239"/>
        <v>5544</v>
      </c>
      <c r="N102" s="19">
        <f t="shared" ca="1" si="240"/>
        <v>199.18038461538421</v>
      </c>
      <c r="O102" s="16">
        <v>9877</v>
      </c>
      <c r="P102" s="20">
        <f t="shared" ca="1" si="241"/>
        <v>0.56130403968816445</v>
      </c>
      <c r="Q102" s="21">
        <v>1.5</v>
      </c>
      <c r="R102" s="20">
        <f t="shared" ca="1" si="242"/>
        <v>0.71369400369591685</v>
      </c>
      <c r="S102" s="22">
        <f t="shared" ca="1" si="243"/>
        <v>1.0705410055438753</v>
      </c>
      <c r="T102" s="21">
        <f ca="1">F102/26.155</f>
        <v>197.9999999999996</v>
      </c>
      <c r="U102" s="21">
        <f t="shared" ca="1" si="244"/>
        <v>7.6153846153845999</v>
      </c>
      <c r="V102" s="18">
        <f t="shared" ca="1" si="245"/>
        <v>213.23076923076923</v>
      </c>
      <c r="W102" s="76"/>
      <c r="X102" s="8">
        <v>1</v>
      </c>
      <c r="Y102" s="8" t="s">
        <v>26</v>
      </c>
      <c r="Z102" s="8">
        <f t="shared" ref="Z102:AI102" si="279">SUM(D87)</f>
        <v>16</v>
      </c>
      <c r="AA102" s="9">
        <f t="shared" ca="1" si="279"/>
        <v>16</v>
      </c>
      <c r="AB102" s="11">
        <f t="shared" ca="1" si="279"/>
        <v>3063.723</v>
      </c>
      <c r="AC102" s="9">
        <f t="shared" ca="1" si="279"/>
        <v>1422</v>
      </c>
      <c r="AD102" s="9">
        <f t="shared" ca="1" si="279"/>
        <v>107</v>
      </c>
      <c r="AE102" s="9">
        <f t="shared" ca="1" si="279"/>
        <v>1529</v>
      </c>
      <c r="AF102" s="9">
        <f t="shared" ca="1" si="279"/>
        <v>1158</v>
      </c>
      <c r="AG102" s="9">
        <f t="shared" ca="1" si="279"/>
        <v>38</v>
      </c>
      <c r="AH102" s="9">
        <f t="shared" ca="1" si="279"/>
        <v>1196</v>
      </c>
      <c r="AI102" s="9">
        <f t="shared" ca="1" si="279"/>
        <v>2725</v>
      </c>
      <c r="AJ102" s="11">
        <f t="shared" ref="AJ102:AJ108" ca="1" si="280">AB102/AA102</f>
        <v>191.4826875</v>
      </c>
      <c r="AK102" s="8">
        <f>SUM(O87)</f>
        <v>5161</v>
      </c>
      <c r="AL102" s="12">
        <f t="shared" ref="AL102:AL108" ca="1" si="281">AI102/AK102</f>
        <v>0.52799844991280764</v>
      </c>
      <c r="AM102" s="13">
        <f>SUM(Q87)</f>
        <v>1.5</v>
      </c>
      <c r="AN102" s="12">
        <f t="shared" ref="AN102:AN108" ca="1" si="282">AO102/AM102</f>
        <v>0.59296048195827977</v>
      </c>
      <c r="AO102" s="14">
        <f t="shared" ref="AO102:AO108" ca="1" si="283">AI102/AB102</f>
        <v>0.8894407229374196</v>
      </c>
      <c r="AP102" s="13">
        <f t="shared" ref="AP102:AQ102" ca="1" si="284">SUM(T87)</f>
        <v>212.53714880332987</v>
      </c>
      <c r="AQ102" s="13">
        <f t="shared" ca="1" si="284"/>
        <v>13.283571800208117</v>
      </c>
      <c r="AR102" s="9">
        <f t="shared" ref="AR102:AR108" ca="1" si="285">AI102/AA102</f>
        <v>170.3125</v>
      </c>
      <c r="AS102" s="76"/>
      <c r="AT102" s="76"/>
    </row>
    <row r="103" spans="1:46" ht="15.75" customHeight="1" x14ac:dyDescent="0.25">
      <c r="A103" s="70"/>
      <c r="B103" s="16">
        <v>17</v>
      </c>
      <c r="C103" s="16" t="s">
        <v>29</v>
      </c>
      <c r="D103" s="17">
        <v>24</v>
      </c>
      <c r="E103" s="18">
        <f ca="1">IFERROR(__xludf.DUMMYFUNCTION("COUNT(IMPORTRANGE(""https://docs.google.com/spreadsheets/d/12xcKI0lSnAsjEsxfm9K8Qx0B_89Gzsh816mowItkQao/edit"",""4!d2:d31""))"),24)</f>
        <v>24</v>
      </c>
      <c r="F103" s="23">
        <f ca="1">IFERROR(__xludf.DUMMYFUNCTION("SUM(IMPORTRANGE(""https://docs.google.com/spreadsheets/d/12xcKI0lSnAsjEsxfm9K8Qx0B_89Gzsh816mowItkQao/edit"",""4!Q2:Q31""))"),4660.802)</f>
        <v>4660.8019999999997</v>
      </c>
      <c r="G103" s="18">
        <f ca="1">IFERROR(__xludf.DUMMYFUNCTION("IMPORTRANGE(""https://docs.google.com/spreadsheets/d/12xcKI0lSnAsjEsxfm9K8Qx0B_89Gzsh816mowItkQao/edit"",""4!e38"")"),1292)</f>
        <v>1292</v>
      </c>
      <c r="H103" s="18">
        <f ca="1">IFERROR(__xludf.DUMMYFUNCTION("IMPORTRANGE(""https://docs.google.com/spreadsheets/d/12xcKI0lSnAsjEsxfm9K8Qx0B_89Gzsh816mowItkQao/edit"",""4!e39"")"),0)</f>
        <v>0</v>
      </c>
      <c r="I103" s="18">
        <f t="shared" ca="1" si="237"/>
        <v>1292</v>
      </c>
      <c r="J103" s="18">
        <f ca="1">IFERROR(__xludf.DUMMYFUNCTION("IMPORTRANGE(""https://docs.google.com/spreadsheets/d/12xcKI0lSnAsjEsxfm9K8Qx0B_89Gzsh816mowItkQao/edit"",""4!e42"")"),3603)</f>
        <v>3603</v>
      </c>
      <c r="K103" s="18">
        <f ca="1">IFERROR(__xludf.DUMMYFUNCTION("IMPORTRANGE(""https://docs.google.com/spreadsheets/d/12xcKI0lSnAsjEsxfm9K8Qx0B_89Gzsh816mowItkQao/edit"",""4!e43"")"),0)</f>
        <v>0</v>
      </c>
      <c r="L103" s="18">
        <f t="shared" ca="1" si="267"/>
        <v>3603</v>
      </c>
      <c r="M103" s="18">
        <f t="shared" ca="1" si="239"/>
        <v>4895</v>
      </c>
      <c r="N103" s="19">
        <f t="shared" ca="1" si="240"/>
        <v>194.20008333333331</v>
      </c>
      <c r="O103" s="16">
        <v>9201</v>
      </c>
      <c r="P103" s="20">
        <f t="shared" ca="1" si="241"/>
        <v>0.53200739050103252</v>
      </c>
      <c r="Q103" s="21">
        <v>1.5</v>
      </c>
      <c r="R103" s="20">
        <f t="shared" ca="1" si="242"/>
        <v>0.70016562242578295</v>
      </c>
      <c r="S103" s="22">
        <f t="shared" ca="1" si="243"/>
        <v>1.0502484336386744</v>
      </c>
      <c r="T103" s="21">
        <f ca="1">F103/26.038</f>
        <v>179</v>
      </c>
      <c r="U103" s="21">
        <f t="shared" ca="1" si="244"/>
        <v>7.458333333333333</v>
      </c>
      <c r="V103" s="18">
        <f t="shared" ca="1" si="245"/>
        <v>203.95833333333334</v>
      </c>
      <c r="W103" s="76"/>
      <c r="X103" s="8">
        <v>2</v>
      </c>
      <c r="Y103" s="8" t="s">
        <v>32</v>
      </c>
      <c r="Z103" s="8">
        <f t="shared" ref="Z103:AI103" si="286">SUM(D90)</f>
        <v>33</v>
      </c>
      <c r="AA103" s="9">
        <f t="shared" ca="1" si="286"/>
        <v>32</v>
      </c>
      <c r="AB103" s="10">
        <f t="shared" ca="1" si="286"/>
        <v>6148.9539999999897</v>
      </c>
      <c r="AC103" s="8">
        <f t="shared" ca="1" si="286"/>
        <v>3337</v>
      </c>
      <c r="AD103" s="8">
        <f t="shared" ca="1" si="286"/>
        <v>50</v>
      </c>
      <c r="AE103" s="9">
        <f t="shared" ca="1" si="286"/>
        <v>3387</v>
      </c>
      <c r="AF103" s="8">
        <f t="shared" ca="1" si="286"/>
        <v>3342</v>
      </c>
      <c r="AG103" s="8">
        <f t="shared" ca="1" si="286"/>
        <v>110</v>
      </c>
      <c r="AH103" s="9">
        <f t="shared" ca="1" si="286"/>
        <v>3452</v>
      </c>
      <c r="AI103" s="9">
        <f t="shared" ca="1" si="286"/>
        <v>6839</v>
      </c>
      <c r="AJ103" s="11">
        <f t="shared" ca="1" si="280"/>
        <v>192.15481249999968</v>
      </c>
      <c r="AK103" s="8">
        <f>SUM(O90)</f>
        <v>13817</v>
      </c>
      <c r="AL103" s="12">
        <f t="shared" ca="1" si="281"/>
        <v>0.4949699645364406</v>
      </c>
      <c r="AM103" s="13">
        <f>SUM(Q90)</f>
        <v>1.5</v>
      </c>
      <c r="AN103" s="12">
        <f t="shared" ca="1" si="282"/>
        <v>0.74148112562451118</v>
      </c>
      <c r="AO103" s="14">
        <f t="shared" ca="1" si="283"/>
        <v>1.1122216884367668</v>
      </c>
      <c r="AP103" s="13">
        <f t="shared" ref="AP103:AQ103" ca="1" si="287">SUM(T90)</f>
        <v>245.08565506795767</v>
      </c>
      <c r="AQ103" s="13">
        <f t="shared" ca="1" si="287"/>
        <v>7.6589267208736773</v>
      </c>
      <c r="AR103" s="9">
        <f t="shared" ca="1" si="285"/>
        <v>213.71875</v>
      </c>
      <c r="AS103" s="76"/>
      <c r="AT103" s="76"/>
    </row>
    <row r="104" spans="1:46" ht="15.75" customHeight="1" x14ac:dyDescent="0.25">
      <c r="A104" s="70"/>
      <c r="B104" s="16">
        <v>18</v>
      </c>
      <c r="C104" s="16" t="s">
        <v>31</v>
      </c>
      <c r="D104" s="17">
        <v>12</v>
      </c>
      <c r="E104" s="18">
        <f ca="1">IFERROR(__xludf.DUMMYFUNCTION("COUNT(IMPORTRANGE(""https://docs.google.com/spreadsheets/d/1fgCFOFzOla4Qim6_-zG-lbYhLCItqv_kZiAHoErRgcM/edit"",""4!d2:d16""))"),11)</f>
        <v>11</v>
      </c>
      <c r="F104" s="19">
        <f ca="1">IFERROR(__xludf.DUMMYFUNCTION("SUM(IMPORTRANGE(""https://docs.google.com/spreadsheets/d/1fgCFOFzOla4Qim6_-zG-lbYhLCItqv_kZiAHoErRgcM/edit"",""4!Q2:Q16""))"),2129.785)</f>
        <v>2129.7849999999999</v>
      </c>
      <c r="G104" s="18">
        <f ca="1">IFERROR(__xludf.DUMMYFUNCTION("IMPORTRANGE(""https://docs.google.com/spreadsheets/d/1fgCFOFzOla4Qim6_-zG-lbYhLCItqv_kZiAHoErRgcM/edit"",""4!e23"")"),691)</f>
        <v>691</v>
      </c>
      <c r="H104" s="18">
        <f ca="1">IFERROR(__xludf.DUMMYFUNCTION("IMPORTRANGE(""https://docs.google.com/spreadsheets/d/1fgCFOFzOla4Qim6_-zG-lbYhLCItqv_kZiAHoErRgcM/edit"",""4!e24"")"),0)</f>
        <v>0</v>
      </c>
      <c r="I104" s="18">
        <f t="shared" ca="1" si="237"/>
        <v>691</v>
      </c>
      <c r="J104" s="18">
        <f ca="1">IFERROR(__xludf.DUMMYFUNCTION("IMPORTRANGE(""https://docs.google.com/spreadsheets/d/1fgCFOFzOla4Qim6_-zG-lbYhLCItqv_kZiAHoErRgcM/edit"",""4!e27"")"),663)</f>
        <v>663</v>
      </c>
      <c r="K104" s="18">
        <f ca="1">IFERROR(__xludf.DUMMYFUNCTION("IMPORTRANGE(""https://docs.google.com/spreadsheets/d/1fgCFOFzOla4Qim6_-zG-lbYhLCItqv_kZiAHoErRgcM/edit"",""4!e28"")"),0)</f>
        <v>0</v>
      </c>
      <c r="L104" s="18">
        <f t="shared" ca="1" si="267"/>
        <v>663</v>
      </c>
      <c r="M104" s="18">
        <f t="shared" ca="1" si="239"/>
        <v>1354</v>
      </c>
      <c r="N104" s="19">
        <f t="shared" ca="1" si="240"/>
        <v>193.61681818181816</v>
      </c>
      <c r="O104" s="16">
        <v>2717</v>
      </c>
      <c r="P104" s="20">
        <f t="shared" ca="1" si="241"/>
        <v>0.49834376150165621</v>
      </c>
      <c r="Q104" s="21">
        <v>1.5</v>
      </c>
      <c r="R104" s="20">
        <f t="shared" ca="1" si="242"/>
        <v>0.42382994840637278</v>
      </c>
      <c r="S104" s="22">
        <f t="shared" ca="1" si="243"/>
        <v>0.63574492260955917</v>
      </c>
      <c r="T104" s="21">
        <f ca="1">F104/43.465</f>
        <v>48.999999999999993</v>
      </c>
      <c r="U104" s="21">
        <f t="shared" ca="1" si="244"/>
        <v>4.4545454545454541</v>
      </c>
      <c r="V104" s="18">
        <f t="shared" ca="1" si="245"/>
        <v>123.09090909090909</v>
      </c>
      <c r="W104" s="76"/>
      <c r="X104" s="8">
        <v>3</v>
      </c>
      <c r="Y104" s="8" t="s">
        <v>36</v>
      </c>
      <c r="Z104" s="8">
        <f t="shared" ref="Z104:AI104" si="288">SUM(D95)</f>
        <v>24</v>
      </c>
      <c r="AA104" s="9">
        <f t="shared" ca="1" si="288"/>
        <v>24</v>
      </c>
      <c r="AB104" s="10">
        <f t="shared" ca="1" si="288"/>
        <v>4689.8709999999901</v>
      </c>
      <c r="AC104" s="9">
        <f t="shared" ca="1" si="288"/>
        <v>1091</v>
      </c>
      <c r="AD104" s="9">
        <f t="shared" ca="1" si="288"/>
        <v>0</v>
      </c>
      <c r="AE104" s="9">
        <f t="shared" ca="1" si="288"/>
        <v>1091</v>
      </c>
      <c r="AF104" s="9">
        <f t="shared" ca="1" si="288"/>
        <v>1562</v>
      </c>
      <c r="AG104" s="9">
        <f t="shared" ca="1" si="288"/>
        <v>0</v>
      </c>
      <c r="AH104" s="9">
        <f t="shared" ca="1" si="288"/>
        <v>1562</v>
      </c>
      <c r="AI104" s="9">
        <f t="shared" ca="1" si="288"/>
        <v>2653</v>
      </c>
      <c r="AJ104" s="11">
        <f t="shared" ca="1" si="280"/>
        <v>195.41129166666624</v>
      </c>
      <c r="AK104" s="8">
        <f t="shared" ref="AK104:AK107" si="289">SUM(O95)</f>
        <v>4796</v>
      </c>
      <c r="AL104" s="12">
        <f t="shared" ca="1" si="281"/>
        <v>0.55316930775646367</v>
      </c>
      <c r="AM104" s="13">
        <f t="shared" ref="AM104:AM107" si="290">SUM(Q95)</f>
        <v>1.5</v>
      </c>
      <c r="AN104" s="12">
        <f t="shared" ca="1" si="282"/>
        <v>0.3771248008029795</v>
      </c>
      <c r="AO104" s="14">
        <f t="shared" ca="1" si="283"/>
        <v>0.56568720120446925</v>
      </c>
      <c r="AP104" s="13">
        <f t="shared" ref="AP104:AQ104" ca="1" si="291">SUM(T95)</f>
        <v>125.35069759982868</v>
      </c>
      <c r="AQ104" s="13">
        <f t="shared" ca="1" si="291"/>
        <v>5.2229457333261946</v>
      </c>
      <c r="AR104" s="9">
        <f t="shared" ca="1" si="285"/>
        <v>110.54166666666667</v>
      </c>
      <c r="AS104" s="76"/>
      <c r="AT104" s="76"/>
    </row>
    <row r="105" spans="1:46" ht="15.75" customHeight="1" x14ac:dyDescent="0.2">
      <c r="A105" s="70"/>
      <c r="B105" s="98" t="s">
        <v>33</v>
      </c>
      <c r="C105" s="98">
        <v>18</v>
      </c>
      <c r="D105" s="98">
        <f t="shared" ref="D105:M105" si="292">SUM(D87:D104)</f>
        <v>471</v>
      </c>
      <c r="E105" s="74">
        <f t="shared" ca="1" si="292"/>
        <v>464</v>
      </c>
      <c r="F105" s="99">
        <f t="shared" ca="1" si="292"/>
        <v>88734.619999999966</v>
      </c>
      <c r="G105" s="74">
        <f t="shared" ca="1" si="292"/>
        <v>28398</v>
      </c>
      <c r="H105" s="74">
        <f t="shared" ca="1" si="292"/>
        <v>823</v>
      </c>
      <c r="I105" s="74">
        <f t="shared" ca="1" si="292"/>
        <v>29221</v>
      </c>
      <c r="J105" s="74">
        <f t="shared" ca="1" si="292"/>
        <v>40234</v>
      </c>
      <c r="K105" s="74">
        <f t="shared" ca="1" si="292"/>
        <v>967</v>
      </c>
      <c r="L105" s="74">
        <f t="shared" ca="1" si="292"/>
        <v>41201</v>
      </c>
      <c r="M105" s="74">
        <f t="shared" ca="1" si="292"/>
        <v>70422</v>
      </c>
      <c r="N105" s="99">
        <f t="shared" ca="1" si="240"/>
        <v>191.23840517241371</v>
      </c>
      <c r="O105" s="98">
        <f>SUM(O87:O104)</f>
        <v>126399</v>
      </c>
      <c r="P105" s="69">
        <f t="shared" ca="1" si="241"/>
        <v>0.55714048370635849</v>
      </c>
      <c r="Q105" s="72">
        <v>1.5</v>
      </c>
      <c r="R105" s="69">
        <f t="shared" ca="1" si="242"/>
        <v>0.5290832371852161</v>
      </c>
      <c r="S105" s="73">
        <f t="shared" ca="1" si="243"/>
        <v>0.79362485577782416</v>
      </c>
      <c r="T105" s="72">
        <f ca="1">SUM(T87:T104)</f>
        <v>3270.6292026109818</v>
      </c>
      <c r="U105" s="72">
        <f t="shared" ca="1" si="244"/>
        <v>7.0487698332133224</v>
      </c>
      <c r="V105" s="74">
        <f t="shared" ca="1" si="245"/>
        <v>151.77155172413794</v>
      </c>
      <c r="W105" s="76"/>
      <c r="X105" s="8">
        <v>4</v>
      </c>
      <c r="Y105" s="8" t="s">
        <v>37</v>
      </c>
      <c r="Z105" s="8">
        <f t="shared" ref="Z105:AI105" si="293">SUM(D96)</f>
        <v>24</v>
      </c>
      <c r="AA105" s="9">
        <f t="shared" ca="1" si="293"/>
        <v>23</v>
      </c>
      <c r="AB105" s="10">
        <f t="shared" ca="1" si="293"/>
        <v>4509.5219999999999</v>
      </c>
      <c r="AC105" s="9">
        <f t="shared" ca="1" si="293"/>
        <v>1313</v>
      </c>
      <c r="AD105" s="9">
        <f t="shared" ca="1" si="293"/>
        <v>0</v>
      </c>
      <c r="AE105" s="9">
        <f t="shared" ca="1" si="293"/>
        <v>1313</v>
      </c>
      <c r="AF105" s="9">
        <f t="shared" ca="1" si="293"/>
        <v>2246</v>
      </c>
      <c r="AG105" s="9">
        <f t="shared" ca="1" si="293"/>
        <v>68</v>
      </c>
      <c r="AH105" s="9">
        <f t="shared" ca="1" si="293"/>
        <v>2314</v>
      </c>
      <c r="AI105" s="9">
        <f t="shared" ca="1" si="293"/>
        <v>3627</v>
      </c>
      <c r="AJ105" s="11">
        <f t="shared" ca="1" si="280"/>
        <v>196.06617391304349</v>
      </c>
      <c r="AK105" s="8">
        <f t="shared" si="289"/>
        <v>5887</v>
      </c>
      <c r="AL105" s="12">
        <f t="shared" ca="1" si="281"/>
        <v>0.61610327841005608</v>
      </c>
      <c r="AM105" s="13">
        <f t="shared" si="290"/>
        <v>1.5</v>
      </c>
      <c r="AN105" s="12">
        <f t="shared" ca="1" si="282"/>
        <v>0.5361987368062513</v>
      </c>
      <c r="AO105" s="14">
        <f t="shared" ca="1" si="283"/>
        <v>0.80429810520937695</v>
      </c>
      <c r="AP105" s="13">
        <f t="shared" ref="AP105:AQ105" ca="1" si="294">SUM(T96)</f>
        <v>181.89424007744432</v>
      </c>
      <c r="AQ105" s="13">
        <f t="shared" ca="1" si="294"/>
        <v>7.9084452207584492</v>
      </c>
      <c r="AR105" s="9">
        <f t="shared" ca="1" si="285"/>
        <v>157.69565217391303</v>
      </c>
      <c r="AS105" s="76"/>
      <c r="AT105" s="76"/>
    </row>
    <row r="106" spans="1:46" ht="15.75" customHeight="1" x14ac:dyDescent="0.2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6"/>
      <c r="X106" s="8">
        <v>5</v>
      </c>
      <c r="Y106" s="8" t="s">
        <v>39</v>
      </c>
      <c r="Z106" s="8">
        <f t="shared" ref="Z106:AI106" si="295">SUM(D97)</f>
        <v>22</v>
      </c>
      <c r="AA106" s="9">
        <f t="shared" ca="1" si="295"/>
        <v>22</v>
      </c>
      <c r="AB106" s="10">
        <f t="shared" ca="1" si="295"/>
        <v>4126.3530000000001</v>
      </c>
      <c r="AC106" s="9">
        <f t="shared" ca="1" si="295"/>
        <v>955</v>
      </c>
      <c r="AD106" s="9">
        <f t="shared" ca="1" si="295"/>
        <v>111</v>
      </c>
      <c r="AE106" s="9">
        <f t="shared" ca="1" si="295"/>
        <v>1066</v>
      </c>
      <c r="AF106" s="9">
        <f t="shared" ca="1" si="295"/>
        <v>1774</v>
      </c>
      <c r="AG106" s="9">
        <f t="shared" ca="1" si="295"/>
        <v>75</v>
      </c>
      <c r="AH106" s="9">
        <f t="shared" ca="1" si="295"/>
        <v>1849</v>
      </c>
      <c r="AI106" s="9">
        <f t="shared" ca="1" si="295"/>
        <v>2915</v>
      </c>
      <c r="AJ106" s="11">
        <f t="shared" ca="1" si="280"/>
        <v>187.5615</v>
      </c>
      <c r="AK106" s="8">
        <f t="shared" si="289"/>
        <v>3569</v>
      </c>
      <c r="AL106" s="12">
        <f t="shared" ca="1" si="281"/>
        <v>0.81675539366769401</v>
      </c>
      <c r="AM106" s="13">
        <f t="shared" si="290"/>
        <v>1.5</v>
      </c>
      <c r="AN106" s="12">
        <f t="shared" ca="1" si="282"/>
        <v>0.47095663733406551</v>
      </c>
      <c r="AO106" s="14">
        <f t="shared" ca="1" si="283"/>
        <v>0.70643495600109829</v>
      </c>
      <c r="AP106" s="13">
        <f t="shared" ref="AP106:AQ106" ca="1" si="296">SUM(T97)</f>
        <v>192.25425150258584</v>
      </c>
      <c r="AQ106" s="13">
        <f t="shared" ca="1" si="296"/>
        <v>8.7388296137539019</v>
      </c>
      <c r="AR106" s="9">
        <f t="shared" ca="1" si="285"/>
        <v>132.5</v>
      </c>
      <c r="AS106" s="76"/>
      <c r="AT106" s="76"/>
    </row>
    <row r="107" spans="1:46" ht="15.75" customHeight="1" x14ac:dyDescent="0.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6"/>
      <c r="X107" s="8">
        <v>6</v>
      </c>
      <c r="Y107" s="8" t="s">
        <v>41</v>
      </c>
      <c r="Z107" s="8">
        <f t="shared" ref="Z107:AI107" si="297">SUM(D98)</f>
        <v>20</v>
      </c>
      <c r="AA107" s="9">
        <f t="shared" ca="1" si="297"/>
        <v>20</v>
      </c>
      <c r="AB107" s="10">
        <f t="shared" ca="1" si="297"/>
        <v>4006.364</v>
      </c>
      <c r="AC107" s="9">
        <f t="shared" ca="1" si="297"/>
        <v>901</v>
      </c>
      <c r="AD107" s="9">
        <f t="shared" ca="1" si="297"/>
        <v>0</v>
      </c>
      <c r="AE107" s="9">
        <f t="shared" ca="1" si="297"/>
        <v>901</v>
      </c>
      <c r="AF107" s="9">
        <f t="shared" ca="1" si="297"/>
        <v>1473</v>
      </c>
      <c r="AG107" s="9">
        <f t="shared" ca="1" si="297"/>
        <v>0</v>
      </c>
      <c r="AH107" s="9">
        <f t="shared" ca="1" si="297"/>
        <v>1473</v>
      </c>
      <c r="AI107" s="9">
        <f t="shared" ca="1" si="297"/>
        <v>2374</v>
      </c>
      <c r="AJ107" s="11">
        <f t="shared" ca="1" si="280"/>
        <v>200.31819999999999</v>
      </c>
      <c r="AK107" s="8">
        <f t="shared" si="289"/>
        <v>3801</v>
      </c>
      <c r="AL107" s="12">
        <f t="shared" ca="1" si="281"/>
        <v>0.62457248092607209</v>
      </c>
      <c r="AM107" s="13">
        <f t="shared" si="290"/>
        <v>1.5</v>
      </c>
      <c r="AN107" s="12">
        <f t="shared" ca="1" si="282"/>
        <v>0.39503816095259109</v>
      </c>
      <c r="AO107" s="14">
        <f t="shared" ca="1" si="283"/>
        <v>0.59255724142888666</v>
      </c>
      <c r="AP107" s="13">
        <f t="shared" ref="AP107:AQ107" ca="1" si="298">SUM(T98)</f>
        <v>135.22222222222223</v>
      </c>
      <c r="AQ107" s="13">
        <f t="shared" ca="1" si="298"/>
        <v>6.7611111111111111</v>
      </c>
      <c r="AR107" s="9">
        <f t="shared" ca="1" si="285"/>
        <v>118.7</v>
      </c>
      <c r="AS107" s="76"/>
      <c r="AT107" s="76"/>
    </row>
    <row r="108" spans="1:46" ht="15.75" customHeight="1" x14ac:dyDescent="0.25">
      <c r="A108" s="110" t="s">
        <v>45</v>
      </c>
      <c r="B108" s="76"/>
      <c r="C108" s="76"/>
      <c r="D108" s="75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24" t="s">
        <v>33</v>
      </c>
      <c r="Y108" s="24">
        <v>6</v>
      </c>
      <c r="Z108" s="24">
        <f t="shared" ref="Z108:AI108" si="299">SUM(Z102:Z107)</f>
        <v>139</v>
      </c>
      <c r="AA108" s="25">
        <f t="shared" ca="1" si="299"/>
        <v>137</v>
      </c>
      <c r="AB108" s="27">
        <f t="shared" ca="1" si="299"/>
        <v>26544.786999999978</v>
      </c>
      <c r="AC108" s="25">
        <f t="shared" ca="1" si="299"/>
        <v>9019</v>
      </c>
      <c r="AD108" s="25">
        <f t="shared" ca="1" si="299"/>
        <v>268</v>
      </c>
      <c r="AE108" s="25">
        <f t="shared" ca="1" si="299"/>
        <v>9287</v>
      </c>
      <c r="AF108" s="25">
        <f t="shared" ca="1" si="299"/>
        <v>11555</v>
      </c>
      <c r="AG108" s="25">
        <f t="shared" ca="1" si="299"/>
        <v>291</v>
      </c>
      <c r="AH108" s="25">
        <f t="shared" ca="1" si="299"/>
        <v>11846</v>
      </c>
      <c r="AI108" s="25">
        <f t="shared" ca="1" si="299"/>
        <v>21133</v>
      </c>
      <c r="AJ108" s="27">
        <f t="shared" ca="1" si="280"/>
        <v>193.75756934306554</v>
      </c>
      <c r="AK108" s="24">
        <f>SUM(AK102:AK107)</f>
        <v>37031</v>
      </c>
      <c r="AL108" s="28">
        <f t="shared" ca="1" si="281"/>
        <v>0.57068402149550379</v>
      </c>
      <c r="AM108" s="29">
        <v>1.5</v>
      </c>
      <c r="AN108" s="28">
        <f t="shared" ca="1" si="282"/>
        <v>0.53075078985062785</v>
      </c>
      <c r="AO108" s="30">
        <f t="shared" ca="1" si="283"/>
        <v>0.79612618477594177</v>
      </c>
      <c r="AP108" s="29">
        <f ca="1">SUM(AP102:AP107)</f>
        <v>1092.3442152733687</v>
      </c>
      <c r="AQ108" s="29">
        <f ca="1">AP108/AA108</f>
        <v>7.9733154399515964</v>
      </c>
      <c r="AR108" s="25">
        <f t="shared" ca="1" si="285"/>
        <v>154.25547445255475</v>
      </c>
      <c r="AS108" s="76"/>
      <c r="AT108" s="76"/>
    </row>
    <row r="109" spans="1:46" ht="15.75" customHeight="1" x14ac:dyDescent="0.2">
      <c r="A109" s="110" t="s">
        <v>45</v>
      </c>
      <c r="B109" s="76"/>
      <c r="C109" s="76"/>
      <c r="D109" s="75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7" t="s">
        <v>1</v>
      </c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9"/>
      <c r="AS109" s="76"/>
      <c r="AT109" s="76"/>
    </row>
    <row r="110" spans="1:46" ht="15.75" customHeight="1" x14ac:dyDescent="0.2">
      <c r="A110" s="113">
        <v>46208</v>
      </c>
      <c r="B110" s="80" t="s">
        <v>2</v>
      </c>
      <c r="C110" s="80" t="s">
        <v>3</v>
      </c>
      <c r="D110" s="80" t="s">
        <v>4</v>
      </c>
      <c r="E110" s="80" t="s">
        <v>5</v>
      </c>
      <c r="F110" s="81" t="s">
        <v>6</v>
      </c>
      <c r="G110" s="80" t="s">
        <v>7</v>
      </c>
      <c r="H110" s="80" t="s">
        <v>8</v>
      </c>
      <c r="I110" s="80" t="s">
        <v>9</v>
      </c>
      <c r="J110" s="80" t="s">
        <v>10</v>
      </c>
      <c r="K110" s="80" t="s">
        <v>11</v>
      </c>
      <c r="L110" s="80" t="s">
        <v>12</v>
      </c>
      <c r="M110" s="80" t="s">
        <v>13</v>
      </c>
      <c r="N110" s="81" t="s">
        <v>14</v>
      </c>
      <c r="O110" s="80" t="s">
        <v>15</v>
      </c>
      <c r="P110" s="80" t="s">
        <v>16</v>
      </c>
      <c r="Q110" s="80" t="s">
        <v>17</v>
      </c>
      <c r="R110" s="80" t="s">
        <v>18</v>
      </c>
      <c r="S110" s="106" t="s">
        <v>19</v>
      </c>
      <c r="T110" s="107" t="s">
        <v>20</v>
      </c>
      <c r="U110" s="107" t="s">
        <v>21</v>
      </c>
      <c r="V110" s="105" t="s">
        <v>22</v>
      </c>
      <c r="W110" s="76"/>
      <c r="X110" s="1" t="s">
        <v>2</v>
      </c>
      <c r="Y110" s="1" t="s">
        <v>3</v>
      </c>
      <c r="Z110" s="1" t="s">
        <v>4</v>
      </c>
      <c r="AA110" s="1" t="s">
        <v>5</v>
      </c>
      <c r="AB110" s="2" t="s">
        <v>6</v>
      </c>
      <c r="AC110" s="1" t="s">
        <v>7</v>
      </c>
      <c r="AD110" s="1" t="s">
        <v>8</v>
      </c>
      <c r="AE110" s="1" t="s">
        <v>9</v>
      </c>
      <c r="AF110" s="1" t="s">
        <v>10</v>
      </c>
      <c r="AG110" s="1" t="s">
        <v>11</v>
      </c>
      <c r="AH110" s="1" t="s">
        <v>12</v>
      </c>
      <c r="AI110" s="1" t="s">
        <v>13</v>
      </c>
      <c r="AJ110" s="2" t="s">
        <v>14</v>
      </c>
      <c r="AK110" s="1" t="s">
        <v>15</v>
      </c>
      <c r="AL110" s="1" t="s">
        <v>16</v>
      </c>
      <c r="AM110" s="3" t="s">
        <v>17</v>
      </c>
      <c r="AN110" s="4" t="s">
        <v>18</v>
      </c>
      <c r="AO110" s="5" t="s">
        <v>19</v>
      </c>
      <c r="AP110" s="6" t="s">
        <v>20</v>
      </c>
      <c r="AQ110" s="6" t="s">
        <v>21</v>
      </c>
      <c r="AR110" s="7" t="s">
        <v>22</v>
      </c>
      <c r="AS110" s="76"/>
      <c r="AT110" s="76"/>
    </row>
    <row r="111" spans="1:46" ht="15.75" customHeight="1" x14ac:dyDescent="0.2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6"/>
      <c r="X111" s="8">
        <v>1</v>
      </c>
      <c r="Y111" s="8" t="s">
        <v>23</v>
      </c>
      <c r="Z111" s="8">
        <f t="shared" ref="Z111:AI111" si="300">SUM(D119)</f>
        <v>26</v>
      </c>
      <c r="AA111" s="9">
        <f t="shared" ca="1" si="300"/>
        <v>25</v>
      </c>
      <c r="AB111" s="10">
        <f t="shared" ca="1" si="300"/>
        <v>4993.5199999999904</v>
      </c>
      <c r="AC111" s="9">
        <f t="shared" ca="1" si="300"/>
        <v>1007</v>
      </c>
      <c r="AD111" s="9">
        <f t="shared" ca="1" si="300"/>
        <v>0</v>
      </c>
      <c r="AE111" s="9">
        <f t="shared" ca="1" si="300"/>
        <v>1007</v>
      </c>
      <c r="AF111" s="9">
        <f t="shared" ca="1" si="300"/>
        <v>2021</v>
      </c>
      <c r="AG111" s="9">
        <f t="shared" ca="1" si="300"/>
        <v>0</v>
      </c>
      <c r="AH111" s="9">
        <f t="shared" ca="1" si="300"/>
        <v>2021</v>
      </c>
      <c r="AI111" s="9">
        <f t="shared" ca="1" si="300"/>
        <v>3028</v>
      </c>
      <c r="AJ111" s="11">
        <f t="shared" ref="AJ111:AJ113" ca="1" si="301">AB111/AA111</f>
        <v>199.74079999999961</v>
      </c>
      <c r="AK111" s="8">
        <f>SUM(O119)</f>
        <v>6853</v>
      </c>
      <c r="AL111" s="12">
        <f t="shared" ref="AL111:AL117" ca="1" si="302">AI111/AK111</f>
        <v>0.44185028454691377</v>
      </c>
      <c r="AM111" s="13">
        <f t="shared" ref="AM111:AM113" si="303">SUM(Q119)</f>
        <v>1.5</v>
      </c>
      <c r="AN111" s="12">
        <f t="shared" ref="AN111:AN117" ca="1" si="304">AO111/AM111</f>
        <v>0.40425725073028057</v>
      </c>
      <c r="AO111" s="14">
        <f t="shared" ref="AO111:AO117" ca="1" si="305">AI111/AB111</f>
        <v>0.60638587609542083</v>
      </c>
      <c r="AP111" s="13">
        <f t="shared" ref="AP111:AQ111" ca="1" si="306">SUM(T119)</f>
        <v>147.99999999999972</v>
      </c>
      <c r="AQ111" s="13">
        <f t="shared" ca="1" si="306"/>
        <v>5.9199999999999884</v>
      </c>
      <c r="AR111" s="9">
        <f t="shared" ref="AR111:AR117" ca="1" si="307">AI111/AA111</f>
        <v>121.12</v>
      </c>
      <c r="AS111" s="76"/>
      <c r="AT111" s="76"/>
    </row>
    <row r="112" spans="1:46" ht="15.75" customHeight="1" x14ac:dyDescent="0.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6"/>
      <c r="X112" s="8">
        <v>2</v>
      </c>
      <c r="Y112" s="8" t="s">
        <v>24</v>
      </c>
      <c r="Z112" s="8">
        <f t="shared" ref="Z112:AI112" si="308">SUM(D120)</f>
        <v>35</v>
      </c>
      <c r="AA112" s="9">
        <f t="shared" ca="1" si="308"/>
        <v>34</v>
      </c>
      <c r="AB112" s="10">
        <f t="shared" ca="1" si="308"/>
        <v>6711.7119999999904</v>
      </c>
      <c r="AC112" s="9">
        <f t="shared" ca="1" si="308"/>
        <v>626</v>
      </c>
      <c r="AD112" s="9">
        <f t="shared" ca="1" si="308"/>
        <v>0</v>
      </c>
      <c r="AE112" s="9">
        <f t="shared" ca="1" si="308"/>
        <v>626</v>
      </c>
      <c r="AF112" s="9">
        <f t="shared" ca="1" si="308"/>
        <v>927</v>
      </c>
      <c r="AG112" s="9">
        <f t="shared" ca="1" si="308"/>
        <v>0</v>
      </c>
      <c r="AH112" s="9">
        <f t="shared" ca="1" si="308"/>
        <v>927</v>
      </c>
      <c r="AI112" s="9">
        <f t="shared" ca="1" si="308"/>
        <v>1553</v>
      </c>
      <c r="AJ112" s="11">
        <f t="shared" ca="1" si="301"/>
        <v>197.40329411764677</v>
      </c>
      <c r="AK112" s="8">
        <v>1580</v>
      </c>
      <c r="AL112" s="12">
        <f t="shared" ca="1" si="302"/>
        <v>0.98291139240506331</v>
      </c>
      <c r="AM112" s="13">
        <f t="shared" si="303"/>
        <v>1.5</v>
      </c>
      <c r="AN112" s="12">
        <f t="shared" ca="1" si="304"/>
        <v>0.154257711494971</v>
      </c>
      <c r="AO112" s="14">
        <f t="shared" ca="1" si="305"/>
        <v>0.23138656724245651</v>
      </c>
      <c r="AP112" s="13">
        <f t="shared" ref="AP112:AQ112" ca="1" si="309">SUM(T120)</f>
        <v>250.39030031710467</v>
      </c>
      <c r="AQ112" s="13">
        <f t="shared" ca="1" si="309"/>
        <v>7.3644205975619021</v>
      </c>
      <c r="AR112" s="9">
        <f t="shared" ca="1" si="307"/>
        <v>45.676470588235297</v>
      </c>
      <c r="AS112" s="76"/>
      <c r="AT112" s="76"/>
    </row>
    <row r="113" spans="1:46" ht="15.75" customHeight="1" x14ac:dyDescent="0.2">
      <c r="A113" s="70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6"/>
      <c r="X113" s="8">
        <v>3</v>
      </c>
      <c r="Y113" s="8" t="s">
        <v>25</v>
      </c>
      <c r="Z113" s="8">
        <f t="shared" ref="Z113:AI113" si="310">SUM(D121)</f>
        <v>26</v>
      </c>
      <c r="AA113" s="9">
        <f t="shared" ca="1" si="310"/>
        <v>23</v>
      </c>
      <c r="AB113" s="10">
        <f t="shared" ca="1" si="310"/>
        <v>4436.0079999999998</v>
      </c>
      <c r="AC113" s="9">
        <f t="shared" ca="1" si="310"/>
        <v>1377</v>
      </c>
      <c r="AD113" s="9">
        <f t="shared" ca="1" si="310"/>
        <v>232</v>
      </c>
      <c r="AE113" s="9">
        <f t="shared" ca="1" si="310"/>
        <v>1609</v>
      </c>
      <c r="AF113" s="9">
        <f t="shared" ca="1" si="310"/>
        <v>2052</v>
      </c>
      <c r="AG113" s="9">
        <f t="shared" ca="1" si="310"/>
        <v>162</v>
      </c>
      <c r="AH113" s="9">
        <f t="shared" ca="1" si="310"/>
        <v>2214</v>
      </c>
      <c r="AI113" s="9">
        <f t="shared" ca="1" si="310"/>
        <v>3823</v>
      </c>
      <c r="AJ113" s="11">
        <f t="shared" ca="1" si="301"/>
        <v>192.86991304347825</v>
      </c>
      <c r="AK113" s="8">
        <f>SUM(O121)</f>
        <v>6622</v>
      </c>
      <c r="AL113" s="12">
        <f t="shared" ca="1" si="302"/>
        <v>0.57731803080640287</v>
      </c>
      <c r="AM113" s="13">
        <f t="shared" si="303"/>
        <v>1.5</v>
      </c>
      <c r="AN113" s="12">
        <f t="shared" ca="1" si="304"/>
        <v>0.57454059295354443</v>
      </c>
      <c r="AO113" s="14">
        <f t="shared" ca="1" si="305"/>
        <v>0.8618108894303167</v>
      </c>
      <c r="AP113" s="13">
        <f t="shared" ref="AP113:AQ113" ca="1" si="311">SUM(T121)</f>
        <v>186.07416107382551</v>
      </c>
      <c r="AQ113" s="13">
        <f t="shared" ca="1" si="311"/>
        <v>8.0901809162532832</v>
      </c>
      <c r="AR113" s="9">
        <f t="shared" ca="1" si="307"/>
        <v>166.21739130434781</v>
      </c>
      <c r="AS113" s="76"/>
      <c r="AT113" s="76"/>
    </row>
    <row r="114" spans="1:46" ht="15.75" customHeight="1" x14ac:dyDescent="0.25">
      <c r="A114" s="70"/>
      <c r="B114" s="16">
        <v>1</v>
      </c>
      <c r="C114" s="16" t="s">
        <v>26</v>
      </c>
      <c r="D114" s="17">
        <v>15</v>
      </c>
      <c r="E114" s="18">
        <f ca="1">IFERROR(__xludf.DUMMYFUNCTION("COUNT(IMPORTRANGE(""https://docs.google.com/spreadsheets/d/1z0o91thOT38lgejTE_Bd2p3v_9VCDdQRkUsMIVqpQCk/edit"",""5!d2:d21""))"),15)</f>
        <v>15</v>
      </c>
      <c r="F114" s="19">
        <f ca="1">IFERROR(__xludf.DUMMYFUNCTION("SUM(IMPORTRANGE(""https://docs.google.com/spreadsheets/d/1z0o91thOT38lgejTE_Bd2p3v_9VCDdQRkUsMIVqpQCk/edit"",""5!Q2:Q21""))"),2883.459)</f>
        <v>2883.4589999999998</v>
      </c>
      <c r="G114" s="18">
        <f ca="1">IFERROR(__xludf.DUMMYFUNCTION("IMPORTRANGE(""https://docs.google.com/spreadsheets/d/1z0o91thOT38lgejTE_Bd2p3v_9VCDdQRkUsMIVqpQCk/edit"",""5!e28"")"),1436)</f>
        <v>1436</v>
      </c>
      <c r="H114" s="18">
        <f ca="1">IFERROR(__xludf.DUMMYFUNCTION("IMPORTRANGE(""https://docs.google.com/spreadsheets/d/1z0o91thOT38lgejTE_Bd2p3v_9VCDdQRkUsMIVqpQCk/edit"",""5!e29"")"),0)</f>
        <v>0</v>
      </c>
      <c r="I114" s="18">
        <f t="shared" ref="I114:I131" ca="1" si="312">SUM(G114:H114)</f>
        <v>1436</v>
      </c>
      <c r="J114" s="18">
        <f ca="1">IFERROR(__xludf.DUMMYFUNCTION("IMPORTRANGE(""https://docs.google.com/spreadsheets/d/1z0o91thOT38lgejTE_Bd2p3v_9VCDdQRkUsMIVqpQCk/edit"",""5!e32"")"),1574)</f>
        <v>1574</v>
      </c>
      <c r="K114" s="18">
        <f ca="1">IFERROR(__xludf.DUMMYFUNCTION("IMPORTRANGE(""https://docs.google.com/spreadsheets/d/1z0o91thOT38lgejTE_Bd2p3v_9VCDdQRkUsMIVqpQCk/edit"",""5!e33"")"),0)</f>
        <v>0</v>
      </c>
      <c r="L114" s="18">
        <f t="shared" ref="L114:L120" ca="1" si="313">SUM(J114:K114)</f>
        <v>1574</v>
      </c>
      <c r="M114" s="18">
        <f t="shared" ref="M114:M131" ca="1" si="314">SUM(I114+L114)</f>
        <v>3010</v>
      </c>
      <c r="N114" s="19">
        <f t="shared" ref="N114:N132" ca="1" si="315">F114/E114</f>
        <v>192.23059999999998</v>
      </c>
      <c r="O114" s="16">
        <v>5161</v>
      </c>
      <c r="P114" s="20">
        <f t="shared" ref="P114:P132" ca="1" si="316">M114/O114</f>
        <v>0.58322030614222053</v>
      </c>
      <c r="Q114" s="21">
        <v>1.5</v>
      </c>
      <c r="R114" s="20">
        <f t="shared" ref="R114:R132" ca="1" si="317">S114/Q114</f>
        <v>0.69592342622755066</v>
      </c>
      <c r="S114" s="22">
        <f t="shared" ref="S114:S132" ca="1" si="318">M114/F114</f>
        <v>1.043885139341326</v>
      </c>
      <c r="T114" s="21">
        <f ca="1">F114/14.415</f>
        <v>200.0318418314256</v>
      </c>
      <c r="U114" s="21">
        <f t="shared" ref="U114:U132" ca="1" si="319">T114/E114</f>
        <v>13.33545612209504</v>
      </c>
      <c r="V114" s="18">
        <f t="shared" ref="V114:V132" ca="1" si="320">M114/E114</f>
        <v>200.66666666666666</v>
      </c>
      <c r="W114" s="76"/>
      <c r="X114" s="8">
        <v>4</v>
      </c>
      <c r="Y114" s="8" t="s">
        <v>27</v>
      </c>
      <c r="Z114" s="8">
        <f t="shared" ref="Z114:AK114" si="321">SUM(D127)</f>
        <v>23</v>
      </c>
      <c r="AA114" s="9">
        <f t="shared" ca="1" si="321"/>
        <v>23</v>
      </c>
      <c r="AB114" s="10">
        <f t="shared" ca="1" si="321"/>
        <v>4292.6679999999897</v>
      </c>
      <c r="AC114" s="9">
        <f t="shared" ca="1" si="321"/>
        <v>1622</v>
      </c>
      <c r="AD114" s="9">
        <f t="shared" ca="1" si="321"/>
        <v>0</v>
      </c>
      <c r="AE114" s="9">
        <f t="shared" ca="1" si="321"/>
        <v>1622</v>
      </c>
      <c r="AF114" s="9">
        <f t="shared" ca="1" si="321"/>
        <v>2145</v>
      </c>
      <c r="AG114" s="9">
        <f t="shared" ca="1" si="321"/>
        <v>33</v>
      </c>
      <c r="AH114" s="9">
        <f t="shared" ca="1" si="321"/>
        <v>2178</v>
      </c>
      <c r="AI114" s="9">
        <f t="shared" ca="1" si="321"/>
        <v>3800</v>
      </c>
      <c r="AJ114" s="11">
        <f t="shared" ca="1" si="321"/>
        <v>186.63773913043434</v>
      </c>
      <c r="AK114" s="8">
        <f t="shared" si="321"/>
        <v>8101</v>
      </c>
      <c r="AL114" s="12">
        <f t="shared" ca="1" si="302"/>
        <v>0.4690778916183187</v>
      </c>
      <c r="AM114" s="13">
        <f>SUM(Q127)</f>
        <v>1.5</v>
      </c>
      <c r="AN114" s="12">
        <f t="shared" ca="1" si="304"/>
        <v>0.59015356727642099</v>
      </c>
      <c r="AO114" s="14">
        <f t="shared" ca="1" si="305"/>
        <v>0.88523035091463143</v>
      </c>
      <c r="AP114" s="13">
        <f t="shared" ref="AP114:AQ114" ca="1" si="322">SUM(T127)</f>
        <v>214.79449587190342</v>
      </c>
      <c r="AQ114" s="13">
        <f t="shared" ca="1" si="322"/>
        <v>9.3388911248653663</v>
      </c>
      <c r="AR114" s="9">
        <f t="shared" ca="1" si="307"/>
        <v>165.21739130434781</v>
      </c>
      <c r="AS114" s="76"/>
      <c r="AT114" s="76"/>
    </row>
    <row r="115" spans="1:46" ht="15.75" customHeight="1" x14ac:dyDescent="0.25">
      <c r="A115" s="70"/>
      <c r="B115" s="16">
        <v>2</v>
      </c>
      <c r="C115" s="16" t="s">
        <v>28</v>
      </c>
      <c r="D115" s="17">
        <v>24</v>
      </c>
      <c r="E115" s="18">
        <f ca="1">IFERROR(__xludf.DUMMYFUNCTION("COUNT(IMPORTRANGE(""https://docs.google.com/spreadsheets/d/10a85iNN0y9GF6ngQfF1JXGAzFk-T7ywH4-TZtQcOTaE/edit"",""5!d2:d34""))"),23)</f>
        <v>23</v>
      </c>
      <c r="F115" s="19">
        <f ca="1">IFERROR(__xludf.DUMMYFUNCTION("SUM(IMPORTRANGE(""https://docs.google.com/spreadsheets/d/10a85iNN0y9GF6ngQfF1JXGAzFk-T7ywH4-TZtQcOTaE/edit"",""5!Q2:Q34""))"),4613.21899999999)</f>
        <v>4613.21899999999</v>
      </c>
      <c r="G115" s="18">
        <f ca="1">IFERROR(__xludf.DUMMYFUNCTION("IMPORTRANGE(""https://docs.google.com/spreadsheets/d/10a85iNN0y9GF6ngQfF1JXGAzFk-T7ywH4-TZtQcOTaE/edit"",""5!e41"")"),1457)</f>
        <v>1457</v>
      </c>
      <c r="H115" s="18">
        <f ca="1">IFERROR(__xludf.DUMMYFUNCTION("IMPORTRANGE(""https://docs.google.com/spreadsheets/d/10a85iNN0y9GF6ngQfF1JXGAzFk-T7ywH4-TZtQcOTaE/edit"",""5!e42"")"),97)</f>
        <v>97</v>
      </c>
      <c r="I115" s="18">
        <f t="shared" ca="1" si="312"/>
        <v>1554</v>
      </c>
      <c r="J115" s="18">
        <f ca="1">IFERROR(__xludf.DUMMYFUNCTION("IMPORTRANGE(""https://docs.google.com/spreadsheets/d/10a85iNN0y9GF6ngQfF1JXGAzFk-T7ywH4-TZtQcOTaE/edit"",""5!e45"")"),2054)</f>
        <v>2054</v>
      </c>
      <c r="K115" s="18">
        <f ca="1">IFERROR(__xludf.DUMMYFUNCTION("IMPORTRANGE(""https://docs.google.com/spreadsheets/d/10a85iNN0y9GF6ngQfF1JXGAzFk-T7ywH4-TZtQcOTaE/edit"",""5!e46"")"),291)</f>
        <v>291</v>
      </c>
      <c r="L115" s="18">
        <f t="shared" ca="1" si="313"/>
        <v>2345</v>
      </c>
      <c r="M115" s="18">
        <f t="shared" ca="1" si="314"/>
        <v>3899</v>
      </c>
      <c r="N115" s="19">
        <f t="shared" ca="1" si="315"/>
        <v>200.57473913043435</v>
      </c>
      <c r="O115" s="16">
        <v>7315</v>
      </c>
      <c r="P115" s="20">
        <f t="shared" ca="1" si="316"/>
        <v>0.53301435406698561</v>
      </c>
      <c r="Q115" s="21">
        <v>1.5</v>
      </c>
      <c r="R115" s="20">
        <f t="shared" ca="1" si="317"/>
        <v>0.56345327055432204</v>
      </c>
      <c r="S115" s="22">
        <f t="shared" ca="1" si="318"/>
        <v>0.84517990583148306</v>
      </c>
      <c r="T115" s="21">
        <f ca="1">F115/30.897</f>
        <v>149.3096093471855</v>
      </c>
      <c r="U115" s="21">
        <f t="shared" ca="1" si="319"/>
        <v>6.4917221455298044</v>
      </c>
      <c r="V115" s="18">
        <f t="shared" ca="1" si="320"/>
        <v>169.52173913043478</v>
      </c>
      <c r="W115" s="76"/>
      <c r="X115" s="8">
        <v>5</v>
      </c>
      <c r="Y115" s="8" t="s">
        <v>29</v>
      </c>
      <c r="Z115" s="8">
        <f t="shared" ref="Z115:AI115" si="323">SUM(D130)</f>
        <v>23</v>
      </c>
      <c r="AA115" s="9">
        <f t="shared" ca="1" si="323"/>
        <v>20</v>
      </c>
      <c r="AB115" s="10">
        <f t="shared" ca="1" si="323"/>
        <v>4009.8519999999999</v>
      </c>
      <c r="AC115" s="9">
        <f t="shared" ca="1" si="323"/>
        <v>1532</v>
      </c>
      <c r="AD115" s="9">
        <f t="shared" ca="1" si="323"/>
        <v>0</v>
      </c>
      <c r="AE115" s="9">
        <f t="shared" ca="1" si="323"/>
        <v>1532</v>
      </c>
      <c r="AF115" s="9">
        <f t="shared" ca="1" si="323"/>
        <v>2440</v>
      </c>
      <c r="AG115" s="9">
        <f t="shared" ca="1" si="323"/>
        <v>0</v>
      </c>
      <c r="AH115" s="9">
        <f t="shared" ca="1" si="323"/>
        <v>2440</v>
      </c>
      <c r="AI115" s="9">
        <f t="shared" ca="1" si="323"/>
        <v>3972</v>
      </c>
      <c r="AJ115" s="11">
        <f t="shared" ref="AJ115:AJ117" ca="1" si="324">AB115/AA115</f>
        <v>200.49259999999998</v>
      </c>
      <c r="AK115" s="8">
        <f t="shared" ref="AK115:AK116" si="325">SUM(O130)</f>
        <v>9201</v>
      </c>
      <c r="AL115" s="12">
        <f t="shared" ca="1" si="302"/>
        <v>0.43169220736876429</v>
      </c>
      <c r="AM115" s="13">
        <f t="shared" ref="AM115:AM116" si="326">SUM(Q130)</f>
        <v>1.5</v>
      </c>
      <c r="AN115" s="12">
        <f t="shared" ca="1" si="304"/>
        <v>0.66037350006932927</v>
      </c>
      <c r="AO115" s="14">
        <f t="shared" ca="1" si="305"/>
        <v>0.99056025010399384</v>
      </c>
      <c r="AP115" s="13">
        <f t="shared" ref="AP115:AQ115" ca="1" si="327">SUM(T130)</f>
        <v>154</v>
      </c>
      <c r="AQ115" s="13">
        <f t="shared" ca="1" si="327"/>
        <v>7.7</v>
      </c>
      <c r="AR115" s="9">
        <f t="shared" ca="1" si="307"/>
        <v>198.6</v>
      </c>
      <c r="AS115" s="76"/>
      <c r="AT115" s="76"/>
    </row>
    <row r="116" spans="1:46" ht="15.75" customHeight="1" x14ac:dyDescent="0.25">
      <c r="A116" s="70"/>
      <c r="B116" s="16">
        <v>3</v>
      </c>
      <c r="C116" s="16" t="s">
        <v>30</v>
      </c>
      <c r="D116" s="17">
        <v>45</v>
      </c>
      <c r="E116" s="18">
        <f ca="1">IFERROR(__xludf.DUMMYFUNCTION("COUNT(IMPORTRANGE(""https://docs.google.com/spreadsheets/d/1WojVzHhpzodJL1e5UDHeu3A3u5MTSZwvxHu0BrwvL9w/edit"",""5!d2:d61""))"),45)</f>
        <v>45</v>
      </c>
      <c r="F116" s="23">
        <f ca="1">IFERROR(__xludf.DUMMYFUNCTION("SUM(IMPORTRANGE(""https://docs.google.com/spreadsheets/d/1WojVzHhpzodJL1e5UDHeu3A3u5MTSZwvxHu0BrwvL9w/edit"",""5!Q2:Q61""))"),8821.69399999999)</f>
        <v>8821.6939999999904</v>
      </c>
      <c r="G116" s="18">
        <f ca="1">IFERROR(__xludf.DUMMYFUNCTION("IMPORTRANGE(""https://docs.google.com/spreadsheets/d/1WojVzHhpzodJL1e5UDHeu3A3u5MTSZwvxHu0BrwvL9w/edit"",""5!e68"")"),2126)</f>
        <v>2126</v>
      </c>
      <c r="H116" s="18">
        <f ca="1">IFERROR(__xludf.DUMMYFUNCTION("IMPORTRANGE(""https://docs.google.com/spreadsheets/d/1WojVzHhpzodJL1e5UDHeu3A3u5MTSZwvxHu0BrwvL9w/edit"",""5!e69"")"),0)</f>
        <v>0</v>
      </c>
      <c r="I116" s="18">
        <f t="shared" ca="1" si="312"/>
        <v>2126</v>
      </c>
      <c r="J116" s="18">
        <f ca="1">IFERROR(__xludf.DUMMYFUNCTION("IMPORTRANGE(""https://docs.google.com/spreadsheets/d/1WojVzHhpzodJL1e5UDHeu3A3u5MTSZwvxHu0BrwvL9w/edit"",""5!e72"")"),4059)</f>
        <v>4059</v>
      </c>
      <c r="K116" s="18">
        <f ca="1">IFERROR(__xludf.DUMMYFUNCTION("IMPORTRANGE(""https://docs.google.com/spreadsheets/d/1WojVzHhpzodJL1e5UDHeu3A3u5MTSZwvxHu0BrwvL9w/edit"",""5!e73"")"),0)</f>
        <v>0</v>
      </c>
      <c r="L116" s="18">
        <f t="shared" ca="1" si="313"/>
        <v>4059</v>
      </c>
      <c r="M116" s="18">
        <f t="shared" ca="1" si="314"/>
        <v>6185</v>
      </c>
      <c r="N116" s="19">
        <f t="shared" ca="1" si="315"/>
        <v>196.03764444444423</v>
      </c>
      <c r="O116" s="16">
        <v>11164</v>
      </c>
      <c r="P116" s="20">
        <f t="shared" ca="1" si="316"/>
        <v>0.55401289860265135</v>
      </c>
      <c r="Q116" s="21">
        <v>1.5</v>
      </c>
      <c r="R116" s="20">
        <f t="shared" ca="1" si="317"/>
        <v>0.46740833827758449</v>
      </c>
      <c r="S116" s="22">
        <f t="shared" ca="1" si="318"/>
        <v>0.70111250741637676</v>
      </c>
      <c r="T116" s="21">
        <f ca="1">F116/29.603</f>
        <v>297.99999999999966</v>
      </c>
      <c r="U116" s="21">
        <f t="shared" ca="1" si="319"/>
        <v>6.6222222222222147</v>
      </c>
      <c r="V116" s="18">
        <f t="shared" ca="1" si="320"/>
        <v>137.44444444444446</v>
      </c>
      <c r="W116" s="76"/>
      <c r="X116" s="8">
        <v>6</v>
      </c>
      <c r="Y116" s="8" t="s">
        <v>31</v>
      </c>
      <c r="Z116" s="8">
        <f t="shared" ref="Z116:AI116" si="328">SUM(D131)</f>
        <v>11</v>
      </c>
      <c r="AA116" s="9">
        <f t="shared" ca="1" si="328"/>
        <v>10</v>
      </c>
      <c r="AB116" s="11">
        <f t="shared" ca="1" si="328"/>
        <v>1912.46</v>
      </c>
      <c r="AC116" s="9">
        <f t="shared" ca="1" si="328"/>
        <v>401</v>
      </c>
      <c r="AD116" s="9">
        <f t="shared" ca="1" si="328"/>
        <v>0</v>
      </c>
      <c r="AE116" s="9">
        <f t="shared" ca="1" si="328"/>
        <v>401</v>
      </c>
      <c r="AF116" s="9">
        <f t="shared" ca="1" si="328"/>
        <v>582</v>
      </c>
      <c r="AG116" s="9">
        <f t="shared" ca="1" si="328"/>
        <v>0</v>
      </c>
      <c r="AH116" s="9">
        <f t="shared" ca="1" si="328"/>
        <v>582</v>
      </c>
      <c r="AI116" s="9">
        <f t="shared" ca="1" si="328"/>
        <v>983</v>
      </c>
      <c r="AJ116" s="11">
        <f t="shared" ca="1" si="324"/>
        <v>191.24600000000001</v>
      </c>
      <c r="AK116" s="8">
        <f t="shared" si="325"/>
        <v>2717</v>
      </c>
      <c r="AL116" s="12">
        <f t="shared" ca="1" si="302"/>
        <v>0.36179609863820389</v>
      </c>
      <c r="AM116" s="13">
        <f t="shared" si="326"/>
        <v>1.5</v>
      </c>
      <c r="AN116" s="12">
        <f t="shared" ca="1" si="304"/>
        <v>0.34266511892187723</v>
      </c>
      <c r="AO116" s="14">
        <f t="shared" ca="1" si="305"/>
        <v>0.51399767838281585</v>
      </c>
      <c r="AP116" s="13">
        <f t="shared" ref="AP116:AQ116" ca="1" si="329">SUM(T131)</f>
        <v>44</v>
      </c>
      <c r="AQ116" s="13">
        <f t="shared" ca="1" si="329"/>
        <v>4.4000000000000004</v>
      </c>
      <c r="AR116" s="9">
        <f t="shared" ca="1" si="307"/>
        <v>98.3</v>
      </c>
      <c r="AS116" s="76"/>
      <c r="AT116" s="76"/>
    </row>
    <row r="117" spans="1:46" ht="15.75" customHeight="1" x14ac:dyDescent="0.25">
      <c r="A117" s="70"/>
      <c r="B117" s="16">
        <v>4</v>
      </c>
      <c r="C117" s="16" t="s">
        <v>32</v>
      </c>
      <c r="D117" s="17">
        <v>32</v>
      </c>
      <c r="E117" s="18">
        <f ca="1">IFERROR(__xludf.DUMMYFUNCTION("COUNT(IMPORTRANGE(""https://docs.google.com/spreadsheets/d/1vmCj5YcMSPHj1m64syDndQ6cqVL3yolcU03Y8KHmvdc/edit"",""5!d2:d43""))"),30)</f>
        <v>30</v>
      </c>
      <c r="F117" s="23">
        <f ca="1">IFERROR(__xludf.DUMMYFUNCTION("SUM(IMPORTRANGE(""https://docs.google.com/spreadsheets/d/1vmCj5YcMSPHj1m64syDndQ6cqVL3yolcU03Y8KHmvdc/edit"",""5!Q2:Q43""))"),6021.35999999999)</f>
        <v>6021.3599999999897</v>
      </c>
      <c r="G117" s="16">
        <f ca="1">IFERROR(__xludf.DUMMYFUNCTION("IMPORTRANGE(""https://docs.google.com/spreadsheets/d/1vmCj5YcMSPHj1m64syDndQ6cqVL3yolcU03Y8KHmvdc/edit"",""5!e50"")"),2646)</f>
        <v>2646</v>
      </c>
      <c r="H117" s="16">
        <f ca="1">IFERROR(__xludf.DUMMYFUNCTION("IMPORTRANGE(""https://docs.google.com/spreadsheets/d/1vmCj5YcMSPHj1m64syDndQ6cqVL3yolcU03Y8KHmvdc/edit"",""5!e51"")"),125)</f>
        <v>125</v>
      </c>
      <c r="I117" s="18">
        <f t="shared" ca="1" si="312"/>
        <v>2771</v>
      </c>
      <c r="J117" s="16">
        <f ca="1">IFERROR(__xludf.DUMMYFUNCTION("IMPORTRANGE(""https://docs.google.com/spreadsheets/d/1vmCj5YcMSPHj1m64syDndQ6cqVL3yolcU03Y8KHmvdc/edit"",""5!e54"")"),3814)</f>
        <v>3814</v>
      </c>
      <c r="K117" s="16">
        <f ca="1">IFERROR(__xludf.DUMMYFUNCTION("IMPORTRANGE(""https://docs.google.com/spreadsheets/d/1vmCj5YcMSPHj1m64syDndQ6cqVL3yolcU03Y8KHmvdc/edit"",""5!e55"")"),163)</f>
        <v>163</v>
      </c>
      <c r="L117" s="18">
        <f t="shared" ca="1" si="313"/>
        <v>3977</v>
      </c>
      <c r="M117" s="18">
        <f t="shared" ca="1" si="314"/>
        <v>6748</v>
      </c>
      <c r="N117" s="19">
        <f t="shared" ca="1" si="315"/>
        <v>200.71199999999965</v>
      </c>
      <c r="O117" s="16">
        <v>13817</v>
      </c>
      <c r="P117" s="20">
        <f t="shared" ca="1" si="316"/>
        <v>0.48838387493667224</v>
      </c>
      <c r="Q117" s="21">
        <v>1.5</v>
      </c>
      <c r="R117" s="20">
        <f t="shared" ca="1" si="317"/>
        <v>0.74711803756405104</v>
      </c>
      <c r="S117" s="22">
        <f t="shared" ca="1" si="318"/>
        <v>1.1206770563460766</v>
      </c>
      <c r="T117" s="21">
        <f ca="1">F117/25.089</f>
        <v>239.9999999999996</v>
      </c>
      <c r="U117" s="21">
        <f t="shared" ca="1" si="319"/>
        <v>7.9999999999999867</v>
      </c>
      <c r="V117" s="18">
        <f t="shared" ca="1" si="320"/>
        <v>224.93333333333334</v>
      </c>
      <c r="W117" s="76"/>
      <c r="X117" s="24" t="s">
        <v>33</v>
      </c>
      <c r="Y117" s="24">
        <v>6</v>
      </c>
      <c r="Z117" s="24">
        <f t="shared" ref="Z117:AI117" si="330">SUM(Z111:Z116)</f>
        <v>144</v>
      </c>
      <c r="AA117" s="25">
        <f t="shared" ca="1" si="330"/>
        <v>135</v>
      </c>
      <c r="AB117" s="26">
        <f t="shared" ca="1" si="330"/>
        <v>26356.219999999968</v>
      </c>
      <c r="AC117" s="25">
        <f t="shared" ca="1" si="330"/>
        <v>6565</v>
      </c>
      <c r="AD117" s="25">
        <f t="shared" ca="1" si="330"/>
        <v>232</v>
      </c>
      <c r="AE117" s="25">
        <f t="shared" ca="1" si="330"/>
        <v>6797</v>
      </c>
      <c r="AF117" s="25">
        <f t="shared" ca="1" si="330"/>
        <v>10167</v>
      </c>
      <c r="AG117" s="25">
        <f t="shared" ca="1" si="330"/>
        <v>195</v>
      </c>
      <c r="AH117" s="25">
        <f t="shared" ca="1" si="330"/>
        <v>10362</v>
      </c>
      <c r="AI117" s="25">
        <f t="shared" ca="1" si="330"/>
        <v>17159</v>
      </c>
      <c r="AJ117" s="27">
        <f t="shared" ca="1" si="324"/>
        <v>195.23125925925902</v>
      </c>
      <c r="AK117" s="24">
        <f>SUM(AK111:AK116)</f>
        <v>35074</v>
      </c>
      <c r="AL117" s="28">
        <f t="shared" ca="1" si="302"/>
        <v>0.48922278610936876</v>
      </c>
      <c r="AM117" s="29">
        <v>1.5</v>
      </c>
      <c r="AN117" s="28">
        <f t="shared" ca="1" si="304"/>
        <v>0.43402784364879893</v>
      </c>
      <c r="AO117" s="30">
        <f t="shared" ca="1" si="305"/>
        <v>0.65104176547319836</v>
      </c>
      <c r="AP117" s="29">
        <f ca="1">SUM(AP111:AP116)</f>
        <v>997.25895726283341</v>
      </c>
      <c r="AQ117" s="29">
        <f ca="1">AP117/AA117</f>
        <v>7.3871033871320995</v>
      </c>
      <c r="AR117" s="25">
        <f t="shared" ca="1" si="307"/>
        <v>127.1037037037037</v>
      </c>
      <c r="AS117" s="76"/>
      <c r="AT117" s="76"/>
    </row>
    <row r="118" spans="1:46" ht="15.75" customHeight="1" x14ac:dyDescent="0.25">
      <c r="A118" s="70"/>
      <c r="B118" s="16">
        <v>5</v>
      </c>
      <c r="C118" s="16" t="s">
        <v>34</v>
      </c>
      <c r="D118" s="17">
        <v>30</v>
      </c>
      <c r="E118" s="18">
        <f ca="1">IFERROR(__xludf.DUMMYFUNCTION("COUNT(IMPORTRANGE(""https://docs.google.com/spreadsheets/d/14_Y-fpuq1wcec3DlT_1PBYekOC0YblQMrWVfO12YO3k/edit"",""5!d2:d41""))"),30)</f>
        <v>30</v>
      </c>
      <c r="F118" s="23">
        <f ca="1">IFERROR(__xludf.DUMMYFUNCTION("SUM(IMPORTRANGE(""https://docs.google.com/spreadsheets/d/14_Y-fpuq1wcec3DlT_1PBYekOC0YblQMrWVfO12YO3k/edit"",""5!Q2:Q41""))"),5924.523)</f>
        <v>5924.5230000000001</v>
      </c>
      <c r="G118" s="18">
        <f ca="1">IFERROR(__xludf.DUMMYFUNCTION("IMPORTRANGE(""https://docs.google.com/spreadsheets/d/14_Y-fpuq1wcec3DlT_1PBYekOC0YblQMrWVfO12YO3k/edit"",""5!e48"")"),1816)</f>
        <v>1816</v>
      </c>
      <c r="H118" s="18">
        <f ca="1">IFERROR(__xludf.DUMMYFUNCTION("IMPORTRANGE(""https://docs.google.com/spreadsheets/d/14_Y-fpuq1wcec3DlT_1PBYekOC0YblQMrWVfO12YO3k/edit"",""5!e49"")"),0)</f>
        <v>0</v>
      </c>
      <c r="I118" s="18">
        <f t="shared" ca="1" si="312"/>
        <v>1816</v>
      </c>
      <c r="J118" s="18">
        <f ca="1">IFERROR(__xludf.DUMMYFUNCTION("IMPORTRANGE(""https://docs.google.com/spreadsheets/d/14_Y-fpuq1wcec3DlT_1PBYekOC0YblQMrWVfO12YO3k/edit"",""5!e52"")"),2475)</f>
        <v>2475</v>
      </c>
      <c r="K118" s="18">
        <f ca="1">IFERROR(__xludf.DUMMYFUNCTION("IMPORTRANGE(""https://docs.google.com/spreadsheets/d/14_Y-fpuq1wcec3DlT_1PBYekOC0YblQMrWVfO12YO3k/edit"",""5!e53"")"),0)</f>
        <v>0</v>
      </c>
      <c r="L118" s="18">
        <f t="shared" ca="1" si="313"/>
        <v>2475</v>
      </c>
      <c r="M118" s="18">
        <f t="shared" ca="1" si="314"/>
        <v>4291</v>
      </c>
      <c r="N118" s="19">
        <f t="shared" ca="1" si="315"/>
        <v>197.48410000000001</v>
      </c>
      <c r="O118" s="16">
        <v>9354</v>
      </c>
      <c r="P118" s="20">
        <f t="shared" ca="1" si="316"/>
        <v>0.45873423134487917</v>
      </c>
      <c r="Q118" s="21">
        <v>1.5</v>
      </c>
      <c r="R118" s="20">
        <f t="shared" ca="1" si="317"/>
        <v>0.48285181214870238</v>
      </c>
      <c r="S118" s="22">
        <f t="shared" ca="1" si="318"/>
        <v>0.72427771822305353</v>
      </c>
      <c r="T118" s="21">
        <f ca="1">F118/30.713</f>
        <v>192.89952137531338</v>
      </c>
      <c r="U118" s="21">
        <f t="shared" ca="1" si="319"/>
        <v>6.4299840458437796</v>
      </c>
      <c r="V118" s="18">
        <f t="shared" ca="1" si="320"/>
        <v>143.03333333333333</v>
      </c>
      <c r="W118" s="76"/>
      <c r="X118" s="100" t="s">
        <v>35</v>
      </c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9"/>
      <c r="AS118" s="76"/>
      <c r="AT118" s="76"/>
    </row>
    <row r="119" spans="1:46" ht="15.75" customHeight="1" x14ac:dyDescent="0.25">
      <c r="A119" s="70"/>
      <c r="B119" s="16">
        <v>6</v>
      </c>
      <c r="C119" s="16" t="s">
        <v>23</v>
      </c>
      <c r="D119" s="17">
        <v>26</v>
      </c>
      <c r="E119" s="18">
        <f ca="1">IFERROR(__xludf.DUMMYFUNCTION("COUNT(IMPORTRANGE(""https://docs.google.com/spreadsheets/d/1lJqjdj05V4LOXuBOiTdE65GV4ZITyx1cMLcDdcuoUnE/edit"",""5!d2:d36""))"),25)</f>
        <v>25</v>
      </c>
      <c r="F119" s="23">
        <f ca="1">IFERROR(__xludf.DUMMYFUNCTION("SUM(IMPORTRANGE(""https://docs.google.com/spreadsheets/d/1lJqjdj05V4LOXuBOiTdE65GV4ZITyx1cMLcDdcuoUnE/edit"",""5!Q2:Q36""))"),4993.51999999999)</f>
        <v>4993.5199999999904</v>
      </c>
      <c r="G119" s="18">
        <f ca="1">IFERROR(__xludf.DUMMYFUNCTION("IMPORTRANGE(""https://docs.google.com/spreadsheets/d/1lJqjdj05V4LOXuBOiTdE65GV4ZITyx1cMLcDdcuoUnE/edit"",""5!e43"")"),1007)</f>
        <v>1007</v>
      </c>
      <c r="H119" s="18">
        <f ca="1">IFERROR(__xludf.DUMMYFUNCTION("IMPORTRANGE(""https://docs.google.com/spreadsheets/d/1lJqjdj05V4LOXuBOiTdE65GV4ZITyx1cMLcDdcuoUnE/edit"",""5!e44"")"),0)</f>
        <v>0</v>
      </c>
      <c r="I119" s="18">
        <f t="shared" ca="1" si="312"/>
        <v>1007</v>
      </c>
      <c r="J119" s="18">
        <f ca="1">IFERROR(__xludf.DUMMYFUNCTION("IMPORTRANGE(""https://docs.google.com/spreadsheets/d/1lJqjdj05V4LOXuBOiTdE65GV4ZITyx1cMLcDdcuoUnE/edit"",""5!e47"")"),2021)</f>
        <v>2021</v>
      </c>
      <c r="K119" s="18">
        <f ca="1">IFERROR(__xludf.DUMMYFUNCTION("IMPORTRANGE(""https://docs.google.com/spreadsheets/d/1lJqjdj05V4LOXuBOiTdE65GV4ZITyx1cMLcDdcuoUnE/edit"",""5!e48"")"),0)</f>
        <v>0</v>
      </c>
      <c r="L119" s="18">
        <f t="shared" ca="1" si="313"/>
        <v>2021</v>
      </c>
      <c r="M119" s="18">
        <f t="shared" ca="1" si="314"/>
        <v>3028</v>
      </c>
      <c r="N119" s="19">
        <f t="shared" ca="1" si="315"/>
        <v>199.74079999999961</v>
      </c>
      <c r="O119" s="16">
        <v>6853</v>
      </c>
      <c r="P119" s="20">
        <f t="shared" ca="1" si="316"/>
        <v>0.44185028454691377</v>
      </c>
      <c r="Q119" s="21">
        <v>1.5</v>
      </c>
      <c r="R119" s="20">
        <f t="shared" ca="1" si="317"/>
        <v>0.40425725073028057</v>
      </c>
      <c r="S119" s="22">
        <f t="shared" ca="1" si="318"/>
        <v>0.60638587609542083</v>
      </c>
      <c r="T119" s="21">
        <f ca="1">F119/33.74</f>
        <v>147.99999999999972</v>
      </c>
      <c r="U119" s="21">
        <f t="shared" ca="1" si="319"/>
        <v>5.9199999999999884</v>
      </c>
      <c r="V119" s="18">
        <f t="shared" ca="1" si="320"/>
        <v>121.12</v>
      </c>
      <c r="W119" s="76"/>
      <c r="X119" s="1" t="s">
        <v>2</v>
      </c>
      <c r="Y119" s="1" t="s">
        <v>3</v>
      </c>
      <c r="Z119" s="1" t="s">
        <v>4</v>
      </c>
      <c r="AA119" s="1" t="s">
        <v>5</v>
      </c>
      <c r="AB119" s="2" t="s">
        <v>6</v>
      </c>
      <c r="AC119" s="1" t="s">
        <v>7</v>
      </c>
      <c r="AD119" s="1" t="s">
        <v>8</v>
      </c>
      <c r="AE119" s="1" t="s">
        <v>9</v>
      </c>
      <c r="AF119" s="1" t="s">
        <v>10</v>
      </c>
      <c r="AG119" s="1" t="s">
        <v>11</v>
      </c>
      <c r="AH119" s="1" t="s">
        <v>12</v>
      </c>
      <c r="AI119" s="1" t="s">
        <v>13</v>
      </c>
      <c r="AJ119" s="2" t="s">
        <v>14</v>
      </c>
      <c r="AK119" s="1" t="s">
        <v>15</v>
      </c>
      <c r="AL119" s="1" t="s">
        <v>16</v>
      </c>
      <c r="AM119" s="3" t="s">
        <v>17</v>
      </c>
      <c r="AN119" s="4" t="s">
        <v>18</v>
      </c>
      <c r="AO119" s="5" t="s">
        <v>19</v>
      </c>
      <c r="AP119" s="6" t="s">
        <v>20</v>
      </c>
      <c r="AQ119" s="6" t="s">
        <v>21</v>
      </c>
      <c r="AR119" s="7" t="s">
        <v>22</v>
      </c>
      <c r="AS119" s="76"/>
      <c r="AT119" s="76"/>
    </row>
    <row r="120" spans="1:46" ht="15.75" customHeight="1" x14ac:dyDescent="0.25">
      <c r="A120" s="70"/>
      <c r="B120" s="16">
        <v>7</v>
      </c>
      <c r="C120" s="16" t="s">
        <v>24</v>
      </c>
      <c r="D120" s="17">
        <v>35</v>
      </c>
      <c r="E120" s="31">
        <f ca="1">IFERROR(__xludf.DUMMYFUNCTION("COUNT(IMPORTRANGE(""https://docs.google.com/spreadsheets/d/1_7EEO26q9Yq-XhNFiy7I6Zh4Yg6uGjTs9y0UqNvPKcQ/edit"",""5!d2:d45""))"),34)</f>
        <v>34</v>
      </c>
      <c r="F120" s="32">
        <f ca="1">IFERROR(__xludf.DUMMYFUNCTION("SUM(IMPORTRANGE(""https://docs.google.com/spreadsheets/d/1_7EEO26q9Yq-XhNFiy7I6Zh4Yg6uGjTs9y0UqNvPKcQ/edit"",""5!Q2:Q45""))"),6711.71199999999)</f>
        <v>6711.7119999999904</v>
      </c>
      <c r="G120" s="31">
        <f ca="1">IFERROR(__xludf.DUMMYFUNCTION("IMPORTRANGE(""https://docs.google.com/spreadsheets/d/1_7EEO26q9Yq-XhNFiy7I6Zh4Yg6uGjTs9y0UqNvPKcQ/edit"",""5!e53"")"),626)</f>
        <v>626</v>
      </c>
      <c r="H120" s="31">
        <f ca="1">IFERROR(__xludf.DUMMYFUNCTION("IMPORTRANGE(""https://docs.google.com/spreadsheets/d/1_7EEO26q9Yq-XhNFiy7I6Zh4Yg6uGjTs9y0UqNvPKcQ/edit"",""5!e54"")"),0)</f>
        <v>0</v>
      </c>
      <c r="I120" s="31">
        <f t="shared" ca="1" si="312"/>
        <v>626</v>
      </c>
      <c r="J120" s="31">
        <f ca="1">IFERROR(__xludf.DUMMYFUNCTION("IMPORTRANGE(""https://docs.google.com/spreadsheets/d/1_7EEO26q9Yq-XhNFiy7I6Zh4Yg6uGjTs9y0UqNvPKcQ/edit"",""5!e57"")"),927)</f>
        <v>927</v>
      </c>
      <c r="K120" s="31">
        <f ca="1">IFERROR(__xludf.DUMMYFUNCTION("IMPORTRANGE(""https://docs.google.com/spreadsheets/d/1_7EEO26q9Yq-XhNFiy7I6Zh4Yg6uGjTs9y0UqNvPKcQ/edit"",""5!e58"")"),0)</f>
        <v>0</v>
      </c>
      <c r="L120" s="18">
        <f t="shared" ca="1" si="313"/>
        <v>927</v>
      </c>
      <c r="M120" s="18">
        <f t="shared" ca="1" si="314"/>
        <v>1553</v>
      </c>
      <c r="N120" s="19">
        <f t="shared" ca="1" si="315"/>
        <v>197.40329411764677</v>
      </c>
      <c r="O120" s="16">
        <v>1580</v>
      </c>
      <c r="P120" s="20">
        <f t="shared" ca="1" si="316"/>
        <v>0.98291139240506331</v>
      </c>
      <c r="Q120" s="21">
        <v>1.5</v>
      </c>
      <c r="R120" s="20">
        <f t="shared" ca="1" si="317"/>
        <v>0.154257711494971</v>
      </c>
      <c r="S120" s="22">
        <f t="shared" ca="1" si="318"/>
        <v>0.23138656724245651</v>
      </c>
      <c r="T120" s="21">
        <f ca="1">F120/26.805</f>
        <v>250.39030031710467</v>
      </c>
      <c r="U120" s="21">
        <f t="shared" ca="1" si="319"/>
        <v>7.3644205975619021</v>
      </c>
      <c r="V120" s="18">
        <f t="shared" ca="1" si="320"/>
        <v>45.676470588235297</v>
      </c>
      <c r="W120" s="76"/>
      <c r="X120" s="8">
        <v>1</v>
      </c>
      <c r="Y120" s="8" t="s">
        <v>28</v>
      </c>
      <c r="Z120" s="8">
        <f t="shared" ref="Z120:AI120" si="331">SUM(D115)</f>
        <v>24</v>
      </c>
      <c r="AA120" s="9">
        <f t="shared" ca="1" si="331"/>
        <v>23</v>
      </c>
      <c r="AB120" s="11">
        <f t="shared" ca="1" si="331"/>
        <v>4613.21899999999</v>
      </c>
      <c r="AC120" s="9">
        <f t="shared" ca="1" si="331"/>
        <v>1457</v>
      </c>
      <c r="AD120" s="9">
        <f t="shared" ca="1" si="331"/>
        <v>97</v>
      </c>
      <c r="AE120" s="9">
        <f t="shared" ca="1" si="331"/>
        <v>1554</v>
      </c>
      <c r="AF120" s="9">
        <f t="shared" ca="1" si="331"/>
        <v>2054</v>
      </c>
      <c r="AG120" s="9">
        <f t="shared" ca="1" si="331"/>
        <v>291</v>
      </c>
      <c r="AH120" s="9">
        <f t="shared" ca="1" si="331"/>
        <v>2345</v>
      </c>
      <c r="AI120" s="9">
        <f t="shared" ca="1" si="331"/>
        <v>3899</v>
      </c>
      <c r="AJ120" s="11">
        <f t="shared" ref="AJ120:AJ126" ca="1" si="332">AB120/AA120</f>
        <v>200.57473913043435</v>
      </c>
      <c r="AK120" s="8">
        <f t="shared" ref="AK120:AK121" si="333">SUM(O115)</f>
        <v>7315</v>
      </c>
      <c r="AL120" s="12">
        <f t="shared" ref="AL120:AL126" ca="1" si="334">AI120/AK120</f>
        <v>0.53301435406698561</v>
      </c>
      <c r="AM120" s="13">
        <f t="shared" ref="AM120:AM121" si="335">SUM(Q115)</f>
        <v>1.5</v>
      </c>
      <c r="AN120" s="12">
        <f t="shared" ref="AN120:AN126" ca="1" si="336">AO120/AM120</f>
        <v>0.56345327055432204</v>
      </c>
      <c r="AO120" s="14">
        <f t="shared" ref="AO120:AO126" ca="1" si="337">AI120/AB120</f>
        <v>0.84517990583148306</v>
      </c>
      <c r="AP120" s="13">
        <f t="shared" ref="AP120:AQ120" ca="1" si="338">SUM(T115)</f>
        <v>149.3096093471855</v>
      </c>
      <c r="AQ120" s="13">
        <f t="shared" ca="1" si="338"/>
        <v>6.4917221455298044</v>
      </c>
      <c r="AR120" s="9">
        <f t="shared" ref="AR120:AR126" ca="1" si="339">AI120/AA120</f>
        <v>169.52173913043478</v>
      </c>
      <c r="AS120" s="76"/>
      <c r="AT120" s="76"/>
    </row>
    <row r="121" spans="1:46" ht="15.75" customHeight="1" x14ac:dyDescent="0.25">
      <c r="A121" s="70"/>
      <c r="B121" s="16">
        <v>8</v>
      </c>
      <c r="C121" s="16" t="s">
        <v>25</v>
      </c>
      <c r="D121" s="34">
        <v>26</v>
      </c>
      <c r="E121" s="18">
        <f ca="1">IFERROR(__xludf.DUMMYFUNCTION("COUNT(IMPORTRANGE(""https://docs.google.com/spreadsheets/d/1vLOLpiE-XsbnCnwWPcoi87PlUSXfqIAAQn3kvqHfO6s/edit"",""5!d2:D33""))"),23)</f>
        <v>23</v>
      </c>
      <c r="F121" s="23">
        <f ca="1">IFERROR(__xludf.DUMMYFUNCTION("SUM(IMPORTRANGE(""https://docs.google.com/spreadsheets/d/1vLOLpiE-XsbnCnwWPcoi87PlUSXfqIAAQn3kvqHfO6s/edit"",""5!Q2:Q33""))"),4436.008)</f>
        <v>4436.0079999999998</v>
      </c>
      <c r="G121" s="18">
        <f ca="1">IFERROR(__xludf.DUMMYFUNCTION("IMPORTRANGE(""https://docs.google.com/spreadsheets/d/1vLOLpiE-XsbnCnwWPcoi87PlUSXfqIAAQn3kvqHfO6s/edit"",""5!e40"")"),1377)</f>
        <v>1377</v>
      </c>
      <c r="H121" s="18">
        <f ca="1">IFERROR(__xludf.DUMMYFUNCTION("IMPORTRANGE(""https://docs.google.com/spreadsheets/d/1vLOLpiE-XsbnCnwWPcoi87PlUSXfqIAAQn3kvqHfO6s/edit"",""5!e41"")"),232)</f>
        <v>232</v>
      </c>
      <c r="I121" s="18">
        <f t="shared" ca="1" si="312"/>
        <v>1609</v>
      </c>
      <c r="J121" s="18">
        <f ca="1">IFERROR(__xludf.DUMMYFUNCTION("IMPORTRANGE(""https://docs.google.com/spreadsheets/d/1vLOLpiE-XsbnCnwWPcoi87PlUSXfqIAAQn3kvqHfO6s/edit"",""5!e44"")"),2052)</f>
        <v>2052</v>
      </c>
      <c r="K121" s="18">
        <f ca="1">IFERROR(__xludf.DUMMYFUNCTION("IMPORTRANGE(""https://docs.google.com/spreadsheets/d/1vLOLpiE-XsbnCnwWPcoi87PlUSXfqIAAQn3kvqHfO6s/edit"",""5!e45"")"),162)</f>
        <v>162</v>
      </c>
      <c r="L121" s="18">
        <f ca="1">J121+K121</f>
        <v>2214</v>
      </c>
      <c r="M121" s="18">
        <f t="shared" ca="1" si="314"/>
        <v>3823</v>
      </c>
      <c r="N121" s="19">
        <f t="shared" ca="1" si="315"/>
        <v>192.86991304347825</v>
      </c>
      <c r="O121" s="16">
        <v>6622</v>
      </c>
      <c r="P121" s="20">
        <f t="shared" ca="1" si="316"/>
        <v>0.57731803080640287</v>
      </c>
      <c r="Q121" s="21">
        <v>1.5</v>
      </c>
      <c r="R121" s="20">
        <f t="shared" ca="1" si="317"/>
        <v>0.57454059295354443</v>
      </c>
      <c r="S121" s="22">
        <f t="shared" ca="1" si="318"/>
        <v>0.8618108894303167</v>
      </c>
      <c r="T121" s="21">
        <f ca="1">F121/23.84</f>
        <v>186.07416107382551</v>
      </c>
      <c r="U121" s="21">
        <f t="shared" ca="1" si="319"/>
        <v>8.0901809162532832</v>
      </c>
      <c r="V121" s="18">
        <f t="shared" ca="1" si="320"/>
        <v>166.21739130434781</v>
      </c>
      <c r="W121" s="76"/>
      <c r="X121" s="8">
        <v>2</v>
      </c>
      <c r="Y121" s="8" t="s">
        <v>30</v>
      </c>
      <c r="Z121" s="8">
        <f t="shared" ref="Z121:AI121" si="340">SUM(D116)</f>
        <v>45</v>
      </c>
      <c r="AA121" s="9">
        <f t="shared" ca="1" si="340"/>
        <v>45</v>
      </c>
      <c r="AB121" s="10">
        <f t="shared" ca="1" si="340"/>
        <v>8821.6939999999904</v>
      </c>
      <c r="AC121" s="9">
        <f t="shared" ca="1" si="340"/>
        <v>2126</v>
      </c>
      <c r="AD121" s="9">
        <f t="shared" ca="1" si="340"/>
        <v>0</v>
      </c>
      <c r="AE121" s="9">
        <f t="shared" ca="1" si="340"/>
        <v>2126</v>
      </c>
      <c r="AF121" s="9">
        <f t="shared" ca="1" si="340"/>
        <v>4059</v>
      </c>
      <c r="AG121" s="9">
        <f t="shared" ca="1" si="340"/>
        <v>0</v>
      </c>
      <c r="AH121" s="9">
        <f t="shared" ca="1" si="340"/>
        <v>4059</v>
      </c>
      <c r="AI121" s="9">
        <f t="shared" ca="1" si="340"/>
        <v>6185</v>
      </c>
      <c r="AJ121" s="11">
        <f t="shared" ca="1" si="332"/>
        <v>196.03764444444423</v>
      </c>
      <c r="AK121" s="8">
        <f t="shared" si="333"/>
        <v>11164</v>
      </c>
      <c r="AL121" s="12">
        <f t="shared" ca="1" si="334"/>
        <v>0.55401289860265135</v>
      </c>
      <c r="AM121" s="13">
        <f t="shared" si="335"/>
        <v>1.5</v>
      </c>
      <c r="AN121" s="12">
        <f t="shared" ca="1" si="336"/>
        <v>0.46740833827758449</v>
      </c>
      <c r="AO121" s="14">
        <f t="shared" ca="1" si="337"/>
        <v>0.70111250741637676</v>
      </c>
      <c r="AP121" s="13">
        <f t="shared" ref="AP121:AQ121" ca="1" si="341">SUM(T116)</f>
        <v>297.99999999999966</v>
      </c>
      <c r="AQ121" s="13">
        <f t="shared" ca="1" si="341"/>
        <v>6.6222222222222147</v>
      </c>
      <c r="AR121" s="9">
        <f t="shared" ca="1" si="339"/>
        <v>137.44444444444446</v>
      </c>
      <c r="AS121" s="76"/>
      <c r="AT121" s="76"/>
    </row>
    <row r="122" spans="1:46" ht="15.75" customHeight="1" x14ac:dyDescent="0.25">
      <c r="A122" s="70"/>
      <c r="B122" s="16">
        <v>9</v>
      </c>
      <c r="C122" s="16" t="s">
        <v>36</v>
      </c>
      <c r="D122" s="34">
        <v>24</v>
      </c>
      <c r="E122" s="18">
        <f ca="1">IFERROR(__xludf.DUMMYFUNCTION("COUNT(IMPORTRANGE(""https://docs.google.com/spreadsheets/d/1WJJVq25XDtGjt-J2JPxeKs3jIvDZtkIREC0lFPXwf74/edit"",""5!d2:d31""))"),24)</f>
        <v>24</v>
      </c>
      <c r="F122" s="23">
        <f ca="1">IFERROR(__xludf.DUMMYFUNCTION("SUM(IMPORTRANGE(""https://docs.google.com/spreadsheets/d/1WJJVq25XDtGjt-J2JPxeKs3jIvDZtkIREC0lFPXwf74/edit"",""5!Q2:Q31""))"),4595.53799999999)</f>
        <v>4595.5379999999896</v>
      </c>
      <c r="G122" s="18">
        <f ca="1">IFERROR(__xludf.DUMMYFUNCTION("IMPORTRANGE(""https://docs.google.com/spreadsheets/d/1WJJVq25XDtGjt-J2JPxeKs3jIvDZtkIREC0lFPXwf74/edit"",""5!e38"")"),753)</f>
        <v>753</v>
      </c>
      <c r="H122" s="18">
        <f ca="1">IFERROR(__xludf.DUMMYFUNCTION("IMPORTRANGE(""https://docs.google.com/spreadsheets/d/1WJJVq25XDtGjt-J2JPxeKs3jIvDZtkIREC0lFPXwf74/edit"",""5!e39"")"),0)</f>
        <v>0</v>
      </c>
      <c r="I122" s="18">
        <f t="shared" ca="1" si="312"/>
        <v>753</v>
      </c>
      <c r="J122" s="18">
        <f ca="1">IFERROR(__xludf.DUMMYFUNCTION("IMPORTRANGE(""https://docs.google.com/spreadsheets/d/1WJJVq25XDtGjt-J2JPxeKs3jIvDZtkIREC0lFPXwf74/edit"",""5!e42"")"),1518)</f>
        <v>1518</v>
      </c>
      <c r="K122" s="18">
        <f ca="1">IFERROR(__xludf.DUMMYFUNCTION("IMPORTRANGE(""https://docs.google.com/spreadsheets/d/1WJJVq25XDtGjt-J2JPxeKs3jIvDZtkIREC0lFPXwf74/edit"",""5!e43"")"),18)</f>
        <v>18</v>
      </c>
      <c r="L122" s="18">
        <f t="shared" ref="L122:L131" ca="1" si="342">SUM(J122:K122)</f>
        <v>1536</v>
      </c>
      <c r="M122" s="18">
        <f t="shared" ca="1" si="314"/>
        <v>2289</v>
      </c>
      <c r="N122" s="19">
        <f t="shared" ca="1" si="315"/>
        <v>191.48074999999957</v>
      </c>
      <c r="O122" s="16">
        <v>4796</v>
      </c>
      <c r="P122" s="20">
        <f t="shared" ca="1" si="316"/>
        <v>0.47727272727272729</v>
      </c>
      <c r="Q122" s="21">
        <v>1.5</v>
      </c>
      <c r="R122" s="20">
        <f t="shared" ca="1" si="317"/>
        <v>0.33206122982771624</v>
      </c>
      <c r="S122" s="22">
        <f t="shared" ca="1" si="318"/>
        <v>0.49809184474157436</v>
      </c>
      <c r="T122" s="21">
        <f ca="1">F122/37.414</f>
        <v>122.8293686855185</v>
      </c>
      <c r="U122" s="21">
        <f t="shared" ca="1" si="319"/>
        <v>5.1178903618966043</v>
      </c>
      <c r="V122" s="18">
        <f t="shared" ca="1" si="320"/>
        <v>95.375</v>
      </c>
      <c r="W122" s="76"/>
      <c r="X122" s="8">
        <v>3</v>
      </c>
      <c r="Y122" s="8" t="s">
        <v>34</v>
      </c>
      <c r="Z122" s="8">
        <f t="shared" ref="Z122:AI122" si="343">SUM(D118)</f>
        <v>30</v>
      </c>
      <c r="AA122" s="9">
        <f t="shared" ca="1" si="343"/>
        <v>30</v>
      </c>
      <c r="AB122" s="10">
        <f t="shared" ca="1" si="343"/>
        <v>5924.5230000000001</v>
      </c>
      <c r="AC122" s="9">
        <f t="shared" ca="1" si="343"/>
        <v>1816</v>
      </c>
      <c r="AD122" s="9">
        <f t="shared" ca="1" si="343"/>
        <v>0</v>
      </c>
      <c r="AE122" s="9">
        <f t="shared" ca="1" si="343"/>
        <v>1816</v>
      </c>
      <c r="AF122" s="9">
        <f t="shared" ca="1" si="343"/>
        <v>2475</v>
      </c>
      <c r="AG122" s="9">
        <f t="shared" ca="1" si="343"/>
        <v>0</v>
      </c>
      <c r="AH122" s="9">
        <f t="shared" ca="1" si="343"/>
        <v>2475</v>
      </c>
      <c r="AI122" s="9">
        <f t="shared" ca="1" si="343"/>
        <v>4291</v>
      </c>
      <c r="AJ122" s="11">
        <f t="shared" ca="1" si="332"/>
        <v>197.48410000000001</v>
      </c>
      <c r="AK122" s="8">
        <f>SUM(O118)</f>
        <v>9354</v>
      </c>
      <c r="AL122" s="12">
        <f t="shared" ca="1" si="334"/>
        <v>0.45873423134487917</v>
      </c>
      <c r="AM122" s="13">
        <f>SUM(Q118)</f>
        <v>1.5</v>
      </c>
      <c r="AN122" s="12">
        <f t="shared" ca="1" si="336"/>
        <v>0.48285181214870238</v>
      </c>
      <c r="AO122" s="14">
        <f t="shared" ca="1" si="337"/>
        <v>0.72427771822305353</v>
      </c>
      <c r="AP122" s="13">
        <f t="shared" ref="AP122:AQ122" ca="1" si="344">SUM(T118)</f>
        <v>192.89952137531338</v>
      </c>
      <c r="AQ122" s="13">
        <f t="shared" ca="1" si="344"/>
        <v>6.4299840458437796</v>
      </c>
      <c r="AR122" s="9">
        <f t="shared" ca="1" si="339"/>
        <v>143.03333333333333</v>
      </c>
      <c r="AS122" s="76"/>
      <c r="AT122" s="76"/>
    </row>
    <row r="123" spans="1:46" ht="15.75" customHeight="1" x14ac:dyDescent="0.25">
      <c r="A123" s="70"/>
      <c r="B123" s="16">
        <v>10</v>
      </c>
      <c r="C123" s="16" t="s">
        <v>37</v>
      </c>
      <c r="D123" s="17">
        <v>23</v>
      </c>
      <c r="E123" s="18">
        <f ca="1">IFERROR(__xludf.DUMMYFUNCTION("COUNT(IMPORTRANGE(""https://docs.google.com/spreadsheets/d/1rJyYfywRpWJW0zvDJHLOJtqUQqffoCGaqTVxxTDgV0k/edit"",""5!d2:d31""))"),22)</f>
        <v>22</v>
      </c>
      <c r="F123" s="23">
        <f ca="1">IFERROR(__xludf.DUMMYFUNCTION("SUM(IMPORTRANGE(""https://docs.google.com/spreadsheets/d/1rJyYfywRpWJW0zvDJHLOJtqUQqffoCGaqTVxxTDgV0k/edit"",""5!Q2:Q31""))"),4311.186)</f>
        <v>4311.1859999999997</v>
      </c>
      <c r="G123" s="18">
        <f ca="1">IFERROR(__xludf.DUMMYFUNCTION("(IMPORTRANGE(""https://docs.google.com/spreadsheets/d/1rJyYfywRpWJW0zvDJHLOJtqUQqffoCGaqTVxxTDgV0k/edit"",""5!e38""))"),1011)</f>
        <v>1011</v>
      </c>
      <c r="H123" s="18">
        <f ca="1">IFERROR(__xludf.DUMMYFUNCTION("(IMPORTRANGE(""https://docs.google.com/spreadsheets/d/1rJyYfywRpWJW0zvDJHLOJtqUQqffoCGaqTVxxTDgV0k/edit"",""5!e39""))"),0)</f>
        <v>0</v>
      </c>
      <c r="I123" s="18">
        <f t="shared" ca="1" si="312"/>
        <v>1011</v>
      </c>
      <c r="J123" s="18">
        <f ca="1">IFERROR(__xludf.DUMMYFUNCTION("(IMPORTRANGE(""https://docs.google.com/spreadsheets/d/1rJyYfywRpWJW0zvDJHLOJtqUQqffoCGaqTVxxTDgV0k/edit"",""5!e42""))"),1875)</f>
        <v>1875</v>
      </c>
      <c r="K123" s="18">
        <f ca="1">IFERROR(__xludf.DUMMYFUNCTION("(IMPORTRANGE(""https://docs.google.com/spreadsheets/d/1rJyYfywRpWJW0zvDJHLOJtqUQqffoCGaqTVxxTDgV0k/edit"",""5!e43""))"),89)</f>
        <v>89</v>
      </c>
      <c r="L123" s="18">
        <f t="shared" ca="1" si="342"/>
        <v>1964</v>
      </c>
      <c r="M123" s="18">
        <f t="shared" ca="1" si="314"/>
        <v>2975</v>
      </c>
      <c r="N123" s="19">
        <f t="shared" ca="1" si="315"/>
        <v>195.96299999999999</v>
      </c>
      <c r="O123" s="16">
        <v>5887</v>
      </c>
      <c r="P123" s="20">
        <f t="shared" ca="1" si="316"/>
        <v>0.50535077288941732</v>
      </c>
      <c r="Q123" s="21">
        <v>1.5</v>
      </c>
      <c r="R123" s="20">
        <f t="shared" ca="1" si="317"/>
        <v>0.4600435549135049</v>
      </c>
      <c r="S123" s="22">
        <f t="shared" ca="1" si="318"/>
        <v>0.69006533237025736</v>
      </c>
      <c r="T123" s="21">
        <f ca="1">F123/24.792</f>
        <v>173.89424007744432</v>
      </c>
      <c r="U123" s="21">
        <f t="shared" ca="1" si="319"/>
        <v>7.9042836398838325</v>
      </c>
      <c r="V123" s="18">
        <f t="shared" ca="1" si="320"/>
        <v>135.22727272727272</v>
      </c>
      <c r="W123" s="76"/>
      <c r="X123" s="8">
        <v>4</v>
      </c>
      <c r="Y123" s="8" t="s">
        <v>38</v>
      </c>
      <c r="Z123" s="8">
        <f t="shared" ref="Z123:AI123" si="345">SUM(D126)</f>
        <v>23</v>
      </c>
      <c r="AA123" s="9">
        <f t="shared" ca="1" si="345"/>
        <v>22</v>
      </c>
      <c r="AB123" s="10">
        <f t="shared" ca="1" si="345"/>
        <v>4367.7299999999996</v>
      </c>
      <c r="AC123" s="9">
        <f t="shared" ca="1" si="345"/>
        <v>1275</v>
      </c>
      <c r="AD123" s="9">
        <f t="shared" ca="1" si="345"/>
        <v>15</v>
      </c>
      <c r="AE123" s="9">
        <f t="shared" ca="1" si="345"/>
        <v>1290</v>
      </c>
      <c r="AF123" s="9">
        <f t="shared" ca="1" si="345"/>
        <v>1888</v>
      </c>
      <c r="AG123" s="9">
        <f t="shared" ca="1" si="345"/>
        <v>25</v>
      </c>
      <c r="AH123" s="9">
        <f t="shared" ca="1" si="345"/>
        <v>1913</v>
      </c>
      <c r="AI123" s="9">
        <f t="shared" ca="1" si="345"/>
        <v>3203</v>
      </c>
      <c r="AJ123" s="11">
        <f t="shared" ca="1" si="332"/>
        <v>198.53318181818179</v>
      </c>
      <c r="AK123" s="8">
        <v>7324</v>
      </c>
      <c r="AL123" s="12">
        <f t="shared" ca="1" si="334"/>
        <v>0.43732932823593662</v>
      </c>
      <c r="AM123" s="13">
        <f>SUM(Q126)</f>
        <v>1.5</v>
      </c>
      <c r="AN123" s="12">
        <f t="shared" ca="1" si="336"/>
        <v>0.48888858361971405</v>
      </c>
      <c r="AO123" s="14">
        <f t="shared" ca="1" si="337"/>
        <v>0.73333287542957104</v>
      </c>
      <c r="AP123" s="13">
        <f t="shared" ref="AP123:AQ123" ca="1" si="346">SUM(T126)</f>
        <v>106</v>
      </c>
      <c r="AQ123" s="13">
        <f t="shared" ca="1" si="346"/>
        <v>4.8181818181818183</v>
      </c>
      <c r="AR123" s="9">
        <f t="shared" ca="1" si="339"/>
        <v>145.59090909090909</v>
      </c>
      <c r="AS123" s="76"/>
      <c r="AT123" s="76"/>
    </row>
    <row r="124" spans="1:46" ht="15.75" customHeight="1" x14ac:dyDescent="0.25">
      <c r="A124" s="70"/>
      <c r="B124" s="16">
        <v>12</v>
      </c>
      <c r="C124" s="16" t="s">
        <v>39</v>
      </c>
      <c r="D124" s="17">
        <v>21</v>
      </c>
      <c r="E124" s="18">
        <f ca="1">IFERROR(__xludf.DUMMYFUNCTION("COUNT(IMPORTRANGE(""https://docs.google.com/spreadsheets/d/1uaTn2DZCfr7O1PvovOd0wElzVz8kpl_iPfnrkNPp0Is/edit"",""5!d2:d29""))"),21)</f>
        <v>21</v>
      </c>
      <c r="F124" s="23">
        <f ca="1">IFERROR(__xludf.DUMMYFUNCTION("SUM(IMPORTRANGE(""https://docs.google.com/spreadsheets/d/1uaTn2DZCfr7O1PvovOd0wElzVz8kpl_iPfnrkNPp0Is/edit"",""5!Q2:Q29""))"),3933.186)</f>
        <v>3933.1860000000001</v>
      </c>
      <c r="G124" s="18">
        <f ca="1">IFERROR(__xludf.DUMMYFUNCTION("IMPORTRANGE(""https://docs.google.com/spreadsheets/d/1uaTn2DZCfr7O1PvovOd0wElzVz8kpl_iPfnrkNPp0Is/edit"",""5!e36"")"),864)</f>
        <v>864</v>
      </c>
      <c r="H124" s="18">
        <f ca="1">IFERROR(__xludf.DUMMYFUNCTION("(IMPORTRANGE(""https://docs.google.com/spreadsheets/d/1uaTn2DZCfr7O1PvovOd0wElzVz8kpl_iPfnrkNPp0Is/edit"",""5!e37""))"),0)</f>
        <v>0</v>
      </c>
      <c r="I124" s="18">
        <f t="shared" ca="1" si="312"/>
        <v>864</v>
      </c>
      <c r="J124" s="18">
        <f ca="1">IFERROR(__xludf.DUMMYFUNCTION("IMPORTRANGE(""https://docs.google.com/spreadsheets/d/1uaTn2DZCfr7O1PvovOd0wElzVz8kpl_iPfnrkNPp0Is/edit"",""5!e40"")"),1596)</f>
        <v>1596</v>
      </c>
      <c r="K124" s="18">
        <f ca="1">IFERROR(__xludf.DUMMYFUNCTION("IMPORTRANGE(""https://docs.google.com/spreadsheets/d/1uaTn2DZCfr7O1PvovOd0wElzVz8kpl_iPfnrkNPp0Is/edit"",""5!e41"")"),0)</f>
        <v>0</v>
      </c>
      <c r="L124" s="18">
        <f t="shared" ca="1" si="342"/>
        <v>1596</v>
      </c>
      <c r="M124" s="18">
        <f t="shared" ca="1" si="314"/>
        <v>2460</v>
      </c>
      <c r="N124" s="19">
        <f t="shared" ca="1" si="315"/>
        <v>187.29457142857143</v>
      </c>
      <c r="O124" s="16">
        <v>3569</v>
      </c>
      <c r="P124" s="20">
        <f t="shared" ca="1" si="316"/>
        <v>0.68926870271784813</v>
      </c>
      <c r="Q124" s="21">
        <v>1.5</v>
      </c>
      <c r="R124" s="20">
        <f t="shared" ca="1" si="317"/>
        <v>0.41696477105328861</v>
      </c>
      <c r="S124" s="22">
        <f t="shared" ca="1" si="318"/>
        <v>0.62544715657993288</v>
      </c>
      <c r="T124" s="21">
        <f ca="1">F124/21.463</f>
        <v>183.25425150258584</v>
      </c>
      <c r="U124" s="21">
        <f t="shared" ca="1" si="319"/>
        <v>8.7263929286945636</v>
      </c>
      <c r="V124" s="18">
        <f t="shared" ca="1" si="320"/>
        <v>117.14285714285714</v>
      </c>
      <c r="W124" s="76"/>
      <c r="X124" s="8">
        <v>5</v>
      </c>
      <c r="Y124" s="8" t="s">
        <v>40</v>
      </c>
      <c r="Z124" s="8">
        <f t="shared" ref="Z124:AI124" si="347">SUM(D128)</f>
        <v>23</v>
      </c>
      <c r="AA124" s="9">
        <f t="shared" ca="1" si="347"/>
        <v>22</v>
      </c>
      <c r="AB124" s="10">
        <f t="shared" ca="1" si="347"/>
        <v>4380.2219999999998</v>
      </c>
      <c r="AC124" s="9">
        <f t="shared" ca="1" si="347"/>
        <v>2236</v>
      </c>
      <c r="AD124" s="9">
        <f t="shared" ca="1" si="347"/>
        <v>0</v>
      </c>
      <c r="AE124" s="9">
        <f t="shared" ca="1" si="347"/>
        <v>2236</v>
      </c>
      <c r="AF124" s="9">
        <f t="shared" ca="1" si="347"/>
        <v>2705</v>
      </c>
      <c r="AG124" s="9">
        <f t="shared" ca="1" si="347"/>
        <v>0</v>
      </c>
      <c r="AH124" s="9">
        <f t="shared" ca="1" si="347"/>
        <v>2705</v>
      </c>
      <c r="AI124" s="9">
        <f t="shared" ca="1" si="347"/>
        <v>4941</v>
      </c>
      <c r="AJ124" s="11">
        <f t="shared" ca="1" si="332"/>
        <v>199.101</v>
      </c>
      <c r="AK124" s="8">
        <f t="shared" ref="AK124:AK125" si="348">SUM(O128)</f>
        <v>8239</v>
      </c>
      <c r="AL124" s="12">
        <f t="shared" ca="1" si="334"/>
        <v>0.59970870251244079</v>
      </c>
      <c r="AM124" s="13">
        <f t="shared" ref="AM124:AM125" si="349">SUM(Q128)</f>
        <v>1.5</v>
      </c>
      <c r="AN124" s="12">
        <f t="shared" ca="1" si="336"/>
        <v>0.75201667860670085</v>
      </c>
      <c r="AO124" s="14">
        <f t="shared" ca="1" si="337"/>
        <v>1.1280250179100513</v>
      </c>
      <c r="AP124" s="13">
        <f t="shared" ref="AP124:AQ124" ca="1" si="350">SUM(T128)</f>
        <v>153.99999999999997</v>
      </c>
      <c r="AQ124" s="13">
        <f t="shared" ca="1" si="350"/>
        <v>6.9999999999999991</v>
      </c>
      <c r="AR124" s="9">
        <f t="shared" ca="1" si="339"/>
        <v>224.59090909090909</v>
      </c>
      <c r="AS124" s="76"/>
      <c r="AT124" s="76"/>
    </row>
    <row r="125" spans="1:46" ht="15.75" customHeight="1" x14ac:dyDescent="0.25">
      <c r="A125" s="70"/>
      <c r="B125" s="16">
        <v>12</v>
      </c>
      <c r="C125" s="16" t="s">
        <v>41</v>
      </c>
      <c r="D125" s="17">
        <v>19</v>
      </c>
      <c r="E125" s="18">
        <f ca="1">IFERROR(__xludf.DUMMYFUNCTION("COUNT(IMPORTRANGE(""https://docs.google.com/spreadsheets/d/1oYscvfOJW7GMkxt8QcupWuzb3ohaYePd3Mt2V2ufHok/edit"",""5!d2:d25""))"),19)</f>
        <v>19</v>
      </c>
      <c r="F125" s="23">
        <f ca="1">IFERROR(__xludf.DUMMYFUNCTION("SUM(IMPORTRANGE(""https://docs.google.com/spreadsheets/d/1oYscvfOJW7GMkxt8QcupWuzb3ohaYePd3Mt2V2ufHok/edit"",""5!Q2:Q25""))"),3812.136)</f>
        <v>3812.136</v>
      </c>
      <c r="G125" s="18">
        <f ca="1">IFERROR(__xludf.DUMMYFUNCTION("IMPORTRANGE(""https://docs.google.com/spreadsheets/d/1oYscvfOJW7GMkxt8QcupWuzb3ohaYePd3Mt2V2ufHok/edit"",""5!e32"")"),698)</f>
        <v>698</v>
      </c>
      <c r="H125" s="18">
        <f ca="1">IFERROR(__xludf.DUMMYFUNCTION("IMPORTRANGE(""https://docs.google.com/spreadsheets/d/1oYscvfOJW7GMkxt8QcupWuzb3ohaYePd3Mt2V2ufHok/edit"",""5!e33"")"),87)</f>
        <v>87</v>
      </c>
      <c r="I125" s="18">
        <f t="shared" ca="1" si="312"/>
        <v>785</v>
      </c>
      <c r="J125" s="18">
        <f ca="1">IFERROR(__xludf.DUMMYFUNCTION("IMPORTRANGE(""https://docs.google.com/spreadsheets/d/1oYscvfOJW7GMkxt8QcupWuzb3ohaYePd3Mt2V2ufHok/edit"",""5!e36"")"),1251)</f>
        <v>1251</v>
      </c>
      <c r="K125" s="18">
        <f ca="1">IFERROR(__xludf.DUMMYFUNCTION("IMPORTRANGE(""https://docs.google.com/spreadsheets/d/1oYscvfOJW7GMkxt8QcupWuzb3ohaYePd3Mt2V2ufHok/edit"",""5!e37"")"),0)</f>
        <v>0</v>
      </c>
      <c r="L125" s="18">
        <f t="shared" ca="1" si="342"/>
        <v>1251</v>
      </c>
      <c r="M125" s="18">
        <f t="shared" ca="1" si="314"/>
        <v>2036</v>
      </c>
      <c r="N125" s="19">
        <f t="shared" ca="1" si="315"/>
        <v>200.63873684210526</v>
      </c>
      <c r="O125" s="16">
        <v>3801</v>
      </c>
      <c r="P125" s="20">
        <f t="shared" ca="1" si="316"/>
        <v>0.53564851354906606</v>
      </c>
      <c r="Q125" s="21">
        <v>1.5</v>
      </c>
      <c r="R125" s="20">
        <f t="shared" ca="1" si="317"/>
        <v>0.35605585250193944</v>
      </c>
      <c r="S125" s="22">
        <f t="shared" ca="1" si="318"/>
        <v>0.53408377875290913</v>
      </c>
      <c r="T125" s="21">
        <f ca="1">F125/29.628</f>
        <v>128.66666666666666</v>
      </c>
      <c r="U125" s="21">
        <f t="shared" ca="1" si="319"/>
        <v>6.7719298245614032</v>
      </c>
      <c r="V125" s="18">
        <f t="shared" ca="1" si="320"/>
        <v>107.15789473684211</v>
      </c>
      <c r="W125" s="76"/>
      <c r="X125" s="8">
        <v>6</v>
      </c>
      <c r="Y125" s="8" t="s">
        <v>42</v>
      </c>
      <c r="Z125" s="8">
        <f t="shared" ref="Z125:AI125" si="351">SUM(D129)</f>
        <v>24</v>
      </c>
      <c r="AA125" s="9">
        <f t="shared" ca="1" si="351"/>
        <v>24</v>
      </c>
      <c r="AB125" s="10">
        <f t="shared" ca="1" si="351"/>
        <v>4647.8969999999899</v>
      </c>
      <c r="AC125" s="9">
        <f t="shared" ca="1" si="351"/>
        <v>2086</v>
      </c>
      <c r="AD125" s="9">
        <f t="shared" ca="1" si="351"/>
        <v>96</v>
      </c>
      <c r="AE125" s="9">
        <f t="shared" ca="1" si="351"/>
        <v>2182</v>
      </c>
      <c r="AF125" s="9">
        <f t="shared" ca="1" si="351"/>
        <v>3101</v>
      </c>
      <c r="AG125" s="9">
        <f t="shared" ca="1" si="351"/>
        <v>62</v>
      </c>
      <c r="AH125" s="9">
        <f t="shared" ca="1" si="351"/>
        <v>3163</v>
      </c>
      <c r="AI125" s="9">
        <f t="shared" ca="1" si="351"/>
        <v>5345</v>
      </c>
      <c r="AJ125" s="11">
        <f t="shared" ca="1" si="332"/>
        <v>193.66237499999957</v>
      </c>
      <c r="AK125" s="8">
        <f t="shared" si="348"/>
        <v>9877</v>
      </c>
      <c r="AL125" s="12">
        <f t="shared" ca="1" si="334"/>
        <v>0.54115622152475451</v>
      </c>
      <c r="AM125" s="13">
        <f t="shared" si="349"/>
        <v>1.5</v>
      </c>
      <c r="AN125" s="12">
        <f t="shared" ca="1" si="336"/>
        <v>0.76665496962031243</v>
      </c>
      <c r="AO125" s="14">
        <f t="shared" ca="1" si="337"/>
        <v>1.1499824544304686</v>
      </c>
      <c r="AP125" s="13">
        <f t="shared" ref="AP125:AQ125" ca="1" si="352">SUM(T129)</f>
        <v>177.70586885872643</v>
      </c>
      <c r="AQ125" s="13">
        <f t="shared" ca="1" si="352"/>
        <v>7.4044112024469344</v>
      </c>
      <c r="AR125" s="9">
        <f t="shared" ca="1" si="339"/>
        <v>222.70833333333334</v>
      </c>
      <c r="AS125" s="76"/>
      <c r="AT125" s="76"/>
    </row>
    <row r="126" spans="1:46" ht="15.75" customHeight="1" x14ac:dyDescent="0.25">
      <c r="A126" s="70"/>
      <c r="B126" s="16">
        <v>13</v>
      </c>
      <c r="C126" s="16" t="s">
        <v>43</v>
      </c>
      <c r="D126" s="17">
        <v>23</v>
      </c>
      <c r="E126" s="18">
        <f ca="1">IFERROR(__xludf.DUMMYFUNCTION("COUNT(IMPORTRANGE(""https://docs.google.com/spreadsheets/d/1AxBmuQEdOYAeRnZ4C8vO6kuTNp7X_SGhpLXuY0n4ln4/edit"",""5!d2:d31""))"),22)</f>
        <v>22</v>
      </c>
      <c r="F126" s="23">
        <f ca="1">IFERROR(__xludf.DUMMYFUNCTION("SUM(IMPORTRANGE(""https://docs.google.com/spreadsheets/d/1AxBmuQEdOYAeRnZ4C8vO6kuTNp7X_SGhpLXuY0n4ln4/edit"",""5!Q2:Q31""))"),4367.73)</f>
        <v>4367.7299999999996</v>
      </c>
      <c r="G126" s="18">
        <f ca="1">IFERROR(__xludf.DUMMYFUNCTION("IMPORTRANGE(""https://docs.google.com/spreadsheets/d/1AxBmuQEdOYAeRnZ4C8vO6kuTNp7X_SGhpLXuY0n4ln4/edit"",""5!e38"")"),1275)</f>
        <v>1275</v>
      </c>
      <c r="H126" s="18">
        <f ca="1">IFERROR(__xludf.DUMMYFUNCTION("IMPORTRANGE(""https://docs.google.com/spreadsheets/d/1AxBmuQEdOYAeRnZ4C8vO6kuTNp7X_SGhpLXuY0n4ln4/edit"",""5!e39"")"),15)</f>
        <v>15</v>
      </c>
      <c r="I126" s="18">
        <f t="shared" ca="1" si="312"/>
        <v>1290</v>
      </c>
      <c r="J126" s="18">
        <f ca="1">IFERROR(__xludf.DUMMYFUNCTION("IMPORTRANGE(""https://docs.google.com/spreadsheets/d/1AxBmuQEdOYAeRnZ4C8vO6kuTNp7X_SGhpLXuY0n4ln4/edit"",""5!e42"")"),1888)</f>
        <v>1888</v>
      </c>
      <c r="K126" s="18">
        <f ca="1">IFERROR(__xludf.DUMMYFUNCTION("IMPORTRANGE(""https://docs.google.com/spreadsheets/d/1AxBmuQEdOYAeRnZ4C8vO6kuTNp7X_SGhpLXuY0n4ln4/edit"",""5!e43"")"),25)</f>
        <v>25</v>
      </c>
      <c r="L126" s="18">
        <f t="shared" ca="1" si="342"/>
        <v>1913</v>
      </c>
      <c r="M126" s="18">
        <f t="shared" ca="1" si="314"/>
        <v>3203</v>
      </c>
      <c r="N126" s="19">
        <f t="shared" ca="1" si="315"/>
        <v>198.53318181818179</v>
      </c>
      <c r="O126" s="16">
        <v>8345</v>
      </c>
      <c r="P126" s="20">
        <f t="shared" ca="1" si="316"/>
        <v>0.38382264829239066</v>
      </c>
      <c r="Q126" s="21">
        <v>1.5</v>
      </c>
      <c r="R126" s="20">
        <f t="shared" ca="1" si="317"/>
        <v>0.48888858361971405</v>
      </c>
      <c r="S126" s="22">
        <f t="shared" ca="1" si="318"/>
        <v>0.73333287542957104</v>
      </c>
      <c r="T126" s="21">
        <f ca="1">F126/41.205</f>
        <v>106</v>
      </c>
      <c r="U126" s="21">
        <f t="shared" ca="1" si="319"/>
        <v>4.8181818181818183</v>
      </c>
      <c r="V126" s="18">
        <f t="shared" ca="1" si="320"/>
        <v>145.59090909090909</v>
      </c>
      <c r="W126" s="76"/>
      <c r="X126" s="24" t="s">
        <v>33</v>
      </c>
      <c r="Y126" s="24">
        <v>6</v>
      </c>
      <c r="Z126" s="24">
        <f t="shared" ref="Z126:AI126" si="353">SUM(Z120:Z125)</f>
        <v>169</v>
      </c>
      <c r="AA126" s="25">
        <f t="shared" ca="1" si="353"/>
        <v>166</v>
      </c>
      <c r="AB126" s="27">
        <f t="shared" ca="1" si="353"/>
        <v>32755.284999999967</v>
      </c>
      <c r="AC126" s="25">
        <f t="shared" ca="1" si="353"/>
        <v>10996</v>
      </c>
      <c r="AD126" s="25">
        <f t="shared" ca="1" si="353"/>
        <v>208</v>
      </c>
      <c r="AE126" s="25">
        <f t="shared" ca="1" si="353"/>
        <v>11204</v>
      </c>
      <c r="AF126" s="25">
        <f t="shared" ca="1" si="353"/>
        <v>16282</v>
      </c>
      <c r="AG126" s="25">
        <f t="shared" ca="1" si="353"/>
        <v>378</v>
      </c>
      <c r="AH126" s="25">
        <f t="shared" ca="1" si="353"/>
        <v>16660</v>
      </c>
      <c r="AI126" s="25">
        <f t="shared" ca="1" si="353"/>
        <v>27864</v>
      </c>
      <c r="AJ126" s="27">
        <f t="shared" ca="1" si="332"/>
        <v>197.32099397590341</v>
      </c>
      <c r="AK126" s="24">
        <f>SUM(AK120:AK125)</f>
        <v>53273</v>
      </c>
      <c r="AL126" s="28">
        <f t="shared" ca="1" si="334"/>
        <v>0.52304169091284514</v>
      </c>
      <c r="AM126" s="29">
        <v>1.5</v>
      </c>
      <c r="AN126" s="28">
        <f t="shared" ca="1" si="336"/>
        <v>0.56711458929452208</v>
      </c>
      <c r="AO126" s="30">
        <f t="shared" ca="1" si="337"/>
        <v>0.85067188394178306</v>
      </c>
      <c r="AP126" s="29">
        <f ca="1">SUM(AP120:AP125)</f>
        <v>1077.9149995812249</v>
      </c>
      <c r="AQ126" s="29">
        <f ca="1">AP126/AA126</f>
        <v>6.4934638528989455</v>
      </c>
      <c r="AR126" s="25">
        <f t="shared" ca="1" si="339"/>
        <v>167.85542168674698</v>
      </c>
      <c r="AS126" s="76"/>
      <c r="AT126" s="76"/>
    </row>
    <row r="127" spans="1:46" ht="15.75" customHeight="1" x14ac:dyDescent="0.25">
      <c r="A127" s="70"/>
      <c r="B127" s="16">
        <v>14</v>
      </c>
      <c r="C127" s="16" t="s">
        <v>27</v>
      </c>
      <c r="D127" s="17">
        <v>23</v>
      </c>
      <c r="E127" s="18">
        <f ca="1">IFERROR(__xludf.DUMMYFUNCTION("COUNT(IMPORTRANGE(""https://docs.google.com/spreadsheets/d/1LsL4JuXvBtfJ-TVi4NFml9lV_pmd61b789A_nbO-QrA/edit"",""5!d2:d31""))"),23)</f>
        <v>23</v>
      </c>
      <c r="F127" s="23">
        <f ca="1">IFERROR(__xludf.DUMMYFUNCTION("SUM(IMPORTRANGE(""https://docs.google.com/spreadsheets/d/1LsL4JuXvBtfJ-TVi4NFml9lV_pmd61b789A_nbO-QrA/edit"",""5!Q2:Q31""))"),4292.66799999999)</f>
        <v>4292.6679999999897</v>
      </c>
      <c r="G127" s="18">
        <f ca="1">IFERROR(__xludf.DUMMYFUNCTION("IMPORTRANGE(""https://docs.google.com/spreadsheets/d/1LsL4JuXvBtfJ-TVi4NFml9lV_pmd61b789A_nbO-QrA/edit"",""5!e38"")"),1622)</f>
        <v>1622</v>
      </c>
      <c r="H127" s="18">
        <f ca="1">IFERROR(__xludf.DUMMYFUNCTION("IMPORTRANGE(""https://docs.google.com/spreadsheets/d/1LsL4JuXvBtfJ-TVi4NFml9lV_pmd61b789A_nbO-QrA/edit"",""5!e39"")"),0)</f>
        <v>0</v>
      </c>
      <c r="I127" s="18">
        <f t="shared" ca="1" si="312"/>
        <v>1622</v>
      </c>
      <c r="J127" s="18">
        <f ca="1">IFERROR(__xludf.DUMMYFUNCTION("IMPORTRANGE(""https://docs.google.com/spreadsheets/d/1LsL4JuXvBtfJ-TVi4NFml9lV_pmd61b789A_nbO-QrA/edit"",""5!e42"")"),2145)</f>
        <v>2145</v>
      </c>
      <c r="K127" s="18">
        <f ca="1">IFERROR(__xludf.DUMMYFUNCTION("IMPORTRANGE(""https://docs.google.com/spreadsheets/d/1LsL4JuXvBtfJ-TVi4NFml9lV_pmd61b789A_nbO-QrA/edit"",""5!e43"")"),33)</f>
        <v>33</v>
      </c>
      <c r="L127" s="18">
        <f t="shared" ca="1" si="342"/>
        <v>2178</v>
      </c>
      <c r="M127" s="18">
        <f t="shared" ca="1" si="314"/>
        <v>3800</v>
      </c>
      <c r="N127" s="19">
        <f t="shared" ca="1" si="315"/>
        <v>186.63773913043434</v>
      </c>
      <c r="O127" s="16">
        <v>8101</v>
      </c>
      <c r="P127" s="20">
        <f t="shared" ca="1" si="316"/>
        <v>0.4690778916183187</v>
      </c>
      <c r="Q127" s="21">
        <v>1.5</v>
      </c>
      <c r="R127" s="20">
        <f t="shared" ca="1" si="317"/>
        <v>0.59015356727642099</v>
      </c>
      <c r="S127" s="22">
        <f t="shared" ca="1" si="318"/>
        <v>0.88523035091463143</v>
      </c>
      <c r="T127" s="21">
        <f ca="1">F127/19.985</f>
        <v>214.79449587190342</v>
      </c>
      <c r="U127" s="21">
        <f t="shared" ca="1" si="319"/>
        <v>9.3388911248653663</v>
      </c>
      <c r="V127" s="18">
        <f t="shared" ca="1" si="320"/>
        <v>165.21739130434781</v>
      </c>
      <c r="W127" s="76"/>
      <c r="X127" s="97" t="s">
        <v>44</v>
      </c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9"/>
      <c r="AS127" s="76"/>
      <c r="AT127" s="76"/>
    </row>
    <row r="128" spans="1:46" ht="15.75" customHeight="1" x14ac:dyDescent="0.25">
      <c r="A128" s="70"/>
      <c r="B128" s="16">
        <v>15</v>
      </c>
      <c r="C128" s="16" t="s">
        <v>40</v>
      </c>
      <c r="D128" s="17">
        <v>23</v>
      </c>
      <c r="E128" s="18">
        <f ca="1">IFERROR(__xludf.DUMMYFUNCTION("COUNT(IMPORTRANGE(""https://docs.google.com/spreadsheets/d/1Krav0MVlY0vbUNsFRDnb_kR72_tyuGnWBYbGjNZrl18/edit"",""5!d2:d31""))"),22)</f>
        <v>22</v>
      </c>
      <c r="F128" s="23">
        <f ca="1">IFERROR(__xludf.DUMMYFUNCTION("SUM(IMPORTRANGE(""https://docs.google.com/spreadsheets/d/1Krav0MVlY0vbUNsFRDnb_kR72_tyuGnWBYbGjNZrl18/edit"",""5!Q2:Q31""))"),4380.222)</f>
        <v>4380.2219999999998</v>
      </c>
      <c r="G128" s="18">
        <f ca="1">IFERROR(__xludf.DUMMYFUNCTION("IMPORTRANGE(""https://docs.google.com/spreadsheets/d/1Krav0MVlY0vbUNsFRDnb_kR72_tyuGnWBYbGjNZrl18/edit"",""5!e38"")"),2236)</f>
        <v>2236</v>
      </c>
      <c r="H128" s="18">
        <f ca="1">IFERROR(__xludf.DUMMYFUNCTION("IMPORTRANGE(""https://docs.google.com/spreadsheets/d/1Krav0MVlY0vbUNsFRDnb_kR72_tyuGnWBYbGjNZrl18/edit"",""5!e39"")"),0)</f>
        <v>0</v>
      </c>
      <c r="I128" s="18">
        <f t="shared" ca="1" si="312"/>
        <v>2236</v>
      </c>
      <c r="J128" s="18">
        <f ca="1">IFERROR(__xludf.DUMMYFUNCTION("IMPORTRANGE(""https://docs.google.com/spreadsheets/d/1Krav0MVlY0vbUNsFRDnb_kR72_tyuGnWBYbGjNZrl18/edit"",""5!e42"")"),2705)</f>
        <v>2705</v>
      </c>
      <c r="K128" s="18">
        <f ca="1">IFERROR(__xludf.DUMMYFUNCTION("IMPORTRANGE(""https://docs.google.com/spreadsheets/d/1Krav0MVlY0vbUNsFRDnb_kR72_tyuGnWBYbGjNZrl18/edit"",""5!e43"")"),0)</f>
        <v>0</v>
      </c>
      <c r="L128" s="18">
        <f t="shared" ca="1" si="342"/>
        <v>2705</v>
      </c>
      <c r="M128" s="18">
        <f t="shared" ca="1" si="314"/>
        <v>4941</v>
      </c>
      <c r="N128" s="19">
        <f t="shared" ca="1" si="315"/>
        <v>199.101</v>
      </c>
      <c r="O128" s="16">
        <v>8239</v>
      </c>
      <c r="P128" s="20">
        <f t="shared" ca="1" si="316"/>
        <v>0.59970870251244079</v>
      </c>
      <c r="Q128" s="21">
        <v>1.5</v>
      </c>
      <c r="R128" s="20">
        <f t="shared" ca="1" si="317"/>
        <v>0.75201667860670085</v>
      </c>
      <c r="S128" s="22">
        <f t="shared" ca="1" si="318"/>
        <v>1.1280250179100513</v>
      </c>
      <c r="T128" s="21">
        <f ca="1">F128/28.443</f>
        <v>153.99999999999997</v>
      </c>
      <c r="U128" s="21">
        <f t="shared" ca="1" si="319"/>
        <v>6.9999999999999991</v>
      </c>
      <c r="V128" s="18">
        <f t="shared" ca="1" si="320"/>
        <v>224.59090909090909</v>
      </c>
      <c r="W128" s="76"/>
      <c r="X128" s="1" t="s">
        <v>2</v>
      </c>
      <c r="Y128" s="1" t="s">
        <v>3</v>
      </c>
      <c r="Z128" s="1" t="s">
        <v>4</v>
      </c>
      <c r="AA128" s="1" t="s">
        <v>5</v>
      </c>
      <c r="AB128" s="2" t="s">
        <v>6</v>
      </c>
      <c r="AC128" s="1" t="s">
        <v>7</v>
      </c>
      <c r="AD128" s="1" t="s">
        <v>8</v>
      </c>
      <c r="AE128" s="1" t="s">
        <v>9</v>
      </c>
      <c r="AF128" s="1" t="s">
        <v>10</v>
      </c>
      <c r="AG128" s="1" t="s">
        <v>11</v>
      </c>
      <c r="AH128" s="1" t="s">
        <v>12</v>
      </c>
      <c r="AI128" s="1" t="s">
        <v>13</v>
      </c>
      <c r="AJ128" s="2" t="s">
        <v>14</v>
      </c>
      <c r="AK128" s="1" t="s">
        <v>15</v>
      </c>
      <c r="AL128" s="1" t="s">
        <v>16</v>
      </c>
      <c r="AM128" s="3" t="s">
        <v>17</v>
      </c>
      <c r="AN128" s="4" t="s">
        <v>18</v>
      </c>
      <c r="AO128" s="5" t="s">
        <v>19</v>
      </c>
      <c r="AP128" s="6" t="s">
        <v>20</v>
      </c>
      <c r="AQ128" s="6" t="s">
        <v>21</v>
      </c>
      <c r="AR128" s="7" t="s">
        <v>22</v>
      </c>
      <c r="AS128" s="76"/>
      <c r="AT128" s="76"/>
    </row>
    <row r="129" spans="1:46" ht="15.75" customHeight="1" x14ac:dyDescent="0.25">
      <c r="A129" s="70"/>
      <c r="B129" s="16">
        <v>16</v>
      </c>
      <c r="C129" s="16" t="s">
        <v>42</v>
      </c>
      <c r="D129" s="17">
        <v>24</v>
      </c>
      <c r="E129" s="18">
        <f ca="1">IFERROR(__xludf.DUMMYFUNCTION("COUNT(IMPORTRANGE(""https://docs.google.com/spreadsheets/d/1uXtm-E8PG0CetlFmSpTX3RK0LNEMnpR-mxbET9AGD6w/edit"",""5!d2:d34""))"),24)</f>
        <v>24</v>
      </c>
      <c r="F129" s="23">
        <f ca="1">IFERROR(__xludf.DUMMYFUNCTION("SUM(IMPORTRANGE(""https://docs.google.com/spreadsheets/d/1uXtm-E8PG0CetlFmSpTX3RK0LNEMnpR-mxbET9AGD6w/edit"",""5!Q2:Q34""))"),4647.89699999999)</f>
        <v>4647.8969999999899</v>
      </c>
      <c r="G129" s="18">
        <f ca="1">IFERROR(__xludf.DUMMYFUNCTION("IMPORTRANGE(""https://docs.google.com/spreadsheets/d/1uXtm-E8PG0CetlFmSpTX3RK0LNEMnpR-mxbET9AGD6w/edit"",""5!e41"")"),2086)</f>
        <v>2086</v>
      </c>
      <c r="H129" s="18">
        <f ca="1">IFERROR(__xludf.DUMMYFUNCTION("IMPORTRANGE(""https://docs.google.com/spreadsheets/d/1uXtm-E8PG0CetlFmSpTX3RK0LNEMnpR-mxbET9AGD6w/edit"",""5!e42"")"),96)</f>
        <v>96</v>
      </c>
      <c r="I129" s="18">
        <f t="shared" ca="1" si="312"/>
        <v>2182</v>
      </c>
      <c r="J129" s="18">
        <f ca="1">IFERROR(__xludf.DUMMYFUNCTION("IMPORTRANGE(""https://docs.google.com/spreadsheets/d/1uXtm-E8PG0CetlFmSpTX3RK0LNEMnpR-mxbET9AGD6w/edit"",""5!e45"")"),3101)</f>
        <v>3101</v>
      </c>
      <c r="K129" s="18">
        <f ca="1">IFERROR(__xludf.DUMMYFUNCTION("IMPORTRANGE(""https://docs.google.com/spreadsheets/d/1uXtm-E8PG0CetlFmSpTX3RK0LNEMnpR-mxbET9AGD6w/edit"",""5!e46"")"),62)</f>
        <v>62</v>
      </c>
      <c r="L129" s="18">
        <f t="shared" ca="1" si="342"/>
        <v>3163</v>
      </c>
      <c r="M129" s="18">
        <f t="shared" ca="1" si="314"/>
        <v>5345</v>
      </c>
      <c r="N129" s="19">
        <f t="shared" ca="1" si="315"/>
        <v>193.66237499999957</v>
      </c>
      <c r="O129" s="16">
        <v>9877</v>
      </c>
      <c r="P129" s="20">
        <f t="shared" ca="1" si="316"/>
        <v>0.54115622152475451</v>
      </c>
      <c r="Q129" s="21">
        <v>1.5</v>
      </c>
      <c r="R129" s="20">
        <f t="shared" ca="1" si="317"/>
        <v>0.76665496962031243</v>
      </c>
      <c r="S129" s="22">
        <f t="shared" ca="1" si="318"/>
        <v>1.1499824544304686</v>
      </c>
      <c r="T129" s="21">
        <f ca="1">F129/26.155</f>
        <v>177.70586885872643</v>
      </c>
      <c r="U129" s="21">
        <f t="shared" ca="1" si="319"/>
        <v>7.4044112024469344</v>
      </c>
      <c r="V129" s="18">
        <f t="shared" ca="1" si="320"/>
        <v>222.70833333333334</v>
      </c>
      <c r="W129" s="76"/>
      <c r="X129" s="8">
        <v>1</v>
      </c>
      <c r="Y129" s="8" t="s">
        <v>26</v>
      </c>
      <c r="Z129" s="8">
        <f t="shared" ref="Z129:AI129" si="354">SUM(D114)</f>
        <v>15</v>
      </c>
      <c r="AA129" s="9">
        <f t="shared" ca="1" si="354"/>
        <v>15</v>
      </c>
      <c r="AB129" s="11">
        <f t="shared" ca="1" si="354"/>
        <v>2883.4589999999998</v>
      </c>
      <c r="AC129" s="9">
        <f t="shared" ca="1" si="354"/>
        <v>1436</v>
      </c>
      <c r="AD129" s="9">
        <f t="shared" ca="1" si="354"/>
        <v>0</v>
      </c>
      <c r="AE129" s="9">
        <f t="shared" ca="1" si="354"/>
        <v>1436</v>
      </c>
      <c r="AF129" s="9">
        <f t="shared" ca="1" si="354"/>
        <v>1574</v>
      </c>
      <c r="AG129" s="9">
        <f t="shared" ca="1" si="354"/>
        <v>0</v>
      </c>
      <c r="AH129" s="9">
        <f t="shared" ca="1" si="354"/>
        <v>1574</v>
      </c>
      <c r="AI129" s="9">
        <f t="shared" ca="1" si="354"/>
        <v>3010</v>
      </c>
      <c r="AJ129" s="11">
        <f t="shared" ref="AJ129:AJ135" ca="1" si="355">AB129/AA129</f>
        <v>192.23059999999998</v>
      </c>
      <c r="AK129" s="8">
        <f>SUM(O114)</f>
        <v>5161</v>
      </c>
      <c r="AL129" s="12">
        <f t="shared" ref="AL129:AL135" ca="1" si="356">AI129/AK129</f>
        <v>0.58322030614222053</v>
      </c>
      <c r="AM129" s="13">
        <f>SUM(Q114)</f>
        <v>1.5</v>
      </c>
      <c r="AN129" s="12">
        <f t="shared" ref="AN129:AN135" ca="1" si="357">AO129/AM129</f>
        <v>0.69592342622755066</v>
      </c>
      <c r="AO129" s="14">
        <f t="shared" ref="AO129:AO135" ca="1" si="358">AI129/AB129</f>
        <v>1.043885139341326</v>
      </c>
      <c r="AP129" s="13">
        <f t="shared" ref="AP129:AQ129" ca="1" si="359">SUM(T114)</f>
        <v>200.0318418314256</v>
      </c>
      <c r="AQ129" s="13">
        <f t="shared" ca="1" si="359"/>
        <v>13.33545612209504</v>
      </c>
      <c r="AR129" s="9">
        <f t="shared" ref="AR129:AR135" ca="1" si="360">AI129/AA129</f>
        <v>200.66666666666666</v>
      </c>
      <c r="AS129" s="76"/>
      <c r="AT129" s="76"/>
    </row>
    <row r="130" spans="1:46" ht="15.75" customHeight="1" x14ac:dyDescent="0.25">
      <c r="A130" s="70"/>
      <c r="B130" s="16">
        <v>17</v>
      </c>
      <c r="C130" s="16" t="s">
        <v>29</v>
      </c>
      <c r="D130" s="17">
        <v>23</v>
      </c>
      <c r="E130" s="18">
        <f ca="1">IFERROR(__xludf.DUMMYFUNCTION("COUNT(IMPORTRANGE(""https://docs.google.com/spreadsheets/d/12xcKI0lSnAsjEsxfm9K8Qx0B_89Gzsh816mowItkQao/edit"",""5!d2:d31""))"),20)</f>
        <v>20</v>
      </c>
      <c r="F130" s="23">
        <f ca="1">IFERROR(__xludf.DUMMYFUNCTION("SUM(IMPORTRANGE(""https://docs.google.com/spreadsheets/d/12xcKI0lSnAsjEsxfm9K8Qx0B_89Gzsh816mowItkQao/edit"",""5!Q2:Q31""))"),4009.852)</f>
        <v>4009.8519999999999</v>
      </c>
      <c r="G130" s="18">
        <f ca="1">IFERROR(__xludf.DUMMYFUNCTION("IMPORTRANGE(""https://docs.google.com/spreadsheets/d/12xcKI0lSnAsjEsxfm9K8Qx0B_89Gzsh816mowItkQao/edit"",""5!e38"")"),1532)</f>
        <v>1532</v>
      </c>
      <c r="H130" s="18">
        <f ca="1">IFERROR(__xludf.DUMMYFUNCTION("IMPORTRANGE(""https://docs.google.com/spreadsheets/d/12xcKI0lSnAsjEsxfm9K8Qx0B_89Gzsh816mowItkQao/edit"",""5!e39"")"),0)</f>
        <v>0</v>
      </c>
      <c r="I130" s="18">
        <f t="shared" ca="1" si="312"/>
        <v>1532</v>
      </c>
      <c r="J130" s="18">
        <f ca="1">IFERROR(__xludf.DUMMYFUNCTION("IMPORTRANGE(""https://docs.google.com/spreadsheets/d/12xcKI0lSnAsjEsxfm9K8Qx0B_89Gzsh816mowItkQao/edit"",""5!e42"")"),2440)</f>
        <v>2440</v>
      </c>
      <c r="K130" s="18">
        <f ca="1">IFERROR(__xludf.DUMMYFUNCTION("IMPORTRANGE(""https://docs.google.com/spreadsheets/d/12xcKI0lSnAsjEsxfm9K8Qx0B_89Gzsh816mowItkQao/edit"",""5!e43"")"),0)</f>
        <v>0</v>
      </c>
      <c r="L130" s="18">
        <f t="shared" ca="1" si="342"/>
        <v>2440</v>
      </c>
      <c r="M130" s="18">
        <f t="shared" ca="1" si="314"/>
        <v>3972</v>
      </c>
      <c r="N130" s="19">
        <f t="shared" ca="1" si="315"/>
        <v>200.49259999999998</v>
      </c>
      <c r="O130" s="16">
        <v>9201</v>
      </c>
      <c r="P130" s="20">
        <f t="shared" ca="1" si="316"/>
        <v>0.43169220736876429</v>
      </c>
      <c r="Q130" s="21">
        <v>1.5</v>
      </c>
      <c r="R130" s="20">
        <f t="shared" ca="1" si="317"/>
        <v>0.66037350006932927</v>
      </c>
      <c r="S130" s="22">
        <f t="shared" ca="1" si="318"/>
        <v>0.99056025010399384</v>
      </c>
      <c r="T130" s="21">
        <f ca="1">F130/26.038</f>
        <v>154</v>
      </c>
      <c r="U130" s="21">
        <f t="shared" ca="1" si="319"/>
        <v>7.7</v>
      </c>
      <c r="V130" s="18">
        <f t="shared" ca="1" si="320"/>
        <v>198.6</v>
      </c>
      <c r="W130" s="76"/>
      <c r="X130" s="8">
        <v>2</v>
      </c>
      <c r="Y130" s="8" t="s">
        <v>32</v>
      </c>
      <c r="Z130" s="8">
        <f t="shared" ref="Z130:AI130" si="361">SUM(D117)</f>
        <v>32</v>
      </c>
      <c r="AA130" s="9">
        <f t="shared" ca="1" si="361"/>
        <v>30</v>
      </c>
      <c r="AB130" s="10">
        <f t="shared" ca="1" si="361"/>
        <v>6021.3599999999897</v>
      </c>
      <c r="AC130" s="8">
        <f t="shared" ca="1" si="361"/>
        <v>2646</v>
      </c>
      <c r="AD130" s="8">
        <f t="shared" ca="1" si="361"/>
        <v>125</v>
      </c>
      <c r="AE130" s="9">
        <f t="shared" ca="1" si="361"/>
        <v>2771</v>
      </c>
      <c r="AF130" s="8">
        <f t="shared" ca="1" si="361"/>
        <v>3814</v>
      </c>
      <c r="AG130" s="8">
        <f t="shared" ca="1" si="361"/>
        <v>163</v>
      </c>
      <c r="AH130" s="9">
        <f t="shared" ca="1" si="361"/>
        <v>3977</v>
      </c>
      <c r="AI130" s="9">
        <f t="shared" ca="1" si="361"/>
        <v>6748</v>
      </c>
      <c r="AJ130" s="11">
        <f t="shared" ca="1" si="355"/>
        <v>200.71199999999965</v>
      </c>
      <c r="AK130" s="8">
        <f>SUM(O117)</f>
        <v>13817</v>
      </c>
      <c r="AL130" s="12">
        <f t="shared" ca="1" si="356"/>
        <v>0.48838387493667224</v>
      </c>
      <c r="AM130" s="13">
        <f>SUM(Q117)</f>
        <v>1.5</v>
      </c>
      <c r="AN130" s="12">
        <f t="shared" ca="1" si="357"/>
        <v>0.74711803756405104</v>
      </c>
      <c r="AO130" s="14">
        <f t="shared" ca="1" si="358"/>
        <v>1.1206770563460766</v>
      </c>
      <c r="AP130" s="13">
        <f t="shared" ref="AP130:AQ130" ca="1" si="362">SUM(T117)</f>
        <v>239.9999999999996</v>
      </c>
      <c r="AQ130" s="13">
        <f t="shared" ca="1" si="362"/>
        <v>7.9999999999999867</v>
      </c>
      <c r="AR130" s="9">
        <f t="shared" ca="1" si="360"/>
        <v>224.93333333333334</v>
      </c>
      <c r="AS130" s="76"/>
      <c r="AT130" s="76"/>
    </row>
    <row r="131" spans="1:46" ht="15.75" customHeight="1" x14ac:dyDescent="0.25">
      <c r="A131" s="70"/>
      <c r="B131" s="16">
        <v>18</v>
      </c>
      <c r="C131" s="16" t="s">
        <v>31</v>
      </c>
      <c r="D131" s="17">
        <v>11</v>
      </c>
      <c r="E131" s="18">
        <f ca="1">IFERROR(__xludf.DUMMYFUNCTION("COUNT(IMPORTRANGE(""https://docs.google.com/spreadsheets/d/1fgCFOFzOla4Qim6_-zG-lbYhLCItqv_kZiAHoErRgcM/edit"",""5!d2:d16""))"),10)</f>
        <v>10</v>
      </c>
      <c r="F131" s="19">
        <f ca="1">IFERROR(__xludf.DUMMYFUNCTION("SUM(IMPORTRANGE(""https://docs.google.com/spreadsheets/d/1fgCFOFzOla4Qim6_-zG-lbYhLCItqv_kZiAHoErRgcM/edit"",""5!Q2:Q16""))"),1912.46)</f>
        <v>1912.46</v>
      </c>
      <c r="G131" s="18">
        <f ca="1">IFERROR(__xludf.DUMMYFUNCTION("IMPORTRANGE(""https://docs.google.com/spreadsheets/d/1fgCFOFzOla4Qim6_-zG-lbYhLCItqv_kZiAHoErRgcM/edit"",""5!e23"")"),401)</f>
        <v>401</v>
      </c>
      <c r="H131" s="18">
        <f ca="1">IFERROR(__xludf.DUMMYFUNCTION("IMPORTRANGE(""https://docs.google.com/spreadsheets/d/1fgCFOFzOla4Qim6_-zG-lbYhLCItqv_kZiAHoErRgcM/edit"",""5!e24"")"),0)</f>
        <v>0</v>
      </c>
      <c r="I131" s="18">
        <f t="shared" ca="1" si="312"/>
        <v>401</v>
      </c>
      <c r="J131" s="18">
        <f ca="1">IFERROR(__xludf.DUMMYFUNCTION("IMPORTRANGE(""https://docs.google.com/spreadsheets/d/1fgCFOFzOla4Qim6_-zG-lbYhLCItqv_kZiAHoErRgcM/edit"",""5!e27"")"),582)</f>
        <v>582</v>
      </c>
      <c r="K131" s="18">
        <f ca="1">IFERROR(__xludf.DUMMYFUNCTION("IMPORTRANGE(""https://docs.google.com/spreadsheets/d/1fgCFOFzOla4Qim6_-zG-lbYhLCItqv_kZiAHoErRgcM/edit"",""5!e28"")"),0)</f>
        <v>0</v>
      </c>
      <c r="L131" s="18">
        <f t="shared" ca="1" si="342"/>
        <v>582</v>
      </c>
      <c r="M131" s="18">
        <f t="shared" ca="1" si="314"/>
        <v>983</v>
      </c>
      <c r="N131" s="19">
        <f t="shared" ca="1" si="315"/>
        <v>191.24600000000001</v>
      </c>
      <c r="O131" s="16">
        <v>2717</v>
      </c>
      <c r="P131" s="20">
        <f t="shared" ca="1" si="316"/>
        <v>0.36179609863820389</v>
      </c>
      <c r="Q131" s="21">
        <v>1.5</v>
      </c>
      <c r="R131" s="20">
        <f t="shared" ca="1" si="317"/>
        <v>0.34266511892187723</v>
      </c>
      <c r="S131" s="22">
        <f t="shared" ca="1" si="318"/>
        <v>0.51399767838281585</v>
      </c>
      <c r="T131" s="21">
        <f ca="1">F131/43.465</f>
        <v>44</v>
      </c>
      <c r="U131" s="21">
        <f t="shared" ca="1" si="319"/>
        <v>4.4000000000000004</v>
      </c>
      <c r="V131" s="18">
        <f t="shared" ca="1" si="320"/>
        <v>98.3</v>
      </c>
      <c r="W131" s="76"/>
      <c r="X131" s="8">
        <v>3</v>
      </c>
      <c r="Y131" s="8" t="s">
        <v>36</v>
      </c>
      <c r="Z131" s="8">
        <f t="shared" ref="Z131:AI131" si="363">SUM(D122)</f>
        <v>24</v>
      </c>
      <c r="AA131" s="9">
        <f t="shared" ca="1" si="363"/>
        <v>24</v>
      </c>
      <c r="AB131" s="10">
        <f t="shared" ca="1" si="363"/>
        <v>4595.5379999999896</v>
      </c>
      <c r="AC131" s="9">
        <f t="shared" ca="1" si="363"/>
        <v>753</v>
      </c>
      <c r="AD131" s="9">
        <f t="shared" ca="1" si="363"/>
        <v>0</v>
      </c>
      <c r="AE131" s="9">
        <f t="shared" ca="1" si="363"/>
        <v>753</v>
      </c>
      <c r="AF131" s="9">
        <f t="shared" ca="1" si="363"/>
        <v>1518</v>
      </c>
      <c r="AG131" s="9">
        <f t="shared" ca="1" si="363"/>
        <v>18</v>
      </c>
      <c r="AH131" s="9">
        <f t="shared" ca="1" si="363"/>
        <v>1536</v>
      </c>
      <c r="AI131" s="9">
        <f t="shared" ca="1" si="363"/>
        <v>2289</v>
      </c>
      <c r="AJ131" s="11">
        <f t="shared" ca="1" si="355"/>
        <v>191.48074999999957</v>
      </c>
      <c r="AK131" s="8">
        <f t="shared" ref="AK131:AK134" si="364">SUM(O122)</f>
        <v>4796</v>
      </c>
      <c r="AL131" s="12">
        <f t="shared" ca="1" si="356"/>
        <v>0.47727272727272729</v>
      </c>
      <c r="AM131" s="13">
        <f t="shared" ref="AM131:AM134" si="365">SUM(Q122)</f>
        <v>1.5</v>
      </c>
      <c r="AN131" s="12">
        <f t="shared" ca="1" si="357"/>
        <v>0.33206122982771624</v>
      </c>
      <c r="AO131" s="14">
        <f t="shared" ca="1" si="358"/>
        <v>0.49809184474157436</v>
      </c>
      <c r="AP131" s="13">
        <f t="shared" ref="AP131:AQ131" ca="1" si="366">SUM(T122)</f>
        <v>122.8293686855185</v>
      </c>
      <c r="AQ131" s="13">
        <f t="shared" ca="1" si="366"/>
        <v>5.1178903618966043</v>
      </c>
      <c r="AR131" s="9">
        <f t="shared" ca="1" si="360"/>
        <v>95.375</v>
      </c>
      <c r="AS131" s="76"/>
      <c r="AT131" s="76"/>
    </row>
    <row r="132" spans="1:46" ht="15.75" customHeight="1" x14ac:dyDescent="0.2">
      <c r="A132" s="70"/>
      <c r="B132" s="98" t="s">
        <v>33</v>
      </c>
      <c r="C132" s="98">
        <v>18</v>
      </c>
      <c r="D132" s="98">
        <f t="shared" ref="D132:M132" si="367">SUM(D114:D131)</f>
        <v>447</v>
      </c>
      <c r="E132" s="74">
        <f t="shared" ca="1" si="367"/>
        <v>432</v>
      </c>
      <c r="F132" s="99">
        <f t="shared" ca="1" si="367"/>
        <v>84668.369999999937</v>
      </c>
      <c r="G132" s="74">
        <f t="shared" ca="1" si="367"/>
        <v>24969</v>
      </c>
      <c r="H132" s="74">
        <f t="shared" ca="1" si="367"/>
        <v>652</v>
      </c>
      <c r="I132" s="74">
        <f t="shared" ca="1" si="367"/>
        <v>25621</v>
      </c>
      <c r="J132" s="74">
        <f t="shared" ca="1" si="367"/>
        <v>38077</v>
      </c>
      <c r="K132" s="74">
        <f t="shared" ca="1" si="367"/>
        <v>843</v>
      </c>
      <c r="L132" s="74">
        <f t="shared" ca="1" si="367"/>
        <v>38920</v>
      </c>
      <c r="M132" s="74">
        <f t="shared" ca="1" si="367"/>
        <v>64541</v>
      </c>
      <c r="N132" s="99">
        <f t="shared" ca="1" si="315"/>
        <v>195.99159722222208</v>
      </c>
      <c r="O132" s="98">
        <f>SUM(O114:O131)</f>
        <v>126399</v>
      </c>
      <c r="P132" s="69">
        <f t="shared" ca="1" si="316"/>
        <v>0.51061321687671579</v>
      </c>
      <c r="Q132" s="72">
        <v>1.5</v>
      </c>
      <c r="R132" s="69">
        <f t="shared" ca="1" si="317"/>
        <v>0.50818662663912584</v>
      </c>
      <c r="S132" s="73">
        <f t="shared" ca="1" si="318"/>
        <v>0.76227993995868881</v>
      </c>
      <c r="T132" s="72">
        <f ca="1">SUM(T114:T131)</f>
        <v>3123.8503256076988</v>
      </c>
      <c r="U132" s="72">
        <f t="shared" ca="1" si="319"/>
        <v>7.2311350129807845</v>
      </c>
      <c r="V132" s="74">
        <f t="shared" ca="1" si="320"/>
        <v>149.40046296296296</v>
      </c>
      <c r="W132" s="76"/>
      <c r="X132" s="8">
        <v>4</v>
      </c>
      <c r="Y132" s="8" t="s">
        <v>37</v>
      </c>
      <c r="Z132" s="8">
        <f t="shared" ref="Z132:AI132" si="368">SUM(D123)</f>
        <v>23</v>
      </c>
      <c r="AA132" s="9">
        <f t="shared" ca="1" si="368"/>
        <v>22</v>
      </c>
      <c r="AB132" s="10">
        <f t="shared" ca="1" si="368"/>
        <v>4311.1859999999997</v>
      </c>
      <c r="AC132" s="9">
        <f t="shared" ca="1" si="368"/>
        <v>1011</v>
      </c>
      <c r="AD132" s="9">
        <f t="shared" ca="1" si="368"/>
        <v>0</v>
      </c>
      <c r="AE132" s="9">
        <f t="shared" ca="1" si="368"/>
        <v>1011</v>
      </c>
      <c r="AF132" s="9">
        <f t="shared" ca="1" si="368"/>
        <v>1875</v>
      </c>
      <c r="AG132" s="9">
        <f t="shared" ca="1" si="368"/>
        <v>89</v>
      </c>
      <c r="AH132" s="9">
        <f t="shared" ca="1" si="368"/>
        <v>1964</v>
      </c>
      <c r="AI132" s="9">
        <f t="shared" ca="1" si="368"/>
        <v>2975</v>
      </c>
      <c r="AJ132" s="11">
        <f t="shared" ca="1" si="355"/>
        <v>195.96299999999999</v>
      </c>
      <c r="AK132" s="8">
        <f t="shared" si="364"/>
        <v>5887</v>
      </c>
      <c r="AL132" s="12">
        <f t="shared" ca="1" si="356"/>
        <v>0.50535077288941732</v>
      </c>
      <c r="AM132" s="13">
        <f t="shared" si="365"/>
        <v>1.5</v>
      </c>
      <c r="AN132" s="12">
        <f t="shared" ca="1" si="357"/>
        <v>0.4600435549135049</v>
      </c>
      <c r="AO132" s="14">
        <f t="shared" ca="1" si="358"/>
        <v>0.69006533237025736</v>
      </c>
      <c r="AP132" s="13">
        <f t="shared" ref="AP132:AQ132" ca="1" si="369">SUM(T123)</f>
        <v>173.89424007744432</v>
      </c>
      <c r="AQ132" s="13">
        <f t="shared" ca="1" si="369"/>
        <v>7.9042836398838325</v>
      </c>
      <c r="AR132" s="9">
        <f t="shared" ca="1" si="360"/>
        <v>135.22727272727272</v>
      </c>
      <c r="AS132" s="76"/>
      <c r="AT132" s="76"/>
    </row>
    <row r="133" spans="1:46" ht="15.75" customHeight="1" x14ac:dyDescent="0.2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6"/>
      <c r="X133" s="8">
        <v>5</v>
      </c>
      <c r="Y133" s="8" t="s">
        <v>39</v>
      </c>
      <c r="Z133" s="8">
        <f t="shared" ref="Z133:AI133" si="370">SUM(D124)</f>
        <v>21</v>
      </c>
      <c r="AA133" s="9">
        <f t="shared" ca="1" si="370"/>
        <v>21</v>
      </c>
      <c r="AB133" s="10">
        <f t="shared" ca="1" si="370"/>
        <v>3933.1860000000001</v>
      </c>
      <c r="AC133" s="9">
        <f t="shared" ca="1" si="370"/>
        <v>864</v>
      </c>
      <c r="AD133" s="9">
        <f t="shared" ca="1" si="370"/>
        <v>0</v>
      </c>
      <c r="AE133" s="9">
        <f t="shared" ca="1" si="370"/>
        <v>864</v>
      </c>
      <c r="AF133" s="9">
        <f t="shared" ca="1" si="370"/>
        <v>1596</v>
      </c>
      <c r="AG133" s="9">
        <f t="shared" ca="1" si="370"/>
        <v>0</v>
      </c>
      <c r="AH133" s="9">
        <f t="shared" ca="1" si="370"/>
        <v>1596</v>
      </c>
      <c r="AI133" s="9">
        <f t="shared" ca="1" si="370"/>
        <v>2460</v>
      </c>
      <c r="AJ133" s="11">
        <f t="shared" ca="1" si="355"/>
        <v>187.29457142857143</v>
      </c>
      <c r="AK133" s="8">
        <f t="shared" si="364"/>
        <v>3569</v>
      </c>
      <c r="AL133" s="12">
        <f t="shared" ca="1" si="356"/>
        <v>0.68926870271784813</v>
      </c>
      <c r="AM133" s="13">
        <f t="shared" si="365"/>
        <v>1.5</v>
      </c>
      <c r="AN133" s="12">
        <f t="shared" ca="1" si="357"/>
        <v>0.41696477105328861</v>
      </c>
      <c r="AO133" s="14">
        <f t="shared" ca="1" si="358"/>
        <v>0.62544715657993288</v>
      </c>
      <c r="AP133" s="13">
        <f t="shared" ref="AP133:AQ133" ca="1" si="371">SUM(T124)</f>
        <v>183.25425150258584</v>
      </c>
      <c r="AQ133" s="13">
        <f t="shared" ca="1" si="371"/>
        <v>8.7263929286945636</v>
      </c>
      <c r="AR133" s="9">
        <f t="shared" ca="1" si="360"/>
        <v>117.14285714285714</v>
      </c>
      <c r="AS133" s="76"/>
      <c r="AT133" s="76"/>
    </row>
    <row r="134" spans="1:46" ht="15.75" customHeight="1" x14ac:dyDescent="0.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6"/>
      <c r="X134" s="8">
        <v>6</v>
      </c>
      <c r="Y134" s="8" t="s">
        <v>41</v>
      </c>
      <c r="Z134" s="8">
        <f t="shared" ref="Z134:AI134" si="372">SUM(D125)</f>
        <v>19</v>
      </c>
      <c r="AA134" s="9">
        <f t="shared" ca="1" si="372"/>
        <v>19</v>
      </c>
      <c r="AB134" s="10">
        <f t="shared" ca="1" si="372"/>
        <v>3812.136</v>
      </c>
      <c r="AC134" s="9">
        <f t="shared" ca="1" si="372"/>
        <v>698</v>
      </c>
      <c r="AD134" s="9">
        <f t="shared" ca="1" si="372"/>
        <v>87</v>
      </c>
      <c r="AE134" s="9">
        <f t="shared" ca="1" si="372"/>
        <v>785</v>
      </c>
      <c r="AF134" s="9">
        <f t="shared" ca="1" si="372"/>
        <v>1251</v>
      </c>
      <c r="AG134" s="9">
        <f t="shared" ca="1" si="372"/>
        <v>0</v>
      </c>
      <c r="AH134" s="9">
        <f t="shared" ca="1" si="372"/>
        <v>1251</v>
      </c>
      <c r="AI134" s="9">
        <f t="shared" ca="1" si="372"/>
        <v>2036</v>
      </c>
      <c r="AJ134" s="11">
        <f t="shared" ca="1" si="355"/>
        <v>200.63873684210526</v>
      </c>
      <c r="AK134" s="8">
        <f t="shared" si="364"/>
        <v>3801</v>
      </c>
      <c r="AL134" s="12">
        <f t="shared" ca="1" si="356"/>
        <v>0.53564851354906606</v>
      </c>
      <c r="AM134" s="13">
        <f t="shared" si="365"/>
        <v>1.5</v>
      </c>
      <c r="AN134" s="12">
        <f t="shared" ca="1" si="357"/>
        <v>0.35605585250193944</v>
      </c>
      <c r="AO134" s="14">
        <f t="shared" ca="1" si="358"/>
        <v>0.53408377875290913</v>
      </c>
      <c r="AP134" s="13">
        <f t="shared" ref="AP134:AQ134" ca="1" si="373">SUM(T125)</f>
        <v>128.66666666666666</v>
      </c>
      <c r="AQ134" s="13">
        <f t="shared" ca="1" si="373"/>
        <v>6.7719298245614032</v>
      </c>
      <c r="AR134" s="9">
        <f t="shared" ca="1" si="360"/>
        <v>107.15789473684211</v>
      </c>
      <c r="AS134" s="76"/>
      <c r="AT134" s="76"/>
    </row>
    <row r="135" spans="1:46" ht="15.75" customHeight="1" x14ac:dyDescent="0.25">
      <c r="A135" s="110" t="s">
        <v>45</v>
      </c>
      <c r="B135" s="76"/>
      <c r="C135" s="76"/>
      <c r="D135" s="75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24" t="s">
        <v>33</v>
      </c>
      <c r="Y135" s="24">
        <v>6</v>
      </c>
      <c r="Z135" s="24">
        <f t="shared" ref="Z135:AI135" si="374">SUM(Z129:Z134)</f>
        <v>134</v>
      </c>
      <c r="AA135" s="25">
        <f t="shared" ca="1" si="374"/>
        <v>131</v>
      </c>
      <c r="AB135" s="27">
        <f t="shared" ca="1" si="374"/>
        <v>25556.864999999976</v>
      </c>
      <c r="AC135" s="25">
        <f t="shared" ca="1" si="374"/>
        <v>7408</v>
      </c>
      <c r="AD135" s="25">
        <f t="shared" ca="1" si="374"/>
        <v>212</v>
      </c>
      <c r="AE135" s="25">
        <f t="shared" ca="1" si="374"/>
        <v>7620</v>
      </c>
      <c r="AF135" s="25">
        <f t="shared" ca="1" si="374"/>
        <v>11628</v>
      </c>
      <c r="AG135" s="25">
        <f t="shared" ca="1" si="374"/>
        <v>270</v>
      </c>
      <c r="AH135" s="25">
        <f t="shared" ca="1" si="374"/>
        <v>11898</v>
      </c>
      <c r="AI135" s="25">
        <f t="shared" ca="1" si="374"/>
        <v>19518</v>
      </c>
      <c r="AJ135" s="27">
        <f t="shared" ca="1" si="355"/>
        <v>195.09057251908379</v>
      </c>
      <c r="AK135" s="24">
        <f>SUM(AK129:AK134)</f>
        <v>37031</v>
      </c>
      <c r="AL135" s="28">
        <f t="shared" ca="1" si="356"/>
        <v>0.52707191272177367</v>
      </c>
      <c r="AM135" s="29">
        <v>1.5</v>
      </c>
      <c r="AN135" s="28">
        <f t="shared" ca="1" si="357"/>
        <v>0.5091391295450366</v>
      </c>
      <c r="AO135" s="30">
        <f t="shared" ca="1" si="358"/>
        <v>0.76370869431755495</v>
      </c>
      <c r="AP135" s="29">
        <f ca="1">SUM(AP129:AP134)</f>
        <v>1048.6763687636405</v>
      </c>
      <c r="AQ135" s="29">
        <f ca="1">AP135/AA135</f>
        <v>8.0051631203331333</v>
      </c>
      <c r="AR135" s="25">
        <f t="shared" ca="1" si="360"/>
        <v>148.99236641221373</v>
      </c>
      <c r="AS135" s="76"/>
      <c r="AT135" s="76"/>
    </row>
    <row r="136" spans="1:46" ht="15.75" customHeight="1" x14ac:dyDescent="0.2">
      <c r="A136" s="110" t="s">
        <v>45</v>
      </c>
      <c r="B136" s="76"/>
      <c r="C136" s="76"/>
      <c r="D136" s="75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7" t="s">
        <v>1</v>
      </c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9"/>
      <c r="AS136" s="76"/>
      <c r="AT136" s="76"/>
    </row>
    <row r="137" spans="1:46" ht="15.75" customHeight="1" x14ac:dyDescent="0.2">
      <c r="A137" s="109">
        <v>46209</v>
      </c>
      <c r="B137" s="80" t="s">
        <v>2</v>
      </c>
      <c r="C137" s="80" t="s">
        <v>3</v>
      </c>
      <c r="D137" s="80" t="s">
        <v>4</v>
      </c>
      <c r="E137" s="80" t="s">
        <v>5</v>
      </c>
      <c r="F137" s="81" t="s">
        <v>6</v>
      </c>
      <c r="G137" s="80" t="s">
        <v>7</v>
      </c>
      <c r="H137" s="80" t="s">
        <v>8</v>
      </c>
      <c r="I137" s="80" t="s">
        <v>9</v>
      </c>
      <c r="J137" s="80" t="s">
        <v>10</v>
      </c>
      <c r="K137" s="80" t="s">
        <v>11</v>
      </c>
      <c r="L137" s="80" t="s">
        <v>12</v>
      </c>
      <c r="M137" s="80" t="s">
        <v>13</v>
      </c>
      <c r="N137" s="81" t="s">
        <v>14</v>
      </c>
      <c r="O137" s="80" t="s">
        <v>15</v>
      </c>
      <c r="P137" s="80" t="s">
        <v>16</v>
      </c>
      <c r="Q137" s="80" t="s">
        <v>17</v>
      </c>
      <c r="R137" s="80" t="s">
        <v>18</v>
      </c>
      <c r="S137" s="106" t="s">
        <v>19</v>
      </c>
      <c r="T137" s="107" t="s">
        <v>20</v>
      </c>
      <c r="U137" s="107" t="s">
        <v>21</v>
      </c>
      <c r="V137" s="105" t="s">
        <v>22</v>
      </c>
      <c r="W137" s="76"/>
      <c r="X137" s="1" t="s">
        <v>2</v>
      </c>
      <c r="Y137" s="1" t="s">
        <v>3</v>
      </c>
      <c r="Z137" s="1" t="s">
        <v>4</v>
      </c>
      <c r="AA137" s="1" t="s">
        <v>5</v>
      </c>
      <c r="AB137" s="2" t="s">
        <v>6</v>
      </c>
      <c r="AC137" s="1" t="s">
        <v>7</v>
      </c>
      <c r="AD137" s="1" t="s">
        <v>8</v>
      </c>
      <c r="AE137" s="1" t="s">
        <v>9</v>
      </c>
      <c r="AF137" s="1" t="s">
        <v>10</v>
      </c>
      <c r="AG137" s="1" t="s">
        <v>11</v>
      </c>
      <c r="AH137" s="1" t="s">
        <v>12</v>
      </c>
      <c r="AI137" s="1" t="s">
        <v>13</v>
      </c>
      <c r="AJ137" s="2" t="s">
        <v>14</v>
      </c>
      <c r="AK137" s="1" t="s">
        <v>15</v>
      </c>
      <c r="AL137" s="1" t="s">
        <v>16</v>
      </c>
      <c r="AM137" s="3" t="s">
        <v>17</v>
      </c>
      <c r="AN137" s="4" t="s">
        <v>18</v>
      </c>
      <c r="AO137" s="5" t="s">
        <v>19</v>
      </c>
      <c r="AP137" s="6" t="s">
        <v>20</v>
      </c>
      <c r="AQ137" s="6" t="s">
        <v>21</v>
      </c>
      <c r="AR137" s="7" t="s">
        <v>22</v>
      </c>
      <c r="AS137" s="76"/>
      <c r="AT137" s="76"/>
    </row>
    <row r="138" spans="1:46" ht="15.75" customHeight="1" x14ac:dyDescent="0.2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6"/>
      <c r="X138" s="8">
        <v>1</v>
      </c>
      <c r="Y138" s="8" t="s">
        <v>23</v>
      </c>
      <c r="Z138" s="8">
        <f t="shared" ref="Z138:AI138" si="375">SUM(D146)</f>
        <v>35</v>
      </c>
      <c r="AA138" s="9">
        <f t="shared" ca="1" si="375"/>
        <v>33</v>
      </c>
      <c r="AB138" s="10">
        <f t="shared" ca="1" si="375"/>
        <v>6511.8199999999897</v>
      </c>
      <c r="AC138" s="9">
        <f t="shared" ca="1" si="375"/>
        <v>1693</v>
      </c>
      <c r="AD138" s="9">
        <f t="shared" ca="1" si="375"/>
        <v>0</v>
      </c>
      <c r="AE138" s="9">
        <f t="shared" ca="1" si="375"/>
        <v>1693</v>
      </c>
      <c r="AF138" s="9">
        <f t="shared" ca="1" si="375"/>
        <v>2847</v>
      </c>
      <c r="AG138" s="9">
        <f t="shared" ca="1" si="375"/>
        <v>0</v>
      </c>
      <c r="AH138" s="9">
        <f t="shared" ca="1" si="375"/>
        <v>2847</v>
      </c>
      <c r="AI138" s="9">
        <f t="shared" ca="1" si="375"/>
        <v>4540</v>
      </c>
      <c r="AJ138" s="11">
        <f t="shared" ref="AJ138:AJ140" ca="1" si="376">AB138/AA138</f>
        <v>197.32787878787849</v>
      </c>
      <c r="AK138" s="8">
        <f>SUM(O146)</f>
        <v>6853</v>
      </c>
      <c r="AL138" s="12">
        <f t="shared" ref="AL138:AL144" ca="1" si="377">AI138/AK138</f>
        <v>0.66248358383189843</v>
      </c>
      <c r="AM138" s="13">
        <f t="shared" ref="AM138:AM140" si="378">SUM(Q146)</f>
        <v>1.5</v>
      </c>
      <c r="AN138" s="12">
        <f t="shared" ref="AN138:AN144" ca="1" si="379">AO138/AM138</f>
        <v>0.46479581233306072</v>
      </c>
      <c r="AO138" s="14">
        <f t="shared" ref="AO138:AO144" ca="1" si="380">AI138/AB138</f>
        <v>0.69719371849959111</v>
      </c>
      <c r="AP138" s="13">
        <f t="shared" ref="AP138:AQ138" ca="1" si="381">SUM(T146)</f>
        <v>192.99999999999969</v>
      </c>
      <c r="AQ138" s="13">
        <f t="shared" ca="1" si="381"/>
        <v>5.8484848484848388</v>
      </c>
      <c r="AR138" s="9">
        <f t="shared" ref="AR138:AR144" ca="1" si="382">AI138/AA138</f>
        <v>137.57575757575756</v>
      </c>
      <c r="AS138" s="76"/>
      <c r="AT138" s="76"/>
    </row>
    <row r="139" spans="1:46" ht="15.75" customHeight="1" x14ac:dyDescent="0.2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6"/>
      <c r="X139" s="8">
        <v>2</v>
      </c>
      <c r="Y139" s="8" t="s">
        <v>24</v>
      </c>
      <c r="Z139" s="8">
        <f t="shared" ref="Z139:AI139" si="383">SUM(D147)</f>
        <v>44</v>
      </c>
      <c r="AA139" s="9">
        <f t="shared" ca="1" si="383"/>
        <v>43</v>
      </c>
      <c r="AB139" s="10">
        <f t="shared" ca="1" si="383"/>
        <v>8239.6429999999891</v>
      </c>
      <c r="AC139" s="9">
        <f t="shared" ca="1" si="383"/>
        <v>1013</v>
      </c>
      <c r="AD139" s="9">
        <f t="shared" ca="1" si="383"/>
        <v>17</v>
      </c>
      <c r="AE139" s="9">
        <f t="shared" ca="1" si="383"/>
        <v>1030</v>
      </c>
      <c r="AF139" s="9">
        <f t="shared" ca="1" si="383"/>
        <v>1267</v>
      </c>
      <c r="AG139" s="9">
        <f t="shared" ca="1" si="383"/>
        <v>0</v>
      </c>
      <c r="AH139" s="9">
        <f t="shared" ca="1" si="383"/>
        <v>1267</v>
      </c>
      <c r="AI139" s="9">
        <f t="shared" ca="1" si="383"/>
        <v>2297</v>
      </c>
      <c r="AJ139" s="11">
        <f t="shared" ca="1" si="376"/>
        <v>191.61960465116255</v>
      </c>
      <c r="AK139" s="8">
        <v>1580</v>
      </c>
      <c r="AL139" s="15">
        <f t="shared" ca="1" si="377"/>
        <v>1.4537974683544304</v>
      </c>
      <c r="AM139" s="13">
        <f t="shared" si="378"/>
        <v>1.5</v>
      </c>
      <c r="AN139" s="12">
        <f t="shared" ca="1" si="379"/>
        <v>0.18584947592187373</v>
      </c>
      <c r="AO139" s="14">
        <f t="shared" ca="1" si="380"/>
        <v>0.2787742138828106</v>
      </c>
      <c r="AP139" s="13">
        <f t="shared" ref="AP139:AQ139" ca="1" si="384">SUM(T147)</f>
        <v>307.39201641484755</v>
      </c>
      <c r="AQ139" s="13">
        <f t="shared" ca="1" si="384"/>
        <v>7.1486515445313383</v>
      </c>
      <c r="AR139" s="9">
        <f t="shared" ca="1" si="382"/>
        <v>53.418604651162788</v>
      </c>
      <c r="AS139" s="76"/>
      <c r="AT139" s="76"/>
    </row>
    <row r="140" spans="1:46" ht="15.75" customHeight="1" x14ac:dyDescent="0.2">
      <c r="A140" s="70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6"/>
      <c r="X140" s="8">
        <v>3</v>
      </c>
      <c r="Y140" s="8" t="s">
        <v>25</v>
      </c>
      <c r="Z140" s="8">
        <f t="shared" ref="Z140:AI140" si="385">SUM(D148)</f>
        <v>32</v>
      </c>
      <c r="AA140" s="9">
        <f t="shared" ca="1" si="385"/>
        <v>30</v>
      </c>
      <c r="AB140" s="10">
        <f t="shared" ca="1" si="385"/>
        <v>5695.9920000000002</v>
      </c>
      <c r="AC140" s="9">
        <f t="shared" ca="1" si="385"/>
        <v>1810</v>
      </c>
      <c r="AD140" s="9">
        <f t="shared" ca="1" si="385"/>
        <v>399</v>
      </c>
      <c r="AE140" s="9">
        <f t="shared" ca="1" si="385"/>
        <v>2209</v>
      </c>
      <c r="AF140" s="9">
        <f t="shared" ca="1" si="385"/>
        <v>2914</v>
      </c>
      <c r="AG140" s="9">
        <f t="shared" ca="1" si="385"/>
        <v>483</v>
      </c>
      <c r="AH140" s="9">
        <f t="shared" ca="1" si="385"/>
        <v>3397</v>
      </c>
      <c r="AI140" s="9">
        <f t="shared" ca="1" si="385"/>
        <v>5606</v>
      </c>
      <c r="AJ140" s="11">
        <f t="shared" ca="1" si="376"/>
        <v>189.8664</v>
      </c>
      <c r="AK140" s="8">
        <f>SUM(O148)</f>
        <v>6622</v>
      </c>
      <c r="AL140" s="12">
        <f t="shared" ca="1" si="377"/>
        <v>0.8465720326185443</v>
      </c>
      <c r="AM140" s="13">
        <f t="shared" si="378"/>
        <v>1.5</v>
      </c>
      <c r="AN140" s="12">
        <f t="shared" ca="1" si="379"/>
        <v>0.65613388033784692</v>
      </c>
      <c r="AO140" s="14">
        <f t="shared" ca="1" si="380"/>
        <v>0.98420082050677038</v>
      </c>
      <c r="AP140" s="13">
        <f t="shared" ref="AP140:AQ140" ca="1" si="386">SUM(T148)</f>
        <v>238.92583892617449</v>
      </c>
      <c r="AQ140" s="13">
        <f t="shared" ca="1" si="386"/>
        <v>7.9641946308724831</v>
      </c>
      <c r="AR140" s="9">
        <f t="shared" ca="1" si="382"/>
        <v>186.86666666666667</v>
      </c>
      <c r="AS140" s="76"/>
      <c r="AT140" s="76"/>
    </row>
    <row r="141" spans="1:46" ht="15.75" customHeight="1" x14ac:dyDescent="0.25">
      <c r="A141" s="70"/>
      <c r="B141" s="16">
        <v>1</v>
      </c>
      <c r="C141" s="16" t="s">
        <v>26</v>
      </c>
      <c r="D141" s="17">
        <v>20</v>
      </c>
      <c r="E141" s="18">
        <f ca="1">IFERROR(__xludf.DUMMYFUNCTION("COUNT(IMPORTRANGE(""https://docs.google.com/spreadsheets/d/1z0o91thOT38lgejTE_Bd2p3v_9VCDdQRkUsMIVqpQCk/edit"",""6!d2:d21""))"),20)</f>
        <v>20</v>
      </c>
      <c r="F141" s="19">
        <f ca="1">IFERROR(__xludf.DUMMYFUNCTION("SUM(IMPORTRANGE(""https://docs.google.com/spreadsheets/d/1z0o91thOT38lgejTE_Bd2p3v_9VCDdQRkUsMIVqpQCk/edit"",""6!Q2:Q21""))"),3719.682)</f>
        <v>3719.6819999999998</v>
      </c>
      <c r="G141" s="18">
        <f ca="1">IFERROR(__xludf.DUMMYFUNCTION("IMPORTRANGE(""https://docs.google.com/spreadsheets/d/1z0o91thOT38lgejTE_Bd2p3v_9VCDdQRkUsMIVqpQCk/edit"",""6!e28"")"),2043)</f>
        <v>2043</v>
      </c>
      <c r="H141" s="18">
        <f ca="1">IFERROR(__xludf.DUMMYFUNCTION("IMPORTRANGE(""https://docs.google.com/spreadsheets/d/1z0o91thOT38lgejTE_Bd2p3v_9VCDdQRkUsMIVqpQCk/edit"",""6!e29"")"),0)</f>
        <v>0</v>
      </c>
      <c r="I141" s="18">
        <f t="shared" ref="I141:I158" ca="1" si="387">SUM(G141:H141)</f>
        <v>2043</v>
      </c>
      <c r="J141" s="18">
        <f ca="1">IFERROR(__xludf.DUMMYFUNCTION("IMPORTRANGE(""https://docs.google.com/spreadsheets/d/1z0o91thOT38lgejTE_Bd2p3v_9VCDdQRkUsMIVqpQCk/edit"",""6!e32"")"),2437)</f>
        <v>2437</v>
      </c>
      <c r="K141" s="18">
        <f ca="1">IFERROR(__xludf.DUMMYFUNCTION("IMPORTRANGE(""https://docs.google.com/spreadsheets/d/1z0o91thOT38lgejTE_Bd2p3v_9VCDdQRkUsMIVqpQCk/edit"",""6!e33"")"),82)</f>
        <v>82</v>
      </c>
      <c r="L141" s="18">
        <f t="shared" ref="L141:L147" ca="1" si="388">SUM(J141:K141)</f>
        <v>2519</v>
      </c>
      <c r="M141" s="18">
        <f t="shared" ref="M141:M158" ca="1" si="389">SUM(I141+L141)</f>
        <v>4562</v>
      </c>
      <c r="N141" s="19">
        <f t="shared" ref="N141:N159" ca="1" si="390">F141/E141</f>
        <v>185.98409999999998</v>
      </c>
      <c r="O141" s="16">
        <v>5161</v>
      </c>
      <c r="P141" s="20">
        <f t="shared" ref="P141:P159" ca="1" si="391">M141/O141</f>
        <v>0.88393722146870757</v>
      </c>
      <c r="Q141" s="21">
        <v>1.5</v>
      </c>
      <c r="R141" s="20">
        <f t="shared" ref="R141:R159" ca="1" si="392">S141/Q141</f>
        <v>0.81763261841558865</v>
      </c>
      <c r="S141" s="22">
        <f t="shared" ref="S141:S159" ca="1" si="393">M141/F141</f>
        <v>1.226448927623383</v>
      </c>
      <c r="T141" s="21">
        <f ca="1">F141/14.415</f>
        <v>258.04245577523415</v>
      </c>
      <c r="U141" s="21">
        <f t="shared" ref="U141:U159" ca="1" si="394">T141/E141</f>
        <v>12.902122788761707</v>
      </c>
      <c r="V141" s="18">
        <f t="shared" ref="V141:V159" ca="1" si="395">M141/E141</f>
        <v>228.1</v>
      </c>
      <c r="W141" s="76"/>
      <c r="X141" s="8">
        <v>4</v>
      </c>
      <c r="Y141" s="8" t="s">
        <v>27</v>
      </c>
      <c r="Z141" s="8">
        <f t="shared" ref="Z141:AK141" si="396">SUM(D154)</f>
        <v>30</v>
      </c>
      <c r="AA141" s="9">
        <f t="shared" ca="1" si="396"/>
        <v>30</v>
      </c>
      <c r="AB141" s="10">
        <f t="shared" ca="1" si="396"/>
        <v>5325.8649999999998</v>
      </c>
      <c r="AC141" s="9">
        <f t="shared" ca="1" si="396"/>
        <v>1509</v>
      </c>
      <c r="AD141" s="9">
        <f t="shared" ca="1" si="396"/>
        <v>88</v>
      </c>
      <c r="AE141" s="9">
        <f t="shared" ca="1" si="396"/>
        <v>1597</v>
      </c>
      <c r="AF141" s="9">
        <f t="shared" ca="1" si="396"/>
        <v>2567</v>
      </c>
      <c r="AG141" s="9">
        <f t="shared" ca="1" si="396"/>
        <v>106</v>
      </c>
      <c r="AH141" s="9">
        <f t="shared" ca="1" si="396"/>
        <v>2673</v>
      </c>
      <c r="AI141" s="9">
        <f t="shared" ca="1" si="396"/>
        <v>4270</v>
      </c>
      <c r="AJ141" s="11">
        <f t="shared" ca="1" si="396"/>
        <v>177.52883333333332</v>
      </c>
      <c r="AK141" s="8">
        <f t="shared" si="396"/>
        <v>8101</v>
      </c>
      <c r="AL141" s="12">
        <f t="shared" ca="1" si="377"/>
        <v>0.52709542031847922</v>
      </c>
      <c r="AM141" s="13">
        <f>SUM(Q154)</f>
        <v>1.5</v>
      </c>
      <c r="AN141" s="12">
        <f t="shared" ca="1" si="379"/>
        <v>0.53449846488160457</v>
      </c>
      <c r="AO141" s="14">
        <f t="shared" ca="1" si="380"/>
        <v>0.8017476973224068</v>
      </c>
      <c r="AP141" s="13">
        <f t="shared" ref="AP141:AQ141" ca="1" si="397">SUM(T154)</f>
        <v>266.49311983987991</v>
      </c>
      <c r="AQ141" s="13">
        <f t="shared" ca="1" si="397"/>
        <v>8.8831039946626635</v>
      </c>
      <c r="AR141" s="9">
        <f t="shared" ca="1" si="382"/>
        <v>142.33333333333334</v>
      </c>
      <c r="AS141" s="76"/>
      <c r="AT141" s="76"/>
    </row>
    <row r="142" spans="1:46" ht="15.75" customHeight="1" x14ac:dyDescent="0.25">
      <c r="A142" s="70"/>
      <c r="B142" s="16">
        <v>2</v>
      </c>
      <c r="C142" s="16" t="s">
        <v>28</v>
      </c>
      <c r="D142" s="17">
        <v>33</v>
      </c>
      <c r="E142" s="18">
        <f ca="1">IFERROR(__xludf.DUMMYFUNCTION("COUNT(IMPORTRANGE(""https://docs.google.com/spreadsheets/d/10a85iNN0y9GF6ngQfF1JXGAzFk-T7ywH4-TZtQcOTaE/edit"",""6!d2:d34""))"),32)</f>
        <v>32</v>
      </c>
      <c r="F142" s="19">
        <f ca="1">IFERROR(__xludf.DUMMYFUNCTION("SUM(IMPORTRANGE(""https://docs.google.com/spreadsheets/d/10a85iNN0y9GF6ngQfF1JXGAzFk-T7ywH4-TZtQcOTaE/edit"",""6!Q2:Q34""))"),6374.348)</f>
        <v>6374.348</v>
      </c>
      <c r="G142" s="18">
        <f ca="1">IFERROR(__xludf.DUMMYFUNCTION("IMPORTRANGE(""https://docs.google.com/spreadsheets/d/10a85iNN0y9GF6ngQfF1JXGAzFk-T7ywH4-TZtQcOTaE/edit"",""6!e41"")"),1908)</f>
        <v>1908</v>
      </c>
      <c r="H142" s="18">
        <f ca="1">IFERROR(__xludf.DUMMYFUNCTION("IMPORTRANGE(""https://docs.google.com/spreadsheets/d/10a85iNN0y9GF6ngQfF1JXGAzFk-T7ywH4-TZtQcOTaE/edit"",""6!e42"")"),260)</f>
        <v>260</v>
      </c>
      <c r="I142" s="18">
        <f t="shared" ca="1" si="387"/>
        <v>2168</v>
      </c>
      <c r="J142" s="18">
        <f ca="1">IFERROR(__xludf.DUMMYFUNCTION("IMPORTRANGE(""https://docs.google.com/spreadsheets/d/10a85iNN0y9GF6ngQfF1JXGAzFk-T7ywH4-TZtQcOTaE/edit"",""6!e45"")"),2186)</f>
        <v>2186</v>
      </c>
      <c r="K142" s="18">
        <f ca="1">IFERROR(__xludf.DUMMYFUNCTION("IMPORTRANGE(""https://docs.google.com/spreadsheets/d/10a85iNN0y9GF6ngQfF1JXGAzFk-T7ywH4-TZtQcOTaE/edit"",""6!e46"")"),533)</f>
        <v>533</v>
      </c>
      <c r="L142" s="18">
        <f t="shared" ca="1" si="388"/>
        <v>2719</v>
      </c>
      <c r="M142" s="18">
        <f t="shared" ca="1" si="389"/>
        <v>4887</v>
      </c>
      <c r="N142" s="19">
        <f t="shared" ca="1" si="390"/>
        <v>199.198375</v>
      </c>
      <c r="O142" s="16">
        <v>7315</v>
      </c>
      <c r="P142" s="20">
        <f t="shared" ca="1" si="391"/>
        <v>0.66807928913192072</v>
      </c>
      <c r="Q142" s="21">
        <v>1.5</v>
      </c>
      <c r="R142" s="20">
        <f t="shared" ca="1" si="392"/>
        <v>0.51111109716632985</v>
      </c>
      <c r="S142" s="22">
        <f t="shared" ca="1" si="393"/>
        <v>0.76666664574949472</v>
      </c>
      <c r="T142" s="21">
        <f ca="1">F142/30.897</f>
        <v>206.30960934718581</v>
      </c>
      <c r="U142" s="21">
        <f t="shared" ca="1" si="394"/>
        <v>6.4471752920995566</v>
      </c>
      <c r="V142" s="18">
        <f t="shared" ca="1" si="395"/>
        <v>152.71875</v>
      </c>
      <c r="W142" s="76"/>
      <c r="X142" s="8">
        <v>5</v>
      </c>
      <c r="Y142" s="8" t="s">
        <v>29</v>
      </c>
      <c r="Z142" s="8">
        <f t="shared" ref="Z142:AI142" si="398">SUM(D157)</f>
        <v>30</v>
      </c>
      <c r="AA142" s="9">
        <f t="shared" ca="1" si="398"/>
        <v>28</v>
      </c>
      <c r="AB142" s="10">
        <f t="shared" ca="1" si="398"/>
        <v>5546.0940000000001</v>
      </c>
      <c r="AC142" s="9">
        <f t="shared" ca="1" si="398"/>
        <v>2452</v>
      </c>
      <c r="AD142" s="9">
        <f t="shared" ca="1" si="398"/>
        <v>0</v>
      </c>
      <c r="AE142" s="9">
        <f t="shared" ca="1" si="398"/>
        <v>2452</v>
      </c>
      <c r="AF142" s="9">
        <f t="shared" ca="1" si="398"/>
        <v>3688</v>
      </c>
      <c r="AG142" s="9">
        <f t="shared" ca="1" si="398"/>
        <v>0</v>
      </c>
      <c r="AH142" s="9">
        <f t="shared" ca="1" si="398"/>
        <v>3688</v>
      </c>
      <c r="AI142" s="9">
        <f t="shared" ca="1" si="398"/>
        <v>6140</v>
      </c>
      <c r="AJ142" s="11">
        <f t="shared" ref="AJ142:AJ144" ca="1" si="399">AB142/AA142</f>
        <v>198.07478571428572</v>
      </c>
      <c r="AK142" s="8">
        <f t="shared" ref="AK142:AK143" si="400">SUM(O157)</f>
        <v>9201</v>
      </c>
      <c r="AL142" s="12">
        <f t="shared" ca="1" si="377"/>
        <v>0.66731876969894577</v>
      </c>
      <c r="AM142" s="13">
        <f t="shared" ref="AM142:AM143" si="401">SUM(Q157)</f>
        <v>1.5</v>
      </c>
      <c r="AN142" s="12">
        <f t="shared" ca="1" si="379"/>
        <v>0.73805697006457749</v>
      </c>
      <c r="AO142" s="14">
        <f t="shared" ca="1" si="380"/>
        <v>1.1070854550968663</v>
      </c>
      <c r="AP142" s="13">
        <f t="shared" ref="AP142:AQ142" ca="1" si="402">SUM(T157)</f>
        <v>213</v>
      </c>
      <c r="AQ142" s="13">
        <f t="shared" ca="1" si="402"/>
        <v>7.6071428571428568</v>
      </c>
      <c r="AR142" s="9">
        <f t="shared" ca="1" si="382"/>
        <v>219.28571428571428</v>
      </c>
      <c r="AS142" s="76"/>
      <c r="AT142" s="76"/>
    </row>
    <row r="143" spans="1:46" ht="15.75" customHeight="1" x14ac:dyDescent="0.25">
      <c r="A143" s="70"/>
      <c r="B143" s="16">
        <v>3</v>
      </c>
      <c r="C143" s="16" t="s">
        <v>30</v>
      </c>
      <c r="D143" s="17">
        <v>60</v>
      </c>
      <c r="E143" s="18">
        <f ca="1">IFERROR(__xludf.DUMMYFUNCTION("COUNT(IMPORTRANGE(""https://docs.google.com/spreadsheets/d/1WojVzHhpzodJL1e5UDHeu3A3u5MTSZwvxHu0BrwvL9w/edit"",""6!d2:d61""))"),59)</f>
        <v>59</v>
      </c>
      <c r="F143" s="23">
        <f ca="1">IFERROR(__xludf.DUMMYFUNCTION("SUM(IMPORTRANGE(""https://docs.google.com/spreadsheets/d/1WojVzHhpzodJL1e5UDHeu3A3u5MTSZwvxHu0BrwvL9w/edit"",""6!Q2:Q61""))"),11485.9639999999)</f>
        <v>11485.9639999999</v>
      </c>
      <c r="G143" s="18">
        <f ca="1">IFERROR(__xludf.DUMMYFUNCTION("IMPORTRANGE(""https://docs.google.com/spreadsheets/d/1WojVzHhpzodJL1e5UDHeu3A3u5MTSZwvxHu0BrwvL9w/edit"",""6!e68"")"),3255)</f>
        <v>3255</v>
      </c>
      <c r="H143" s="18">
        <f ca="1">IFERROR(__xludf.DUMMYFUNCTION("IMPORTRANGE(""https://docs.google.com/spreadsheets/d/1WojVzHhpzodJL1e5UDHeu3A3u5MTSZwvxHu0BrwvL9w/edit"",""6!e69"")"),0)</f>
        <v>0</v>
      </c>
      <c r="I143" s="18">
        <f t="shared" ca="1" si="387"/>
        <v>3255</v>
      </c>
      <c r="J143" s="18">
        <f ca="1">IFERROR(__xludf.DUMMYFUNCTION("IMPORTRANGE(""https://docs.google.com/spreadsheets/d/1WojVzHhpzodJL1e5UDHeu3A3u5MTSZwvxHu0BrwvL9w/edit"",""6!e72"")"),4873)</f>
        <v>4873</v>
      </c>
      <c r="K143" s="18">
        <f ca="1">IFERROR(__xludf.DUMMYFUNCTION("IMPORTRANGE(""https://docs.google.com/spreadsheets/d/1WojVzHhpzodJL1e5UDHeu3A3u5MTSZwvxHu0BrwvL9w/edit"",""6!e73"")"),0)</f>
        <v>0</v>
      </c>
      <c r="L143" s="18">
        <f t="shared" ca="1" si="388"/>
        <v>4873</v>
      </c>
      <c r="M143" s="18">
        <f t="shared" ca="1" si="389"/>
        <v>8128</v>
      </c>
      <c r="N143" s="19">
        <f t="shared" ca="1" si="390"/>
        <v>194.67735593220169</v>
      </c>
      <c r="O143" s="16">
        <v>11164</v>
      </c>
      <c r="P143" s="20">
        <f t="shared" ca="1" si="391"/>
        <v>0.72805446076675029</v>
      </c>
      <c r="Q143" s="21">
        <v>1.5</v>
      </c>
      <c r="R143" s="20">
        <f t="shared" ca="1" si="392"/>
        <v>0.4717642042641535</v>
      </c>
      <c r="S143" s="22">
        <f t="shared" ca="1" si="393"/>
        <v>0.70764630639623027</v>
      </c>
      <c r="T143" s="21">
        <f ca="1">F143/29.603</f>
        <v>387.99999999999659</v>
      </c>
      <c r="U143" s="21">
        <f t="shared" ca="1" si="394"/>
        <v>6.5762711864406205</v>
      </c>
      <c r="V143" s="18">
        <f t="shared" ca="1" si="395"/>
        <v>137.76271186440678</v>
      </c>
      <c r="W143" s="76"/>
      <c r="X143" s="8">
        <v>6</v>
      </c>
      <c r="Y143" s="8" t="s">
        <v>31</v>
      </c>
      <c r="Z143" s="8">
        <f t="shared" ref="Z143:AI143" si="403">SUM(D158)</f>
        <v>15</v>
      </c>
      <c r="AA143" s="9">
        <f t="shared" ca="1" si="403"/>
        <v>15</v>
      </c>
      <c r="AB143" s="11">
        <f t="shared" ca="1" si="403"/>
        <v>2868.6899999999901</v>
      </c>
      <c r="AC143" s="9">
        <f t="shared" ca="1" si="403"/>
        <v>892</v>
      </c>
      <c r="AD143" s="9">
        <f t="shared" ca="1" si="403"/>
        <v>0</v>
      </c>
      <c r="AE143" s="9">
        <f t="shared" ca="1" si="403"/>
        <v>892</v>
      </c>
      <c r="AF143" s="9">
        <f t="shared" ca="1" si="403"/>
        <v>946</v>
      </c>
      <c r="AG143" s="9">
        <f t="shared" ca="1" si="403"/>
        <v>0</v>
      </c>
      <c r="AH143" s="9">
        <f t="shared" ca="1" si="403"/>
        <v>946</v>
      </c>
      <c r="AI143" s="9">
        <f t="shared" ca="1" si="403"/>
        <v>1838</v>
      </c>
      <c r="AJ143" s="11">
        <f t="shared" ca="1" si="399"/>
        <v>191.24599999999933</v>
      </c>
      <c r="AK143" s="8">
        <f t="shared" si="400"/>
        <v>2717</v>
      </c>
      <c r="AL143" s="12">
        <f t="shared" ca="1" si="377"/>
        <v>0.67648141332351863</v>
      </c>
      <c r="AM143" s="13">
        <f t="shared" si="401"/>
        <v>1.5</v>
      </c>
      <c r="AN143" s="12">
        <f t="shared" ca="1" si="379"/>
        <v>0.42714037882564432</v>
      </c>
      <c r="AO143" s="14">
        <f t="shared" ca="1" si="380"/>
        <v>0.6407105682384665</v>
      </c>
      <c r="AP143" s="13">
        <f t="shared" ref="AP143:AQ143" ca="1" si="404">SUM(T158)</f>
        <v>65.999999999999773</v>
      </c>
      <c r="AQ143" s="13">
        <f t="shared" ca="1" si="404"/>
        <v>4.3999999999999853</v>
      </c>
      <c r="AR143" s="9">
        <f t="shared" ca="1" si="382"/>
        <v>122.53333333333333</v>
      </c>
      <c r="AS143" s="76"/>
      <c r="AT143" s="76"/>
    </row>
    <row r="144" spans="1:46" ht="15.75" customHeight="1" x14ac:dyDescent="0.25">
      <c r="A144" s="70"/>
      <c r="B144" s="16">
        <v>4</v>
      </c>
      <c r="C144" s="16" t="s">
        <v>32</v>
      </c>
      <c r="D144" s="17">
        <v>42</v>
      </c>
      <c r="E144" s="18">
        <f ca="1">IFERROR(__xludf.DUMMYFUNCTION("COUNT(IMPORTRANGE(""https://docs.google.com/spreadsheets/d/1vmCj5YcMSPHj1m64syDndQ6cqVL3yolcU03Y8KHmvdc/edit"",""6!d2:d43""))"),42)</f>
        <v>42</v>
      </c>
      <c r="F144" s="23">
        <f ca="1">IFERROR(__xludf.DUMMYFUNCTION("SUM(IMPORTRANGE(""https://docs.google.com/spreadsheets/d/1vmCj5YcMSPHj1m64syDndQ6cqVL3yolcU03Y8KHmvdc/edit"",""6!Q2:Q43""))"),8354.63699999999)</f>
        <v>8354.6369999999897</v>
      </c>
      <c r="G144" s="16">
        <f ca="1">IFERROR(__xludf.DUMMYFUNCTION("IMPORTRANGE(""https://docs.google.com/spreadsheets/d/1vmCj5YcMSPHj1m64syDndQ6cqVL3yolcU03Y8KHmvdc/edit"",""6!e50"")"),4300)</f>
        <v>4300</v>
      </c>
      <c r="H144" s="16">
        <f ca="1">IFERROR(__xludf.DUMMYFUNCTION("IMPORTRANGE(""https://docs.google.com/spreadsheets/d/1vmCj5YcMSPHj1m64syDndQ6cqVL3yolcU03Y8KHmvdc/edit"",""6!e51"")"),60)</f>
        <v>60</v>
      </c>
      <c r="I144" s="18">
        <f t="shared" ca="1" si="387"/>
        <v>4360</v>
      </c>
      <c r="J144" s="16">
        <f ca="1">IFERROR(__xludf.DUMMYFUNCTION("IMPORTRANGE(""https://docs.google.com/spreadsheets/d/1vmCj5YcMSPHj1m64syDndQ6cqVL3yolcU03Y8KHmvdc/edit"",""6!e54"")"),4988)</f>
        <v>4988</v>
      </c>
      <c r="K144" s="16">
        <f ca="1">IFERROR(__xludf.DUMMYFUNCTION("IMPORTRANGE(""https://docs.google.com/spreadsheets/d/1vmCj5YcMSPHj1m64syDndQ6cqVL3yolcU03Y8KHmvdc/edit"",""6!e55"")"),70)</f>
        <v>70</v>
      </c>
      <c r="L144" s="18">
        <f t="shared" ca="1" si="388"/>
        <v>5058</v>
      </c>
      <c r="M144" s="18">
        <f t="shared" ca="1" si="389"/>
        <v>9418</v>
      </c>
      <c r="N144" s="19">
        <f t="shared" ca="1" si="390"/>
        <v>198.91992857142833</v>
      </c>
      <c r="O144" s="16">
        <v>13817</v>
      </c>
      <c r="P144" s="20">
        <f t="shared" ca="1" si="391"/>
        <v>0.68162408627053628</v>
      </c>
      <c r="Q144" s="21">
        <v>1.5</v>
      </c>
      <c r="R144" s="20">
        <f t="shared" ca="1" si="392"/>
        <v>0.75151878731136668</v>
      </c>
      <c r="S144" s="22">
        <f t="shared" ca="1" si="393"/>
        <v>1.12727818096705</v>
      </c>
      <c r="T144" s="21">
        <f ca="1">F144/25.089</f>
        <v>332.9999999999996</v>
      </c>
      <c r="U144" s="21">
        <f t="shared" ca="1" si="394"/>
        <v>7.9285714285714191</v>
      </c>
      <c r="V144" s="18">
        <f t="shared" ca="1" si="395"/>
        <v>224.23809523809524</v>
      </c>
      <c r="W144" s="76"/>
      <c r="X144" s="24" t="s">
        <v>33</v>
      </c>
      <c r="Y144" s="24">
        <v>6</v>
      </c>
      <c r="Z144" s="24">
        <f t="shared" ref="Z144:AI144" si="405">SUM(Z138:Z143)</f>
        <v>186</v>
      </c>
      <c r="AA144" s="25">
        <f t="shared" ca="1" si="405"/>
        <v>179</v>
      </c>
      <c r="AB144" s="26">
        <f t="shared" ca="1" si="405"/>
        <v>34188.10399999997</v>
      </c>
      <c r="AC144" s="25">
        <f t="shared" ca="1" si="405"/>
        <v>9369</v>
      </c>
      <c r="AD144" s="25">
        <f t="shared" ca="1" si="405"/>
        <v>504</v>
      </c>
      <c r="AE144" s="25">
        <f t="shared" ca="1" si="405"/>
        <v>9873</v>
      </c>
      <c r="AF144" s="25">
        <f t="shared" ca="1" si="405"/>
        <v>14229</v>
      </c>
      <c r="AG144" s="25">
        <f t="shared" ca="1" si="405"/>
        <v>589</v>
      </c>
      <c r="AH144" s="25">
        <f t="shared" ca="1" si="405"/>
        <v>14818</v>
      </c>
      <c r="AI144" s="25">
        <f t="shared" ca="1" si="405"/>
        <v>24691</v>
      </c>
      <c r="AJ144" s="27">
        <f t="shared" ca="1" si="399"/>
        <v>190.99499441340765</v>
      </c>
      <c r="AK144" s="24">
        <f>SUM(AK138:AK143)</f>
        <v>35074</v>
      </c>
      <c r="AL144" s="28">
        <f t="shared" ca="1" si="377"/>
        <v>0.70396875178194673</v>
      </c>
      <c r="AM144" s="29">
        <v>1.5</v>
      </c>
      <c r="AN144" s="28">
        <f t="shared" ca="1" si="379"/>
        <v>0.48147351683107908</v>
      </c>
      <c r="AO144" s="30">
        <f t="shared" ca="1" si="380"/>
        <v>0.72221027524661863</v>
      </c>
      <c r="AP144" s="29">
        <f ca="1">SUM(AP138:AP143)</f>
        <v>1284.8109751809013</v>
      </c>
      <c r="AQ144" s="29">
        <f ca="1">AP144/AA144</f>
        <v>7.1777149451447002</v>
      </c>
      <c r="AR144" s="25">
        <f t="shared" ca="1" si="382"/>
        <v>137.93854748603351</v>
      </c>
      <c r="AS144" s="76"/>
      <c r="AT144" s="76"/>
    </row>
    <row r="145" spans="1:46" ht="15.75" customHeight="1" x14ac:dyDescent="0.25">
      <c r="A145" s="70"/>
      <c r="B145" s="16">
        <v>5</v>
      </c>
      <c r="C145" s="16" t="s">
        <v>34</v>
      </c>
      <c r="D145" s="17">
        <v>40</v>
      </c>
      <c r="E145" s="18">
        <f ca="1">IFERROR(__xludf.DUMMYFUNCTION("COUNT(IMPORTRANGE(""https://docs.google.com/spreadsheets/d/14_Y-fpuq1wcec3DlT_1PBYekOC0YblQMrWVfO12YO3k/edit"",""6!d2:d41""))"),37)</f>
        <v>37</v>
      </c>
      <c r="F145" s="23">
        <f ca="1">IFERROR(__xludf.DUMMYFUNCTION("SUM(IMPORTRANGE(""https://docs.google.com/spreadsheets/d/14_Y-fpuq1wcec3DlT_1PBYekOC0YblQMrWVfO12YO3k/edit"",""6!Q2:Q41""))"),7015.179)</f>
        <v>7015.1790000000001</v>
      </c>
      <c r="G145" s="18">
        <f ca="1">IFERROR(__xludf.DUMMYFUNCTION("IMPORTRANGE(""https://docs.google.com/spreadsheets/d/14_Y-fpuq1wcec3DlT_1PBYekOC0YblQMrWVfO12YO3k/edit"",""6!e48"")"),2484)</f>
        <v>2484</v>
      </c>
      <c r="H145" s="18">
        <f ca="1">IFERROR(__xludf.DUMMYFUNCTION("IMPORTRANGE(""https://docs.google.com/spreadsheets/d/14_Y-fpuq1wcec3DlT_1PBYekOC0YblQMrWVfO12YO3k/edit"",""6!e49"")"),0)</f>
        <v>0</v>
      </c>
      <c r="I145" s="18">
        <f t="shared" ca="1" si="387"/>
        <v>2484</v>
      </c>
      <c r="J145" s="18">
        <f ca="1">IFERROR(__xludf.DUMMYFUNCTION("IMPORTRANGE(""https://docs.google.com/spreadsheets/d/14_Y-fpuq1wcec3DlT_1PBYekOC0YblQMrWVfO12YO3k/edit"",""6!e52"")"),3486)</f>
        <v>3486</v>
      </c>
      <c r="K145" s="18">
        <f ca="1">IFERROR(__xludf.DUMMYFUNCTION("IMPORTRANGE(""https://docs.google.com/spreadsheets/d/14_Y-fpuq1wcec3DlT_1PBYekOC0YblQMrWVfO12YO3k/edit"",""6!e53"")"),0)</f>
        <v>0</v>
      </c>
      <c r="L145" s="18">
        <f t="shared" ca="1" si="388"/>
        <v>3486</v>
      </c>
      <c r="M145" s="18">
        <f t="shared" ca="1" si="389"/>
        <v>5970</v>
      </c>
      <c r="N145" s="19">
        <f t="shared" ca="1" si="390"/>
        <v>189.59943243243242</v>
      </c>
      <c r="O145" s="16">
        <v>9354</v>
      </c>
      <c r="P145" s="20">
        <f t="shared" ca="1" si="391"/>
        <v>0.63822963438101343</v>
      </c>
      <c r="Q145" s="21">
        <v>1.5</v>
      </c>
      <c r="R145" s="20">
        <f t="shared" ca="1" si="392"/>
        <v>0.56734118972587866</v>
      </c>
      <c r="S145" s="22">
        <f t="shared" ca="1" si="393"/>
        <v>0.85101178458881799</v>
      </c>
      <c r="T145" s="21">
        <f ca="1">F145/30.713</f>
        <v>228.41073812392148</v>
      </c>
      <c r="U145" s="21">
        <f t="shared" ca="1" si="394"/>
        <v>6.1732631925384185</v>
      </c>
      <c r="V145" s="18">
        <f t="shared" ca="1" si="395"/>
        <v>161.35135135135135</v>
      </c>
      <c r="W145" s="76"/>
      <c r="X145" s="100" t="s">
        <v>35</v>
      </c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9"/>
      <c r="AS145" s="76"/>
      <c r="AT145" s="76"/>
    </row>
    <row r="146" spans="1:46" ht="15.75" customHeight="1" x14ac:dyDescent="0.25">
      <c r="A146" s="70"/>
      <c r="B146" s="16">
        <v>6</v>
      </c>
      <c r="C146" s="16" t="s">
        <v>23</v>
      </c>
      <c r="D146" s="17">
        <v>35</v>
      </c>
      <c r="E146" s="18">
        <f ca="1">IFERROR(__xludf.DUMMYFUNCTION("COUNT(IMPORTRANGE(""https://docs.google.com/spreadsheets/d/1lJqjdj05V4LOXuBOiTdE65GV4ZITyx1cMLcDdcuoUnE/edit"",""6!d2:d36""))"),33)</f>
        <v>33</v>
      </c>
      <c r="F146" s="23">
        <f ca="1">IFERROR(__xludf.DUMMYFUNCTION("SUM(IMPORTRANGE(""https://docs.google.com/spreadsheets/d/1lJqjdj05V4LOXuBOiTdE65GV4ZITyx1cMLcDdcuoUnE/edit"",""6!Q2:Q36""))"),6511.81999999999)</f>
        <v>6511.8199999999897</v>
      </c>
      <c r="G146" s="18">
        <f ca="1">IFERROR(__xludf.DUMMYFUNCTION("IMPORTRANGE(""https://docs.google.com/spreadsheets/d/1lJqjdj05V4LOXuBOiTdE65GV4ZITyx1cMLcDdcuoUnE/edit"",""6!e43"")"),1693)</f>
        <v>1693</v>
      </c>
      <c r="H146" s="18">
        <f ca="1">IFERROR(__xludf.DUMMYFUNCTION("IMPORTRANGE(""https://docs.google.com/spreadsheets/d/1lJqjdj05V4LOXuBOiTdE65GV4ZITyx1cMLcDdcuoUnE/edit"",""6!e44"")"),0)</f>
        <v>0</v>
      </c>
      <c r="I146" s="18">
        <f t="shared" ca="1" si="387"/>
        <v>1693</v>
      </c>
      <c r="J146" s="18">
        <f ca="1">IFERROR(__xludf.DUMMYFUNCTION("IMPORTRANGE(""https://docs.google.com/spreadsheets/d/1lJqjdj05V4LOXuBOiTdE65GV4ZITyx1cMLcDdcuoUnE/edit"",""6!e47"")"),2847)</f>
        <v>2847</v>
      </c>
      <c r="K146" s="18">
        <f ca="1">IFERROR(__xludf.DUMMYFUNCTION("IMPORTRANGE(""https://docs.google.com/spreadsheets/d/1lJqjdj05V4LOXuBOiTdE65GV4ZITyx1cMLcDdcuoUnE/edit"",""6!e48"")"),0)</f>
        <v>0</v>
      </c>
      <c r="L146" s="18">
        <f t="shared" ca="1" si="388"/>
        <v>2847</v>
      </c>
      <c r="M146" s="18">
        <f t="shared" ca="1" si="389"/>
        <v>4540</v>
      </c>
      <c r="N146" s="19">
        <f t="shared" ca="1" si="390"/>
        <v>197.32787878787849</v>
      </c>
      <c r="O146" s="16">
        <v>6853</v>
      </c>
      <c r="P146" s="20">
        <f t="shared" ca="1" si="391"/>
        <v>0.66248358383189843</v>
      </c>
      <c r="Q146" s="21">
        <v>1.5</v>
      </c>
      <c r="R146" s="20">
        <f t="shared" ca="1" si="392"/>
        <v>0.46479581233306072</v>
      </c>
      <c r="S146" s="22">
        <f t="shared" ca="1" si="393"/>
        <v>0.69719371849959111</v>
      </c>
      <c r="T146" s="21">
        <f ca="1">F146/33.74</f>
        <v>192.99999999999969</v>
      </c>
      <c r="U146" s="21">
        <f t="shared" ca="1" si="394"/>
        <v>5.8484848484848388</v>
      </c>
      <c r="V146" s="18">
        <f t="shared" ca="1" si="395"/>
        <v>137.57575757575756</v>
      </c>
      <c r="W146" s="76"/>
      <c r="X146" s="1" t="s">
        <v>2</v>
      </c>
      <c r="Y146" s="1" t="s">
        <v>3</v>
      </c>
      <c r="Z146" s="1" t="s">
        <v>4</v>
      </c>
      <c r="AA146" s="1" t="s">
        <v>5</v>
      </c>
      <c r="AB146" s="2" t="s">
        <v>6</v>
      </c>
      <c r="AC146" s="1" t="s">
        <v>7</v>
      </c>
      <c r="AD146" s="1" t="s">
        <v>8</v>
      </c>
      <c r="AE146" s="1" t="s">
        <v>9</v>
      </c>
      <c r="AF146" s="1" t="s">
        <v>10</v>
      </c>
      <c r="AG146" s="1" t="s">
        <v>11</v>
      </c>
      <c r="AH146" s="1" t="s">
        <v>12</v>
      </c>
      <c r="AI146" s="1" t="s">
        <v>13</v>
      </c>
      <c r="AJ146" s="2" t="s">
        <v>14</v>
      </c>
      <c r="AK146" s="1" t="s">
        <v>15</v>
      </c>
      <c r="AL146" s="1" t="s">
        <v>16</v>
      </c>
      <c r="AM146" s="3" t="s">
        <v>17</v>
      </c>
      <c r="AN146" s="4" t="s">
        <v>18</v>
      </c>
      <c r="AO146" s="5" t="s">
        <v>19</v>
      </c>
      <c r="AP146" s="6" t="s">
        <v>20</v>
      </c>
      <c r="AQ146" s="6" t="s">
        <v>21</v>
      </c>
      <c r="AR146" s="7" t="s">
        <v>22</v>
      </c>
      <c r="AS146" s="76"/>
      <c r="AT146" s="76"/>
    </row>
    <row r="147" spans="1:46" ht="15.75" customHeight="1" x14ac:dyDescent="0.25">
      <c r="A147" s="70"/>
      <c r="B147" s="16">
        <v>7</v>
      </c>
      <c r="C147" s="16" t="s">
        <v>24</v>
      </c>
      <c r="D147" s="17">
        <v>44</v>
      </c>
      <c r="E147" s="31">
        <f ca="1">IFERROR(__xludf.DUMMYFUNCTION("COUNT(IMPORTRANGE(""https://docs.google.com/spreadsheets/d/1_7EEO26q9Yq-XhNFiy7I6Zh4Yg6uGjTs9y0UqNvPKcQ/edit"",""6!d2:d45""))"),43)</f>
        <v>43</v>
      </c>
      <c r="F147" s="32">
        <f ca="1">IFERROR(__xludf.DUMMYFUNCTION("SUM(IMPORTRANGE(""https://docs.google.com/spreadsheets/d/1_7EEO26q9Yq-XhNFiy7I6Zh4Yg6uGjTs9y0UqNvPKcQ/edit"",""6!Q2:Q45""))"),8239.64299999999)</f>
        <v>8239.6429999999891</v>
      </c>
      <c r="G147" s="31">
        <f ca="1">IFERROR(__xludf.DUMMYFUNCTION("IMPORTRANGE(""https://docs.google.com/spreadsheets/d/1_7EEO26q9Yq-XhNFiy7I6Zh4Yg6uGjTs9y0UqNvPKcQ/edit"",""6!e53"")"),1013)</f>
        <v>1013</v>
      </c>
      <c r="H147" s="31">
        <f ca="1">IFERROR(__xludf.DUMMYFUNCTION("IMPORTRANGE(""https://docs.google.com/spreadsheets/d/1_7EEO26q9Yq-XhNFiy7I6Zh4Yg6uGjTs9y0UqNvPKcQ/edit"",""6!e54"")"),17)</f>
        <v>17</v>
      </c>
      <c r="I147" s="31">
        <f t="shared" ca="1" si="387"/>
        <v>1030</v>
      </c>
      <c r="J147" s="31">
        <f ca="1">IFERROR(__xludf.DUMMYFUNCTION("IMPORTRANGE(""https://docs.google.com/spreadsheets/d/1_7EEO26q9Yq-XhNFiy7I6Zh4Yg6uGjTs9y0UqNvPKcQ/edit"",""6!e57"")"),1267)</f>
        <v>1267</v>
      </c>
      <c r="K147" s="31">
        <f ca="1">IFERROR(__xludf.DUMMYFUNCTION("IMPORTRANGE(""https://docs.google.com/spreadsheets/d/1_7EEO26q9Yq-XhNFiy7I6Zh4Yg6uGjTs9y0UqNvPKcQ/edit"",""6!e58"")"),0)</f>
        <v>0</v>
      </c>
      <c r="L147" s="18">
        <f t="shared" ca="1" si="388"/>
        <v>1267</v>
      </c>
      <c r="M147" s="18">
        <f t="shared" ca="1" si="389"/>
        <v>2297</v>
      </c>
      <c r="N147" s="19">
        <f t="shared" ca="1" si="390"/>
        <v>191.61960465116255</v>
      </c>
      <c r="O147" s="16">
        <v>1580</v>
      </c>
      <c r="P147" s="33">
        <f t="shared" ca="1" si="391"/>
        <v>1.4537974683544304</v>
      </c>
      <c r="Q147" s="21">
        <v>1.5</v>
      </c>
      <c r="R147" s="20">
        <f t="shared" ca="1" si="392"/>
        <v>0.18584947592187373</v>
      </c>
      <c r="S147" s="22">
        <f t="shared" ca="1" si="393"/>
        <v>0.2787742138828106</v>
      </c>
      <c r="T147" s="21">
        <f ca="1">F147/26.805</f>
        <v>307.39201641484755</v>
      </c>
      <c r="U147" s="21">
        <f t="shared" ca="1" si="394"/>
        <v>7.1486515445313383</v>
      </c>
      <c r="V147" s="18">
        <f t="shared" ca="1" si="395"/>
        <v>53.418604651162788</v>
      </c>
      <c r="W147" s="76"/>
      <c r="X147" s="8">
        <v>1</v>
      </c>
      <c r="Y147" s="8" t="s">
        <v>28</v>
      </c>
      <c r="Z147" s="8">
        <f t="shared" ref="Z147:AI147" si="406">SUM(D142)</f>
        <v>33</v>
      </c>
      <c r="AA147" s="9">
        <f t="shared" ca="1" si="406"/>
        <v>32</v>
      </c>
      <c r="AB147" s="11">
        <f t="shared" ca="1" si="406"/>
        <v>6374.348</v>
      </c>
      <c r="AC147" s="9">
        <f t="shared" ca="1" si="406"/>
        <v>1908</v>
      </c>
      <c r="AD147" s="9">
        <f t="shared" ca="1" si="406"/>
        <v>260</v>
      </c>
      <c r="AE147" s="9">
        <f t="shared" ca="1" si="406"/>
        <v>2168</v>
      </c>
      <c r="AF147" s="9">
        <f t="shared" ca="1" si="406"/>
        <v>2186</v>
      </c>
      <c r="AG147" s="9">
        <f t="shared" ca="1" si="406"/>
        <v>533</v>
      </c>
      <c r="AH147" s="9">
        <f t="shared" ca="1" si="406"/>
        <v>2719</v>
      </c>
      <c r="AI147" s="9">
        <f t="shared" ca="1" si="406"/>
        <v>4887</v>
      </c>
      <c r="AJ147" s="11">
        <f t="shared" ref="AJ147:AJ153" ca="1" si="407">AB147/AA147</f>
        <v>199.198375</v>
      </c>
      <c r="AK147" s="8">
        <f t="shared" ref="AK147:AK148" si="408">SUM(O142)</f>
        <v>7315</v>
      </c>
      <c r="AL147" s="12">
        <f t="shared" ref="AL147:AL153" ca="1" si="409">AI147/AK147</f>
        <v>0.66807928913192072</v>
      </c>
      <c r="AM147" s="13">
        <f t="shared" ref="AM147:AM148" si="410">SUM(Q142)</f>
        <v>1.5</v>
      </c>
      <c r="AN147" s="12">
        <f t="shared" ref="AN147:AN153" ca="1" si="411">AO147/AM147</f>
        <v>0.51111109716632985</v>
      </c>
      <c r="AO147" s="14">
        <f t="shared" ref="AO147:AO153" ca="1" si="412">AI147/AB147</f>
        <v>0.76666664574949472</v>
      </c>
      <c r="AP147" s="13">
        <f t="shared" ref="AP147:AQ147" ca="1" si="413">SUM(T142)</f>
        <v>206.30960934718581</v>
      </c>
      <c r="AQ147" s="13">
        <f t="shared" ca="1" si="413"/>
        <v>6.4471752920995566</v>
      </c>
      <c r="AR147" s="9">
        <f t="shared" ref="AR147:AR153" ca="1" si="414">AI147/AA147</f>
        <v>152.71875</v>
      </c>
      <c r="AS147" s="76"/>
      <c r="AT147" s="76"/>
    </row>
    <row r="148" spans="1:46" ht="15.75" customHeight="1" x14ac:dyDescent="0.25">
      <c r="A148" s="70"/>
      <c r="B148" s="16">
        <v>8</v>
      </c>
      <c r="C148" s="16" t="s">
        <v>25</v>
      </c>
      <c r="D148" s="34">
        <v>32</v>
      </c>
      <c r="E148" s="18">
        <f ca="1">IFERROR(__xludf.DUMMYFUNCTION("COUNT(IMPORTRANGE(""https://docs.google.com/spreadsheets/d/1vLOLpiE-XsbnCnwWPcoi87PlUSXfqIAAQn3kvqHfO6s/edit"",""6!d2:D33""))"),30)</f>
        <v>30</v>
      </c>
      <c r="F148" s="23">
        <f ca="1">IFERROR(__xludf.DUMMYFUNCTION("SUM(IMPORTRANGE(""https://docs.google.com/spreadsheets/d/1vLOLpiE-XsbnCnwWPcoi87PlUSXfqIAAQn3kvqHfO6s/edit"",""6!Q2:Q33""))"),5695.992)</f>
        <v>5695.9920000000002</v>
      </c>
      <c r="G148" s="18">
        <f ca="1">IFERROR(__xludf.DUMMYFUNCTION("IMPORTRANGE(""https://docs.google.com/spreadsheets/d/1vLOLpiE-XsbnCnwWPcoi87PlUSXfqIAAQn3kvqHfO6s/edit"",""6!e40"")"),1810)</f>
        <v>1810</v>
      </c>
      <c r="H148" s="18">
        <f ca="1">IFERROR(__xludf.DUMMYFUNCTION("IMPORTRANGE(""https://docs.google.com/spreadsheets/d/1vLOLpiE-XsbnCnwWPcoi87PlUSXfqIAAQn3kvqHfO6s/edit"",""6!e41"")"),399)</f>
        <v>399</v>
      </c>
      <c r="I148" s="18">
        <f t="shared" ca="1" si="387"/>
        <v>2209</v>
      </c>
      <c r="J148" s="18">
        <f ca="1">IFERROR(__xludf.DUMMYFUNCTION("IMPORTRANGE(""https://docs.google.com/spreadsheets/d/1vLOLpiE-XsbnCnwWPcoi87PlUSXfqIAAQn3kvqHfO6s/edit"",""6!e44"")"),2914)</f>
        <v>2914</v>
      </c>
      <c r="K148" s="18">
        <f ca="1">IFERROR(__xludf.DUMMYFUNCTION("IMPORTRANGE(""https://docs.google.com/spreadsheets/d/1vLOLpiE-XsbnCnwWPcoi87PlUSXfqIAAQn3kvqHfO6s/edit"",""6!e45"")"),483)</f>
        <v>483</v>
      </c>
      <c r="L148" s="18">
        <f ca="1">J148+K148</f>
        <v>3397</v>
      </c>
      <c r="M148" s="18">
        <f t="shared" ca="1" si="389"/>
        <v>5606</v>
      </c>
      <c r="N148" s="19">
        <f t="shared" ca="1" si="390"/>
        <v>189.8664</v>
      </c>
      <c r="O148" s="16">
        <v>6622</v>
      </c>
      <c r="P148" s="20">
        <f t="shared" ca="1" si="391"/>
        <v>0.8465720326185443</v>
      </c>
      <c r="Q148" s="21">
        <v>1.5</v>
      </c>
      <c r="R148" s="20">
        <f t="shared" ca="1" si="392"/>
        <v>0.65613388033784692</v>
      </c>
      <c r="S148" s="22">
        <f t="shared" ca="1" si="393"/>
        <v>0.98420082050677038</v>
      </c>
      <c r="T148" s="21">
        <f ca="1">F148/23.84</f>
        <v>238.92583892617449</v>
      </c>
      <c r="U148" s="21">
        <f t="shared" ca="1" si="394"/>
        <v>7.9641946308724831</v>
      </c>
      <c r="V148" s="18">
        <f t="shared" ca="1" si="395"/>
        <v>186.86666666666667</v>
      </c>
      <c r="W148" s="76"/>
      <c r="X148" s="8">
        <v>2</v>
      </c>
      <c r="Y148" s="8" t="s">
        <v>30</v>
      </c>
      <c r="Z148" s="8">
        <f t="shared" ref="Z148:AI148" si="415">SUM(D143)</f>
        <v>60</v>
      </c>
      <c r="AA148" s="9">
        <f t="shared" ca="1" si="415"/>
        <v>59</v>
      </c>
      <c r="AB148" s="10">
        <f t="shared" ca="1" si="415"/>
        <v>11485.9639999999</v>
      </c>
      <c r="AC148" s="9">
        <f t="shared" ca="1" si="415"/>
        <v>3255</v>
      </c>
      <c r="AD148" s="9">
        <f t="shared" ca="1" si="415"/>
        <v>0</v>
      </c>
      <c r="AE148" s="9">
        <f t="shared" ca="1" si="415"/>
        <v>3255</v>
      </c>
      <c r="AF148" s="9">
        <f t="shared" ca="1" si="415"/>
        <v>4873</v>
      </c>
      <c r="AG148" s="9">
        <f t="shared" ca="1" si="415"/>
        <v>0</v>
      </c>
      <c r="AH148" s="9">
        <f t="shared" ca="1" si="415"/>
        <v>4873</v>
      </c>
      <c r="AI148" s="9">
        <f t="shared" ca="1" si="415"/>
        <v>8128</v>
      </c>
      <c r="AJ148" s="11">
        <f t="shared" ca="1" si="407"/>
        <v>194.67735593220169</v>
      </c>
      <c r="AK148" s="8">
        <f t="shared" si="408"/>
        <v>11164</v>
      </c>
      <c r="AL148" s="12">
        <f t="shared" ca="1" si="409"/>
        <v>0.72805446076675029</v>
      </c>
      <c r="AM148" s="13">
        <f t="shared" si="410"/>
        <v>1.5</v>
      </c>
      <c r="AN148" s="12">
        <f t="shared" ca="1" si="411"/>
        <v>0.4717642042641535</v>
      </c>
      <c r="AO148" s="14">
        <f t="shared" ca="1" si="412"/>
        <v>0.70764630639623027</v>
      </c>
      <c r="AP148" s="13">
        <f t="shared" ref="AP148:AQ148" ca="1" si="416">SUM(T143)</f>
        <v>387.99999999999659</v>
      </c>
      <c r="AQ148" s="13">
        <f t="shared" ca="1" si="416"/>
        <v>6.5762711864406205</v>
      </c>
      <c r="AR148" s="9">
        <f t="shared" ca="1" si="414"/>
        <v>137.76271186440678</v>
      </c>
      <c r="AS148" s="76"/>
      <c r="AT148" s="76"/>
    </row>
    <row r="149" spans="1:46" ht="15.75" customHeight="1" x14ac:dyDescent="0.25">
      <c r="A149" s="70"/>
      <c r="B149" s="16">
        <v>9</v>
      </c>
      <c r="C149" s="16" t="s">
        <v>36</v>
      </c>
      <c r="D149" s="34">
        <v>24</v>
      </c>
      <c r="E149" s="18">
        <f ca="1">IFERROR(__xludf.DUMMYFUNCTION("COUNT(IMPORTRANGE(""https://docs.google.com/spreadsheets/d/1WJJVq25XDtGjt-J2JPxeKs3jIvDZtkIREC0lFPXwf74/edit"",""6!d2:d31""))"),24)</f>
        <v>24</v>
      </c>
      <c r="F149" s="23">
        <f ca="1">IFERROR(__xludf.DUMMYFUNCTION("SUM(IMPORTRANGE(""https://docs.google.com/spreadsheets/d/1WJJVq25XDtGjt-J2JPxeKs3jIvDZtkIREC0lFPXwf74/edit"",""6!Q2:Q31""))"),4745.19399999999)</f>
        <v>4745.1939999999904</v>
      </c>
      <c r="G149" s="18">
        <f ca="1">IFERROR(__xludf.DUMMYFUNCTION("IMPORTRANGE(""https://docs.google.com/spreadsheets/d/1WJJVq25XDtGjt-J2JPxeKs3jIvDZtkIREC0lFPXwf74/edit"",""6!e38"")"),1135)</f>
        <v>1135</v>
      </c>
      <c r="H149" s="18">
        <f ca="1">IFERROR(__xludf.DUMMYFUNCTION("IMPORTRANGE(""https://docs.google.com/spreadsheets/d/1WJJVq25XDtGjt-J2JPxeKs3jIvDZtkIREC0lFPXwf74/edit"",""6!e39"")"),0)</f>
        <v>0</v>
      </c>
      <c r="I149" s="18">
        <f t="shared" ca="1" si="387"/>
        <v>1135</v>
      </c>
      <c r="J149" s="18">
        <f ca="1">IFERROR(__xludf.DUMMYFUNCTION("IMPORTRANGE(""https://docs.google.com/spreadsheets/d/1WJJVq25XDtGjt-J2JPxeKs3jIvDZtkIREC0lFPXwf74/edit"",""6!e42"")"),2055)</f>
        <v>2055</v>
      </c>
      <c r="K149" s="18">
        <f ca="1">IFERROR(__xludf.DUMMYFUNCTION("IMPORTRANGE(""https://docs.google.com/spreadsheets/d/1WJJVq25XDtGjt-J2JPxeKs3jIvDZtkIREC0lFPXwf74/edit"",""6!e43"")"),0)</f>
        <v>0</v>
      </c>
      <c r="L149" s="18">
        <f t="shared" ref="L149:L158" ca="1" si="417">SUM(J149:K149)</f>
        <v>2055</v>
      </c>
      <c r="M149" s="18">
        <f t="shared" ca="1" si="389"/>
        <v>3190</v>
      </c>
      <c r="N149" s="19">
        <f t="shared" ca="1" si="390"/>
        <v>197.71641666666628</v>
      </c>
      <c r="O149" s="16">
        <v>4796</v>
      </c>
      <c r="P149" s="20">
        <f t="shared" ca="1" si="391"/>
        <v>0.66513761467889909</v>
      </c>
      <c r="Q149" s="21">
        <v>1.5</v>
      </c>
      <c r="R149" s="20">
        <f t="shared" ca="1" si="392"/>
        <v>0.44817275472123397</v>
      </c>
      <c r="S149" s="22">
        <f t="shared" ca="1" si="393"/>
        <v>0.67225913208185095</v>
      </c>
      <c r="T149" s="21">
        <f ca="1">F149/37.414</f>
        <v>126.82936868551853</v>
      </c>
      <c r="U149" s="21">
        <f t="shared" ca="1" si="394"/>
        <v>5.2845570285632721</v>
      </c>
      <c r="V149" s="18">
        <f t="shared" ca="1" si="395"/>
        <v>132.91666666666666</v>
      </c>
      <c r="W149" s="76"/>
      <c r="X149" s="8">
        <v>3</v>
      </c>
      <c r="Y149" s="8" t="s">
        <v>34</v>
      </c>
      <c r="Z149" s="8">
        <f t="shared" ref="Z149:AI149" si="418">SUM(D145)</f>
        <v>40</v>
      </c>
      <c r="AA149" s="9">
        <f t="shared" ca="1" si="418"/>
        <v>37</v>
      </c>
      <c r="AB149" s="10">
        <f t="shared" ca="1" si="418"/>
        <v>7015.1790000000001</v>
      </c>
      <c r="AC149" s="9">
        <f t="shared" ca="1" si="418"/>
        <v>2484</v>
      </c>
      <c r="AD149" s="9">
        <f t="shared" ca="1" si="418"/>
        <v>0</v>
      </c>
      <c r="AE149" s="9">
        <f t="shared" ca="1" si="418"/>
        <v>2484</v>
      </c>
      <c r="AF149" s="9">
        <f t="shared" ca="1" si="418"/>
        <v>3486</v>
      </c>
      <c r="AG149" s="9">
        <f t="shared" ca="1" si="418"/>
        <v>0</v>
      </c>
      <c r="AH149" s="9">
        <f t="shared" ca="1" si="418"/>
        <v>3486</v>
      </c>
      <c r="AI149" s="9">
        <f t="shared" ca="1" si="418"/>
        <v>5970</v>
      </c>
      <c r="AJ149" s="11">
        <f t="shared" ca="1" si="407"/>
        <v>189.59943243243242</v>
      </c>
      <c r="AK149" s="8">
        <f>SUM(O145)</f>
        <v>9354</v>
      </c>
      <c r="AL149" s="12">
        <f t="shared" ca="1" si="409"/>
        <v>0.63822963438101343</v>
      </c>
      <c r="AM149" s="13">
        <f>SUM(Q145)</f>
        <v>1.5</v>
      </c>
      <c r="AN149" s="12">
        <f t="shared" ca="1" si="411"/>
        <v>0.56734118972587866</v>
      </c>
      <c r="AO149" s="14">
        <f t="shared" ca="1" si="412"/>
        <v>0.85101178458881799</v>
      </c>
      <c r="AP149" s="13">
        <f t="shared" ref="AP149:AQ149" ca="1" si="419">SUM(T145)</f>
        <v>228.41073812392148</v>
      </c>
      <c r="AQ149" s="13">
        <f t="shared" ca="1" si="419"/>
        <v>6.1732631925384185</v>
      </c>
      <c r="AR149" s="9">
        <f t="shared" ca="1" si="414"/>
        <v>161.35135135135135</v>
      </c>
      <c r="AS149" s="76"/>
      <c r="AT149" s="76"/>
    </row>
    <row r="150" spans="1:46" ht="15.75" customHeight="1" x14ac:dyDescent="0.25">
      <c r="A150" s="70"/>
      <c r="B150" s="16">
        <v>10</v>
      </c>
      <c r="C150" s="16" t="s">
        <v>37</v>
      </c>
      <c r="D150" s="17">
        <v>30</v>
      </c>
      <c r="E150" s="18">
        <f ca="1">IFERROR(__xludf.DUMMYFUNCTION("COUNT(IMPORTRANGE(""https://docs.google.com/spreadsheets/d/1rJyYfywRpWJW0zvDJHLOJtqUQqffoCGaqTVxxTDgV0k/edit"",""6!d2:d31""))"),28)</f>
        <v>28</v>
      </c>
      <c r="F150" s="23">
        <f ca="1">IFERROR(__xludf.DUMMYFUNCTION("SUM(IMPORTRANGE(""https://docs.google.com/spreadsheets/d/1rJyYfywRpWJW0zvDJHLOJtqUQqffoCGaqTVxxTDgV0k/edit"",""6!Q2:Q31""))"),5402.034)</f>
        <v>5402.0339999999997</v>
      </c>
      <c r="G150" s="18">
        <f ca="1">IFERROR(__xludf.DUMMYFUNCTION("(IMPORTRANGE(""https://docs.google.com/spreadsheets/d/1rJyYfywRpWJW0zvDJHLOJtqUQqffoCGaqTVxxTDgV0k/edit"",""6!e38""))"),1735)</f>
        <v>1735</v>
      </c>
      <c r="H150" s="18">
        <f ca="1">IFERROR(__xludf.DUMMYFUNCTION("(IMPORTRANGE(""https://docs.google.com/spreadsheets/d/1rJyYfywRpWJW0zvDJHLOJtqUQqffoCGaqTVxxTDgV0k/edit"",""6!e39""))"),0)</f>
        <v>0</v>
      </c>
      <c r="I150" s="18">
        <f t="shared" ca="1" si="387"/>
        <v>1735</v>
      </c>
      <c r="J150" s="18">
        <f ca="1">IFERROR(__xludf.DUMMYFUNCTION("(IMPORTRANGE(""https://docs.google.com/spreadsheets/d/1rJyYfywRpWJW0zvDJHLOJtqUQqffoCGaqTVxxTDgV0k/edit"",""6!e42""))"),2520)</f>
        <v>2520</v>
      </c>
      <c r="K150" s="18">
        <f ca="1">IFERROR(__xludf.DUMMYFUNCTION("(IMPORTRANGE(""https://docs.google.com/spreadsheets/d/1rJyYfywRpWJW0zvDJHLOJtqUQqffoCGaqTVxxTDgV0k/edit"",""6!e43""))"),60)</f>
        <v>60</v>
      </c>
      <c r="L150" s="18">
        <f t="shared" ca="1" si="417"/>
        <v>2580</v>
      </c>
      <c r="M150" s="18">
        <f t="shared" ca="1" si="389"/>
        <v>4315</v>
      </c>
      <c r="N150" s="19">
        <f t="shared" ca="1" si="390"/>
        <v>192.92978571428571</v>
      </c>
      <c r="O150" s="16">
        <v>5887</v>
      </c>
      <c r="P150" s="20">
        <f t="shared" ca="1" si="391"/>
        <v>0.73297095294717174</v>
      </c>
      <c r="Q150" s="21">
        <v>1.5</v>
      </c>
      <c r="R150" s="20">
        <f t="shared" ca="1" si="392"/>
        <v>0.53251546855622656</v>
      </c>
      <c r="S150" s="22">
        <f t="shared" ca="1" si="393"/>
        <v>0.79877320283433983</v>
      </c>
      <c r="T150" s="21">
        <f ca="1">F150/24.792</f>
        <v>217.89424007744432</v>
      </c>
      <c r="U150" s="21">
        <f t="shared" ca="1" si="394"/>
        <v>7.7819371456230115</v>
      </c>
      <c r="V150" s="18">
        <f t="shared" ca="1" si="395"/>
        <v>154.10714285714286</v>
      </c>
      <c r="W150" s="76"/>
      <c r="X150" s="8">
        <v>4</v>
      </c>
      <c r="Y150" s="8" t="s">
        <v>38</v>
      </c>
      <c r="Z150" s="8">
        <f t="shared" ref="Z150:AI150" si="420">SUM(D153)</f>
        <v>30</v>
      </c>
      <c r="AA150" s="9">
        <f t="shared" ca="1" si="420"/>
        <v>29</v>
      </c>
      <c r="AB150" s="10">
        <f t="shared" ca="1" si="420"/>
        <v>6140.57599999999</v>
      </c>
      <c r="AC150" s="9">
        <f t="shared" ca="1" si="420"/>
        <v>1713</v>
      </c>
      <c r="AD150" s="9">
        <f t="shared" ca="1" si="420"/>
        <v>202</v>
      </c>
      <c r="AE150" s="9">
        <f t="shared" ca="1" si="420"/>
        <v>1915</v>
      </c>
      <c r="AF150" s="9">
        <f t="shared" ca="1" si="420"/>
        <v>2531</v>
      </c>
      <c r="AG150" s="9">
        <f t="shared" ca="1" si="420"/>
        <v>0</v>
      </c>
      <c r="AH150" s="9">
        <f t="shared" ca="1" si="420"/>
        <v>2531</v>
      </c>
      <c r="AI150" s="9">
        <f t="shared" ca="1" si="420"/>
        <v>4446</v>
      </c>
      <c r="AJ150" s="11">
        <f t="shared" ca="1" si="407"/>
        <v>211.74399999999966</v>
      </c>
      <c r="AK150" s="8">
        <v>7324</v>
      </c>
      <c r="AL150" s="12">
        <f t="shared" ca="1" si="409"/>
        <v>0.60704533042053521</v>
      </c>
      <c r="AM150" s="13">
        <f>SUM(Q153)</f>
        <v>1.5</v>
      </c>
      <c r="AN150" s="12">
        <f t="shared" ca="1" si="411"/>
        <v>0.4826908746019925</v>
      </c>
      <c r="AO150" s="14">
        <f t="shared" ca="1" si="412"/>
        <v>0.72403631190298878</v>
      </c>
      <c r="AP150" s="13">
        <f t="shared" ref="AP150:AQ150" ca="1" si="421">SUM(T153)</f>
        <v>149.02502123528674</v>
      </c>
      <c r="AQ150" s="13">
        <f t="shared" ca="1" si="421"/>
        <v>5.1387938356995431</v>
      </c>
      <c r="AR150" s="9">
        <f t="shared" ca="1" si="414"/>
        <v>153.31034482758622</v>
      </c>
      <c r="AS150" s="76"/>
      <c r="AT150" s="76"/>
    </row>
    <row r="151" spans="1:46" ht="15.75" customHeight="1" x14ac:dyDescent="0.25">
      <c r="A151" s="70"/>
      <c r="B151" s="16">
        <v>12</v>
      </c>
      <c r="C151" s="16" t="s">
        <v>39</v>
      </c>
      <c r="D151" s="17">
        <v>28</v>
      </c>
      <c r="E151" s="18">
        <f ca="1">IFERROR(__xludf.DUMMYFUNCTION("COUNT(IMPORTRANGE(""https://docs.google.com/spreadsheets/d/1uaTn2DZCfr7O1PvovOd0wElzVz8kpl_iPfnrkNPp0Is/edit"",""6!d2:d29""))"),28)</f>
        <v>28</v>
      </c>
      <c r="F151" s="23">
        <f ca="1">IFERROR(__xludf.DUMMYFUNCTION("SUM(IMPORTRANGE(""https://docs.google.com/spreadsheets/d/1uaTn2DZCfr7O1PvovOd0wElzVz8kpl_iPfnrkNPp0Is/edit"",""6!Q2:Q29""))"),5480.341)</f>
        <v>5480.3410000000003</v>
      </c>
      <c r="G151" s="18">
        <f ca="1">IFERROR(__xludf.DUMMYFUNCTION("IMPORTRANGE(""https://docs.google.com/spreadsheets/d/1uaTn2DZCfr7O1PvovOd0wElzVz8kpl_iPfnrkNPp0Is/edit"",""6!e36"")"),1203)</f>
        <v>1203</v>
      </c>
      <c r="H151" s="18">
        <f ca="1">IFERROR(__xludf.DUMMYFUNCTION("(IMPORTRANGE(""https://docs.google.com/spreadsheets/d/1uaTn2DZCfr7O1PvovOd0wElzVz8kpl_iPfnrkNPp0Is/edit"",""6!e37""))"),48)</f>
        <v>48</v>
      </c>
      <c r="I151" s="18">
        <f t="shared" ca="1" si="387"/>
        <v>1251</v>
      </c>
      <c r="J151" s="18">
        <f ca="1">IFERROR(__xludf.DUMMYFUNCTION("IMPORTRANGE(""https://docs.google.com/spreadsheets/d/1uaTn2DZCfr7O1PvovOd0wElzVz8kpl_iPfnrkNPp0Is/edit"",""6!e40"")"),1918)</f>
        <v>1918</v>
      </c>
      <c r="K151" s="18">
        <f ca="1">IFERROR(__xludf.DUMMYFUNCTION("IMPORTRANGE(""https://docs.google.com/spreadsheets/d/1uaTn2DZCfr7O1PvovOd0wElzVz8kpl_iPfnrkNPp0Is/edit"",""6!e41"")"),0)</f>
        <v>0</v>
      </c>
      <c r="L151" s="18">
        <f t="shared" ca="1" si="417"/>
        <v>1918</v>
      </c>
      <c r="M151" s="18">
        <f t="shared" ca="1" si="389"/>
        <v>3169</v>
      </c>
      <c r="N151" s="19">
        <f t="shared" ca="1" si="390"/>
        <v>195.72646428571429</v>
      </c>
      <c r="O151" s="16">
        <v>3569</v>
      </c>
      <c r="P151" s="20">
        <f t="shared" ca="1" si="391"/>
        <v>0.88792378817595963</v>
      </c>
      <c r="Q151" s="21">
        <v>1.5</v>
      </c>
      <c r="R151" s="20">
        <f t="shared" ca="1" si="392"/>
        <v>0.38549912617967869</v>
      </c>
      <c r="S151" s="22">
        <f t="shared" ca="1" si="393"/>
        <v>0.578248689269518</v>
      </c>
      <c r="T151" s="21">
        <f ca="1">F151/21.463</f>
        <v>255.3390020034478</v>
      </c>
      <c r="U151" s="21">
        <f t="shared" ca="1" si="394"/>
        <v>9.1192500715517077</v>
      </c>
      <c r="V151" s="18">
        <f t="shared" ca="1" si="395"/>
        <v>113.17857142857143</v>
      </c>
      <c r="W151" s="76"/>
      <c r="X151" s="8">
        <v>5</v>
      </c>
      <c r="Y151" s="8" t="s">
        <v>40</v>
      </c>
      <c r="Z151" s="8">
        <f t="shared" ref="Z151:AI151" si="422">SUM(D155)</f>
        <v>30</v>
      </c>
      <c r="AA151" s="9">
        <f t="shared" ca="1" si="422"/>
        <v>29</v>
      </c>
      <c r="AB151" s="10">
        <f t="shared" ca="1" si="422"/>
        <v>5773.9289999999901</v>
      </c>
      <c r="AC151" s="9">
        <f t="shared" ca="1" si="422"/>
        <v>3153</v>
      </c>
      <c r="AD151" s="9">
        <f t="shared" ca="1" si="422"/>
        <v>0</v>
      </c>
      <c r="AE151" s="9">
        <f t="shared" ca="1" si="422"/>
        <v>3153</v>
      </c>
      <c r="AF151" s="9">
        <f t="shared" ca="1" si="422"/>
        <v>3728</v>
      </c>
      <c r="AG151" s="9">
        <f t="shared" ca="1" si="422"/>
        <v>0</v>
      </c>
      <c r="AH151" s="9">
        <f t="shared" ca="1" si="422"/>
        <v>3728</v>
      </c>
      <c r="AI151" s="9">
        <f t="shared" ca="1" si="422"/>
        <v>6881</v>
      </c>
      <c r="AJ151" s="11">
        <f t="shared" ca="1" si="407"/>
        <v>199.10099999999966</v>
      </c>
      <c r="AK151" s="8">
        <f t="shared" ref="AK151:AK152" si="423">SUM(O155)</f>
        <v>8239</v>
      </c>
      <c r="AL151" s="12">
        <f t="shared" ca="1" si="409"/>
        <v>0.83517417162276975</v>
      </c>
      <c r="AM151" s="13">
        <f t="shared" ref="AM151:AM152" si="424">SUM(Q155)</f>
        <v>1.5</v>
      </c>
      <c r="AN151" s="12">
        <f t="shared" ca="1" si="411"/>
        <v>0.7944907762692166</v>
      </c>
      <c r="AO151" s="14">
        <f t="shared" ca="1" si="412"/>
        <v>1.1917361644038249</v>
      </c>
      <c r="AP151" s="13">
        <f t="shared" ref="AP151:AQ151" ca="1" si="425">SUM(T155)</f>
        <v>202.99999999999963</v>
      </c>
      <c r="AQ151" s="13">
        <f t="shared" ca="1" si="425"/>
        <v>6.9999999999999876</v>
      </c>
      <c r="AR151" s="9">
        <f t="shared" ca="1" si="414"/>
        <v>237.27586206896552</v>
      </c>
      <c r="AS151" s="76"/>
      <c r="AT151" s="76"/>
    </row>
    <row r="152" spans="1:46" ht="15.75" customHeight="1" x14ac:dyDescent="0.25">
      <c r="A152" s="70"/>
      <c r="B152" s="16">
        <v>12</v>
      </c>
      <c r="C152" s="16" t="s">
        <v>41</v>
      </c>
      <c r="D152" s="17">
        <v>24</v>
      </c>
      <c r="E152" s="18">
        <f ca="1">IFERROR(__xludf.DUMMYFUNCTION("COUNT(IMPORTRANGE(""https://docs.google.com/spreadsheets/d/1oYscvfOJW7GMkxt8QcupWuzb3ohaYePd3Mt2V2ufHok/edit"",""6!d2:d25""))"),23)</f>
        <v>23</v>
      </c>
      <c r="F152" s="23">
        <f ca="1">IFERROR(__xludf.DUMMYFUNCTION("SUM(IMPORTRANGE(""https://docs.google.com/spreadsheets/d/1oYscvfOJW7GMkxt8QcupWuzb3ohaYePd3Mt2V2ufHok/edit"",""6!Q2:Q25""))"),4585.756)</f>
        <v>4585.7560000000003</v>
      </c>
      <c r="G152" s="18">
        <f ca="1">IFERROR(__xludf.DUMMYFUNCTION("IMPORTRANGE(""https://docs.google.com/spreadsheets/d/1oYscvfOJW7GMkxt8QcupWuzb3ohaYePd3Mt2V2ufHok/edit"",""6!e32"")"),1092)</f>
        <v>1092</v>
      </c>
      <c r="H152" s="18">
        <f ca="1">IFERROR(__xludf.DUMMYFUNCTION("IMPORTRANGE(""https://docs.google.com/spreadsheets/d/1oYscvfOJW7GMkxt8QcupWuzb3ohaYePd3Mt2V2ufHok/edit"",""6!e33"")"),65)</f>
        <v>65</v>
      </c>
      <c r="I152" s="18">
        <f t="shared" ca="1" si="387"/>
        <v>1157</v>
      </c>
      <c r="J152" s="18">
        <f ca="1">IFERROR(__xludf.DUMMYFUNCTION("IMPORTRANGE(""https://docs.google.com/spreadsheets/d/1oYscvfOJW7GMkxt8QcupWuzb3ohaYePd3Mt2V2ufHok/edit"",""6!e36"")"),1693)</f>
        <v>1693</v>
      </c>
      <c r="K152" s="18">
        <f ca="1">IFERROR(__xludf.DUMMYFUNCTION("IMPORTRANGE(""https://docs.google.com/spreadsheets/d/1oYscvfOJW7GMkxt8QcupWuzb3ohaYePd3Mt2V2ufHok/edit"",""6!e37"")"),23)</f>
        <v>23</v>
      </c>
      <c r="L152" s="18">
        <f t="shared" ca="1" si="417"/>
        <v>1716</v>
      </c>
      <c r="M152" s="18">
        <f t="shared" ca="1" si="389"/>
        <v>2873</v>
      </c>
      <c r="N152" s="19">
        <f t="shared" ca="1" si="390"/>
        <v>199.38069565217393</v>
      </c>
      <c r="O152" s="16">
        <v>3801</v>
      </c>
      <c r="P152" s="20">
        <f t="shared" ca="1" si="391"/>
        <v>0.75585372270455142</v>
      </c>
      <c r="Q152" s="21">
        <v>1.5</v>
      </c>
      <c r="R152" s="20">
        <f t="shared" ca="1" si="392"/>
        <v>0.41767013625088928</v>
      </c>
      <c r="S152" s="22">
        <f t="shared" ca="1" si="393"/>
        <v>0.62650520437633395</v>
      </c>
      <c r="T152" s="21">
        <f ca="1">F152/29.628</f>
        <v>154.7777777777778</v>
      </c>
      <c r="U152" s="21">
        <f t="shared" ca="1" si="394"/>
        <v>6.729468599033817</v>
      </c>
      <c r="V152" s="18">
        <f t="shared" ca="1" si="395"/>
        <v>124.91304347826087</v>
      </c>
      <c r="W152" s="76"/>
      <c r="X152" s="8">
        <v>6</v>
      </c>
      <c r="Y152" s="8" t="s">
        <v>42</v>
      </c>
      <c r="Z152" s="8">
        <f t="shared" ref="Z152:AI152" si="426">SUM(D156)</f>
        <v>33</v>
      </c>
      <c r="AA152" s="9">
        <f t="shared" ca="1" si="426"/>
        <v>33</v>
      </c>
      <c r="AB152" s="10">
        <f t="shared" ca="1" si="426"/>
        <v>6466.4399999999896</v>
      </c>
      <c r="AC152" s="9">
        <f t="shared" ca="1" si="426"/>
        <v>2839</v>
      </c>
      <c r="AD152" s="9">
        <f t="shared" ca="1" si="426"/>
        <v>0</v>
      </c>
      <c r="AE152" s="9">
        <f t="shared" ca="1" si="426"/>
        <v>2839</v>
      </c>
      <c r="AF152" s="9">
        <f t="shared" ca="1" si="426"/>
        <v>4353</v>
      </c>
      <c r="AG152" s="9">
        <f t="shared" ca="1" si="426"/>
        <v>0</v>
      </c>
      <c r="AH152" s="9">
        <f t="shared" ca="1" si="426"/>
        <v>4353</v>
      </c>
      <c r="AI152" s="9">
        <f t="shared" ca="1" si="426"/>
        <v>7192</v>
      </c>
      <c r="AJ152" s="11">
        <f t="shared" ca="1" si="407"/>
        <v>195.95272727272695</v>
      </c>
      <c r="AK152" s="8">
        <f t="shared" si="423"/>
        <v>9877</v>
      </c>
      <c r="AL152" s="12">
        <f t="shared" ca="1" si="409"/>
        <v>0.72815632277007192</v>
      </c>
      <c r="AM152" s="13">
        <f t="shared" si="424"/>
        <v>1.5</v>
      </c>
      <c r="AN152" s="12">
        <f t="shared" ca="1" si="411"/>
        <v>0.74146928861424133</v>
      </c>
      <c r="AO152" s="14">
        <f t="shared" ca="1" si="412"/>
        <v>1.112203932921362</v>
      </c>
      <c r="AP152" s="13">
        <f t="shared" ref="AP152:AQ152" ca="1" si="427">SUM(T156)</f>
        <v>247.23532785318253</v>
      </c>
      <c r="AQ152" s="13">
        <f t="shared" ca="1" si="427"/>
        <v>7.4919796319146217</v>
      </c>
      <c r="AR152" s="9">
        <f t="shared" ca="1" si="414"/>
        <v>217.93939393939394</v>
      </c>
      <c r="AS152" s="76"/>
      <c r="AT152" s="76"/>
    </row>
    <row r="153" spans="1:46" ht="15.75" customHeight="1" x14ac:dyDescent="0.25">
      <c r="A153" s="70"/>
      <c r="B153" s="16">
        <v>13</v>
      </c>
      <c r="C153" s="16" t="s">
        <v>43</v>
      </c>
      <c r="D153" s="17">
        <v>30</v>
      </c>
      <c r="E153" s="18">
        <f ca="1">IFERROR(__xludf.DUMMYFUNCTION("COUNT(IMPORTRANGE(""https://docs.google.com/spreadsheets/d/1AxBmuQEdOYAeRnZ4C8vO6kuTNp7X_SGhpLXuY0n4ln4/edit"",""6!d2:d31""))"),29)</f>
        <v>29</v>
      </c>
      <c r="F153" s="23">
        <f ca="1">IFERROR(__xludf.DUMMYFUNCTION("SUM(IMPORTRANGE(""https://docs.google.com/spreadsheets/d/1AxBmuQEdOYAeRnZ4C8vO6kuTNp7X_SGhpLXuY0n4ln4/edit"",""6!Q2:Q31""))"),6140.57599999999)</f>
        <v>6140.57599999999</v>
      </c>
      <c r="G153" s="18">
        <f ca="1">IFERROR(__xludf.DUMMYFUNCTION("IMPORTRANGE(""https://docs.google.com/spreadsheets/d/1AxBmuQEdOYAeRnZ4C8vO6kuTNp7X_SGhpLXuY0n4ln4/edit"",""6!e38"")"),1713)</f>
        <v>1713</v>
      </c>
      <c r="H153" s="18">
        <f ca="1">IFERROR(__xludf.DUMMYFUNCTION("IMPORTRANGE(""https://docs.google.com/spreadsheets/d/1AxBmuQEdOYAeRnZ4C8vO6kuTNp7X_SGhpLXuY0n4ln4/edit"",""6!e39"")"),202)</f>
        <v>202</v>
      </c>
      <c r="I153" s="18">
        <f t="shared" ca="1" si="387"/>
        <v>1915</v>
      </c>
      <c r="J153" s="18">
        <f ca="1">IFERROR(__xludf.DUMMYFUNCTION("IMPORTRANGE(""https://docs.google.com/spreadsheets/d/1AxBmuQEdOYAeRnZ4C8vO6kuTNp7X_SGhpLXuY0n4ln4/edit"",""6!e42"")"),2531)</f>
        <v>2531</v>
      </c>
      <c r="K153" s="18">
        <f ca="1">IFERROR(__xludf.DUMMYFUNCTION("IMPORTRANGE(""https://docs.google.com/spreadsheets/d/1AxBmuQEdOYAeRnZ4C8vO6kuTNp7X_SGhpLXuY0n4ln4/edit"",""6!e43"")"),0)</f>
        <v>0</v>
      </c>
      <c r="L153" s="18">
        <f t="shared" ca="1" si="417"/>
        <v>2531</v>
      </c>
      <c r="M153" s="18">
        <f t="shared" ca="1" si="389"/>
        <v>4446</v>
      </c>
      <c r="N153" s="19">
        <f t="shared" ca="1" si="390"/>
        <v>211.74399999999966</v>
      </c>
      <c r="O153" s="16">
        <v>8345</v>
      </c>
      <c r="P153" s="20">
        <f t="shared" ca="1" si="391"/>
        <v>0.53277411623726778</v>
      </c>
      <c r="Q153" s="21">
        <v>1.5</v>
      </c>
      <c r="R153" s="20">
        <f t="shared" ca="1" si="392"/>
        <v>0.4826908746019925</v>
      </c>
      <c r="S153" s="22">
        <f t="shared" ca="1" si="393"/>
        <v>0.72403631190298878</v>
      </c>
      <c r="T153" s="21">
        <f ca="1">F153/41.205</f>
        <v>149.02502123528674</v>
      </c>
      <c r="U153" s="21">
        <f t="shared" ca="1" si="394"/>
        <v>5.1387938356995431</v>
      </c>
      <c r="V153" s="18">
        <f t="shared" ca="1" si="395"/>
        <v>153.31034482758622</v>
      </c>
      <c r="W153" s="76"/>
      <c r="X153" s="24" t="s">
        <v>33</v>
      </c>
      <c r="Y153" s="24">
        <v>6</v>
      </c>
      <c r="Z153" s="24">
        <f t="shared" ref="Z153:AI153" si="428">SUM(Z147:Z152)</f>
        <v>226</v>
      </c>
      <c r="AA153" s="25">
        <f t="shared" ca="1" si="428"/>
        <v>219</v>
      </c>
      <c r="AB153" s="27">
        <f t="shared" ca="1" si="428"/>
        <v>43256.435999999871</v>
      </c>
      <c r="AC153" s="25">
        <f t="shared" ca="1" si="428"/>
        <v>15352</v>
      </c>
      <c r="AD153" s="25">
        <f t="shared" ca="1" si="428"/>
        <v>462</v>
      </c>
      <c r="AE153" s="25">
        <f t="shared" ca="1" si="428"/>
        <v>15814</v>
      </c>
      <c r="AF153" s="25">
        <f t="shared" ca="1" si="428"/>
        <v>21157</v>
      </c>
      <c r="AG153" s="25">
        <f t="shared" ca="1" si="428"/>
        <v>533</v>
      </c>
      <c r="AH153" s="25">
        <f t="shared" ca="1" si="428"/>
        <v>21690</v>
      </c>
      <c r="AI153" s="25">
        <f t="shared" ca="1" si="428"/>
        <v>37504</v>
      </c>
      <c r="AJ153" s="27">
        <f t="shared" ca="1" si="407"/>
        <v>197.51797260273912</v>
      </c>
      <c r="AK153" s="24">
        <f>SUM(AK147:AK152)</f>
        <v>53273</v>
      </c>
      <c r="AL153" s="28">
        <f t="shared" ca="1" si="409"/>
        <v>0.70399639592288776</v>
      </c>
      <c r="AM153" s="29">
        <v>1.5</v>
      </c>
      <c r="AN153" s="28">
        <f t="shared" ca="1" si="411"/>
        <v>0.57801032583143785</v>
      </c>
      <c r="AO153" s="30">
        <f t="shared" ca="1" si="412"/>
        <v>0.86701548874715684</v>
      </c>
      <c r="AP153" s="29">
        <f ca="1">SUM(AP147:AP152)</f>
        <v>1421.9806965595728</v>
      </c>
      <c r="AQ153" s="29">
        <f ca="1">AP153/AA153</f>
        <v>6.4930625413679124</v>
      </c>
      <c r="AR153" s="25">
        <f t="shared" ca="1" si="414"/>
        <v>171.25114155251143</v>
      </c>
      <c r="AS153" s="76"/>
      <c r="AT153" s="76"/>
    </row>
    <row r="154" spans="1:46" ht="15.75" customHeight="1" x14ac:dyDescent="0.25">
      <c r="A154" s="70"/>
      <c r="B154" s="16">
        <v>14</v>
      </c>
      <c r="C154" s="16" t="s">
        <v>27</v>
      </c>
      <c r="D154" s="17">
        <v>30</v>
      </c>
      <c r="E154" s="18">
        <f ca="1">IFERROR(__xludf.DUMMYFUNCTION("COUNT(IMPORTRANGE(""https://docs.google.com/spreadsheets/d/1LsL4JuXvBtfJ-TVi4NFml9lV_pmd61b789A_nbO-QrA/edit"",""6!d2:d31""))"),30)</f>
        <v>30</v>
      </c>
      <c r="F154" s="23">
        <f ca="1">IFERROR(__xludf.DUMMYFUNCTION("SUM(IMPORTRANGE(""https://docs.google.com/spreadsheets/d/1LsL4JuXvBtfJ-TVi4NFml9lV_pmd61b789A_nbO-QrA/edit"",""6!Q2:Q31""))"),5325.865)</f>
        <v>5325.8649999999998</v>
      </c>
      <c r="G154" s="18">
        <f ca="1">IFERROR(__xludf.DUMMYFUNCTION("IMPORTRANGE(""https://docs.google.com/spreadsheets/d/1LsL4JuXvBtfJ-TVi4NFml9lV_pmd61b789A_nbO-QrA/edit"",""6!e38"")"),1509)</f>
        <v>1509</v>
      </c>
      <c r="H154" s="18">
        <f ca="1">IFERROR(__xludf.DUMMYFUNCTION("IMPORTRANGE(""https://docs.google.com/spreadsheets/d/1LsL4JuXvBtfJ-TVi4NFml9lV_pmd61b789A_nbO-QrA/edit"",""6!e39"")"),88)</f>
        <v>88</v>
      </c>
      <c r="I154" s="18">
        <f t="shared" ca="1" si="387"/>
        <v>1597</v>
      </c>
      <c r="J154" s="18">
        <f ca="1">IFERROR(__xludf.DUMMYFUNCTION("IMPORTRANGE(""https://docs.google.com/spreadsheets/d/1LsL4JuXvBtfJ-TVi4NFml9lV_pmd61b789A_nbO-QrA/edit"",""6!e42"")"),2567)</f>
        <v>2567</v>
      </c>
      <c r="K154" s="18">
        <f ca="1">IFERROR(__xludf.DUMMYFUNCTION("IMPORTRANGE(""https://docs.google.com/spreadsheets/d/1LsL4JuXvBtfJ-TVi4NFml9lV_pmd61b789A_nbO-QrA/edit"",""6!e43"")"),106)</f>
        <v>106</v>
      </c>
      <c r="L154" s="18">
        <f t="shared" ca="1" si="417"/>
        <v>2673</v>
      </c>
      <c r="M154" s="18">
        <f t="shared" ca="1" si="389"/>
        <v>4270</v>
      </c>
      <c r="N154" s="19">
        <f t="shared" ca="1" si="390"/>
        <v>177.52883333333332</v>
      </c>
      <c r="O154" s="16">
        <v>8101</v>
      </c>
      <c r="P154" s="20">
        <f t="shared" ca="1" si="391"/>
        <v>0.52709542031847922</v>
      </c>
      <c r="Q154" s="21">
        <v>1.5</v>
      </c>
      <c r="R154" s="20">
        <f t="shared" ca="1" si="392"/>
        <v>0.53449846488160457</v>
      </c>
      <c r="S154" s="22">
        <f t="shared" ca="1" si="393"/>
        <v>0.8017476973224068</v>
      </c>
      <c r="T154" s="21">
        <f ca="1">F154/19.985</f>
        <v>266.49311983987991</v>
      </c>
      <c r="U154" s="21">
        <f t="shared" ca="1" si="394"/>
        <v>8.8831039946626635</v>
      </c>
      <c r="V154" s="18">
        <f t="shared" ca="1" si="395"/>
        <v>142.33333333333334</v>
      </c>
      <c r="W154" s="76"/>
      <c r="X154" s="97" t="s">
        <v>44</v>
      </c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9"/>
      <c r="AS154" s="76"/>
      <c r="AT154" s="76"/>
    </row>
    <row r="155" spans="1:46" ht="15.75" customHeight="1" x14ac:dyDescent="0.25">
      <c r="A155" s="70"/>
      <c r="B155" s="16">
        <v>15</v>
      </c>
      <c r="C155" s="16" t="s">
        <v>40</v>
      </c>
      <c r="D155" s="17">
        <v>30</v>
      </c>
      <c r="E155" s="18">
        <f ca="1">IFERROR(__xludf.DUMMYFUNCTION("COUNT(IMPORTRANGE(""https://docs.google.com/spreadsheets/d/1Krav0MVlY0vbUNsFRDnb_kR72_tyuGnWBYbGjNZrl18/edit"",""6!d2:d31""))"),29)</f>
        <v>29</v>
      </c>
      <c r="F155" s="23">
        <f ca="1">IFERROR(__xludf.DUMMYFUNCTION("SUM(IMPORTRANGE(""https://docs.google.com/spreadsheets/d/1Krav0MVlY0vbUNsFRDnb_kR72_tyuGnWBYbGjNZrl18/edit"",""6!Q2:Q31""))"),5773.92899999999)</f>
        <v>5773.9289999999901</v>
      </c>
      <c r="G155" s="18">
        <f ca="1">IFERROR(__xludf.DUMMYFUNCTION("IMPORTRANGE(""https://docs.google.com/spreadsheets/d/1Krav0MVlY0vbUNsFRDnb_kR72_tyuGnWBYbGjNZrl18/edit"",""6!e38"")"),3153)</f>
        <v>3153</v>
      </c>
      <c r="H155" s="18">
        <f ca="1">IFERROR(__xludf.DUMMYFUNCTION("IMPORTRANGE(""https://docs.google.com/spreadsheets/d/1Krav0MVlY0vbUNsFRDnb_kR72_tyuGnWBYbGjNZrl18/edit"",""6!e39"")"),0)</f>
        <v>0</v>
      </c>
      <c r="I155" s="18">
        <f t="shared" ca="1" si="387"/>
        <v>3153</v>
      </c>
      <c r="J155" s="18">
        <f ca="1">IFERROR(__xludf.DUMMYFUNCTION("IMPORTRANGE(""https://docs.google.com/spreadsheets/d/1Krav0MVlY0vbUNsFRDnb_kR72_tyuGnWBYbGjNZrl18/edit"",""6!e42"")"),3728)</f>
        <v>3728</v>
      </c>
      <c r="K155" s="18">
        <f ca="1">IFERROR(__xludf.DUMMYFUNCTION("IMPORTRANGE(""https://docs.google.com/spreadsheets/d/1Krav0MVlY0vbUNsFRDnb_kR72_tyuGnWBYbGjNZrl18/edit"",""6!e43"")"),0)</f>
        <v>0</v>
      </c>
      <c r="L155" s="18">
        <f t="shared" ca="1" si="417"/>
        <v>3728</v>
      </c>
      <c r="M155" s="18">
        <f t="shared" ca="1" si="389"/>
        <v>6881</v>
      </c>
      <c r="N155" s="19">
        <f t="shared" ca="1" si="390"/>
        <v>199.10099999999966</v>
      </c>
      <c r="O155" s="16">
        <v>8239</v>
      </c>
      <c r="P155" s="20">
        <f t="shared" ca="1" si="391"/>
        <v>0.83517417162276975</v>
      </c>
      <c r="Q155" s="21">
        <v>1.5</v>
      </c>
      <c r="R155" s="20">
        <f t="shared" ca="1" si="392"/>
        <v>0.7944907762692166</v>
      </c>
      <c r="S155" s="22">
        <f t="shared" ca="1" si="393"/>
        <v>1.1917361644038249</v>
      </c>
      <c r="T155" s="21">
        <f ca="1">F155/28.443</f>
        <v>202.99999999999963</v>
      </c>
      <c r="U155" s="21">
        <f t="shared" ca="1" si="394"/>
        <v>6.9999999999999876</v>
      </c>
      <c r="V155" s="18">
        <f t="shared" ca="1" si="395"/>
        <v>237.27586206896552</v>
      </c>
      <c r="W155" s="76"/>
      <c r="X155" s="1" t="s">
        <v>2</v>
      </c>
      <c r="Y155" s="1" t="s">
        <v>3</v>
      </c>
      <c r="Z155" s="1" t="s">
        <v>4</v>
      </c>
      <c r="AA155" s="1" t="s">
        <v>5</v>
      </c>
      <c r="AB155" s="2" t="s">
        <v>6</v>
      </c>
      <c r="AC155" s="1" t="s">
        <v>7</v>
      </c>
      <c r="AD155" s="1" t="s">
        <v>8</v>
      </c>
      <c r="AE155" s="1" t="s">
        <v>9</v>
      </c>
      <c r="AF155" s="1" t="s">
        <v>10</v>
      </c>
      <c r="AG155" s="1" t="s">
        <v>11</v>
      </c>
      <c r="AH155" s="1" t="s">
        <v>12</v>
      </c>
      <c r="AI155" s="1" t="s">
        <v>13</v>
      </c>
      <c r="AJ155" s="2" t="s">
        <v>14</v>
      </c>
      <c r="AK155" s="1" t="s">
        <v>15</v>
      </c>
      <c r="AL155" s="1" t="s">
        <v>16</v>
      </c>
      <c r="AM155" s="3" t="s">
        <v>17</v>
      </c>
      <c r="AN155" s="4" t="s">
        <v>18</v>
      </c>
      <c r="AO155" s="5" t="s">
        <v>19</v>
      </c>
      <c r="AP155" s="6" t="s">
        <v>20</v>
      </c>
      <c r="AQ155" s="6" t="s">
        <v>21</v>
      </c>
      <c r="AR155" s="7" t="s">
        <v>22</v>
      </c>
      <c r="AS155" s="76"/>
      <c r="AT155" s="76"/>
    </row>
    <row r="156" spans="1:46" ht="15.75" customHeight="1" x14ac:dyDescent="0.25">
      <c r="A156" s="70"/>
      <c r="B156" s="16">
        <v>16</v>
      </c>
      <c r="C156" s="16" t="s">
        <v>42</v>
      </c>
      <c r="D156" s="17">
        <v>33</v>
      </c>
      <c r="E156" s="18">
        <f ca="1">IFERROR(__xludf.DUMMYFUNCTION("COUNT(IMPORTRANGE(""https://docs.google.com/spreadsheets/d/1uXtm-E8PG0CetlFmSpTX3RK0LNEMnpR-mxbET9AGD6w/edit"",""6!d2:d34""))"),33)</f>
        <v>33</v>
      </c>
      <c r="F156" s="23">
        <f ca="1">IFERROR(__xludf.DUMMYFUNCTION("SUM(IMPORTRANGE(""https://docs.google.com/spreadsheets/d/1uXtm-E8PG0CetlFmSpTX3RK0LNEMnpR-mxbET9AGD6w/edit"",""6!Q2:Q34""))"),6466.43999999999)</f>
        <v>6466.4399999999896</v>
      </c>
      <c r="G156" s="18">
        <f ca="1">IFERROR(__xludf.DUMMYFUNCTION("IMPORTRANGE(""https://docs.google.com/spreadsheets/d/1uXtm-E8PG0CetlFmSpTX3RK0LNEMnpR-mxbET9AGD6w/edit"",""6!e41"")"),2839)</f>
        <v>2839</v>
      </c>
      <c r="H156" s="18">
        <f ca="1">IFERROR(__xludf.DUMMYFUNCTION("IMPORTRANGE(""https://docs.google.com/spreadsheets/d/1uXtm-E8PG0CetlFmSpTX3RK0LNEMnpR-mxbET9AGD6w/edit"",""6!e42"")"),0)</f>
        <v>0</v>
      </c>
      <c r="I156" s="18">
        <f t="shared" ca="1" si="387"/>
        <v>2839</v>
      </c>
      <c r="J156" s="18">
        <f ca="1">IFERROR(__xludf.DUMMYFUNCTION("IMPORTRANGE(""https://docs.google.com/spreadsheets/d/1uXtm-E8PG0CetlFmSpTX3RK0LNEMnpR-mxbET9AGD6w/edit"",""6!e45"")"),4353)</f>
        <v>4353</v>
      </c>
      <c r="K156" s="18">
        <f ca="1">IFERROR(__xludf.DUMMYFUNCTION("IMPORTRANGE(""https://docs.google.com/spreadsheets/d/1uXtm-E8PG0CetlFmSpTX3RK0LNEMnpR-mxbET9AGD6w/edit"",""6!e46"")"),0)</f>
        <v>0</v>
      </c>
      <c r="L156" s="18">
        <f t="shared" ca="1" si="417"/>
        <v>4353</v>
      </c>
      <c r="M156" s="18">
        <f t="shared" ca="1" si="389"/>
        <v>7192</v>
      </c>
      <c r="N156" s="19">
        <f t="shared" ca="1" si="390"/>
        <v>195.95272727272695</v>
      </c>
      <c r="O156" s="16">
        <v>9877</v>
      </c>
      <c r="P156" s="20">
        <f t="shared" ca="1" si="391"/>
        <v>0.72815632277007192</v>
      </c>
      <c r="Q156" s="21">
        <v>1.5</v>
      </c>
      <c r="R156" s="20">
        <f t="shared" ca="1" si="392"/>
        <v>0.74146928861424133</v>
      </c>
      <c r="S156" s="22">
        <f t="shared" ca="1" si="393"/>
        <v>1.112203932921362</v>
      </c>
      <c r="T156" s="21">
        <f ca="1">F156/26.155</f>
        <v>247.23532785318253</v>
      </c>
      <c r="U156" s="21">
        <f t="shared" ca="1" si="394"/>
        <v>7.4919796319146217</v>
      </c>
      <c r="V156" s="18">
        <f t="shared" ca="1" si="395"/>
        <v>217.93939393939394</v>
      </c>
      <c r="W156" s="76"/>
      <c r="X156" s="8">
        <v>1</v>
      </c>
      <c r="Y156" s="8" t="s">
        <v>26</v>
      </c>
      <c r="Z156" s="8">
        <f t="shared" ref="Z156:AI156" si="429">SUM(D141)</f>
        <v>20</v>
      </c>
      <c r="AA156" s="9">
        <f t="shared" ca="1" si="429"/>
        <v>20</v>
      </c>
      <c r="AB156" s="11">
        <f t="shared" ca="1" si="429"/>
        <v>3719.6819999999998</v>
      </c>
      <c r="AC156" s="9">
        <f t="shared" ca="1" si="429"/>
        <v>2043</v>
      </c>
      <c r="AD156" s="9">
        <f t="shared" ca="1" si="429"/>
        <v>0</v>
      </c>
      <c r="AE156" s="9">
        <f t="shared" ca="1" si="429"/>
        <v>2043</v>
      </c>
      <c r="AF156" s="9">
        <f t="shared" ca="1" si="429"/>
        <v>2437</v>
      </c>
      <c r="AG156" s="9">
        <f t="shared" ca="1" si="429"/>
        <v>82</v>
      </c>
      <c r="AH156" s="9">
        <f t="shared" ca="1" si="429"/>
        <v>2519</v>
      </c>
      <c r="AI156" s="9">
        <f t="shared" ca="1" si="429"/>
        <v>4562</v>
      </c>
      <c r="AJ156" s="11">
        <f t="shared" ref="AJ156:AJ162" ca="1" si="430">AB156/AA156</f>
        <v>185.98409999999998</v>
      </c>
      <c r="AK156" s="8">
        <f>SUM(O141)</f>
        <v>5161</v>
      </c>
      <c r="AL156" s="12">
        <f t="shared" ref="AL156:AL162" ca="1" si="431">AI156/AK156</f>
        <v>0.88393722146870757</v>
      </c>
      <c r="AM156" s="13">
        <f>SUM(Q141)</f>
        <v>1.5</v>
      </c>
      <c r="AN156" s="12">
        <f t="shared" ref="AN156:AN162" ca="1" si="432">AO156/AM156</f>
        <v>0.81763261841558865</v>
      </c>
      <c r="AO156" s="14">
        <f t="shared" ref="AO156:AO162" ca="1" si="433">AI156/AB156</f>
        <v>1.226448927623383</v>
      </c>
      <c r="AP156" s="13">
        <f t="shared" ref="AP156:AQ156" ca="1" si="434">SUM(T141)</f>
        <v>258.04245577523415</v>
      </c>
      <c r="AQ156" s="13">
        <f t="shared" ca="1" si="434"/>
        <v>12.902122788761707</v>
      </c>
      <c r="AR156" s="9">
        <f t="shared" ref="AR156:AR162" ca="1" si="435">AI156/AA156</f>
        <v>228.1</v>
      </c>
      <c r="AS156" s="76"/>
      <c r="AT156" s="76"/>
    </row>
    <row r="157" spans="1:46" ht="15.75" customHeight="1" x14ac:dyDescent="0.25">
      <c r="A157" s="70"/>
      <c r="B157" s="16">
        <v>17</v>
      </c>
      <c r="C157" s="16" t="s">
        <v>29</v>
      </c>
      <c r="D157" s="17">
        <v>30</v>
      </c>
      <c r="E157" s="18">
        <f ca="1">IFERROR(__xludf.DUMMYFUNCTION("COUNT(IMPORTRANGE(""https://docs.google.com/spreadsheets/d/12xcKI0lSnAsjEsxfm9K8Qx0B_89Gzsh816mowItkQao/edit"",""6!d2:d31""))"),28)</f>
        <v>28</v>
      </c>
      <c r="F157" s="23">
        <f ca="1">IFERROR(__xludf.DUMMYFUNCTION("SUM(IMPORTRANGE(""https://docs.google.com/spreadsheets/d/12xcKI0lSnAsjEsxfm9K8Qx0B_89Gzsh816mowItkQao/edit"",""6!Q2:Q31""))"),5546.094)</f>
        <v>5546.0940000000001</v>
      </c>
      <c r="G157" s="18">
        <f ca="1">IFERROR(__xludf.DUMMYFUNCTION("IMPORTRANGE(""https://docs.google.com/spreadsheets/d/12xcKI0lSnAsjEsxfm9K8Qx0B_89Gzsh816mowItkQao/edit"",""6!e38"")"),2452)</f>
        <v>2452</v>
      </c>
      <c r="H157" s="18">
        <f ca="1">IFERROR(__xludf.DUMMYFUNCTION("IMPORTRANGE(""https://docs.google.com/spreadsheets/d/12xcKI0lSnAsjEsxfm9K8Qx0B_89Gzsh816mowItkQao/edit"",""6!e39"")"),0)</f>
        <v>0</v>
      </c>
      <c r="I157" s="18">
        <f t="shared" ca="1" si="387"/>
        <v>2452</v>
      </c>
      <c r="J157" s="18">
        <f ca="1">IFERROR(__xludf.DUMMYFUNCTION("IMPORTRANGE(""https://docs.google.com/spreadsheets/d/12xcKI0lSnAsjEsxfm9K8Qx0B_89Gzsh816mowItkQao/edit"",""6!e42"")"),3688)</f>
        <v>3688</v>
      </c>
      <c r="K157" s="18">
        <f ca="1">IFERROR(__xludf.DUMMYFUNCTION("IMPORTRANGE(""https://docs.google.com/spreadsheets/d/12xcKI0lSnAsjEsxfm9K8Qx0B_89Gzsh816mowItkQao/edit"",""6!e43"")"),0)</f>
        <v>0</v>
      </c>
      <c r="L157" s="18">
        <f t="shared" ca="1" si="417"/>
        <v>3688</v>
      </c>
      <c r="M157" s="18">
        <f t="shared" ca="1" si="389"/>
        <v>6140</v>
      </c>
      <c r="N157" s="19">
        <f t="shared" ca="1" si="390"/>
        <v>198.07478571428572</v>
      </c>
      <c r="O157" s="16">
        <v>9201</v>
      </c>
      <c r="P157" s="20">
        <f t="shared" ca="1" si="391"/>
        <v>0.66731876969894577</v>
      </c>
      <c r="Q157" s="21">
        <v>1.5</v>
      </c>
      <c r="R157" s="20">
        <f t="shared" ca="1" si="392"/>
        <v>0.73805697006457749</v>
      </c>
      <c r="S157" s="22">
        <f t="shared" ca="1" si="393"/>
        <v>1.1070854550968663</v>
      </c>
      <c r="T157" s="21">
        <f ca="1">F157/26.038</f>
        <v>213</v>
      </c>
      <c r="U157" s="21">
        <f t="shared" ca="1" si="394"/>
        <v>7.6071428571428568</v>
      </c>
      <c r="V157" s="18">
        <f t="shared" ca="1" si="395"/>
        <v>219.28571428571428</v>
      </c>
      <c r="W157" s="76"/>
      <c r="X157" s="8">
        <v>2</v>
      </c>
      <c r="Y157" s="8" t="s">
        <v>32</v>
      </c>
      <c r="Z157" s="8">
        <f t="shared" ref="Z157:AI157" si="436">SUM(D144)</f>
        <v>42</v>
      </c>
      <c r="AA157" s="9">
        <f t="shared" ca="1" si="436"/>
        <v>42</v>
      </c>
      <c r="AB157" s="10">
        <f t="shared" ca="1" si="436"/>
        <v>8354.6369999999897</v>
      </c>
      <c r="AC157" s="8">
        <f t="shared" ca="1" si="436"/>
        <v>4300</v>
      </c>
      <c r="AD157" s="8">
        <f t="shared" ca="1" si="436"/>
        <v>60</v>
      </c>
      <c r="AE157" s="9">
        <f t="shared" ca="1" si="436"/>
        <v>4360</v>
      </c>
      <c r="AF157" s="8">
        <f t="shared" ca="1" si="436"/>
        <v>4988</v>
      </c>
      <c r="AG157" s="8">
        <f t="shared" ca="1" si="436"/>
        <v>70</v>
      </c>
      <c r="AH157" s="9">
        <f t="shared" ca="1" si="436"/>
        <v>5058</v>
      </c>
      <c r="AI157" s="9">
        <f t="shared" ca="1" si="436"/>
        <v>9418</v>
      </c>
      <c r="AJ157" s="11">
        <f t="shared" ca="1" si="430"/>
        <v>198.91992857142833</v>
      </c>
      <c r="AK157" s="8">
        <f>SUM(O144)</f>
        <v>13817</v>
      </c>
      <c r="AL157" s="12">
        <f t="shared" ca="1" si="431"/>
        <v>0.68162408627053628</v>
      </c>
      <c r="AM157" s="13">
        <f>SUM(Q144)</f>
        <v>1.5</v>
      </c>
      <c r="AN157" s="12">
        <f t="shared" ca="1" si="432"/>
        <v>0.75151878731136668</v>
      </c>
      <c r="AO157" s="14">
        <f t="shared" ca="1" si="433"/>
        <v>1.12727818096705</v>
      </c>
      <c r="AP157" s="13">
        <f t="shared" ref="AP157:AQ157" ca="1" si="437">SUM(T144)</f>
        <v>332.9999999999996</v>
      </c>
      <c r="AQ157" s="13">
        <f t="shared" ca="1" si="437"/>
        <v>7.9285714285714191</v>
      </c>
      <c r="AR157" s="9">
        <f t="shared" ca="1" si="435"/>
        <v>224.23809523809524</v>
      </c>
      <c r="AS157" s="76"/>
      <c r="AT157" s="76"/>
    </row>
    <row r="158" spans="1:46" ht="15.75" customHeight="1" x14ac:dyDescent="0.25">
      <c r="A158" s="70"/>
      <c r="B158" s="16">
        <v>18</v>
      </c>
      <c r="C158" s="16" t="s">
        <v>31</v>
      </c>
      <c r="D158" s="17">
        <v>15</v>
      </c>
      <c r="E158" s="18">
        <f ca="1">IFERROR(__xludf.DUMMYFUNCTION("COUNT(IMPORTRANGE(""https://docs.google.com/spreadsheets/d/1fgCFOFzOla4Qim6_-zG-lbYhLCItqv_kZiAHoErRgcM/edit"",""6!d2:d16""))"),15)</f>
        <v>15</v>
      </c>
      <c r="F158" s="19">
        <f ca="1">IFERROR(__xludf.DUMMYFUNCTION("SUM(IMPORTRANGE(""https://docs.google.com/spreadsheets/d/1fgCFOFzOla4Qim6_-zG-lbYhLCItqv_kZiAHoErRgcM/edit"",""6!Q2:Q16""))"),2868.68999999999)</f>
        <v>2868.6899999999901</v>
      </c>
      <c r="G158" s="18">
        <f ca="1">IFERROR(__xludf.DUMMYFUNCTION("IMPORTRANGE(""https://docs.google.com/spreadsheets/d/1fgCFOFzOla4Qim6_-zG-lbYhLCItqv_kZiAHoErRgcM/edit"",""6!e23"")"),892)</f>
        <v>892</v>
      </c>
      <c r="H158" s="18">
        <f ca="1">IFERROR(__xludf.DUMMYFUNCTION("IMPORTRANGE(""https://docs.google.com/spreadsheets/d/1fgCFOFzOla4Qim6_-zG-lbYhLCItqv_kZiAHoErRgcM/edit"",""6!e24"")"),0)</f>
        <v>0</v>
      </c>
      <c r="I158" s="18">
        <f t="shared" ca="1" si="387"/>
        <v>892</v>
      </c>
      <c r="J158" s="18">
        <f ca="1">IFERROR(__xludf.DUMMYFUNCTION("IMPORTRANGE(""https://docs.google.com/spreadsheets/d/1fgCFOFzOla4Qim6_-zG-lbYhLCItqv_kZiAHoErRgcM/edit"",""6!e27"")"),946)</f>
        <v>946</v>
      </c>
      <c r="K158" s="18">
        <f ca="1">IFERROR(__xludf.DUMMYFUNCTION("IMPORTRANGE(""https://docs.google.com/spreadsheets/d/1fgCFOFzOla4Qim6_-zG-lbYhLCItqv_kZiAHoErRgcM/edit"",""7!e28"")"),0)</f>
        <v>0</v>
      </c>
      <c r="L158" s="18">
        <f t="shared" ca="1" si="417"/>
        <v>946</v>
      </c>
      <c r="M158" s="18">
        <f t="shared" ca="1" si="389"/>
        <v>1838</v>
      </c>
      <c r="N158" s="19">
        <f t="shared" ca="1" si="390"/>
        <v>191.24599999999933</v>
      </c>
      <c r="O158" s="16">
        <v>2717</v>
      </c>
      <c r="P158" s="20">
        <f t="shared" ca="1" si="391"/>
        <v>0.67648141332351863</v>
      </c>
      <c r="Q158" s="21">
        <v>1.5</v>
      </c>
      <c r="R158" s="20">
        <f t="shared" ca="1" si="392"/>
        <v>0.42714037882564432</v>
      </c>
      <c r="S158" s="22">
        <f t="shared" ca="1" si="393"/>
        <v>0.6407105682384665</v>
      </c>
      <c r="T158" s="21">
        <f ca="1">F158/43.465</f>
        <v>65.999999999999773</v>
      </c>
      <c r="U158" s="21">
        <f t="shared" ca="1" si="394"/>
        <v>4.3999999999999853</v>
      </c>
      <c r="V158" s="18">
        <f t="shared" ca="1" si="395"/>
        <v>122.53333333333333</v>
      </c>
      <c r="W158" s="76"/>
      <c r="X158" s="8">
        <v>3</v>
      </c>
      <c r="Y158" s="8" t="s">
        <v>36</v>
      </c>
      <c r="Z158" s="8">
        <f t="shared" ref="Z158:AI158" si="438">SUM(D149)</f>
        <v>24</v>
      </c>
      <c r="AA158" s="9">
        <f t="shared" ca="1" si="438"/>
        <v>24</v>
      </c>
      <c r="AB158" s="10">
        <f t="shared" ca="1" si="438"/>
        <v>4745.1939999999904</v>
      </c>
      <c r="AC158" s="9">
        <f t="shared" ca="1" si="438"/>
        <v>1135</v>
      </c>
      <c r="AD158" s="9">
        <f t="shared" ca="1" si="438"/>
        <v>0</v>
      </c>
      <c r="AE158" s="9">
        <f t="shared" ca="1" si="438"/>
        <v>1135</v>
      </c>
      <c r="AF158" s="9">
        <f t="shared" ca="1" si="438"/>
        <v>2055</v>
      </c>
      <c r="AG158" s="9">
        <f t="shared" ca="1" si="438"/>
        <v>0</v>
      </c>
      <c r="AH158" s="9">
        <f t="shared" ca="1" si="438"/>
        <v>2055</v>
      </c>
      <c r="AI158" s="9">
        <f t="shared" ca="1" si="438"/>
        <v>3190</v>
      </c>
      <c r="AJ158" s="11">
        <f t="shared" ca="1" si="430"/>
        <v>197.71641666666628</v>
      </c>
      <c r="AK158" s="8">
        <f t="shared" ref="AK158:AK161" si="439">SUM(O149)</f>
        <v>4796</v>
      </c>
      <c r="AL158" s="12">
        <f t="shared" ca="1" si="431"/>
        <v>0.66513761467889909</v>
      </c>
      <c r="AM158" s="13">
        <f t="shared" ref="AM158:AM161" si="440">SUM(Q149)</f>
        <v>1.5</v>
      </c>
      <c r="AN158" s="12">
        <f t="shared" ca="1" si="432"/>
        <v>0.44817275472123397</v>
      </c>
      <c r="AO158" s="14">
        <f t="shared" ca="1" si="433"/>
        <v>0.67225913208185095</v>
      </c>
      <c r="AP158" s="13">
        <f t="shared" ref="AP158:AQ158" ca="1" si="441">SUM(T149)</f>
        <v>126.82936868551853</v>
      </c>
      <c r="AQ158" s="13">
        <f t="shared" ca="1" si="441"/>
        <v>5.2845570285632721</v>
      </c>
      <c r="AR158" s="9">
        <f t="shared" ca="1" si="435"/>
        <v>132.91666666666666</v>
      </c>
      <c r="AS158" s="76"/>
      <c r="AT158" s="76"/>
    </row>
    <row r="159" spans="1:46" ht="15.75" customHeight="1" x14ac:dyDescent="0.2">
      <c r="A159" s="70"/>
      <c r="B159" s="98" t="s">
        <v>33</v>
      </c>
      <c r="C159" s="98">
        <v>18</v>
      </c>
      <c r="D159" s="98">
        <f t="shared" ref="D159:M159" si="442">SUM(D141:D158)</f>
        <v>580</v>
      </c>
      <c r="E159" s="74">
        <f t="shared" ca="1" si="442"/>
        <v>563</v>
      </c>
      <c r="F159" s="99">
        <f t="shared" ca="1" si="442"/>
        <v>109732.18399999979</v>
      </c>
      <c r="G159" s="74">
        <f t="shared" ca="1" si="442"/>
        <v>36229</v>
      </c>
      <c r="H159" s="74">
        <f t="shared" ca="1" si="442"/>
        <v>1139</v>
      </c>
      <c r="I159" s="74">
        <f t="shared" ca="1" si="442"/>
        <v>37368</v>
      </c>
      <c r="J159" s="74">
        <f t="shared" ca="1" si="442"/>
        <v>50997</v>
      </c>
      <c r="K159" s="74">
        <f t="shared" ca="1" si="442"/>
        <v>1357</v>
      </c>
      <c r="L159" s="74">
        <f t="shared" ca="1" si="442"/>
        <v>52354</v>
      </c>
      <c r="M159" s="74">
        <f t="shared" ca="1" si="442"/>
        <v>89722</v>
      </c>
      <c r="N159" s="99">
        <f t="shared" ca="1" si="390"/>
        <v>194.90618827708667</v>
      </c>
      <c r="O159" s="98">
        <f>SUM(O141:O158)</f>
        <v>126399</v>
      </c>
      <c r="P159" s="69">
        <f t="shared" ca="1" si="391"/>
        <v>0.70983156512314183</v>
      </c>
      <c r="Q159" s="72">
        <v>1.5</v>
      </c>
      <c r="R159" s="69">
        <f t="shared" ca="1" si="392"/>
        <v>0.54509683928888886</v>
      </c>
      <c r="S159" s="73">
        <f t="shared" ca="1" si="393"/>
        <v>0.81764525893333329</v>
      </c>
      <c r="T159" s="72">
        <f ca="1">SUM(T141:T158)</f>
        <v>4052.6745160598966</v>
      </c>
      <c r="U159" s="72">
        <f t="shared" ca="1" si="394"/>
        <v>7.1983561564118945</v>
      </c>
      <c r="V159" s="74">
        <f t="shared" ca="1" si="395"/>
        <v>159.36412078152753</v>
      </c>
      <c r="W159" s="76"/>
      <c r="X159" s="8">
        <v>4</v>
      </c>
      <c r="Y159" s="8" t="s">
        <v>37</v>
      </c>
      <c r="Z159" s="8">
        <f t="shared" ref="Z159:AI159" si="443">SUM(D150)</f>
        <v>30</v>
      </c>
      <c r="AA159" s="9">
        <f t="shared" ca="1" si="443"/>
        <v>28</v>
      </c>
      <c r="AB159" s="10">
        <f t="shared" ca="1" si="443"/>
        <v>5402.0339999999997</v>
      </c>
      <c r="AC159" s="9">
        <f t="shared" ca="1" si="443"/>
        <v>1735</v>
      </c>
      <c r="AD159" s="9">
        <f t="shared" ca="1" si="443"/>
        <v>0</v>
      </c>
      <c r="AE159" s="9">
        <f t="shared" ca="1" si="443"/>
        <v>1735</v>
      </c>
      <c r="AF159" s="9">
        <f t="shared" ca="1" si="443"/>
        <v>2520</v>
      </c>
      <c r="AG159" s="9">
        <f t="shared" ca="1" si="443"/>
        <v>60</v>
      </c>
      <c r="AH159" s="9">
        <f t="shared" ca="1" si="443"/>
        <v>2580</v>
      </c>
      <c r="AI159" s="9">
        <f t="shared" ca="1" si="443"/>
        <v>4315</v>
      </c>
      <c r="AJ159" s="11">
        <f t="shared" ca="1" si="430"/>
        <v>192.92978571428571</v>
      </c>
      <c r="AK159" s="8">
        <f t="shared" si="439"/>
        <v>5887</v>
      </c>
      <c r="AL159" s="12">
        <f t="shared" ca="1" si="431"/>
        <v>0.73297095294717174</v>
      </c>
      <c r="AM159" s="13">
        <f t="shared" si="440"/>
        <v>1.5</v>
      </c>
      <c r="AN159" s="12">
        <f t="shared" ca="1" si="432"/>
        <v>0.53251546855622656</v>
      </c>
      <c r="AO159" s="14">
        <f t="shared" ca="1" si="433"/>
        <v>0.79877320283433983</v>
      </c>
      <c r="AP159" s="13">
        <f t="shared" ref="AP159:AQ159" ca="1" si="444">SUM(T150)</f>
        <v>217.89424007744432</v>
      </c>
      <c r="AQ159" s="13">
        <f t="shared" ca="1" si="444"/>
        <v>7.7819371456230115</v>
      </c>
      <c r="AR159" s="9">
        <f t="shared" ca="1" si="435"/>
        <v>154.10714285714286</v>
      </c>
      <c r="AS159" s="76"/>
      <c r="AT159" s="76"/>
    </row>
    <row r="160" spans="1:46" ht="15.75" customHeight="1" x14ac:dyDescent="0.2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6"/>
      <c r="X160" s="8">
        <v>5</v>
      </c>
      <c r="Y160" s="8" t="s">
        <v>39</v>
      </c>
      <c r="Z160" s="8">
        <f t="shared" ref="Z160:AI160" si="445">SUM(D151)</f>
        <v>28</v>
      </c>
      <c r="AA160" s="9">
        <f t="shared" ca="1" si="445"/>
        <v>28</v>
      </c>
      <c r="AB160" s="10">
        <f t="shared" ca="1" si="445"/>
        <v>5480.3410000000003</v>
      </c>
      <c r="AC160" s="9">
        <f t="shared" ca="1" si="445"/>
        <v>1203</v>
      </c>
      <c r="AD160" s="9">
        <f t="shared" ca="1" si="445"/>
        <v>48</v>
      </c>
      <c r="AE160" s="9">
        <f t="shared" ca="1" si="445"/>
        <v>1251</v>
      </c>
      <c r="AF160" s="9">
        <f t="shared" ca="1" si="445"/>
        <v>1918</v>
      </c>
      <c r="AG160" s="9">
        <f t="shared" ca="1" si="445"/>
        <v>0</v>
      </c>
      <c r="AH160" s="9">
        <f t="shared" ca="1" si="445"/>
        <v>1918</v>
      </c>
      <c r="AI160" s="9">
        <f t="shared" ca="1" si="445"/>
        <v>3169</v>
      </c>
      <c r="AJ160" s="11">
        <f t="shared" ca="1" si="430"/>
        <v>195.72646428571429</v>
      </c>
      <c r="AK160" s="8">
        <f t="shared" si="439"/>
        <v>3569</v>
      </c>
      <c r="AL160" s="12">
        <f t="shared" ca="1" si="431"/>
        <v>0.88792378817595963</v>
      </c>
      <c r="AM160" s="13">
        <f t="shared" si="440"/>
        <v>1.5</v>
      </c>
      <c r="AN160" s="12">
        <f t="shared" ca="1" si="432"/>
        <v>0.38549912617967869</v>
      </c>
      <c r="AO160" s="14">
        <f t="shared" ca="1" si="433"/>
        <v>0.578248689269518</v>
      </c>
      <c r="AP160" s="13">
        <f t="shared" ref="AP160:AQ160" ca="1" si="446">SUM(T151)</f>
        <v>255.3390020034478</v>
      </c>
      <c r="AQ160" s="13">
        <f t="shared" ca="1" si="446"/>
        <v>9.1192500715517077</v>
      </c>
      <c r="AR160" s="9">
        <f t="shared" ca="1" si="435"/>
        <v>113.17857142857143</v>
      </c>
      <c r="AS160" s="76"/>
      <c r="AT160" s="76"/>
    </row>
    <row r="161" spans="1:46" ht="15.75" customHeight="1" x14ac:dyDescent="0.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6"/>
      <c r="X161" s="8">
        <v>6</v>
      </c>
      <c r="Y161" s="8" t="s">
        <v>41</v>
      </c>
      <c r="Z161" s="8">
        <f t="shared" ref="Z161:AI161" si="447">SUM(D152)</f>
        <v>24</v>
      </c>
      <c r="AA161" s="9">
        <f t="shared" ca="1" si="447"/>
        <v>23</v>
      </c>
      <c r="AB161" s="10">
        <f t="shared" ca="1" si="447"/>
        <v>4585.7560000000003</v>
      </c>
      <c r="AC161" s="9">
        <f t="shared" ca="1" si="447"/>
        <v>1092</v>
      </c>
      <c r="AD161" s="9">
        <f t="shared" ca="1" si="447"/>
        <v>65</v>
      </c>
      <c r="AE161" s="9">
        <f t="shared" ca="1" si="447"/>
        <v>1157</v>
      </c>
      <c r="AF161" s="9">
        <f t="shared" ca="1" si="447"/>
        <v>1693</v>
      </c>
      <c r="AG161" s="9">
        <f t="shared" ca="1" si="447"/>
        <v>23</v>
      </c>
      <c r="AH161" s="9">
        <f t="shared" ca="1" si="447"/>
        <v>1716</v>
      </c>
      <c r="AI161" s="9">
        <f t="shared" ca="1" si="447"/>
        <v>2873</v>
      </c>
      <c r="AJ161" s="11">
        <f t="shared" ca="1" si="430"/>
        <v>199.38069565217393</v>
      </c>
      <c r="AK161" s="8">
        <f t="shared" si="439"/>
        <v>3801</v>
      </c>
      <c r="AL161" s="12">
        <f t="shared" ca="1" si="431"/>
        <v>0.75585372270455142</v>
      </c>
      <c r="AM161" s="13">
        <f t="shared" si="440"/>
        <v>1.5</v>
      </c>
      <c r="AN161" s="12">
        <f t="shared" ca="1" si="432"/>
        <v>0.41767013625088928</v>
      </c>
      <c r="AO161" s="14">
        <f t="shared" ca="1" si="433"/>
        <v>0.62650520437633395</v>
      </c>
      <c r="AP161" s="13">
        <f t="shared" ref="AP161:AQ161" ca="1" si="448">SUM(T152)</f>
        <v>154.7777777777778</v>
      </c>
      <c r="AQ161" s="13">
        <f t="shared" ca="1" si="448"/>
        <v>6.729468599033817</v>
      </c>
      <c r="AR161" s="9">
        <f t="shared" ca="1" si="435"/>
        <v>124.91304347826087</v>
      </c>
      <c r="AS161" s="76"/>
      <c r="AT161" s="76"/>
    </row>
    <row r="162" spans="1:46" ht="15.75" customHeight="1" x14ac:dyDescent="0.25">
      <c r="A162" s="110" t="s">
        <v>45</v>
      </c>
      <c r="B162" s="76"/>
      <c r="C162" s="76"/>
      <c r="D162" s="75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24" t="s">
        <v>33</v>
      </c>
      <c r="Y162" s="24">
        <v>6</v>
      </c>
      <c r="Z162" s="24">
        <f t="shared" ref="Z162:AI162" si="449">SUM(Z156:Z161)</f>
        <v>168</v>
      </c>
      <c r="AA162" s="25">
        <f t="shared" ca="1" si="449"/>
        <v>165</v>
      </c>
      <c r="AB162" s="27">
        <f t="shared" ca="1" si="449"/>
        <v>32287.643999999978</v>
      </c>
      <c r="AC162" s="25">
        <f t="shared" ca="1" si="449"/>
        <v>11508</v>
      </c>
      <c r="AD162" s="25">
        <f t="shared" ca="1" si="449"/>
        <v>173</v>
      </c>
      <c r="AE162" s="25">
        <f t="shared" ca="1" si="449"/>
        <v>11681</v>
      </c>
      <c r="AF162" s="25">
        <f t="shared" ca="1" si="449"/>
        <v>15611</v>
      </c>
      <c r="AG162" s="25">
        <f t="shared" ca="1" si="449"/>
        <v>235</v>
      </c>
      <c r="AH162" s="25">
        <f t="shared" ca="1" si="449"/>
        <v>15846</v>
      </c>
      <c r="AI162" s="25">
        <f t="shared" ca="1" si="449"/>
        <v>27527</v>
      </c>
      <c r="AJ162" s="27">
        <f t="shared" ca="1" si="430"/>
        <v>195.68269090909078</v>
      </c>
      <c r="AK162" s="24">
        <f>SUM(AK156:AK161)</f>
        <v>37031</v>
      </c>
      <c r="AL162" s="28">
        <f t="shared" ca="1" si="431"/>
        <v>0.74335016607707061</v>
      </c>
      <c r="AM162" s="29">
        <v>1.5</v>
      </c>
      <c r="AN162" s="28">
        <f t="shared" ca="1" si="432"/>
        <v>0.56837015835944382</v>
      </c>
      <c r="AO162" s="30">
        <f t="shared" ca="1" si="433"/>
        <v>0.85255523753916573</v>
      </c>
      <c r="AP162" s="29">
        <f ca="1">SUM(AP156:AP161)</f>
        <v>1345.8828443194222</v>
      </c>
      <c r="AQ162" s="29">
        <f ca="1">AP162/AA162</f>
        <v>8.1568657231480142</v>
      </c>
      <c r="AR162" s="25">
        <f t="shared" ca="1" si="435"/>
        <v>166.83030303030304</v>
      </c>
      <c r="AS162" s="76"/>
      <c r="AT162" s="76"/>
    </row>
    <row r="163" spans="1:46" ht="15.75" customHeight="1" x14ac:dyDescent="0.2">
      <c r="A163" s="110" t="s">
        <v>45</v>
      </c>
      <c r="B163" s="76"/>
      <c r="C163" s="76"/>
      <c r="D163" s="75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7" t="s">
        <v>1</v>
      </c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9"/>
      <c r="AS163" s="76"/>
      <c r="AT163" s="76"/>
    </row>
    <row r="164" spans="1:46" ht="15.75" customHeight="1" x14ac:dyDescent="0.2">
      <c r="A164" s="109">
        <v>46210</v>
      </c>
      <c r="B164" s="80" t="s">
        <v>2</v>
      </c>
      <c r="C164" s="80" t="s">
        <v>3</v>
      </c>
      <c r="D164" s="80" t="s">
        <v>4</v>
      </c>
      <c r="E164" s="80" t="s">
        <v>5</v>
      </c>
      <c r="F164" s="81" t="s">
        <v>6</v>
      </c>
      <c r="G164" s="80" t="s">
        <v>7</v>
      </c>
      <c r="H164" s="80" t="s">
        <v>8</v>
      </c>
      <c r="I164" s="80" t="s">
        <v>9</v>
      </c>
      <c r="J164" s="80" t="s">
        <v>10</v>
      </c>
      <c r="K164" s="80" t="s">
        <v>11</v>
      </c>
      <c r="L164" s="80" t="s">
        <v>12</v>
      </c>
      <c r="M164" s="80" t="s">
        <v>13</v>
      </c>
      <c r="N164" s="81" t="s">
        <v>14</v>
      </c>
      <c r="O164" s="80" t="s">
        <v>15</v>
      </c>
      <c r="P164" s="80" t="s">
        <v>16</v>
      </c>
      <c r="Q164" s="80" t="s">
        <v>17</v>
      </c>
      <c r="R164" s="80" t="s">
        <v>18</v>
      </c>
      <c r="S164" s="106" t="s">
        <v>19</v>
      </c>
      <c r="T164" s="107" t="s">
        <v>20</v>
      </c>
      <c r="U164" s="107" t="s">
        <v>21</v>
      </c>
      <c r="V164" s="105" t="s">
        <v>22</v>
      </c>
      <c r="W164" s="76"/>
      <c r="X164" s="1" t="s">
        <v>2</v>
      </c>
      <c r="Y164" s="1" t="s">
        <v>3</v>
      </c>
      <c r="Z164" s="1" t="s">
        <v>4</v>
      </c>
      <c r="AA164" s="1" t="s">
        <v>5</v>
      </c>
      <c r="AB164" s="2" t="s">
        <v>6</v>
      </c>
      <c r="AC164" s="1" t="s">
        <v>7</v>
      </c>
      <c r="AD164" s="1" t="s">
        <v>8</v>
      </c>
      <c r="AE164" s="1" t="s">
        <v>9</v>
      </c>
      <c r="AF164" s="1" t="s">
        <v>10</v>
      </c>
      <c r="AG164" s="1" t="s">
        <v>11</v>
      </c>
      <c r="AH164" s="1" t="s">
        <v>12</v>
      </c>
      <c r="AI164" s="1" t="s">
        <v>13</v>
      </c>
      <c r="AJ164" s="2" t="s">
        <v>14</v>
      </c>
      <c r="AK164" s="1" t="s">
        <v>15</v>
      </c>
      <c r="AL164" s="1" t="s">
        <v>16</v>
      </c>
      <c r="AM164" s="3" t="s">
        <v>17</v>
      </c>
      <c r="AN164" s="4" t="s">
        <v>18</v>
      </c>
      <c r="AO164" s="5" t="s">
        <v>19</v>
      </c>
      <c r="AP164" s="6" t="s">
        <v>20</v>
      </c>
      <c r="AQ164" s="6" t="s">
        <v>21</v>
      </c>
      <c r="AR164" s="7" t="s">
        <v>22</v>
      </c>
      <c r="AS164" s="76"/>
      <c r="AT164" s="76"/>
    </row>
    <row r="165" spans="1:46" ht="15.75" customHeight="1" x14ac:dyDescent="0.2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6"/>
      <c r="X165" s="8">
        <v>1</v>
      </c>
      <c r="Y165" s="8" t="s">
        <v>23</v>
      </c>
      <c r="Z165" s="8">
        <f t="shared" ref="Z165:AI165" si="450">SUM(D173)</f>
        <v>35</v>
      </c>
      <c r="AA165" s="9">
        <f t="shared" ca="1" si="450"/>
        <v>34</v>
      </c>
      <c r="AB165" s="10">
        <f t="shared" ca="1" si="450"/>
        <v>6714.2599999999902</v>
      </c>
      <c r="AC165" s="9">
        <f t="shared" ca="1" si="450"/>
        <v>1795</v>
      </c>
      <c r="AD165" s="9">
        <f t="shared" ca="1" si="450"/>
        <v>0</v>
      </c>
      <c r="AE165" s="9">
        <f t="shared" ca="1" si="450"/>
        <v>1795</v>
      </c>
      <c r="AF165" s="9">
        <f t="shared" ca="1" si="450"/>
        <v>2979</v>
      </c>
      <c r="AG165" s="9">
        <f t="shared" ca="1" si="450"/>
        <v>0</v>
      </c>
      <c r="AH165" s="9">
        <f t="shared" ca="1" si="450"/>
        <v>2979</v>
      </c>
      <c r="AI165" s="9">
        <f t="shared" ca="1" si="450"/>
        <v>4774</v>
      </c>
      <c r="AJ165" s="11">
        <f t="shared" ref="AJ165:AJ167" ca="1" si="451">AB165/AA165</f>
        <v>197.47823529411735</v>
      </c>
      <c r="AK165" s="8">
        <f>SUM(O173)</f>
        <v>6853</v>
      </c>
      <c r="AL165" s="12">
        <f t="shared" ref="AL165:AL171" ca="1" si="452">AI165/AK165</f>
        <v>0.6966292134831461</v>
      </c>
      <c r="AM165" s="13">
        <f t="shared" ref="AM165:AM167" si="453">SUM(Q173)</f>
        <v>1.5</v>
      </c>
      <c r="AN165" s="12">
        <f t="shared" ref="AN165:AN171" ca="1" si="454">AO165/AM165</f>
        <v>0.47401599977758851</v>
      </c>
      <c r="AO165" s="14">
        <f t="shared" ref="AO165:AO171" ca="1" si="455">AI165/AB165</f>
        <v>0.71102399966638274</v>
      </c>
      <c r="AP165" s="13">
        <f t="shared" ref="AP165:AQ165" ca="1" si="456">SUM(T173)</f>
        <v>198.99999999999969</v>
      </c>
      <c r="AQ165" s="13">
        <f t="shared" ca="1" si="456"/>
        <v>5.852941176470579</v>
      </c>
      <c r="AR165" s="9">
        <f t="shared" ref="AR165:AR171" ca="1" si="457">AI165/AA165</f>
        <v>140.41176470588235</v>
      </c>
      <c r="AS165" s="76"/>
      <c r="AT165" s="76"/>
    </row>
    <row r="166" spans="1:46" ht="15.75" customHeight="1" x14ac:dyDescent="0.2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6"/>
      <c r="X166" s="8">
        <v>2</v>
      </c>
      <c r="Y166" s="8" t="s">
        <v>24</v>
      </c>
      <c r="Z166" s="8">
        <f t="shared" ref="Z166:AI166" si="458">SUM(D174)</f>
        <v>44</v>
      </c>
      <c r="AA166" s="9">
        <f t="shared" ca="1" si="458"/>
        <v>43</v>
      </c>
      <c r="AB166" s="10">
        <f t="shared" ca="1" si="458"/>
        <v>8477.9519999999902</v>
      </c>
      <c r="AC166" s="9">
        <f t="shared" ca="1" si="458"/>
        <v>1117</v>
      </c>
      <c r="AD166" s="9">
        <f t="shared" ca="1" si="458"/>
        <v>0</v>
      </c>
      <c r="AE166" s="9">
        <f t="shared" ca="1" si="458"/>
        <v>1117</v>
      </c>
      <c r="AF166" s="9">
        <f t="shared" ca="1" si="458"/>
        <v>1631</v>
      </c>
      <c r="AG166" s="9">
        <f t="shared" ca="1" si="458"/>
        <v>5</v>
      </c>
      <c r="AH166" s="9">
        <f t="shared" ca="1" si="458"/>
        <v>1636</v>
      </c>
      <c r="AI166" s="9">
        <f t="shared" ca="1" si="458"/>
        <v>2753</v>
      </c>
      <c r="AJ166" s="11">
        <f t="shared" ca="1" si="451"/>
        <v>197.16167441860443</v>
      </c>
      <c r="AK166" s="8">
        <v>1580</v>
      </c>
      <c r="AL166" s="15">
        <f t="shared" ca="1" si="452"/>
        <v>1.7424050632911392</v>
      </c>
      <c r="AM166" s="13">
        <f t="shared" si="453"/>
        <v>1.5</v>
      </c>
      <c r="AN166" s="12">
        <f t="shared" ca="1" si="454"/>
        <v>0.21648310032108409</v>
      </c>
      <c r="AO166" s="14">
        <f t="shared" ca="1" si="455"/>
        <v>0.32472465048162613</v>
      </c>
      <c r="AP166" s="13">
        <f t="shared" ref="AP166:AQ166" ca="1" si="459">SUM(T174)</f>
        <v>316.28248461107967</v>
      </c>
      <c r="AQ166" s="13">
        <f t="shared" ca="1" si="459"/>
        <v>7.3554066188623182</v>
      </c>
      <c r="AR166" s="9">
        <f t="shared" ca="1" si="457"/>
        <v>64.023255813953483</v>
      </c>
      <c r="AS166" s="76"/>
      <c r="AT166" s="76"/>
    </row>
    <row r="167" spans="1:46" ht="15.75" customHeight="1" x14ac:dyDescent="0.2">
      <c r="A167" s="70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6"/>
      <c r="X167" s="8">
        <v>3</v>
      </c>
      <c r="Y167" s="8" t="s">
        <v>25</v>
      </c>
      <c r="Z167" s="8">
        <f t="shared" ref="Z167:AI167" si="460">SUM(D175)</f>
        <v>32</v>
      </c>
      <c r="AA167" s="9">
        <f t="shared" ca="1" si="460"/>
        <v>31</v>
      </c>
      <c r="AB167" s="10">
        <f t="shared" ca="1" si="460"/>
        <v>6020.4840000000004</v>
      </c>
      <c r="AC167" s="9">
        <f t="shared" ca="1" si="460"/>
        <v>2078</v>
      </c>
      <c r="AD167" s="9">
        <f t="shared" ca="1" si="460"/>
        <v>414</v>
      </c>
      <c r="AE167" s="9">
        <f t="shared" ca="1" si="460"/>
        <v>2492</v>
      </c>
      <c r="AF167" s="9">
        <f t="shared" ca="1" si="460"/>
        <v>2865</v>
      </c>
      <c r="AG167" s="9">
        <f t="shared" ca="1" si="460"/>
        <v>420</v>
      </c>
      <c r="AH167" s="9">
        <f t="shared" ca="1" si="460"/>
        <v>3285</v>
      </c>
      <c r="AI167" s="9">
        <f t="shared" ca="1" si="460"/>
        <v>5777</v>
      </c>
      <c r="AJ167" s="11">
        <f t="shared" ca="1" si="451"/>
        <v>194.20916129032258</v>
      </c>
      <c r="AK167" s="8">
        <f>SUM(O175)</f>
        <v>6622</v>
      </c>
      <c r="AL167" s="12">
        <f t="shared" ca="1" si="452"/>
        <v>0.87239504681365143</v>
      </c>
      <c r="AM167" s="13">
        <f t="shared" si="453"/>
        <v>1.5</v>
      </c>
      <c r="AN167" s="12">
        <f t="shared" ca="1" si="454"/>
        <v>0.6397049362365772</v>
      </c>
      <c r="AO167" s="14">
        <f t="shared" ca="1" si="455"/>
        <v>0.95955740435486581</v>
      </c>
      <c r="AP167" s="13">
        <f t="shared" ref="AP167:AQ167" ca="1" si="461">SUM(T175)</f>
        <v>252.53708053691278</v>
      </c>
      <c r="AQ167" s="13">
        <f t="shared" ca="1" si="461"/>
        <v>8.1463574366746059</v>
      </c>
      <c r="AR167" s="9">
        <f t="shared" ca="1" si="457"/>
        <v>186.35483870967741</v>
      </c>
      <c r="AS167" s="76"/>
      <c r="AT167" s="76"/>
    </row>
    <row r="168" spans="1:46" ht="15.75" customHeight="1" x14ac:dyDescent="0.25">
      <c r="A168" s="70"/>
      <c r="B168" s="16">
        <v>1</v>
      </c>
      <c r="C168" s="16" t="s">
        <v>26</v>
      </c>
      <c r="D168" s="17">
        <v>20</v>
      </c>
      <c r="E168" s="18">
        <f ca="1">IFERROR(__xludf.DUMMYFUNCTION("COUNT(IMPORTRANGE(""https://docs.google.com/spreadsheets/d/1z0o91thOT38lgejTE_Bd2p3v_9VCDdQRkUsMIVqpQCk/edit"",""7!d2:d21""))"),20)</f>
        <v>20</v>
      </c>
      <c r="F168" s="19">
        <f ca="1">IFERROR(__xludf.DUMMYFUNCTION("SUM(IMPORTRANGE(""https://docs.google.com/spreadsheets/d/1z0o91thOT38lgejTE_Bd2p3v_9VCDdQRkUsMIVqpQCk/edit"",""7!Q2:Q21""))"),3748.512)</f>
        <v>3748.5120000000002</v>
      </c>
      <c r="G168" s="18">
        <f ca="1">IFERROR(__xludf.DUMMYFUNCTION("IMPORTRANGE(""https://docs.google.com/spreadsheets/d/1z0o91thOT38lgejTE_Bd2p3v_9VCDdQRkUsMIVqpQCk/edit"",""7!e28"")"),1947)</f>
        <v>1947</v>
      </c>
      <c r="H168" s="18">
        <f ca="1">IFERROR(__xludf.DUMMYFUNCTION("IMPORTRANGE(""https://docs.google.com/spreadsheets/d/1z0o91thOT38lgejTE_Bd2p3v_9VCDdQRkUsMIVqpQCk/edit"",""7!e29"")"),0)</f>
        <v>0</v>
      </c>
      <c r="I168" s="18">
        <f t="shared" ref="I168:I185" ca="1" si="462">SUM(G168:H168)</f>
        <v>1947</v>
      </c>
      <c r="J168" s="18">
        <f ca="1">IFERROR(__xludf.DUMMYFUNCTION("IMPORTRANGE(""https://docs.google.com/spreadsheets/d/1z0o91thOT38lgejTE_Bd2p3v_9VCDdQRkUsMIVqpQCk/edit"",""7!e32"")"),2481)</f>
        <v>2481</v>
      </c>
      <c r="K168" s="18">
        <f ca="1">IFERROR(__xludf.DUMMYFUNCTION("IMPORTRANGE(""https://docs.google.com/spreadsheets/d/1z0o91thOT38lgejTE_Bd2p3v_9VCDdQRkUsMIVqpQCk/edit"",""7!e33"")"),50)</f>
        <v>50</v>
      </c>
      <c r="L168" s="18">
        <f t="shared" ref="L168:L174" ca="1" si="463">SUM(J168:K168)</f>
        <v>2531</v>
      </c>
      <c r="M168" s="18">
        <f t="shared" ref="M168:M185" ca="1" si="464">SUM(I168+L168)</f>
        <v>4478</v>
      </c>
      <c r="N168" s="19">
        <f t="shared" ref="N168:N186" ca="1" si="465">F168/E168</f>
        <v>187.4256</v>
      </c>
      <c r="O168" s="16">
        <v>5161</v>
      </c>
      <c r="P168" s="20">
        <f t="shared" ref="P168:P186" ca="1" si="466">M168/O168</f>
        <v>0.86766130594845958</v>
      </c>
      <c r="Q168" s="21">
        <v>1.5</v>
      </c>
      <c r="R168" s="20">
        <f t="shared" ref="R168:R186" ca="1" si="467">S168/Q168</f>
        <v>0.79640490235414296</v>
      </c>
      <c r="S168" s="22">
        <f t="shared" ref="S168:S186" ca="1" si="468">M168/F168</f>
        <v>1.1946073535312145</v>
      </c>
      <c r="T168" s="21">
        <f ca="1">F168/14.415</f>
        <v>260.04245577523415</v>
      </c>
      <c r="U168" s="21">
        <f t="shared" ref="U168:U186" ca="1" si="469">T168/E168</f>
        <v>13.002122788761707</v>
      </c>
      <c r="V168" s="18">
        <f t="shared" ref="V168:V186" ca="1" si="470">M168/E168</f>
        <v>223.9</v>
      </c>
      <c r="W168" s="76"/>
      <c r="X168" s="8">
        <v>4</v>
      </c>
      <c r="Y168" s="8" t="s">
        <v>27</v>
      </c>
      <c r="Z168" s="8">
        <f t="shared" ref="Z168:AK168" si="471">SUM(D181)</f>
        <v>30</v>
      </c>
      <c r="AA168" s="9">
        <f t="shared" ca="1" si="471"/>
        <v>29</v>
      </c>
      <c r="AB168" s="10">
        <f t="shared" ca="1" si="471"/>
        <v>5311.9029999999902</v>
      </c>
      <c r="AC168" s="9">
        <f t="shared" ca="1" si="471"/>
        <v>1963</v>
      </c>
      <c r="AD168" s="9">
        <f t="shared" ca="1" si="471"/>
        <v>212</v>
      </c>
      <c r="AE168" s="9">
        <f t="shared" ca="1" si="471"/>
        <v>2175</v>
      </c>
      <c r="AF168" s="9">
        <f t="shared" ca="1" si="471"/>
        <v>2570</v>
      </c>
      <c r="AG168" s="9">
        <f t="shared" ca="1" si="471"/>
        <v>112</v>
      </c>
      <c r="AH168" s="9">
        <f t="shared" ca="1" si="471"/>
        <v>2682</v>
      </c>
      <c r="AI168" s="9">
        <f t="shared" ca="1" si="471"/>
        <v>4857</v>
      </c>
      <c r="AJ168" s="11">
        <f t="shared" ca="1" si="471"/>
        <v>183.16906896551691</v>
      </c>
      <c r="AK168" s="8">
        <f t="shared" si="471"/>
        <v>8101</v>
      </c>
      <c r="AL168" s="12">
        <f t="shared" ca="1" si="452"/>
        <v>0.59955561041846683</v>
      </c>
      <c r="AM168" s="13">
        <f>SUM(Q181)</f>
        <v>1.5</v>
      </c>
      <c r="AN168" s="12">
        <f t="shared" ca="1" si="454"/>
        <v>0.60957438417079646</v>
      </c>
      <c r="AO168" s="14">
        <f t="shared" ca="1" si="455"/>
        <v>0.91436157625619463</v>
      </c>
      <c r="AP168" s="13">
        <f t="shared" ref="AP168:AQ168" ca="1" si="472">SUM(T181)</f>
        <v>265.79449587190345</v>
      </c>
      <c r="AQ168" s="13">
        <f t="shared" ca="1" si="472"/>
        <v>9.1653274438587395</v>
      </c>
      <c r="AR168" s="9">
        <f t="shared" ca="1" si="457"/>
        <v>167.48275862068965</v>
      </c>
      <c r="AS168" s="76"/>
      <c r="AT168" s="76"/>
    </row>
    <row r="169" spans="1:46" ht="15.75" customHeight="1" x14ac:dyDescent="0.25">
      <c r="A169" s="70"/>
      <c r="B169" s="16">
        <v>2</v>
      </c>
      <c r="C169" s="16" t="s">
        <v>28</v>
      </c>
      <c r="D169" s="17">
        <v>33</v>
      </c>
      <c r="E169" s="18">
        <f ca="1">IFERROR(__xludf.DUMMYFUNCTION("COUNT(IMPORTRANGE(""https://docs.google.com/spreadsheets/d/10a85iNN0y9GF6ngQfF1JXGAzFk-T7ywH4-TZtQcOTaE/edit"",""7!d2:d34""))"),33)</f>
        <v>33</v>
      </c>
      <c r="F169" s="19">
        <f ca="1">IFERROR(__xludf.DUMMYFUNCTION("SUM(IMPORTRANGE(""https://docs.google.com/spreadsheets/d/10a85iNN0y9GF6ngQfF1JXGAzFk-T7ywH4-TZtQcOTaE/edit"",""7!Q2:Q34""))"),6186.613)</f>
        <v>6186.6130000000003</v>
      </c>
      <c r="G169" s="18">
        <f ca="1">IFERROR(__xludf.DUMMYFUNCTION("IMPORTRANGE(""https://docs.google.com/spreadsheets/d/10a85iNN0y9GF6ngQfF1JXGAzFk-T7ywH4-TZtQcOTaE/edit"",""7!e41"")"),1988)</f>
        <v>1988</v>
      </c>
      <c r="H169" s="18">
        <f ca="1">IFERROR(__xludf.DUMMYFUNCTION("IMPORTRANGE(""https://docs.google.com/spreadsheets/d/10a85iNN0y9GF6ngQfF1JXGAzFk-T7ywH4-TZtQcOTaE/edit"",""7!e42"")"),120)</f>
        <v>120</v>
      </c>
      <c r="I169" s="18">
        <f t="shared" ca="1" si="462"/>
        <v>2108</v>
      </c>
      <c r="J169" s="18">
        <f ca="1">IFERROR(__xludf.DUMMYFUNCTION("IMPORTRANGE(""https://docs.google.com/spreadsheets/d/10a85iNN0y9GF6ngQfF1JXGAzFk-T7ywH4-TZtQcOTaE/edit"",""7!e45"")"),2175)</f>
        <v>2175</v>
      </c>
      <c r="K169" s="18">
        <f ca="1">IFERROR(__xludf.DUMMYFUNCTION("IMPORTRANGE(""https://docs.google.com/spreadsheets/d/10a85iNN0y9GF6ngQfF1JXGAzFk-T7ywH4-TZtQcOTaE/edit"",""7!e46"")"),179)</f>
        <v>179</v>
      </c>
      <c r="L169" s="18">
        <f t="shared" ca="1" si="463"/>
        <v>2354</v>
      </c>
      <c r="M169" s="18">
        <f t="shared" ca="1" si="464"/>
        <v>4462</v>
      </c>
      <c r="N169" s="19">
        <f t="shared" ca="1" si="465"/>
        <v>187.47312121212121</v>
      </c>
      <c r="O169" s="16">
        <v>7315</v>
      </c>
      <c r="P169" s="20">
        <f t="shared" ca="1" si="466"/>
        <v>0.60997949419002051</v>
      </c>
      <c r="Q169" s="21">
        <v>1.5</v>
      </c>
      <c r="R169" s="20">
        <f t="shared" ca="1" si="467"/>
        <v>0.48082313645069874</v>
      </c>
      <c r="S169" s="22">
        <f t="shared" ca="1" si="468"/>
        <v>0.72123470467604811</v>
      </c>
      <c r="T169" s="21">
        <f ca="1">F169/30.897</f>
        <v>200.23345308606017</v>
      </c>
      <c r="U169" s="21">
        <f t="shared" ca="1" si="469"/>
        <v>6.0676803965472779</v>
      </c>
      <c r="V169" s="18">
        <f t="shared" ca="1" si="470"/>
        <v>135.21212121212122</v>
      </c>
      <c r="W169" s="76"/>
      <c r="X169" s="8">
        <v>5</v>
      </c>
      <c r="Y169" s="8" t="s">
        <v>29</v>
      </c>
      <c r="Z169" s="8">
        <f t="shared" ref="Z169:AI169" si="473">SUM(D184)</f>
        <v>30</v>
      </c>
      <c r="AA169" s="9">
        <f t="shared" ca="1" si="473"/>
        <v>29</v>
      </c>
      <c r="AB169" s="10">
        <f t="shared" ca="1" si="473"/>
        <v>5780.4359999999997</v>
      </c>
      <c r="AC169" s="9">
        <f t="shared" ca="1" si="473"/>
        <v>2548</v>
      </c>
      <c r="AD169" s="9">
        <f t="shared" ca="1" si="473"/>
        <v>0</v>
      </c>
      <c r="AE169" s="9">
        <f t="shared" ca="1" si="473"/>
        <v>2548</v>
      </c>
      <c r="AF169" s="9">
        <f t="shared" ca="1" si="473"/>
        <v>3713</v>
      </c>
      <c r="AG169" s="9">
        <f t="shared" ca="1" si="473"/>
        <v>0</v>
      </c>
      <c r="AH169" s="9">
        <f t="shared" ca="1" si="473"/>
        <v>3713</v>
      </c>
      <c r="AI169" s="9">
        <f t="shared" ca="1" si="473"/>
        <v>6261</v>
      </c>
      <c r="AJ169" s="11">
        <f t="shared" ref="AJ169:AJ171" ca="1" si="474">AB169/AA169</f>
        <v>199.32537931034483</v>
      </c>
      <c r="AK169" s="8">
        <f t="shared" ref="AK169:AK170" si="475">SUM(O184)</f>
        <v>9201</v>
      </c>
      <c r="AL169" s="12">
        <f t="shared" ca="1" si="452"/>
        <v>0.68046951418324098</v>
      </c>
      <c r="AM169" s="13">
        <f t="shared" ref="AM169:AM170" si="476">SUM(Q184)</f>
        <v>1.5</v>
      </c>
      <c r="AN169" s="12">
        <f t="shared" ca="1" si="454"/>
        <v>0.72209085958221841</v>
      </c>
      <c r="AO169" s="14">
        <f t="shared" ca="1" si="455"/>
        <v>1.0831362893733276</v>
      </c>
      <c r="AP169" s="13">
        <f t="shared" ref="AP169:AQ169" ca="1" si="477">SUM(T184)</f>
        <v>222</v>
      </c>
      <c r="AQ169" s="13">
        <f t="shared" ca="1" si="477"/>
        <v>7.6551724137931032</v>
      </c>
      <c r="AR169" s="9">
        <f t="shared" ca="1" si="457"/>
        <v>215.89655172413794</v>
      </c>
      <c r="AS169" s="76"/>
      <c r="AT169" s="76"/>
    </row>
    <row r="170" spans="1:46" ht="15.75" customHeight="1" x14ac:dyDescent="0.25">
      <c r="A170" s="70"/>
      <c r="B170" s="16">
        <v>3</v>
      </c>
      <c r="C170" s="16" t="s">
        <v>30</v>
      </c>
      <c r="D170" s="17">
        <v>60</v>
      </c>
      <c r="E170" s="18">
        <f ca="1">IFERROR(__xludf.DUMMYFUNCTION("COUNT(IMPORTRANGE(""https://docs.google.com/spreadsheets/d/1WojVzHhpzodJL1e5UDHeu3A3u5MTSZwvxHu0BrwvL9w/edit"",""7!d2:d61""))"),59)</f>
        <v>59</v>
      </c>
      <c r="F170" s="23">
        <f ca="1">IFERROR(__xludf.DUMMYFUNCTION("SUM(IMPORTRANGE(""https://docs.google.com/spreadsheets/d/1WojVzHhpzodJL1e5UDHeu3A3u5MTSZwvxHu0BrwvL9w/edit"",""7!Q2:Q61""))"),11249.1399999999)</f>
        <v>11249.139999999899</v>
      </c>
      <c r="G170" s="18">
        <f ca="1">IFERROR(__xludf.DUMMYFUNCTION("IMPORTRANGE(""https://docs.google.com/spreadsheets/d/1WojVzHhpzodJL1e5UDHeu3A3u5MTSZwvxHu0BrwvL9w/edit"",""7!e68"")"),2732)</f>
        <v>2732</v>
      </c>
      <c r="H170" s="18">
        <f ca="1">IFERROR(__xludf.DUMMYFUNCTION("IMPORTRANGE(""https://docs.google.com/spreadsheets/d/1WojVzHhpzodJL1e5UDHeu3A3u5MTSZwvxHu0BrwvL9w/edit"",""7!e69"")"),91)</f>
        <v>91</v>
      </c>
      <c r="I170" s="18">
        <f t="shared" ca="1" si="462"/>
        <v>2823</v>
      </c>
      <c r="J170" s="18">
        <f ca="1">IFERROR(__xludf.DUMMYFUNCTION("IMPORTRANGE(""https://docs.google.com/spreadsheets/d/1WojVzHhpzodJL1e5UDHeu3A3u5MTSZwvxHu0BrwvL9w/edit"",""7!e72"")"),4736)</f>
        <v>4736</v>
      </c>
      <c r="K170" s="18">
        <f ca="1">IFERROR(__xludf.DUMMYFUNCTION("IMPORTRANGE(""https://docs.google.com/spreadsheets/d/1WojVzHhpzodJL1e5UDHeu3A3u5MTSZwvxHu0BrwvL9w/edit"",""7!e73"")"),0)</f>
        <v>0</v>
      </c>
      <c r="L170" s="18">
        <f t="shared" ca="1" si="463"/>
        <v>4736</v>
      </c>
      <c r="M170" s="18">
        <f t="shared" ca="1" si="464"/>
        <v>7559</v>
      </c>
      <c r="N170" s="19">
        <f t="shared" ca="1" si="465"/>
        <v>190.66338983050676</v>
      </c>
      <c r="O170" s="16">
        <v>11164</v>
      </c>
      <c r="P170" s="20">
        <f t="shared" ca="1" si="466"/>
        <v>0.67708706556789677</v>
      </c>
      <c r="Q170" s="21">
        <v>1.5</v>
      </c>
      <c r="R170" s="20">
        <f t="shared" ca="1" si="467"/>
        <v>0.44797498593966995</v>
      </c>
      <c r="S170" s="22">
        <f t="shared" ca="1" si="468"/>
        <v>0.67196247890950489</v>
      </c>
      <c r="T170" s="21">
        <f ca="1">F170/29.603</f>
        <v>379.99999999999659</v>
      </c>
      <c r="U170" s="21">
        <f t="shared" ca="1" si="469"/>
        <v>6.4406779661016369</v>
      </c>
      <c r="V170" s="18">
        <f t="shared" ca="1" si="470"/>
        <v>128.11864406779662</v>
      </c>
      <c r="W170" s="76"/>
      <c r="X170" s="8">
        <v>6</v>
      </c>
      <c r="Y170" s="8" t="s">
        <v>31</v>
      </c>
      <c r="Z170" s="8">
        <f t="shared" ref="Z170:AI170" si="478">SUM(D185)</f>
        <v>15</v>
      </c>
      <c r="AA170" s="9">
        <f t="shared" ca="1" si="478"/>
        <v>14</v>
      </c>
      <c r="AB170" s="11">
        <f t="shared" ca="1" si="478"/>
        <v>2868.69</v>
      </c>
      <c r="AC170" s="9">
        <f t="shared" ca="1" si="478"/>
        <v>784</v>
      </c>
      <c r="AD170" s="9">
        <f t="shared" ca="1" si="478"/>
        <v>67</v>
      </c>
      <c r="AE170" s="9">
        <f t="shared" ca="1" si="478"/>
        <v>851</v>
      </c>
      <c r="AF170" s="9">
        <f t="shared" ca="1" si="478"/>
        <v>1146</v>
      </c>
      <c r="AG170" s="9">
        <f t="shared" ca="1" si="478"/>
        <v>0</v>
      </c>
      <c r="AH170" s="9">
        <f t="shared" ca="1" si="478"/>
        <v>1146</v>
      </c>
      <c r="AI170" s="9">
        <f t="shared" ca="1" si="478"/>
        <v>1997</v>
      </c>
      <c r="AJ170" s="11">
        <f t="shared" ca="1" si="474"/>
        <v>204.90642857142856</v>
      </c>
      <c r="AK170" s="8">
        <f t="shared" si="475"/>
        <v>2717</v>
      </c>
      <c r="AL170" s="12">
        <f t="shared" ca="1" si="452"/>
        <v>0.73500184026499815</v>
      </c>
      <c r="AM170" s="13">
        <f t="shared" si="476"/>
        <v>1.5</v>
      </c>
      <c r="AN170" s="12">
        <f t="shared" ca="1" si="454"/>
        <v>0.46409104271752377</v>
      </c>
      <c r="AO170" s="14">
        <f t="shared" ca="1" si="455"/>
        <v>0.69613656407628566</v>
      </c>
      <c r="AP170" s="13">
        <f t="shared" ref="AP170:AQ170" ca="1" si="479">SUM(T185)</f>
        <v>66</v>
      </c>
      <c r="AQ170" s="13">
        <f t="shared" ca="1" si="479"/>
        <v>4.7142857142857144</v>
      </c>
      <c r="AR170" s="9">
        <f t="shared" ca="1" si="457"/>
        <v>142.64285714285714</v>
      </c>
      <c r="AS170" s="76"/>
      <c r="AT170" s="76"/>
    </row>
    <row r="171" spans="1:46" ht="15.75" customHeight="1" x14ac:dyDescent="0.25">
      <c r="A171" s="70"/>
      <c r="B171" s="16">
        <v>4</v>
      </c>
      <c r="C171" s="16" t="s">
        <v>32</v>
      </c>
      <c r="D171" s="17">
        <v>42</v>
      </c>
      <c r="E171" s="18">
        <f ca="1">IFERROR(__xludf.DUMMYFUNCTION("COUNT(IMPORTRANGE(""https://docs.google.com/spreadsheets/d/1vmCj5YcMSPHj1m64syDndQ6cqVL3yolcU03Y8KHmvdc/edit"",""7!d2:d43""))"),42)</f>
        <v>42</v>
      </c>
      <c r="F171" s="23">
        <f ca="1">IFERROR(__xludf.DUMMYFUNCTION("SUM(IMPORTRANGE(""https://docs.google.com/spreadsheets/d/1vmCj5YcMSPHj1m64syDndQ6cqVL3yolcU03Y8KHmvdc/edit"",""7!Q2:Q43""))"),8215.57299999999)</f>
        <v>8215.5729999999894</v>
      </c>
      <c r="G171" s="16">
        <f ca="1">IFERROR(__xludf.DUMMYFUNCTION("IMPORTRANGE(""https://docs.google.com/spreadsheets/d/1vmCj5YcMSPHj1m64syDndQ6cqVL3yolcU03Y8KHmvdc/edit"",""7!e50"")"),4401)</f>
        <v>4401</v>
      </c>
      <c r="H171" s="16">
        <f ca="1">IFERROR(__xludf.DUMMYFUNCTION("IMPORTRANGE(""https://docs.google.com/spreadsheets/d/1vmCj5YcMSPHj1m64syDndQ6cqVL3yolcU03Y8KHmvdc/edit"",""7!e51"")"),97)</f>
        <v>97</v>
      </c>
      <c r="I171" s="18">
        <f t="shared" ca="1" si="462"/>
        <v>4498</v>
      </c>
      <c r="J171" s="16">
        <f ca="1">IFERROR(__xludf.DUMMYFUNCTION("IMPORTRANGE(""https://docs.google.com/spreadsheets/d/1vmCj5YcMSPHj1m64syDndQ6cqVL3yolcU03Y8KHmvdc/edit"",""7!e54"")"),5341)</f>
        <v>5341</v>
      </c>
      <c r="K171" s="16">
        <f ca="1">IFERROR(__xludf.DUMMYFUNCTION("IMPORTRANGE(""https://docs.google.com/spreadsheets/d/1vmCj5YcMSPHj1m64syDndQ6cqVL3yolcU03Y8KHmvdc/edit"",""7!e55"")"),60)</f>
        <v>60</v>
      </c>
      <c r="L171" s="18">
        <f t="shared" ca="1" si="463"/>
        <v>5401</v>
      </c>
      <c r="M171" s="18">
        <f t="shared" ca="1" si="464"/>
        <v>9899</v>
      </c>
      <c r="N171" s="19">
        <f t="shared" ca="1" si="465"/>
        <v>195.6088809523807</v>
      </c>
      <c r="O171" s="16">
        <v>13817</v>
      </c>
      <c r="P171" s="20">
        <f t="shared" ca="1" si="466"/>
        <v>0.71643627415502642</v>
      </c>
      <c r="Q171" s="21">
        <v>1.5</v>
      </c>
      <c r="R171" s="20">
        <f t="shared" ca="1" si="467"/>
        <v>0.80327121837190685</v>
      </c>
      <c r="S171" s="22">
        <f t="shared" ca="1" si="468"/>
        <v>1.2049068275578603</v>
      </c>
      <c r="T171" s="21">
        <f ca="1">F171/25.089</f>
        <v>327.45717246602055</v>
      </c>
      <c r="U171" s="21">
        <f t="shared" ca="1" si="469"/>
        <v>7.7965993444290609</v>
      </c>
      <c r="V171" s="18">
        <f t="shared" ca="1" si="470"/>
        <v>235.6904761904762</v>
      </c>
      <c r="W171" s="76"/>
      <c r="X171" s="24" t="s">
        <v>33</v>
      </c>
      <c r="Y171" s="24">
        <v>6</v>
      </c>
      <c r="Z171" s="24">
        <f t="shared" ref="Z171:AI171" si="480">SUM(Z165:Z170)</f>
        <v>186</v>
      </c>
      <c r="AA171" s="25">
        <f t="shared" ca="1" si="480"/>
        <v>180</v>
      </c>
      <c r="AB171" s="26">
        <f t="shared" ca="1" si="480"/>
        <v>35173.724999999977</v>
      </c>
      <c r="AC171" s="25">
        <f t="shared" ca="1" si="480"/>
        <v>10285</v>
      </c>
      <c r="AD171" s="25">
        <f t="shared" ca="1" si="480"/>
        <v>693</v>
      </c>
      <c r="AE171" s="25">
        <f t="shared" ca="1" si="480"/>
        <v>10978</v>
      </c>
      <c r="AF171" s="25">
        <f t="shared" ca="1" si="480"/>
        <v>14904</v>
      </c>
      <c r="AG171" s="25">
        <f t="shared" ca="1" si="480"/>
        <v>537</v>
      </c>
      <c r="AH171" s="25">
        <f t="shared" ca="1" si="480"/>
        <v>15441</v>
      </c>
      <c r="AI171" s="25">
        <f t="shared" ca="1" si="480"/>
        <v>26419</v>
      </c>
      <c r="AJ171" s="27">
        <f t="shared" ca="1" si="474"/>
        <v>195.40958333333322</v>
      </c>
      <c r="AK171" s="24">
        <f>SUM(AK165:AK170)</f>
        <v>35074</v>
      </c>
      <c r="AL171" s="28">
        <f t="shared" ca="1" si="452"/>
        <v>0.75323601528197526</v>
      </c>
      <c r="AM171" s="29">
        <v>1.5</v>
      </c>
      <c r="AN171" s="28">
        <f t="shared" ca="1" si="454"/>
        <v>0.50073362052687564</v>
      </c>
      <c r="AO171" s="30">
        <f t="shared" ca="1" si="455"/>
        <v>0.75110043079031341</v>
      </c>
      <c r="AP171" s="29">
        <f ca="1">SUM(AP165:AP170)</f>
        <v>1321.6140610198954</v>
      </c>
      <c r="AQ171" s="29">
        <f ca="1">AP171/AA171</f>
        <v>7.3423003389994186</v>
      </c>
      <c r="AR171" s="25">
        <f t="shared" ca="1" si="457"/>
        <v>146.77222222222221</v>
      </c>
      <c r="AS171" s="76"/>
      <c r="AT171" s="76"/>
    </row>
    <row r="172" spans="1:46" ht="15.75" customHeight="1" x14ac:dyDescent="0.25">
      <c r="A172" s="70"/>
      <c r="B172" s="16">
        <v>5</v>
      </c>
      <c r="C172" s="16" t="s">
        <v>34</v>
      </c>
      <c r="D172" s="17">
        <v>40</v>
      </c>
      <c r="E172" s="18">
        <f ca="1">IFERROR(__xludf.DUMMYFUNCTION("COUNT(IMPORTRANGE(""https://docs.google.com/spreadsheets/d/14_Y-fpuq1wcec3DlT_1PBYekOC0YblQMrWVfO12YO3k/edit"",""7!d2:d41""))"),38)</f>
        <v>38</v>
      </c>
      <c r="F172" s="23">
        <f ca="1">IFERROR(__xludf.DUMMYFUNCTION("SUM(IMPORTRANGE(""https://docs.google.com/spreadsheets/d/14_Y-fpuq1wcec3DlT_1PBYekOC0YblQMrWVfO12YO3k/edit"",""7!Q2:Q41""))"),7355.343)</f>
        <v>7355.3429999999998</v>
      </c>
      <c r="G172" s="18">
        <f ca="1">IFERROR(__xludf.DUMMYFUNCTION("IMPORTRANGE(""https://docs.google.com/spreadsheets/d/14_Y-fpuq1wcec3DlT_1PBYekOC0YblQMrWVfO12YO3k/edit"",""7!e48"")"),2659)</f>
        <v>2659</v>
      </c>
      <c r="H172" s="18">
        <f ca="1">IFERROR(__xludf.DUMMYFUNCTION("IMPORTRANGE(""https://docs.google.com/spreadsheets/d/14_Y-fpuq1wcec3DlT_1PBYekOC0YblQMrWVfO12YO3k/edit"",""7!e49"")"),0)</f>
        <v>0</v>
      </c>
      <c r="I172" s="18">
        <f t="shared" ca="1" si="462"/>
        <v>2659</v>
      </c>
      <c r="J172" s="18">
        <f ca="1">IFERROR(__xludf.DUMMYFUNCTION("IMPORTRANGE(""https://docs.google.com/spreadsheets/d/14_Y-fpuq1wcec3DlT_1PBYekOC0YblQMrWVfO12YO3k/edit"",""7!e52"")"),2886)</f>
        <v>2886</v>
      </c>
      <c r="K172" s="18">
        <f ca="1">IFERROR(__xludf.DUMMYFUNCTION("IMPORTRANGE(""https://docs.google.com/spreadsheets/d/14_Y-fpuq1wcec3DlT_1PBYekOC0YblQMrWVfO12YO3k/edit"",""7!e53"")"),0)</f>
        <v>0</v>
      </c>
      <c r="L172" s="18">
        <f t="shared" ca="1" si="463"/>
        <v>2886</v>
      </c>
      <c r="M172" s="18">
        <f t="shared" ca="1" si="464"/>
        <v>5545</v>
      </c>
      <c r="N172" s="19">
        <f t="shared" ca="1" si="465"/>
        <v>193.56165789473684</v>
      </c>
      <c r="O172" s="16">
        <v>9354</v>
      </c>
      <c r="P172" s="20">
        <f t="shared" ca="1" si="466"/>
        <v>0.59279452640581565</v>
      </c>
      <c r="Q172" s="21">
        <v>1.5</v>
      </c>
      <c r="R172" s="20">
        <f t="shared" ca="1" si="467"/>
        <v>0.50258249909850117</v>
      </c>
      <c r="S172" s="22">
        <f t="shared" ca="1" si="468"/>
        <v>0.7538737486477517</v>
      </c>
      <c r="T172" s="21">
        <f ca="1">F172/30.713</f>
        <v>239.48630872920262</v>
      </c>
      <c r="U172" s="21">
        <f t="shared" ca="1" si="469"/>
        <v>6.3022712823474372</v>
      </c>
      <c r="V172" s="18">
        <f t="shared" ca="1" si="470"/>
        <v>145.92105263157896</v>
      </c>
      <c r="W172" s="76"/>
      <c r="X172" s="100" t="s">
        <v>35</v>
      </c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9"/>
      <c r="AS172" s="76"/>
      <c r="AT172" s="76"/>
    </row>
    <row r="173" spans="1:46" ht="15.75" customHeight="1" x14ac:dyDescent="0.25">
      <c r="A173" s="70"/>
      <c r="B173" s="16">
        <v>6</v>
      </c>
      <c r="C173" s="16" t="s">
        <v>23</v>
      </c>
      <c r="D173" s="17">
        <v>35</v>
      </c>
      <c r="E173" s="18">
        <f ca="1">IFERROR(__xludf.DUMMYFUNCTION("COUNT(IMPORTRANGE(""https://docs.google.com/spreadsheets/d/1lJqjdj05V4LOXuBOiTdE65GV4ZITyx1cMLcDdcuoUnE/edit"",""7!d2:d36""))"),34)</f>
        <v>34</v>
      </c>
      <c r="F173" s="23">
        <f ca="1">IFERROR(__xludf.DUMMYFUNCTION("SUM(IMPORTRANGE(""https://docs.google.com/spreadsheets/d/1lJqjdj05V4LOXuBOiTdE65GV4ZITyx1cMLcDdcuoUnE/edit"",""7!Q2:Q36""))"),6714.25999999999)</f>
        <v>6714.2599999999902</v>
      </c>
      <c r="G173" s="18">
        <f ca="1">IFERROR(__xludf.DUMMYFUNCTION("IMPORTRANGE(""https://docs.google.com/spreadsheets/d/1lJqjdj05V4LOXuBOiTdE65GV4ZITyx1cMLcDdcuoUnE/edit"",""7!e43"")"),1795)</f>
        <v>1795</v>
      </c>
      <c r="H173" s="18">
        <f ca="1">IFERROR(__xludf.DUMMYFUNCTION("IMPORTRANGE(""https://docs.google.com/spreadsheets/d/1lJqjdj05V4LOXuBOiTdE65GV4ZITyx1cMLcDdcuoUnE/edit"",""7!e44"")"),0)</f>
        <v>0</v>
      </c>
      <c r="I173" s="18">
        <f t="shared" ca="1" si="462"/>
        <v>1795</v>
      </c>
      <c r="J173" s="18">
        <f ca="1">IFERROR(__xludf.DUMMYFUNCTION("IMPORTRANGE(""https://docs.google.com/spreadsheets/d/1lJqjdj05V4LOXuBOiTdE65GV4ZITyx1cMLcDdcuoUnE/edit"",""7!e47"")"),2979)</f>
        <v>2979</v>
      </c>
      <c r="K173" s="18">
        <f ca="1">IFERROR(__xludf.DUMMYFUNCTION("IMPORTRANGE(""https://docs.google.com/spreadsheets/d/1lJqjdj05V4LOXuBOiTdE65GV4ZITyx1cMLcDdcuoUnE/edit"",""7!e48"")"),0)</f>
        <v>0</v>
      </c>
      <c r="L173" s="18">
        <f t="shared" ca="1" si="463"/>
        <v>2979</v>
      </c>
      <c r="M173" s="18">
        <f t="shared" ca="1" si="464"/>
        <v>4774</v>
      </c>
      <c r="N173" s="19">
        <f t="shared" ca="1" si="465"/>
        <v>197.47823529411735</v>
      </c>
      <c r="O173" s="16">
        <v>6853</v>
      </c>
      <c r="P173" s="20">
        <f t="shared" ca="1" si="466"/>
        <v>0.6966292134831461</v>
      </c>
      <c r="Q173" s="21">
        <v>1.5</v>
      </c>
      <c r="R173" s="20">
        <f t="shared" ca="1" si="467"/>
        <v>0.47401599977758851</v>
      </c>
      <c r="S173" s="22">
        <f t="shared" ca="1" si="468"/>
        <v>0.71102399966638274</v>
      </c>
      <c r="T173" s="21">
        <f ca="1">F173/33.74</f>
        <v>198.99999999999969</v>
      </c>
      <c r="U173" s="21">
        <f t="shared" ca="1" si="469"/>
        <v>5.852941176470579</v>
      </c>
      <c r="V173" s="18">
        <f t="shared" ca="1" si="470"/>
        <v>140.41176470588235</v>
      </c>
      <c r="W173" s="76"/>
      <c r="X173" s="1" t="s">
        <v>2</v>
      </c>
      <c r="Y173" s="1" t="s">
        <v>3</v>
      </c>
      <c r="Z173" s="1" t="s">
        <v>4</v>
      </c>
      <c r="AA173" s="1" t="s">
        <v>5</v>
      </c>
      <c r="AB173" s="2" t="s">
        <v>6</v>
      </c>
      <c r="AC173" s="1" t="s">
        <v>7</v>
      </c>
      <c r="AD173" s="1" t="s">
        <v>8</v>
      </c>
      <c r="AE173" s="1" t="s">
        <v>9</v>
      </c>
      <c r="AF173" s="1" t="s">
        <v>10</v>
      </c>
      <c r="AG173" s="1" t="s">
        <v>11</v>
      </c>
      <c r="AH173" s="1" t="s">
        <v>12</v>
      </c>
      <c r="AI173" s="1" t="s">
        <v>13</v>
      </c>
      <c r="AJ173" s="2" t="s">
        <v>14</v>
      </c>
      <c r="AK173" s="1" t="s">
        <v>15</v>
      </c>
      <c r="AL173" s="1" t="s">
        <v>16</v>
      </c>
      <c r="AM173" s="3" t="s">
        <v>17</v>
      </c>
      <c r="AN173" s="4" t="s">
        <v>18</v>
      </c>
      <c r="AO173" s="5" t="s">
        <v>19</v>
      </c>
      <c r="AP173" s="6" t="s">
        <v>20</v>
      </c>
      <c r="AQ173" s="6" t="s">
        <v>21</v>
      </c>
      <c r="AR173" s="7" t="s">
        <v>22</v>
      </c>
      <c r="AS173" s="76"/>
      <c r="AT173" s="76"/>
    </row>
    <row r="174" spans="1:46" ht="15.75" customHeight="1" x14ac:dyDescent="0.25">
      <c r="A174" s="70"/>
      <c r="B174" s="16">
        <v>7</v>
      </c>
      <c r="C174" s="16" t="s">
        <v>24</v>
      </c>
      <c r="D174" s="17">
        <v>44</v>
      </c>
      <c r="E174" s="31">
        <f ca="1">IFERROR(__xludf.DUMMYFUNCTION("COUNT(IMPORTRANGE(""https://docs.google.com/spreadsheets/d/1_7EEO26q9Yq-XhNFiy7I6Zh4Yg6uGjTs9y0UqNvPKcQ/edit"",""7!d2:d45""))"),43)</f>
        <v>43</v>
      </c>
      <c r="F174" s="32">
        <f ca="1">IFERROR(__xludf.DUMMYFUNCTION("SUM(IMPORTRANGE(""https://docs.google.com/spreadsheets/d/1_7EEO26q9Yq-XhNFiy7I6Zh4Yg6uGjTs9y0UqNvPKcQ/edit"",""7!Q2:Q45""))"),8477.95199999999)</f>
        <v>8477.9519999999902</v>
      </c>
      <c r="G174" s="31">
        <f ca="1">IFERROR(__xludf.DUMMYFUNCTION("IMPORTRANGE(""https://docs.google.com/spreadsheets/d/1_7EEO26q9Yq-XhNFiy7I6Zh4Yg6uGjTs9y0UqNvPKcQ/edit"",""7!e53"")"),1117)</f>
        <v>1117</v>
      </c>
      <c r="H174" s="31">
        <f ca="1">IFERROR(__xludf.DUMMYFUNCTION("IMPORTRANGE(""https://docs.google.com/spreadsheets/d/1_7EEO26q9Yq-XhNFiy7I6Zh4Yg6uGjTs9y0UqNvPKcQ/edit"",""7!e54"")"),0)</f>
        <v>0</v>
      </c>
      <c r="I174" s="31">
        <f t="shared" ca="1" si="462"/>
        <v>1117</v>
      </c>
      <c r="J174" s="31">
        <f ca="1">IFERROR(__xludf.DUMMYFUNCTION("IMPORTRANGE(""https://docs.google.com/spreadsheets/d/1_7EEO26q9Yq-XhNFiy7I6Zh4Yg6uGjTs9y0UqNvPKcQ/edit"",""7!e57"")"),1631)</f>
        <v>1631</v>
      </c>
      <c r="K174" s="31">
        <f ca="1">IFERROR(__xludf.DUMMYFUNCTION("IMPORTRANGE(""https://docs.google.com/spreadsheets/d/1_7EEO26q9Yq-XhNFiy7I6Zh4Yg6uGjTs9y0UqNvPKcQ/edit"",""7!e58"")"),5)</f>
        <v>5</v>
      </c>
      <c r="L174" s="18">
        <f t="shared" ca="1" si="463"/>
        <v>1636</v>
      </c>
      <c r="M174" s="18">
        <f t="shared" ca="1" si="464"/>
        <v>2753</v>
      </c>
      <c r="N174" s="19">
        <f t="shared" ca="1" si="465"/>
        <v>197.16167441860443</v>
      </c>
      <c r="O174" s="16">
        <v>1580</v>
      </c>
      <c r="P174" s="33">
        <f t="shared" ca="1" si="466"/>
        <v>1.7424050632911392</v>
      </c>
      <c r="Q174" s="21">
        <v>1.5</v>
      </c>
      <c r="R174" s="20">
        <f t="shared" ca="1" si="467"/>
        <v>0.21648310032108409</v>
      </c>
      <c r="S174" s="22">
        <f t="shared" ca="1" si="468"/>
        <v>0.32472465048162613</v>
      </c>
      <c r="T174" s="21">
        <f ca="1">F174/26.805</f>
        <v>316.28248461107967</v>
      </c>
      <c r="U174" s="21">
        <f t="shared" ca="1" si="469"/>
        <v>7.3554066188623182</v>
      </c>
      <c r="V174" s="18">
        <f t="shared" ca="1" si="470"/>
        <v>64.023255813953483</v>
      </c>
      <c r="W174" s="76"/>
      <c r="X174" s="8">
        <v>1</v>
      </c>
      <c r="Y174" s="8" t="s">
        <v>28</v>
      </c>
      <c r="Z174" s="8">
        <f t="shared" ref="Z174:AI174" si="481">SUM(D169)</f>
        <v>33</v>
      </c>
      <c r="AA174" s="9">
        <f t="shared" ca="1" si="481"/>
        <v>33</v>
      </c>
      <c r="AB174" s="11">
        <f t="shared" ca="1" si="481"/>
        <v>6186.6130000000003</v>
      </c>
      <c r="AC174" s="9">
        <f t="shared" ca="1" si="481"/>
        <v>1988</v>
      </c>
      <c r="AD174" s="9">
        <f t="shared" ca="1" si="481"/>
        <v>120</v>
      </c>
      <c r="AE174" s="9">
        <f t="shared" ca="1" si="481"/>
        <v>2108</v>
      </c>
      <c r="AF174" s="9">
        <f t="shared" ca="1" si="481"/>
        <v>2175</v>
      </c>
      <c r="AG174" s="9">
        <f t="shared" ca="1" si="481"/>
        <v>179</v>
      </c>
      <c r="AH174" s="9">
        <f t="shared" ca="1" si="481"/>
        <v>2354</v>
      </c>
      <c r="AI174" s="9">
        <f t="shared" ca="1" si="481"/>
        <v>4462</v>
      </c>
      <c r="AJ174" s="11">
        <f t="shared" ref="AJ174:AJ180" ca="1" si="482">AB174/AA174</f>
        <v>187.47312121212121</v>
      </c>
      <c r="AK174" s="8">
        <f t="shared" ref="AK174:AK175" si="483">SUM(O169)</f>
        <v>7315</v>
      </c>
      <c r="AL174" s="12">
        <f t="shared" ref="AL174:AL180" ca="1" si="484">AI174/AK174</f>
        <v>0.60997949419002051</v>
      </c>
      <c r="AM174" s="13">
        <f t="shared" ref="AM174:AM175" si="485">SUM(Q169)</f>
        <v>1.5</v>
      </c>
      <c r="AN174" s="12">
        <f t="shared" ref="AN174:AN180" ca="1" si="486">AO174/AM174</f>
        <v>0.48082313645069874</v>
      </c>
      <c r="AO174" s="14">
        <f t="shared" ref="AO174:AO180" ca="1" si="487">AI174/AB174</f>
        <v>0.72123470467604811</v>
      </c>
      <c r="AP174" s="13">
        <f t="shared" ref="AP174:AQ174" ca="1" si="488">SUM(T169)</f>
        <v>200.23345308606017</v>
      </c>
      <c r="AQ174" s="13">
        <f t="shared" ca="1" si="488"/>
        <v>6.0676803965472779</v>
      </c>
      <c r="AR174" s="9">
        <f t="shared" ref="AR174:AR180" ca="1" si="489">AI174/AA174</f>
        <v>135.21212121212122</v>
      </c>
      <c r="AS174" s="76"/>
      <c r="AT174" s="76"/>
    </row>
    <row r="175" spans="1:46" ht="15.75" customHeight="1" x14ac:dyDescent="0.25">
      <c r="A175" s="70"/>
      <c r="B175" s="16">
        <v>8</v>
      </c>
      <c r="C175" s="16" t="s">
        <v>25</v>
      </c>
      <c r="D175" s="34">
        <v>32</v>
      </c>
      <c r="E175" s="18">
        <f ca="1">IFERROR(__xludf.DUMMYFUNCTION("COUNT(IMPORTRANGE(""https://docs.google.com/spreadsheets/d/1vLOLpiE-XsbnCnwWPcoi87PlUSXfqIAAQn3kvqHfO6s/edit"",""7!d2:D33""))"),31)</f>
        <v>31</v>
      </c>
      <c r="F175" s="23">
        <f ca="1">IFERROR(__xludf.DUMMYFUNCTION("SUM(IMPORTRANGE(""https://docs.google.com/spreadsheets/d/1vLOLpiE-XsbnCnwWPcoi87PlUSXfqIAAQn3kvqHfO6s/edit"",""7!Q2:Q33""))"),6020.484)</f>
        <v>6020.4840000000004</v>
      </c>
      <c r="G175" s="18">
        <f ca="1">IFERROR(__xludf.DUMMYFUNCTION("IMPORTRANGE(""https://docs.google.com/spreadsheets/d/1vLOLpiE-XsbnCnwWPcoi87PlUSXfqIAAQn3kvqHfO6s/edit"",""7!e40"")"),2078)</f>
        <v>2078</v>
      </c>
      <c r="H175" s="18">
        <f ca="1">IFERROR(__xludf.DUMMYFUNCTION("IMPORTRANGE(""https://docs.google.com/spreadsheets/d/1vLOLpiE-XsbnCnwWPcoi87PlUSXfqIAAQn3kvqHfO6s/edit"",""7!e41"")"),414)</f>
        <v>414</v>
      </c>
      <c r="I175" s="18">
        <f t="shared" ca="1" si="462"/>
        <v>2492</v>
      </c>
      <c r="J175" s="18">
        <f ca="1">IFERROR(__xludf.DUMMYFUNCTION("IMPORTRANGE(""https://docs.google.com/spreadsheets/d/1vLOLpiE-XsbnCnwWPcoi87PlUSXfqIAAQn3kvqHfO6s/edit"",""7!e44"")"),2865)</f>
        <v>2865</v>
      </c>
      <c r="K175" s="18">
        <f ca="1">IFERROR(__xludf.DUMMYFUNCTION("IMPORTRANGE(""https://docs.google.com/spreadsheets/d/1vLOLpiE-XsbnCnwWPcoi87PlUSXfqIAAQn3kvqHfO6s/edit"",""7!e45"")"),420)</f>
        <v>420</v>
      </c>
      <c r="L175" s="18">
        <f ca="1">J175+K175</f>
        <v>3285</v>
      </c>
      <c r="M175" s="18">
        <f t="shared" ca="1" si="464"/>
        <v>5777</v>
      </c>
      <c r="N175" s="19">
        <f t="shared" ca="1" si="465"/>
        <v>194.20916129032258</v>
      </c>
      <c r="O175" s="16">
        <v>6622</v>
      </c>
      <c r="P175" s="20">
        <f t="shared" ca="1" si="466"/>
        <v>0.87239504681365143</v>
      </c>
      <c r="Q175" s="21">
        <v>1.5</v>
      </c>
      <c r="R175" s="20">
        <f t="shared" ca="1" si="467"/>
        <v>0.6397049362365772</v>
      </c>
      <c r="S175" s="22">
        <f t="shared" ca="1" si="468"/>
        <v>0.95955740435486581</v>
      </c>
      <c r="T175" s="21">
        <f ca="1">F175/23.84</f>
        <v>252.53708053691278</v>
      </c>
      <c r="U175" s="21">
        <f t="shared" ca="1" si="469"/>
        <v>8.1463574366746059</v>
      </c>
      <c r="V175" s="18">
        <f t="shared" ca="1" si="470"/>
        <v>186.35483870967741</v>
      </c>
      <c r="W175" s="76"/>
      <c r="X175" s="8">
        <v>2</v>
      </c>
      <c r="Y175" s="8" t="s">
        <v>30</v>
      </c>
      <c r="Z175" s="8">
        <f t="shared" ref="Z175:AI175" si="490">SUM(D170)</f>
        <v>60</v>
      </c>
      <c r="AA175" s="9">
        <f t="shared" ca="1" si="490"/>
        <v>59</v>
      </c>
      <c r="AB175" s="10">
        <f t="shared" ca="1" si="490"/>
        <v>11249.139999999899</v>
      </c>
      <c r="AC175" s="9">
        <f t="shared" ca="1" si="490"/>
        <v>2732</v>
      </c>
      <c r="AD175" s="9">
        <f t="shared" ca="1" si="490"/>
        <v>91</v>
      </c>
      <c r="AE175" s="9">
        <f t="shared" ca="1" si="490"/>
        <v>2823</v>
      </c>
      <c r="AF175" s="9">
        <f t="shared" ca="1" si="490"/>
        <v>4736</v>
      </c>
      <c r="AG175" s="9">
        <f t="shared" ca="1" si="490"/>
        <v>0</v>
      </c>
      <c r="AH175" s="9">
        <f t="shared" ca="1" si="490"/>
        <v>4736</v>
      </c>
      <c r="AI175" s="9">
        <f t="shared" ca="1" si="490"/>
        <v>7559</v>
      </c>
      <c r="AJ175" s="11">
        <f t="shared" ca="1" si="482"/>
        <v>190.66338983050676</v>
      </c>
      <c r="AK175" s="8">
        <f t="shared" si="483"/>
        <v>11164</v>
      </c>
      <c r="AL175" s="12">
        <f t="shared" ca="1" si="484"/>
        <v>0.67708706556789677</v>
      </c>
      <c r="AM175" s="13">
        <f t="shared" si="485"/>
        <v>1.5</v>
      </c>
      <c r="AN175" s="12">
        <f t="shared" ca="1" si="486"/>
        <v>0.44797498593966995</v>
      </c>
      <c r="AO175" s="14">
        <f t="shared" ca="1" si="487"/>
        <v>0.67196247890950489</v>
      </c>
      <c r="AP175" s="13">
        <f t="shared" ref="AP175:AQ175" ca="1" si="491">SUM(T170)</f>
        <v>379.99999999999659</v>
      </c>
      <c r="AQ175" s="13">
        <f t="shared" ca="1" si="491"/>
        <v>6.4406779661016369</v>
      </c>
      <c r="AR175" s="9">
        <f t="shared" ca="1" si="489"/>
        <v>128.11864406779662</v>
      </c>
      <c r="AS175" s="76"/>
      <c r="AT175" s="76"/>
    </row>
    <row r="176" spans="1:46" ht="15.75" customHeight="1" x14ac:dyDescent="0.25">
      <c r="A176" s="70"/>
      <c r="B176" s="16">
        <v>9</v>
      </c>
      <c r="C176" s="16" t="s">
        <v>36</v>
      </c>
      <c r="D176" s="34">
        <v>24</v>
      </c>
      <c r="E176" s="18">
        <f ca="1">IFERROR(__xludf.DUMMYFUNCTION("COUNT(IMPORTRANGE(""https://docs.google.com/spreadsheets/d/1WJJVq25XDtGjt-J2JPxeKs3jIvDZtkIREC0lFPXwf74/edit"",""7!d2:d31""))"),24)</f>
        <v>24</v>
      </c>
      <c r="F176" s="23">
        <f ca="1">IFERROR(__xludf.DUMMYFUNCTION("SUM(IMPORTRANGE(""https://docs.google.com/spreadsheets/d/1WJJVq25XDtGjt-J2JPxeKs3jIvDZtkIREC0lFPXwf74/edit"",""7!Q2:Q31""))"),4745.19399999999)</f>
        <v>4745.1939999999904</v>
      </c>
      <c r="G176" s="18">
        <f ca="1">IFERROR(__xludf.DUMMYFUNCTION("IMPORTRANGE(""https://docs.google.com/spreadsheets/d/1WJJVq25XDtGjt-J2JPxeKs3jIvDZtkIREC0lFPXwf74/edit"",""7!e38"")"),1342)</f>
        <v>1342</v>
      </c>
      <c r="H176" s="18">
        <f ca="1">IFERROR(__xludf.DUMMYFUNCTION("IMPORTRANGE(""https://docs.google.com/spreadsheets/d/1WJJVq25XDtGjt-J2JPxeKs3jIvDZtkIREC0lFPXwf74/edit"",""7!e39"")"),0)</f>
        <v>0</v>
      </c>
      <c r="I176" s="18">
        <f t="shared" ca="1" si="462"/>
        <v>1342</v>
      </c>
      <c r="J176" s="18">
        <f ca="1">IFERROR(__xludf.DUMMYFUNCTION("IMPORTRANGE(""https://docs.google.com/spreadsheets/d/1WJJVq25XDtGjt-J2JPxeKs3jIvDZtkIREC0lFPXwf74/edit"",""7!e42"")"),2181)</f>
        <v>2181</v>
      </c>
      <c r="K176" s="18">
        <f ca="1">IFERROR(__xludf.DUMMYFUNCTION("IMPORTRANGE(""https://docs.google.com/spreadsheets/d/1WJJVq25XDtGjt-J2JPxeKs3jIvDZtkIREC0lFPXwf74/edit"",""7!e43"")"),0)</f>
        <v>0</v>
      </c>
      <c r="L176" s="18">
        <f t="shared" ref="L176:L185" ca="1" si="492">SUM(J176:K176)</f>
        <v>2181</v>
      </c>
      <c r="M176" s="18">
        <f t="shared" ca="1" si="464"/>
        <v>3523</v>
      </c>
      <c r="N176" s="19">
        <f t="shared" ca="1" si="465"/>
        <v>197.71641666666628</v>
      </c>
      <c r="O176" s="16">
        <v>4796</v>
      </c>
      <c r="P176" s="20">
        <f t="shared" ca="1" si="466"/>
        <v>0.73457047539616349</v>
      </c>
      <c r="Q176" s="21">
        <v>1.5</v>
      </c>
      <c r="R176" s="20">
        <f t="shared" ca="1" si="467"/>
        <v>0.49495693256517465</v>
      </c>
      <c r="S176" s="22">
        <f t="shared" ca="1" si="468"/>
        <v>0.742435398847762</v>
      </c>
      <c r="T176" s="21">
        <f ca="1">F176/37.414</f>
        <v>126.82936868551853</v>
      </c>
      <c r="U176" s="21">
        <f t="shared" ca="1" si="469"/>
        <v>5.2845570285632721</v>
      </c>
      <c r="V176" s="18">
        <f t="shared" ca="1" si="470"/>
        <v>146.79166666666666</v>
      </c>
      <c r="W176" s="76"/>
      <c r="X176" s="8">
        <v>3</v>
      </c>
      <c r="Y176" s="8" t="s">
        <v>34</v>
      </c>
      <c r="Z176" s="8">
        <f t="shared" ref="Z176:AI176" si="493">SUM(D172)</f>
        <v>40</v>
      </c>
      <c r="AA176" s="9">
        <f t="shared" ca="1" si="493"/>
        <v>38</v>
      </c>
      <c r="AB176" s="10">
        <f t="shared" ca="1" si="493"/>
        <v>7355.3429999999998</v>
      </c>
      <c r="AC176" s="9">
        <f t="shared" ca="1" si="493"/>
        <v>2659</v>
      </c>
      <c r="AD176" s="9">
        <f t="shared" ca="1" si="493"/>
        <v>0</v>
      </c>
      <c r="AE176" s="9">
        <f t="shared" ca="1" si="493"/>
        <v>2659</v>
      </c>
      <c r="AF176" s="9">
        <f t="shared" ca="1" si="493"/>
        <v>2886</v>
      </c>
      <c r="AG176" s="9">
        <f t="shared" ca="1" si="493"/>
        <v>0</v>
      </c>
      <c r="AH176" s="9">
        <f t="shared" ca="1" si="493"/>
        <v>2886</v>
      </c>
      <c r="AI176" s="9">
        <f t="shared" ca="1" si="493"/>
        <v>5545</v>
      </c>
      <c r="AJ176" s="11">
        <f t="shared" ca="1" si="482"/>
        <v>193.56165789473684</v>
      </c>
      <c r="AK176" s="8">
        <f>SUM(O172)</f>
        <v>9354</v>
      </c>
      <c r="AL176" s="12">
        <f t="shared" ca="1" si="484"/>
        <v>0.59279452640581565</v>
      </c>
      <c r="AM176" s="13">
        <f>SUM(Q172)</f>
        <v>1.5</v>
      </c>
      <c r="AN176" s="12">
        <f t="shared" ca="1" si="486"/>
        <v>0.50258249909850117</v>
      </c>
      <c r="AO176" s="14">
        <f t="shared" ca="1" si="487"/>
        <v>0.7538737486477517</v>
      </c>
      <c r="AP176" s="13">
        <f t="shared" ref="AP176:AQ176" ca="1" si="494">SUM(T172)</f>
        <v>239.48630872920262</v>
      </c>
      <c r="AQ176" s="13">
        <f t="shared" ca="1" si="494"/>
        <v>6.3022712823474372</v>
      </c>
      <c r="AR176" s="9">
        <f t="shared" ca="1" si="489"/>
        <v>145.92105263157896</v>
      </c>
      <c r="AS176" s="76"/>
      <c r="AT176" s="76"/>
    </row>
    <row r="177" spans="1:46" ht="15.75" customHeight="1" x14ac:dyDescent="0.25">
      <c r="A177" s="70"/>
      <c r="B177" s="16">
        <v>10</v>
      </c>
      <c r="C177" s="16" t="s">
        <v>37</v>
      </c>
      <c r="D177" s="17">
        <v>30</v>
      </c>
      <c r="E177" s="18">
        <f ca="1">IFERROR(__xludf.DUMMYFUNCTION("COUNT(IMPORTRANGE(""https://docs.google.com/spreadsheets/d/1rJyYfywRpWJW0zvDJHLOJtqUQqffoCGaqTVxxTDgV0k/edit"",""7!d2:d31""))"),29)</f>
        <v>29</v>
      </c>
      <c r="F177" s="23">
        <f ca="1">IFERROR(__xludf.DUMMYFUNCTION("SUM(IMPORTRANGE(""https://docs.google.com/spreadsheets/d/1rJyYfywRpWJW0zvDJHLOJtqUQqffoCGaqTVxxTDgV0k/edit"",""7!Q2:Q31""))"),5622.99)</f>
        <v>5622.99</v>
      </c>
      <c r="G177" s="18">
        <f ca="1">IFERROR(__xludf.DUMMYFUNCTION("(IMPORTRANGE(""https://docs.google.com/spreadsheets/d/1rJyYfywRpWJW0zvDJHLOJtqUQqffoCGaqTVxxTDgV0k/edit"",""7!e38""))"),2006)</f>
        <v>2006</v>
      </c>
      <c r="H177" s="18">
        <f ca="1">IFERROR(__xludf.DUMMYFUNCTION("(IMPORTRANGE(""https://docs.google.com/spreadsheets/d/1rJyYfywRpWJW0zvDJHLOJtqUQqffoCGaqTVxxTDgV0k/edit"",""7!e39""))"),50)</f>
        <v>50</v>
      </c>
      <c r="I177" s="18">
        <f t="shared" ca="1" si="462"/>
        <v>2056</v>
      </c>
      <c r="J177" s="18">
        <f ca="1">IFERROR(__xludf.DUMMYFUNCTION("(IMPORTRANGE(""https://docs.google.com/spreadsheets/d/1rJyYfywRpWJW0zvDJHLOJtqUQqffoCGaqTVxxTDgV0k/edit"",""7!e42""))"),2554)</f>
        <v>2554</v>
      </c>
      <c r="K177" s="18">
        <f ca="1">IFERROR(__xludf.DUMMYFUNCTION("(IMPORTRANGE(""https://docs.google.com/spreadsheets/d/1rJyYfywRpWJW0zvDJHLOJtqUQqffoCGaqTVxxTDgV0k/edit"",""7!e43""))"),108)</f>
        <v>108</v>
      </c>
      <c r="L177" s="18">
        <f t="shared" ca="1" si="492"/>
        <v>2662</v>
      </c>
      <c r="M177" s="18">
        <f t="shared" ca="1" si="464"/>
        <v>4718</v>
      </c>
      <c r="N177" s="19">
        <f t="shared" ca="1" si="465"/>
        <v>193.89620689655172</v>
      </c>
      <c r="O177" s="16">
        <v>5887</v>
      </c>
      <c r="P177" s="20">
        <f t="shared" ca="1" si="466"/>
        <v>0.80142687277051128</v>
      </c>
      <c r="Q177" s="21">
        <v>1.5</v>
      </c>
      <c r="R177" s="20">
        <f t="shared" ca="1" si="467"/>
        <v>0.55937025200708757</v>
      </c>
      <c r="S177" s="22">
        <f t="shared" ca="1" si="468"/>
        <v>0.83905537801063135</v>
      </c>
      <c r="T177" s="21">
        <f ca="1">F177/24.792</f>
        <v>226.80663117134557</v>
      </c>
      <c r="U177" s="21">
        <f t="shared" ca="1" si="469"/>
        <v>7.8209183162532954</v>
      </c>
      <c r="V177" s="18">
        <f t="shared" ca="1" si="470"/>
        <v>162.68965517241378</v>
      </c>
      <c r="W177" s="76"/>
      <c r="X177" s="8">
        <v>4</v>
      </c>
      <c r="Y177" s="8" t="s">
        <v>38</v>
      </c>
      <c r="Z177" s="8">
        <f t="shared" ref="Z177:AI177" si="495">SUM(D180)</f>
        <v>30</v>
      </c>
      <c r="AA177" s="9">
        <f t="shared" ca="1" si="495"/>
        <v>29</v>
      </c>
      <c r="AB177" s="10">
        <f t="shared" ca="1" si="495"/>
        <v>6043.2339999999904</v>
      </c>
      <c r="AC177" s="9">
        <f t="shared" ca="1" si="495"/>
        <v>1813</v>
      </c>
      <c r="AD177" s="9">
        <f t="shared" ca="1" si="495"/>
        <v>180</v>
      </c>
      <c r="AE177" s="9">
        <f t="shared" ca="1" si="495"/>
        <v>1993</v>
      </c>
      <c r="AF177" s="9">
        <f t="shared" ca="1" si="495"/>
        <v>2290</v>
      </c>
      <c r="AG177" s="9">
        <f t="shared" ca="1" si="495"/>
        <v>70</v>
      </c>
      <c r="AH177" s="9">
        <f t="shared" ca="1" si="495"/>
        <v>2360</v>
      </c>
      <c r="AI177" s="9">
        <f t="shared" ca="1" si="495"/>
        <v>4353</v>
      </c>
      <c r="AJ177" s="11">
        <f t="shared" ca="1" si="482"/>
        <v>208.3873793103445</v>
      </c>
      <c r="AK177" s="8">
        <v>7324</v>
      </c>
      <c r="AL177" s="12">
        <f t="shared" ca="1" si="484"/>
        <v>0.59434735117422177</v>
      </c>
      <c r="AM177" s="13">
        <f>SUM(Q180)</f>
        <v>1.5</v>
      </c>
      <c r="AN177" s="12">
        <f t="shared" ca="1" si="486"/>
        <v>0.48020645899199083</v>
      </c>
      <c r="AO177" s="14">
        <f t="shared" ca="1" si="487"/>
        <v>0.72030968848798627</v>
      </c>
      <c r="AP177" s="13">
        <f t="shared" ref="AP177:AQ177" ca="1" si="496">SUM(T180)</f>
        <v>146.66263802936513</v>
      </c>
      <c r="AQ177" s="13">
        <f t="shared" ca="1" si="496"/>
        <v>5.0573323458401767</v>
      </c>
      <c r="AR177" s="9">
        <f t="shared" ca="1" si="489"/>
        <v>150.10344827586206</v>
      </c>
      <c r="AS177" s="76"/>
      <c r="AT177" s="76"/>
    </row>
    <row r="178" spans="1:46" ht="15.75" customHeight="1" x14ac:dyDescent="0.25">
      <c r="A178" s="70"/>
      <c r="B178" s="16">
        <v>12</v>
      </c>
      <c r="C178" s="16" t="s">
        <v>39</v>
      </c>
      <c r="D178" s="17">
        <v>28</v>
      </c>
      <c r="E178" s="18">
        <f ca="1">IFERROR(__xludf.DUMMYFUNCTION("COUNT(IMPORTRANGE(""https://docs.google.com/spreadsheets/d/1uaTn2DZCfr7O1PvovOd0wElzVz8kpl_iPfnrkNPp0Is/edit"",""7!d2:d29""))"),28)</f>
        <v>28</v>
      </c>
      <c r="F178" s="23">
        <f ca="1">IFERROR(__xludf.DUMMYFUNCTION("SUM(IMPORTRANGE(""https://docs.google.com/spreadsheets/d/1uaTn2DZCfr7O1PvovOd0wElzVz8kpl_iPfnrkNPp0Is/edit"",""7!Q2:Q29""))"),5501.804)</f>
        <v>5501.8040000000001</v>
      </c>
      <c r="G178" s="18">
        <f ca="1">IFERROR(__xludf.DUMMYFUNCTION("IMPORTRANGE(""https://docs.google.com/spreadsheets/d/1uaTn2DZCfr7O1PvovOd0wElzVz8kpl_iPfnrkNPp0Is/edit"",""7!e36"")"),1166)</f>
        <v>1166</v>
      </c>
      <c r="H178" s="18">
        <f ca="1">IFERROR(__xludf.DUMMYFUNCTION("(IMPORTRANGE(""https://docs.google.com/spreadsheets/d/1uaTn2DZCfr7O1PvovOd0wElzVz8kpl_iPfnrkNPp0Is/edit"",""7!e37""))"),50)</f>
        <v>50</v>
      </c>
      <c r="I178" s="18">
        <f t="shared" ca="1" si="462"/>
        <v>1216</v>
      </c>
      <c r="J178" s="18">
        <f ca="1">IFERROR(__xludf.DUMMYFUNCTION("IMPORTRANGE(""https://docs.google.com/spreadsheets/d/1uaTn2DZCfr7O1PvovOd0wElzVz8kpl_iPfnrkNPp0Is/edit"",""7!e40"")"),1968)</f>
        <v>1968</v>
      </c>
      <c r="K178" s="18">
        <f ca="1">IFERROR(__xludf.DUMMYFUNCTION("IMPORTRANGE(""https://docs.google.com/spreadsheets/d/1uaTn2DZCfr7O1PvovOd0wElzVz8kpl_iPfnrkNPp0Is/edit"",""7!e41"")"),0)</f>
        <v>0</v>
      </c>
      <c r="L178" s="18">
        <f t="shared" ca="1" si="492"/>
        <v>1968</v>
      </c>
      <c r="M178" s="18">
        <f t="shared" ca="1" si="464"/>
        <v>3184</v>
      </c>
      <c r="N178" s="19">
        <f t="shared" ca="1" si="465"/>
        <v>196.49299999999999</v>
      </c>
      <c r="O178" s="16">
        <v>3569</v>
      </c>
      <c r="P178" s="20">
        <f t="shared" ca="1" si="466"/>
        <v>0.89212664611936121</v>
      </c>
      <c r="Q178" s="21">
        <v>1.5</v>
      </c>
      <c r="R178" s="20">
        <f t="shared" ca="1" si="467"/>
        <v>0.38581284732547116</v>
      </c>
      <c r="S178" s="22">
        <f t="shared" ca="1" si="468"/>
        <v>0.57871927098820675</v>
      </c>
      <c r="T178" s="21">
        <f ca="1">F178/21.463</f>
        <v>256.33900200344777</v>
      </c>
      <c r="U178" s="21">
        <f t="shared" ca="1" si="469"/>
        <v>9.1549643572659924</v>
      </c>
      <c r="V178" s="18">
        <f t="shared" ca="1" si="470"/>
        <v>113.71428571428571</v>
      </c>
      <c r="W178" s="76"/>
      <c r="X178" s="8">
        <v>5</v>
      </c>
      <c r="Y178" s="8" t="s">
        <v>40</v>
      </c>
      <c r="Z178" s="8">
        <f t="shared" ref="Z178:AI178" si="497">SUM(D182)</f>
        <v>30</v>
      </c>
      <c r="AA178" s="9">
        <f t="shared" ca="1" si="497"/>
        <v>29</v>
      </c>
      <c r="AB178" s="10">
        <f t="shared" ca="1" si="497"/>
        <v>5660.1569999999901</v>
      </c>
      <c r="AC178" s="9">
        <f t="shared" ca="1" si="497"/>
        <v>3191</v>
      </c>
      <c r="AD178" s="9">
        <f t="shared" ca="1" si="497"/>
        <v>0</v>
      </c>
      <c r="AE178" s="9">
        <f t="shared" ca="1" si="497"/>
        <v>3191</v>
      </c>
      <c r="AF178" s="9">
        <f t="shared" ca="1" si="497"/>
        <v>3638</v>
      </c>
      <c r="AG178" s="9">
        <f t="shared" ca="1" si="497"/>
        <v>0</v>
      </c>
      <c r="AH178" s="9">
        <f t="shared" ca="1" si="497"/>
        <v>3638</v>
      </c>
      <c r="AI178" s="9">
        <f t="shared" ca="1" si="497"/>
        <v>6829</v>
      </c>
      <c r="AJ178" s="11">
        <f t="shared" ca="1" si="482"/>
        <v>195.17782758620655</v>
      </c>
      <c r="AK178" s="8">
        <f t="shared" ref="AK178:AK179" si="498">SUM(O182)</f>
        <v>8239</v>
      </c>
      <c r="AL178" s="12">
        <f t="shared" ca="1" si="484"/>
        <v>0.8288627260589877</v>
      </c>
      <c r="AM178" s="13">
        <f t="shared" ref="AM178:AM179" si="499">SUM(Q182)</f>
        <v>1.5</v>
      </c>
      <c r="AN178" s="12">
        <f t="shared" ca="1" si="486"/>
        <v>0.80433575723547512</v>
      </c>
      <c r="AO178" s="14">
        <f t="shared" ca="1" si="487"/>
        <v>1.2065036358532126</v>
      </c>
      <c r="AP178" s="13">
        <f t="shared" ref="AP178:AQ178" ca="1" si="500">SUM(T182)</f>
        <v>198.99999999999963</v>
      </c>
      <c r="AQ178" s="13">
        <f t="shared" ca="1" si="500"/>
        <v>6.8620689655172287</v>
      </c>
      <c r="AR178" s="9">
        <f t="shared" ca="1" si="489"/>
        <v>235.48275862068965</v>
      </c>
      <c r="AS178" s="76"/>
      <c r="AT178" s="76"/>
    </row>
    <row r="179" spans="1:46" ht="15.75" customHeight="1" x14ac:dyDescent="0.25">
      <c r="A179" s="70"/>
      <c r="B179" s="16">
        <v>12</v>
      </c>
      <c r="C179" s="16" t="s">
        <v>41</v>
      </c>
      <c r="D179" s="17">
        <v>24</v>
      </c>
      <c r="E179" s="18">
        <f ca="1">IFERROR(__xludf.DUMMYFUNCTION("COUNT(IMPORTRANGE(""https://docs.google.com/spreadsheets/d/1oYscvfOJW7GMkxt8QcupWuzb3ohaYePd3Mt2V2ufHok/edit"",""7!d2:d25""))"),23)</f>
        <v>23</v>
      </c>
      <c r="F179" s="23">
        <f ca="1">IFERROR(__xludf.DUMMYFUNCTION("SUM(IMPORTRANGE(""https://docs.google.com/spreadsheets/d/1oYscvfOJW7GMkxt8QcupWuzb3ohaYePd3Mt2V2ufHok/edit"",""7!Q2:Q25""))"),4585.756)</f>
        <v>4585.7560000000003</v>
      </c>
      <c r="G179" s="18">
        <f ca="1">IFERROR(__xludf.DUMMYFUNCTION("IMPORTRANGE(""https://docs.google.com/spreadsheets/d/1oYscvfOJW7GMkxt8QcupWuzb3ohaYePd3Mt2V2ufHok/edit"",""7!e32"")"),1072)</f>
        <v>1072</v>
      </c>
      <c r="H179" s="18">
        <f ca="1">IFERROR(__xludf.DUMMYFUNCTION("IMPORTRANGE(""https://docs.google.com/spreadsheets/d/1oYscvfOJW7GMkxt8QcupWuzb3ohaYePd3Mt2V2ufHok/edit"",""7!e33"")"),96)</f>
        <v>96</v>
      </c>
      <c r="I179" s="18">
        <f t="shared" ca="1" si="462"/>
        <v>1168</v>
      </c>
      <c r="J179" s="18">
        <f ca="1">IFERROR(__xludf.DUMMYFUNCTION("IMPORTRANGE(""https://docs.google.com/spreadsheets/d/1oYscvfOJW7GMkxt8QcupWuzb3ohaYePd3Mt2V2ufHok/edit"",""7!e36"")"),1577)</f>
        <v>1577</v>
      </c>
      <c r="K179" s="18">
        <f ca="1">IFERROR(__xludf.DUMMYFUNCTION("IMPORTRANGE(""https://docs.google.com/spreadsheets/d/1oYscvfOJW7GMkxt8QcupWuzb3ohaYePd3Mt2V2ufHok/edit"",""7!e37"")"),102)</f>
        <v>102</v>
      </c>
      <c r="L179" s="18">
        <f t="shared" ca="1" si="492"/>
        <v>1679</v>
      </c>
      <c r="M179" s="18">
        <f t="shared" ca="1" si="464"/>
        <v>2847</v>
      </c>
      <c r="N179" s="19">
        <f t="shared" ca="1" si="465"/>
        <v>199.38069565217393</v>
      </c>
      <c r="O179" s="16">
        <v>3801</v>
      </c>
      <c r="P179" s="20">
        <f t="shared" ca="1" si="466"/>
        <v>0.74901341752170481</v>
      </c>
      <c r="Q179" s="21">
        <v>1.5</v>
      </c>
      <c r="R179" s="20">
        <f t="shared" ca="1" si="467"/>
        <v>0.41389031601332471</v>
      </c>
      <c r="S179" s="22">
        <f t="shared" ca="1" si="468"/>
        <v>0.62083547401998707</v>
      </c>
      <c r="T179" s="21">
        <f ca="1">F179/29.628</f>
        <v>154.7777777777778</v>
      </c>
      <c r="U179" s="21">
        <f t="shared" ca="1" si="469"/>
        <v>6.729468599033817</v>
      </c>
      <c r="V179" s="18">
        <f t="shared" ca="1" si="470"/>
        <v>123.78260869565217</v>
      </c>
      <c r="W179" s="76"/>
      <c r="X179" s="8">
        <v>6</v>
      </c>
      <c r="Y179" s="8" t="s">
        <v>42</v>
      </c>
      <c r="Z179" s="8">
        <f t="shared" ref="Z179:AI179" si="501">SUM(D183)</f>
        <v>33</v>
      </c>
      <c r="AA179" s="9">
        <f t="shared" ca="1" si="501"/>
        <v>33</v>
      </c>
      <c r="AB179" s="10">
        <f t="shared" ca="1" si="501"/>
        <v>6397.2059999999901</v>
      </c>
      <c r="AC179" s="9">
        <f t="shared" ca="1" si="501"/>
        <v>2669</v>
      </c>
      <c r="AD179" s="9">
        <f t="shared" ca="1" si="501"/>
        <v>187</v>
      </c>
      <c r="AE179" s="9">
        <f t="shared" ca="1" si="501"/>
        <v>2856</v>
      </c>
      <c r="AF179" s="9">
        <f t="shared" ca="1" si="501"/>
        <v>4237</v>
      </c>
      <c r="AG179" s="9">
        <f t="shared" ca="1" si="501"/>
        <v>211</v>
      </c>
      <c r="AH179" s="9">
        <f t="shared" ca="1" si="501"/>
        <v>4448</v>
      </c>
      <c r="AI179" s="9">
        <f t="shared" ca="1" si="501"/>
        <v>7304</v>
      </c>
      <c r="AJ179" s="11">
        <f t="shared" ca="1" si="482"/>
        <v>193.85472727272696</v>
      </c>
      <c r="AK179" s="8">
        <f t="shared" si="498"/>
        <v>9877</v>
      </c>
      <c r="AL179" s="12">
        <f t="shared" ca="1" si="484"/>
        <v>0.73949579831932777</v>
      </c>
      <c r="AM179" s="13">
        <f t="shared" si="499"/>
        <v>1.5</v>
      </c>
      <c r="AN179" s="12">
        <f t="shared" ca="1" si="486"/>
        <v>0.76116562970355195</v>
      </c>
      <c r="AO179" s="14">
        <f t="shared" ca="1" si="487"/>
        <v>1.1417484445553279</v>
      </c>
      <c r="AP179" s="13">
        <f t="shared" ref="AP179:AQ179" ca="1" si="502">SUM(T183)</f>
        <v>244.58826228254597</v>
      </c>
      <c r="AQ179" s="13">
        <f t="shared" ca="1" si="502"/>
        <v>7.4117655237135143</v>
      </c>
      <c r="AR179" s="9">
        <f t="shared" ca="1" si="489"/>
        <v>221.33333333333334</v>
      </c>
      <c r="AS179" s="76"/>
      <c r="AT179" s="76"/>
    </row>
    <row r="180" spans="1:46" ht="15.75" customHeight="1" x14ac:dyDescent="0.25">
      <c r="A180" s="70"/>
      <c r="B180" s="16">
        <v>13</v>
      </c>
      <c r="C180" s="16" t="s">
        <v>43</v>
      </c>
      <c r="D180" s="17">
        <v>30</v>
      </c>
      <c r="E180" s="18">
        <f ca="1">IFERROR(__xludf.DUMMYFUNCTION("COUNT(IMPORTRANGE(""https://docs.google.com/spreadsheets/d/1AxBmuQEdOYAeRnZ4C8vO6kuTNp7X_SGhpLXuY0n4ln4/edit"",""7!d2:d31""))"),29)</f>
        <v>29</v>
      </c>
      <c r="F180" s="23">
        <f ca="1">IFERROR(__xludf.DUMMYFUNCTION("SUM(IMPORTRANGE(""https://docs.google.com/spreadsheets/d/1AxBmuQEdOYAeRnZ4C8vO6kuTNp7X_SGhpLXuY0n4ln4/edit"",""7!Q2:Q31""))"),6043.23399999999)</f>
        <v>6043.2339999999904</v>
      </c>
      <c r="G180" s="18">
        <f ca="1">IFERROR(__xludf.DUMMYFUNCTION("IMPORTRANGE(""https://docs.google.com/spreadsheets/d/1AxBmuQEdOYAeRnZ4C8vO6kuTNp7X_SGhpLXuY0n4ln4/edit"",""7!e38"")"),1813)</f>
        <v>1813</v>
      </c>
      <c r="H180" s="18">
        <f ca="1">IFERROR(__xludf.DUMMYFUNCTION("IMPORTRANGE(""https://docs.google.com/spreadsheets/d/1AxBmuQEdOYAeRnZ4C8vO6kuTNp7X_SGhpLXuY0n4ln4/edit"",""7!e39"")"),180)</f>
        <v>180</v>
      </c>
      <c r="I180" s="18">
        <f t="shared" ca="1" si="462"/>
        <v>1993</v>
      </c>
      <c r="J180" s="18">
        <f ca="1">IFERROR(__xludf.DUMMYFUNCTION("IMPORTRANGE(""https://docs.google.com/spreadsheets/d/1AxBmuQEdOYAeRnZ4C8vO6kuTNp7X_SGhpLXuY0n4ln4/edit"",""7!e42"")"),2290)</f>
        <v>2290</v>
      </c>
      <c r="K180" s="18">
        <f ca="1">IFERROR(__xludf.DUMMYFUNCTION("IMPORTRANGE(""https://docs.google.com/spreadsheets/d/1AxBmuQEdOYAeRnZ4C8vO6kuTNp7X_SGhpLXuY0n4ln4/edit"",""7!e43"")"),70)</f>
        <v>70</v>
      </c>
      <c r="L180" s="18">
        <f t="shared" ca="1" si="492"/>
        <v>2360</v>
      </c>
      <c r="M180" s="18">
        <f t="shared" ca="1" si="464"/>
        <v>4353</v>
      </c>
      <c r="N180" s="19">
        <f t="shared" ca="1" si="465"/>
        <v>208.3873793103445</v>
      </c>
      <c r="O180" s="16">
        <v>8345</v>
      </c>
      <c r="P180" s="20">
        <f t="shared" ca="1" si="466"/>
        <v>0.5216297183942481</v>
      </c>
      <c r="Q180" s="21">
        <v>1.5</v>
      </c>
      <c r="R180" s="20">
        <f t="shared" ca="1" si="467"/>
        <v>0.48020645899199083</v>
      </c>
      <c r="S180" s="22">
        <f t="shared" ca="1" si="468"/>
        <v>0.72030968848798627</v>
      </c>
      <c r="T180" s="21">
        <f ca="1">F180/41.205</f>
        <v>146.66263802936513</v>
      </c>
      <c r="U180" s="21">
        <f t="shared" ca="1" si="469"/>
        <v>5.0573323458401767</v>
      </c>
      <c r="V180" s="18">
        <f t="shared" ca="1" si="470"/>
        <v>150.10344827586206</v>
      </c>
      <c r="W180" s="76"/>
      <c r="X180" s="24" t="s">
        <v>33</v>
      </c>
      <c r="Y180" s="24">
        <v>6</v>
      </c>
      <c r="Z180" s="24">
        <f t="shared" ref="Z180:AI180" si="503">SUM(Z174:Z179)</f>
        <v>226</v>
      </c>
      <c r="AA180" s="25">
        <f t="shared" ca="1" si="503"/>
        <v>221</v>
      </c>
      <c r="AB180" s="27">
        <f t="shared" ca="1" si="503"/>
        <v>42891.692999999868</v>
      </c>
      <c r="AC180" s="25">
        <f t="shared" ca="1" si="503"/>
        <v>15052</v>
      </c>
      <c r="AD180" s="25">
        <f t="shared" ca="1" si="503"/>
        <v>578</v>
      </c>
      <c r="AE180" s="25">
        <f t="shared" ca="1" si="503"/>
        <v>15630</v>
      </c>
      <c r="AF180" s="25">
        <f t="shared" ca="1" si="503"/>
        <v>19962</v>
      </c>
      <c r="AG180" s="25">
        <f t="shared" ca="1" si="503"/>
        <v>460</v>
      </c>
      <c r="AH180" s="25">
        <f t="shared" ca="1" si="503"/>
        <v>20422</v>
      </c>
      <c r="AI180" s="25">
        <f t="shared" ca="1" si="503"/>
        <v>36052</v>
      </c>
      <c r="AJ180" s="27">
        <f t="shared" ca="1" si="482"/>
        <v>194.08005882352882</v>
      </c>
      <c r="AK180" s="24">
        <f>SUM(AK174:AK179)</f>
        <v>53273</v>
      </c>
      <c r="AL180" s="28">
        <f t="shared" ca="1" si="484"/>
        <v>0.67674056276162409</v>
      </c>
      <c r="AM180" s="29">
        <v>1.5</v>
      </c>
      <c r="AN180" s="28">
        <f t="shared" ca="1" si="486"/>
        <v>0.56035714576868634</v>
      </c>
      <c r="AO180" s="30">
        <f t="shared" ca="1" si="487"/>
        <v>0.84053571865302945</v>
      </c>
      <c r="AP180" s="29">
        <f ca="1">SUM(AP174:AP179)</f>
        <v>1409.97066212717</v>
      </c>
      <c r="AQ180" s="29">
        <f ca="1">AP180/AA180</f>
        <v>6.3799577471817646</v>
      </c>
      <c r="AR180" s="25">
        <f t="shared" ca="1" si="489"/>
        <v>163.13122171945702</v>
      </c>
      <c r="AS180" s="76"/>
      <c r="AT180" s="76"/>
    </row>
    <row r="181" spans="1:46" ht="15.75" customHeight="1" x14ac:dyDescent="0.25">
      <c r="A181" s="70"/>
      <c r="B181" s="16">
        <v>14</v>
      </c>
      <c r="C181" s="16" t="s">
        <v>27</v>
      </c>
      <c r="D181" s="17">
        <v>30</v>
      </c>
      <c r="E181" s="18">
        <f ca="1">IFERROR(__xludf.DUMMYFUNCTION("COUNT(IMPORTRANGE(""https://docs.google.com/spreadsheets/d/1LsL4JuXvBtfJ-TVi4NFml9lV_pmd61b789A_nbO-QrA/edit"",""7!d2:d31""))"),29)</f>
        <v>29</v>
      </c>
      <c r="F181" s="23">
        <f ca="1">IFERROR(__xludf.DUMMYFUNCTION("SUM(IMPORTRANGE(""https://docs.google.com/spreadsheets/d/1LsL4JuXvBtfJ-TVi4NFml9lV_pmd61b789A_nbO-QrA/edit"",""7!Q2:Q31""))"),5311.90299999999)</f>
        <v>5311.9029999999902</v>
      </c>
      <c r="G181" s="18">
        <f ca="1">IFERROR(__xludf.DUMMYFUNCTION("IMPORTRANGE(""https://docs.google.com/spreadsheets/d/1LsL4JuXvBtfJ-TVi4NFml9lV_pmd61b789A_nbO-QrA/edit"",""7!e38"")"),1963)</f>
        <v>1963</v>
      </c>
      <c r="H181" s="18">
        <f ca="1">IFERROR(__xludf.DUMMYFUNCTION("IMPORTRANGE(""https://docs.google.com/spreadsheets/d/1LsL4JuXvBtfJ-TVi4NFml9lV_pmd61b789A_nbO-QrA/edit"",""7!e39"")"),212)</f>
        <v>212</v>
      </c>
      <c r="I181" s="18">
        <f t="shared" ca="1" si="462"/>
        <v>2175</v>
      </c>
      <c r="J181" s="18">
        <f ca="1">IFERROR(__xludf.DUMMYFUNCTION("IMPORTRANGE(""https://docs.google.com/spreadsheets/d/1LsL4JuXvBtfJ-TVi4NFml9lV_pmd61b789A_nbO-QrA/edit"",""7!e42"")"),2570)</f>
        <v>2570</v>
      </c>
      <c r="K181" s="18">
        <f ca="1">IFERROR(__xludf.DUMMYFUNCTION("IMPORTRANGE(""https://docs.google.com/spreadsheets/d/1LsL4JuXvBtfJ-TVi4NFml9lV_pmd61b789A_nbO-QrA/edit"",""7!e43"")"),112)</f>
        <v>112</v>
      </c>
      <c r="L181" s="18">
        <f t="shared" ca="1" si="492"/>
        <v>2682</v>
      </c>
      <c r="M181" s="18">
        <f t="shared" ca="1" si="464"/>
        <v>4857</v>
      </c>
      <c r="N181" s="19">
        <f t="shared" ca="1" si="465"/>
        <v>183.16906896551691</v>
      </c>
      <c r="O181" s="16">
        <v>8101</v>
      </c>
      <c r="P181" s="20">
        <f t="shared" ca="1" si="466"/>
        <v>0.59955561041846683</v>
      </c>
      <c r="Q181" s="21">
        <v>1.5</v>
      </c>
      <c r="R181" s="20">
        <f t="shared" ca="1" si="467"/>
        <v>0.60957438417079646</v>
      </c>
      <c r="S181" s="22">
        <f t="shared" ca="1" si="468"/>
        <v>0.91436157625619463</v>
      </c>
      <c r="T181" s="21">
        <f ca="1">F181/19.985</f>
        <v>265.79449587190345</v>
      </c>
      <c r="U181" s="21">
        <f t="shared" ca="1" si="469"/>
        <v>9.1653274438587395</v>
      </c>
      <c r="V181" s="18">
        <f t="shared" ca="1" si="470"/>
        <v>167.48275862068965</v>
      </c>
      <c r="W181" s="76"/>
      <c r="X181" s="97" t="s">
        <v>44</v>
      </c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9"/>
      <c r="AS181" s="76"/>
      <c r="AT181" s="76"/>
    </row>
    <row r="182" spans="1:46" ht="15.75" customHeight="1" x14ac:dyDescent="0.25">
      <c r="A182" s="70"/>
      <c r="B182" s="16">
        <v>15</v>
      </c>
      <c r="C182" s="16" t="s">
        <v>40</v>
      </c>
      <c r="D182" s="17">
        <v>30</v>
      </c>
      <c r="E182" s="18">
        <f ca="1">IFERROR(__xludf.DUMMYFUNCTION("COUNT(IMPORTRANGE(""https://docs.google.com/spreadsheets/d/1Krav0MVlY0vbUNsFRDnb_kR72_tyuGnWBYbGjNZrl18/edit"",""7!d2:d31""))"),29)</f>
        <v>29</v>
      </c>
      <c r="F182" s="23">
        <f ca="1">IFERROR(__xludf.DUMMYFUNCTION("SUM(IMPORTRANGE(""https://docs.google.com/spreadsheets/d/1Krav0MVlY0vbUNsFRDnb_kR72_tyuGnWBYbGjNZrl18/edit"",""7!Q2:Q31""))"),5660.15699999999)</f>
        <v>5660.1569999999901</v>
      </c>
      <c r="G182" s="18">
        <f ca="1">IFERROR(__xludf.DUMMYFUNCTION("IMPORTRANGE(""https://docs.google.com/spreadsheets/d/1Krav0MVlY0vbUNsFRDnb_kR72_tyuGnWBYbGjNZrl18/edit"",""7!e38"")"),3191)</f>
        <v>3191</v>
      </c>
      <c r="H182" s="18">
        <f ca="1">IFERROR(__xludf.DUMMYFUNCTION("IMPORTRANGE(""https://docs.google.com/spreadsheets/d/1Krav0MVlY0vbUNsFRDnb_kR72_tyuGnWBYbGjNZrl18/edit"",""7!e39"")"),0)</f>
        <v>0</v>
      </c>
      <c r="I182" s="18">
        <f t="shared" ca="1" si="462"/>
        <v>3191</v>
      </c>
      <c r="J182" s="18">
        <f ca="1">IFERROR(__xludf.DUMMYFUNCTION("IMPORTRANGE(""https://docs.google.com/spreadsheets/d/1Krav0MVlY0vbUNsFRDnb_kR72_tyuGnWBYbGjNZrl18/edit"",""7!e42"")"),3638)</f>
        <v>3638</v>
      </c>
      <c r="K182" s="18">
        <f ca="1">IFERROR(__xludf.DUMMYFUNCTION("IMPORTRANGE(""https://docs.google.com/spreadsheets/d/1Krav0MVlY0vbUNsFRDnb_kR72_tyuGnWBYbGjNZrl18/edit"",""7!e43"")"),0)</f>
        <v>0</v>
      </c>
      <c r="L182" s="18">
        <f t="shared" ca="1" si="492"/>
        <v>3638</v>
      </c>
      <c r="M182" s="18">
        <f t="shared" ca="1" si="464"/>
        <v>6829</v>
      </c>
      <c r="N182" s="19">
        <f t="shared" ca="1" si="465"/>
        <v>195.17782758620655</v>
      </c>
      <c r="O182" s="16">
        <v>8239</v>
      </c>
      <c r="P182" s="20">
        <f t="shared" ca="1" si="466"/>
        <v>0.8288627260589877</v>
      </c>
      <c r="Q182" s="21">
        <v>1.5</v>
      </c>
      <c r="R182" s="20">
        <f t="shared" ca="1" si="467"/>
        <v>0.80433575723547512</v>
      </c>
      <c r="S182" s="22">
        <f t="shared" ca="1" si="468"/>
        <v>1.2065036358532126</v>
      </c>
      <c r="T182" s="21">
        <f ca="1">F182/28.443</f>
        <v>198.99999999999963</v>
      </c>
      <c r="U182" s="21">
        <f t="shared" ca="1" si="469"/>
        <v>6.8620689655172287</v>
      </c>
      <c r="V182" s="18">
        <f t="shared" ca="1" si="470"/>
        <v>235.48275862068965</v>
      </c>
      <c r="W182" s="76"/>
      <c r="X182" s="1" t="s">
        <v>2</v>
      </c>
      <c r="Y182" s="1" t="s">
        <v>3</v>
      </c>
      <c r="Z182" s="1" t="s">
        <v>4</v>
      </c>
      <c r="AA182" s="1" t="s">
        <v>5</v>
      </c>
      <c r="AB182" s="2" t="s">
        <v>6</v>
      </c>
      <c r="AC182" s="1" t="s">
        <v>7</v>
      </c>
      <c r="AD182" s="1" t="s">
        <v>8</v>
      </c>
      <c r="AE182" s="1" t="s">
        <v>9</v>
      </c>
      <c r="AF182" s="1" t="s">
        <v>10</v>
      </c>
      <c r="AG182" s="1" t="s">
        <v>11</v>
      </c>
      <c r="AH182" s="1" t="s">
        <v>12</v>
      </c>
      <c r="AI182" s="1" t="s">
        <v>13</v>
      </c>
      <c r="AJ182" s="2" t="s">
        <v>14</v>
      </c>
      <c r="AK182" s="1" t="s">
        <v>15</v>
      </c>
      <c r="AL182" s="1" t="s">
        <v>16</v>
      </c>
      <c r="AM182" s="3" t="s">
        <v>17</v>
      </c>
      <c r="AN182" s="4" t="s">
        <v>18</v>
      </c>
      <c r="AO182" s="5" t="s">
        <v>19</v>
      </c>
      <c r="AP182" s="6" t="s">
        <v>20</v>
      </c>
      <c r="AQ182" s="6" t="s">
        <v>21</v>
      </c>
      <c r="AR182" s="7" t="s">
        <v>22</v>
      </c>
      <c r="AS182" s="76"/>
      <c r="AT182" s="76"/>
    </row>
    <row r="183" spans="1:46" ht="15.75" customHeight="1" x14ac:dyDescent="0.25">
      <c r="A183" s="70"/>
      <c r="B183" s="16">
        <v>16</v>
      </c>
      <c r="C183" s="16" t="s">
        <v>42</v>
      </c>
      <c r="D183" s="17">
        <v>33</v>
      </c>
      <c r="E183" s="18">
        <f ca="1">IFERROR(__xludf.DUMMYFUNCTION("COUNT(IMPORTRANGE(""https://docs.google.com/spreadsheets/d/1uXtm-E8PG0CetlFmSpTX3RK0LNEMnpR-mxbET9AGD6w/edit"",""7!d2:d34""))"),33)</f>
        <v>33</v>
      </c>
      <c r="F183" s="23">
        <f ca="1">IFERROR(__xludf.DUMMYFUNCTION("SUM(IMPORTRANGE(""https://docs.google.com/spreadsheets/d/1uXtm-E8PG0CetlFmSpTX3RK0LNEMnpR-mxbET9AGD6w/edit"",""7!Q2:Q34""))"),6397.20599999999)</f>
        <v>6397.2059999999901</v>
      </c>
      <c r="G183" s="18">
        <f ca="1">IFERROR(__xludf.DUMMYFUNCTION("IMPORTRANGE(""https://docs.google.com/spreadsheets/d/1uXtm-E8PG0CetlFmSpTX3RK0LNEMnpR-mxbET9AGD6w/edit"",""7!e41"")"),2669)</f>
        <v>2669</v>
      </c>
      <c r="H183" s="18">
        <f ca="1">IFERROR(__xludf.DUMMYFUNCTION("IMPORTRANGE(""https://docs.google.com/spreadsheets/d/1uXtm-E8PG0CetlFmSpTX3RK0LNEMnpR-mxbET9AGD6w/edit"",""7!e42"")"),187)</f>
        <v>187</v>
      </c>
      <c r="I183" s="18">
        <f t="shared" ca="1" si="462"/>
        <v>2856</v>
      </c>
      <c r="J183" s="18">
        <f ca="1">IFERROR(__xludf.DUMMYFUNCTION("IMPORTRANGE(""https://docs.google.com/spreadsheets/d/1uXtm-E8PG0CetlFmSpTX3RK0LNEMnpR-mxbET9AGD6w/edit"",""7!e45"")"),4237)</f>
        <v>4237</v>
      </c>
      <c r="K183" s="18">
        <f ca="1">IFERROR(__xludf.DUMMYFUNCTION("IMPORTRANGE(""https://docs.google.com/spreadsheets/d/1uXtm-E8PG0CetlFmSpTX3RK0LNEMnpR-mxbET9AGD6w/edit"",""7!e46"")"),211)</f>
        <v>211</v>
      </c>
      <c r="L183" s="18">
        <f t="shared" ca="1" si="492"/>
        <v>4448</v>
      </c>
      <c r="M183" s="18">
        <f t="shared" ca="1" si="464"/>
        <v>7304</v>
      </c>
      <c r="N183" s="19">
        <f t="shared" ca="1" si="465"/>
        <v>193.85472727272696</v>
      </c>
      <c r="O183" s="16">
        <v>9877</v>
      </c>
      <c r="P183" s="20">
        <f t="shared" ca="1" si="466"/>
        <v>0.73949579831932777</v>
      </c>
      <c r="Q183" s="21">
        <v>1.5</v>
      </c>
      <c r="R183" s="20">
        <f t="shared" ca="1" si="467"/>
        <v>0.76116562970355195</v>
      </c>
      <c r="S183" s="22">
        <f t="shared" ca="1" si="468"/>
        <v>1.1417484445553279</v>
      </c>
      <c r="T183" s="21">
        <f ca="1">F183/26.155</f>
        <v>244.58826228254597</v>
      </c>
      <c r="U183" s="21">
        <f t="shared" ca="1" si="469"/>
        <v>7.4117655237135143</v>
      </c>
      <c r="V183" s="18">
        <f t="shared" ca="1" si="470"/>
        <v>221.33333333333334</v>
      </c>
      <c r="W183" s="76"/>
      <c r="X183" s="8">
        <v>1</v>
      </c>
      <c r="Y183" s="8" t="s">
        <v>26</v>
      </c>
      <c r="Z183" s="8">
        <f t="shared" ref="Z183:AI183" si="504">SUM(D168)</f>
        <v>20</v>
      </c>
      <c r="AA183" s="9">
        <f t="shared" ca="1" si="504"/>
        <v>20</v>
      </c>
      <c r="AB183" s="11">
        <f t="shared" ca="1" si="504"/>
        <v>3748.5120000000002</v>
      </c>
      <c r="AC183" s="9">
        <f t="shared" ca="1" si="504"/>
        <v>1947</v>
      </c>
      <c r="AD183" s="9">
        <f t="shared" ca="1" si="504"/>
        <v>0</v>
      </c>
      <c r="AE183" s="9">
        <f t="shared" ca="1" si="504"/>
        <v>1947</v>
      </c>
      <c r="AF183" s="9">
        <f t="shared" ca="1" si="504"/>
        <v>2481</v>
      </c>
      <c r="AG183" s="9">
        <f t="shared" ca="1" si="504"/>
        <v>50</v>
      </c>
      <c r="AH183" s="9">
        <f t="shared" ca="1" si="504"/>
        <v>2531</v>
      </c>
      <c r="AI183" s="9">
        <f t="shared" ca="1" si="504"/>
        <v>4478</v>
      </c>
      <c r="AJ183" s="11">
        <f t="shared" ref="AJ183:AJ189" ca="1" si="505">AB183/AA183</f>
        <v>187.4256</v>
      </c>
      <c r="AK183" s="8">
        <f>SUM(O168)</f>
        <v>5161</v>
      </c>
      <c r="AL183" s="12">
        <f t="shared" ref="AL183:AL189" ca="1" si="506">AI183/AK183</f>
        <v>0.86766130594845958</v>
      </c>
      <c r="AM183" s="13">
        <f>SUM(Q168)</f>
        <v>1.5</v>
      </c>
      <c r="AN183" s="12">
        <f t="shared" ref="AN183:AN189" ca="1" si="507">AO183/AM183</f>
        <v>0.79640490235414296</v>
      </c>
      <c r="AO183" s="14">
        <f t="shared" ref="AO183:AO189" ca="1" si="508">AI183/AB183</f>
        <v>1.1946073535312145</v>
      </c>
      <c r="AP183" s="13">
        <f t="shared" ref="AP183:AQ183" ca="1" si="509">SUM(T168)</f>
        <v>260.04245577523415</v>
      </c>
      <c r="AQ183" s="13">
        <f t="shared" ca="1" si="509"/>
        <v>13.002122788761707</v>
      </c>
      <c r="AR183" s="9">
        <f t="shared" ref="AR183:AR189" ca="1" si="510">AI183/AA183</f>
        <v>223.9</v>
      </c>
      <c r="AS183" s="76"/>
      <c r="AT183" s="76"/>
    </row>
    <row r="184" spans="1:46" ht="15.75" customHeight="1" x14ac:dyDescent="0.25">
      <c r="A184" s="70"/>
      <c r="B184" s="16">
        <v>17</v>
      </c>
      <c r="C184" s="16" t="s">
        <v>29</v>
      </c>
      <c r="D184" s="17">
        <v>30</v>
      </c>
      <c r="E184" s="18">
        <f ca="1">IFERROR(__xludf.DUMMYFUNCTION("COUNT(IMPORTRANGE(""https://docs.google.com/spreadsheets/d/12xcKI0lSnAsjEsxfm9K8Qx0B_89Gzsh816mowItkQao/edit"",""7!d2:d31""))"),29)</f>
        <v>29</v>
      </c>
      <c r="F184" s="23">
        <f ca="1">IFERROR(__xludf.DUMMYFUNCTION("SUM(IMPORTRANGE(""https://docs.google.com/spreadsheets/d/12xcKI0lSnAsjEsxfm9K8Qx0B_89Gzsh816mowItkQao/edit"",""7!Q2:Q31""))"),5780.436)</f>
        <v>5780.4359999999997</v>
      </c>
      <c r="G184" s="18">
        <f ca="1">IFERROR(__xludf.DUMMYFUNCTION("IMPORTRANGE(""https://docs.google.com/spreadsheets/d/12xcKI0lSnAsjEsxfm9K8Qx0B_89Gzsh816mowItkQao/edit"",""7!e38"")"),2548)</f>
        <v>2548</v>
      </c>
      <c r="H184" s="18">
        <f ca="1">IFERROR(__xludf.DUMMYFUNCTION("IMPORTRANGE(""https://docs.google.com/spreadsheets/d/12xcKI0lSnAsjEsxfm9K8Qx0B_89Gzsh816mowItkQao/edit"",""7!e39"")"),0)</f>
        <v>0</v>
      </c>
      <c r="I184" s="18">
        <f t="shared" ca="1" si="462"/>
        <v>2548</v>
      </c>
      <c r="J184" s="18">
        <f ca="1">IFERROR(__xludf.DUMMYFUNCTION("IMPORTRANGE(""https://docs.google.com/spreadsheets/d/12xcKI0lSnAsjEsxfm9K8Qx0B_89Gzsh816mowItkQao/edit"",""7!e42"")"),3713)</f>
        <v>3713</v>
      </c>
      <c r="K184" s="18">
        <f ca="1">IFERROR(__xludf.DUMMYFUNCTION("IMPORTRANGE(""https://docs.google.com/spreadsheets/d/12xcKI0lSnAsjEsxfm9K8Qx0B_89Gzsh816mowItkQao/edit"",""7!e43"")"),0)</f>
        <v>0</v>
      </c>
      <c r="L184" s="18">
        <f t="shared" ca="1" si="492"/>
        <v>3713</v>
      </c>
      <c r="M184" s="18">
        <f t="shared" ca="1" si="464"/>
        <v>6261</v>
      </c>
      <c r="N184" s="19">
        <f t="shared" ca="1" si="465"/>
        <v>199.32537931034483</v>
      </c>
      <c r="O184" s="16">
        <v>9201</v>
      </c>
      <c r="P184" s="20">
        <f t="shared" ca="1" si="466"/>
        <v>0.68046951418324098</v>
      </c>
      <c r="Q184" s="21">
        <v>1.5</v>
      </c>
      <c r="R184" s="20">
        <f t="shared" ca="1" si="467"/>
        <v>0.72209085958221841</v>
      </c>
      <c r="S184" s="22">
        <f t="shared" ca="1" si="468"/>
        <v>1.0831362893733276</v>
      </c>
      <c r="T184" s="21">
        <f ca="1">F184/26.038</f>
        <v>222</v>
      </c>
      <c r="U184" s="21">
        <f t="shared" ca="1" si="469"/>
        <v>7.6551724137931032</v>
      </c>
      <c r="V184" s="18">
        <f t="shared" ca="1" si="470"/>
        <v>215.89655172413794</v>
      </c>
      <c r="W184" s="76"/>
      <c r="X184" s="8">
        <v>2</v>
      </c>
      <c r="Y184" s="8" t="s">
        <v>32</v>
      </c>
      <c r="Z184" s="8">
        <f t="shared" ref="Z184:AI184" si="511">SUM(D171)</f>
        <v>42</v>
      </c>
      <c r="AA184" s="9">
        <f t="shared" ca="1" si="511"/>
        <v>42</v>
      </c>
      <c r="AB184" s="10">
        <f t="shared" ca="1" si="511"/>
        <v>8215.5729999999894</v>
      </c>
      <c r="AC184" s="8">
        <f t="shared" ca="1" si="511"/>
        <v>4401</v>
      </c>
      <c r="AD184" s="8">
        <f t="shared" ca="1" si="511"/>
        <v>97</v>
      </c>
      <c r="AE184" s="9">
        <f t="shared" ca="1" si="511"/>
        <v>4498</v>
      </c>
      <c r="AF184" s="8">
        <f t="shared" ca="1" si="511"/>
        <v>5341</v>
      </c>
      <c r="AG184" s="8">
        <f t="shared" ca="1" si="511"/>
        <v>60</v>
      </c>
      <c r="AH184" s="9">
        <f t="shared" ca="1" si="511"/>
        <v>5401</v>
      </c>
      <c r="AI184" s="9">
        <f t="shared" ca="1" si="511"/>
        <v>9899</v>
      </c>
      <c r="AJ184" s="11">
        <f t="shared" ca="1" si="505"/>
        <v>195.6088809523807</v>
      </c>
      <c r="AK184" s="8">
        <f>SUM(O171)</f>
        <v>13817</v>
      </c>
      <c r="AL184" s="12">
        <f t="shared" ca="1" si="506"/>
        <v>0.71643627415502642</v>
      </c>
      <c r="AM184" s="13">
        <f>SUM(Q171)</f>
        <v>1.5</v>
      </c>
      <c r="AN184" s="12">
        <f t="shared" ca="1" si="507"/>
        <v>0.80327121837190685</v>
      </c>
      <c r="AO184" s="14">
        <f t="shared" ca="1" si="508"/>
        <v>1.2049068275578603</v>
      </c>
      <c r="AP184" s="13">
        <f t="shared" ref="AP184:AQ184" ca="1" si="512">SUM(T171)</f>
        <v>327.45717246602055</v>
      </c>
      <c r="AQ184" s="13">
        <f t="shared" ca="1" si="512"/>
        <v>7.7965993444290609</v>
      </c>
      <c r="AR184" s="9">
        <f t="shared" ca="1" si="510"/>
        <v>235.6904761904762</v>
      </c>
      <c r="AS184" s="76"/>
      <c r="AT184" s="76"/>
    </row>
    <row r="185" spans="1:46" ht="15.75" customHeight="1" x14ac:dyDescent="0.25">
      <c r="A185" s="70"/>
      <c r="B185" s="16">
        <v>18</v>
      </c>
      <c r="C185" s="16" t="s">
        <v>31</v>
      </c>
      <c r="D185" s="17">
        <v>15</v>
      </c>
      <c r="E185" s="18">
        <f ca="1">IFERROR(__xludf.DUMMYFUNCTION("COUNT(IMPORTRANGE(""https://docs.google.com/spreadsheets/d/1fgCFOFzOla4Qim6_-zG-lbYhLCItqv_kZiAHoErRgcM/edit"",""7!d2:d16""))"),14)</f>
        <v>14</v>
      </c>
      <c r="F185" s="19">
        <f ca="1">IFERROR(__xludf.DUMMYFUNCTION("SUM(IMPORTRANGE(""https://docs.google.com/spreadsheets/d/1fgCFOFzOla4Qim6_-zG-lbYhLCItqv_kZiAHoErRgcM/edit"",""7!Q2:Q16""))"),2868.69)</f>
        <v>2868.69</v>
      </c>
      <c r="G185" s="18">
        <f ca="1">IFERROR(__xludf.DUMMYFUNCTION("IMPORTRANGE(""https://docs.google.com/spreadsheets/d/1fgCFOFzOla4Qim6_-zG-lbYhLCItqv_kZiAHoErRgcM/edit"",""7!e23"")"),784)</f>
        <v>784</v>
      </c>
      <c r="H185" s="18">
        <f ca="1">IFERROR(__xludf.DUMMYFUNCTION("IMPORTRANGE(""https://docs.google.com/spreadsheets/d/1fgCFOFzOla4Qim6_-zG-lbYhLCItqv_kZiAHoErRgcM/edit"",""7!e24"")"),67)</f>
        <v>67</v>
      </c>
      <c r="I185" s="18">
        <f t="shared" ca="1" si="462"/>
        <v>851</v>
      </c>
      <c r="J185" s="18">
        <f ca="1">IFERROR(__xludf.DUMMYFUNCTION("IMPORTRANGE(""https://docs.google.com/spreadsheets/d/1fgCFOFzOla4Qim6_-zG-lbYhLCItqv_kZiAHoErRgcM/edit"",""7!e27"")"),1146)</f>
        <v>1146</v>
      </c>
      <c r="K185" s="18">
        <f ca="1">IFERROR(__xludf.DUMMYFUNCTION("IMPORTRANGE(""https://docs.google.com/spreadsheets/d/1fgCFOFzOla4Qim6_-zG-lbYhLCItqv_kZiAHoErRgcM/edit"",""7!e28"")"),0)</f>
        <v>0</v>
      </c>
      <c r="L185" s="18">
        <f t="shared" ca="1" si="492"/>
        <v>1146</v>
      </c>
      <c r="M185" s="18">
        <f t="shared" ca="1" si="464"/>
        <v>1997</v>
      </c>
      <c r="N185" s="19">
        <f t="shared" ca="1" si="465"/>
        <v>204.90642857142856</v>
      </c>
      <c r="O185" s="16">
        <v>2717</v>
      </c>
      <c r="P185" s="20">
        <f t="shared" ca="1" si="466"/>
        <v>0.73500184026499815</v>
      </c>
      <c r="Q185" s="21">
        <v>1.5</v>
      </c>
      <c r="R185" s="20">
        <f t="shared" ca="1" si="467"/>
        <v>0.46409104271752377</v>
      </c>
      <c r="S185" s="22">
        <f t="shared" ca="1" si="468"/>
        <v>0.69613656407628566</v>
      </c>
      <c r="T185" s="21">
        <f ca="1">F185/43.465</f>
        <v>66</v>
      </c>
      <c r="U185" s="21">
        <f t="shared" ca="1" si="469"/>
        <v>4.7142857142857144</v>
      </c>
      <c r="V185" s="18">
        <f t="shared" ca="1" si="470"/>
        <v>142.64285714285714</v>
      </c>
      <c r="W185" s="76"/>
      <c r="X185" s="8">
        <v>3</v>
      </c>
      <c r="Y185" s="8" t="s">
        <v>36</v>
      </c>
      <c r="Z185" s="8">
        <f t="shared" ref="Z185:AI185" si="513">SUM(D176)</f>
        <v>24</v>
      </c>
      <c r="AA185" s="9">
        <f t="shared" ca="1" si="513"/>
        <v>24</v>
      </c>
      <c r="AB185" s="10">
        <f t="shared" ca="1" si="513"/>
        <v>4745.1939999999904</v>
      </c>
      <c r="AC185" s="9">
        <f t="shared" ca="1" si="513"/>
        <v>1342</v>
      </c>
      <c r="AD185" s="9">
        <f t="shared" ca="1" si="513"/>
        <v>0</v>
      </c>
      <c r="AE185" s="9">
        <f t="shared" ca="1" si="513"/>
        <v>1342</v>
      </c>
      <c r="AF185" s="9">
        <f t="shared" ca="1" si="513"/>
        <v>2181</v>
      </c>
      <c r="AG185" s="9">
        <f t="shared" ca="1" si="513"/>
        <v>0</v>
      </c>
      <c r="AH185" s="9">
        <f t="shared" ca="1" si="513"/>
        <v>2181</v>
      </c>
      <c r="AI185" s="9">
        <f t="shared" ca="1" si="513"/>
        <v>3523</v>
      </c>
      <c r="AJ185" s="11">
        <f t="shared" ca="1" si="505"/>
        <v>197.71641666666628</v>
      </c>
      <c r="AK185" s="8">
        <f t="shared" ref="AK185:AK188" si="514">SUM(O176)</f>
        <v>4796</v>
      </c>
      <c r="AL185" s="12">
        <f t="shared" ca="1" si="506"/>
        <v>0.73457047539616349</v>
      </c>
      <c r="AM185" s="13">
        <f t="shared" ref="AM185:AM188" si="515">SUM(Q176)</f>
        <v>1.5</v>
      </c>
      <c r="AN185" s="12">
        <f t="shared" ca="1" si="507"/>
        <v>0.49495693256517465</v>
      </c>
      <c r="AO185" s="14">
        <f t="shared" ca="1" si="508"/>
        <v>0.742435398847762</v>
      </c>
      <c r="AP185" s="13">
        <f t="shared" ref="AP185:AQ185" ca="1" si="516">SUM(T176)</f>
        <v>126.82936868551853</v>
      </c>
      <c r="AQ185" s="13">
        <f t="shared" ca="1" si="516"/>
        <v>5.2845570285632721</v>
      </c>
      <c r="AR185" s="9">
        <f t="shared" ca="1" si="510"/>
        <v>146.79166666666666</v>
      </c>
      <c r="AS185" s="76"/>
      <c r="AT185" s="76"/>
    </row>
    <row r="186" spans="1:46" ht="15.75" customHeight="1" x14ac:dyDescent="0.2">
      <c r="A186" s="70"/>
      <c r="B186" s="98" t="s">
        <v>33</v>
      </c>
      <c r="C186" s="98">
        <v>18</v>
      </c>
      <c r="D186" s="98">
        <f t="shared" ref="D186:M186" si="517">SUM(D168:D185)</f>
        <v>580</v>
      </c>
      <c r="E186" s="74">
        <f t="shared" ca="1" si="517"/>
        <v>567</v>
      </c>
      <c r="F186" s="99">
        <f t="shared" ca="1" si="517"/>
        <v>110485.24699999983</v>
      </c>
      <c r="G186" s="74">
        <f t="shared" ca="1" si="517"/>
        <v>37271</v>
      </c>
      <c r="H186" s="74">
        <f t="shared" ca="1" si="517"/>
        <v>1564</v>
      </c>
      <c r="I186" s="74">
        <f t="shared" ca="1" si="517"/>
        <v>38835</v>
      </c>
      <c r="J186" s="74">
        <f t="shared" ca="1" si="517"/>
        <v>50968</v>
      </c>
      <c r="K186" s="74">
        <f t="shared" ca="1" si="517"/>
        <v>1317</v>
      </c>
      <c r="L186" s="74">
        <f t="shared" ca="1" si="517"/>
        <v>52285</v>
      </c>
      <c r="M186" s="74">
        <f t="shared" ca="1" si="517"/>
        <v>91120</v>
      </c>
      <c r="N186" s="99">
        <f t="shared" ca="1" si="465"/>
        <v>194.85934215167518</v>
      </c>
      <c r="O186" s="98">
        <f>SUM(O168:O185)</f>
        <v>126399</v>
      </c>
      <c r="P186" s="69">
        <f t="shared" ca="1" si="466"/>
        <v>0.720891779207114</v>
      </c>
      <c r="Q186" s="72">
        <v>1.5</v>
      </c>
      <c r="R186" s="69">
        <f t="shared" ca="1" si="467"/>
        <v>0.54981699653227689</v>
      </c>
      <c r="S186" s="73">
        <f t="shared" ca="1" si="468"/>
        <v>0.82472549479841539</v>
      </c>
      <c r="T186" s="72">
        <f ca="1">SUM(T168:T185)</f>
        <v>4083.8371310264106</v>
      </c>
      <c r="U186" s="72">
        <f t="shared" ca="1" si="469"/>
        <v>7.2025346226215357</v>
      </c>
      <c r="V186" s="74">
        <f t="shared" ca="1" si="470"/>
        <v>160.70546737213405</v>
      </c>
      <c r="W186" s="76"/>
      <c r="X186" s="8">
        <v>4</v>
      </c>
      <c r="Y186" s="8" t="s">
        <v>37</v>
      </c>
      <c r="Z186" s="8">
        <f t="shared" ref="Z186:AI186" si="518">SUM(D177)</f>
        <v>30</v>
      </c>
      <c r="AA186" s="9">
        <f t="shared" ca="1" si="518"/>
        <v>29</v>
      </c>
      <c r="AB186" s="10">
        <f t="shared" ca="1" si="518"/>
        <v>5622.99</v>
      </c>
      <c r="AC186" s="9">
        <f t="shared" ca="1" si="518"/>
        <v>2006</v>
      </c>
      <c r="AD186" s="9">
        <f t="shared" ca="1" si="518"/>
        <v>50</v>
      </c>
      <c r="AE186" s="9">
        <f t="shared" ca="1" si="518"/>
        <v>2056</v>
      </c>
      <c r="AF186" s="9">
        <f t="shared" ca="1" si="518"/>
        <v>2554</v>
      </c>
      <c r="AG186" s="9">
        <f t="shared" ca="1" si="518"/>
        <v>108</v>
      </c>
      <c r="AH186" s="9">
        <f t="shared" ca="1" si="518"/>
        <v>2662</v>
      </c>
      <c r="AI186" s="9">
        <f t="shared" ca="1" si="518"/>
        <v>4718</v>
      </c>
      <c r="AJ186" s="11">
        <f t="shared" ca="1" si="505"/>
        <v>193.89620689655172</v>
      </c>
      <c r="AK186" s="8">
        <f t="shared" si="514"/>
        <v>5887</v>
      </c>
      <c r="AL186" s="12">
        <f t="shared" ca="1" si="506"/>
        <v>0.80142687277051128</v>
      </c>
      <c r="AM186" s="13">
        <f t="shared" si="515"/>
        <v>1.5</v>
      </c>
      <c r="AN186" s="12">
        <f t="shared" ca="1" si="507"/>
        <v>0.55937025200708757</v>
      </c>
      <c r="AO186" s="14">
        <f t="shared" ca="1" si="508"/>
        <v>0.83905537801063135</v>
      </c>
      <c r="AP186" s="13">
        <f t="shared" ref="AP186:AQ186" ca="1" si="519">SUM(T177)</f>
        <v>226.80663117134557</v>
      </c>
      <c r="AQ186" s="13">
        <f t="shared" ca="1" si="519"/>
        <v>7.8209183162532954</v>
      </c>
      <c r="AR186" s="9">
        <f t="shared" ca="1" si="510"/>
        <v>162.68965517241378</v>
      </c>
      <c r="AS186" s="76"/>
      <c r="AT186" s="76"/>
    </row>
    <row r="187" spans="1:46" ht="15.75" customHeight="1" x14ac:dyDescent="0.2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6"/>
      <c r="X187" s="8">
        <v>5</v>
      </c>
      <c r="Y187" s="8" t="s">
        <v>39</v>
      </c>
      <c r="Z187" s="8">
        <f t="shared" ref="Z187:AI187" si="520">SUM(D178)</f>
        <v>28</v>
      </c>
      <c r="AA187" s="9">
        <f t="shared" ca="1" si="520"/>
        <v>28</v>
      </c>
      <c r="AB187" s="10">
        <f t="shared" ca="1" si="520"/>
        <v>5501.8040000000001</v>
      </c>
      <c r="AC187" s="9">
        <f t="shared" ca="1" si="520"/>
        <v>1166</v>
      </c>
      <c r="AD187" s="9">
        <f t="shared" ca="1" si="520"/>
        <v>50</v>
      </c>
      <c r="AE187" s="9">
        <f t="shared" ca="1" si="520"/>
        <v>1216</v>
      </c>
      <c r="AF187" s="9">
        <f t="shared" ca="1" si="520"/>
        <v>1968</v>
      </c>
      <c r="AG187" s="9">
        <f t="shared" ca="1" si="520"/>
        <v>0</v>
      </c>
      <c r="AH187" s="9">
        <f t="shared" ca="1" si="520"/>
        <v>1968</v>
      </c>
      <c r="AI187" s="9">
        <f t="shared" ca="1" si="520"/>
        <v>3184</v>
      </c>
      <c r="AJ187" s="11">
        <f t="shared" ca="1" si="505"/>
        <v>196.49299999999999</v>
      </c>
      <c r="AK187" s="8">
        <f t="shared" si="514"/>
        <v>3569</v>
      </c>
      <c r="AL187" s="12">
        <f t="shared" ca="1" si="506"/>
        <v>0.89212664611936121</v>
      </c>
      <c r="AM187" s="13">
        <f t="shared" si="515"/>
        <v>1.5</v>
      </c>
      <c r="AN187" s="12">
        <f t="shared" ca="1" si="507"/>
        <v>0.38581284732547116</v>
      </c>
      <c r="AO187" s="14">
        <f t="shared" ca="1" si="508"/>
        <v>0.57871927098820675</v>
      </c>
      <c r="AP187" s="13">
        <f t="shared" ref="AP187:AQ187" ca="1" si="521">SUM(T178)</f>
        <v>256.33900200344777</v>
      </c>
      <c r="AQ187" s="13">
        <f t="shared" ca="1" si="521"/>
        <v>9.1549643572659924</v>
      </c>
      <c r="AR187" s="9">
        <f t="shared" ca="1" si="510"/>
        <v>113.71428571428571</v>
      </c>
      <c r="AS187" s="76"/>
      <c r="AT187" s="76"/>
    </row>
    <row r="188" spans="1:46" ht="15.75" customHeight="1" x14ac:dyDescent="0.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6"/>
      <c r="X188" s="8">
        <v>6</v>
      </c>
      <c r="Y188" s="8" t="s">
        <v>41</v>
      </c>
      <c r="Z188" s="8">
        <f t="shared" ref="Z188:AI188" si="522">SUM(D179)</f>
        <v>24</v>
      </c>
      <c r="AA188" s="9">
        <f t="shared" ca="1" si="522"/>
        <v>23</v>
      </c>
      <c r="AB188" s="10">
        <f t="shared" ca="1" si="522"/>
        <v>4585.7560000000003</v>
      </c>
      <c r="AC188" s="9">
        <f t="shared" ca="1" si="522"/>
        <v>1072</v>
      </c>
      <c r="AD188" s="9">
        <f t="shared" ca="1" si="522"/>
        <v>96</v>
      </c>
      <c r="AE188" s="9">
        <f t="shared" ca="1" si="522"/>
        <v>1168</v>
      </c>
      <c r="AF188" s="9">
        <f t="shared" ca="1" si="522"/>
        <v>1577</v>
      </c>
      <c r="AG188" s="9">
        <f t="shared" ca="1" si="522"/>
        <v>102</v>
      </c>
      <c r="AH188" s="9">
        <f t="shared" ca="1" si="522"/>
        <v>1679</v>
      </c>
      <c r="AI188" s="9">
        <f t="shared" ca="1" si="522"/>
        <v>2847</v>
      </c>
      <c r="AJ188" s="11">
        <f t="shared" ca="1" si="505"/>
        <v>199.38069565217393</v>
      </c>
      <c r="AK188" s="8">
        <f t="shared" si="514"/>
        <v>3801</v>
      </c>
      <c r="AL188" s="12">
        <f t="shared" ca="1" si="506"/>
        <v>0.74901341752170481</v>
      </c>
      <c r="AM188" s="13">
        <f t="shared" si="515"/>
        <v>1.5</v>
      </c>
      <c r="AN188" s="12">
        <f t="shared" ca="1" si="507"/>
        <v>0.41389031601332471</v>
      </c>
      <c r="AO188" s="14">
        <f t="shared" ca="1" si="508"/>
        <v>0.62083547401998707</v>
      </c>
      <c r="AP188" s="13">
        <f t="shared" ref="AP188:AQ188" ca="1" si="523">SUM(T179)</f>
        <v>154.7777777777778</v>
      </c>
      <c r="AQ188" s="13">
        <f t="shared" ca="1" si="523"/>
        <v>6.729468599033817</v>
      </c>
      <c r="AR188" s="9">
        <f t="shared" ca="1" si="510"/>
        <v>123.78260869565217</v>
      </c>
      <c r="AS188" s="76"/>
      <c r="AT188" s="76"/>
    </row>
    <row r="189" spans="1:46" ht="15.75" customHeight="1" x14ac:dyDescent="0.25">
      <c r="A189" s="110" t="s">
        <v>45</v>
      </c>
      <c r="B189" s="76"/>
      <c r="C189" s="76"/>
      <c r="D189" s="75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24" t="s">
        <v>33</v>
      </c>
      <c r="Y189" s="24">
        <v>6</v>
      </c>
      <c r="Z189" s="24">
        <f t="shared" ref="Z189:AI189" si="524">SUM(Z183:Z188)</f>
        <v>168</v>
      </c>
      <c r="AA189" s="25">
        <f t="shared" ca="1" si="524"/>
        <v>166</v>
      </c>
      <c r="AB189" s="27">
        <f t="shared" ca="1" si="524"/>
        <v>32419.82899999998</v>
      </c>
      <c r="AC189" s="25">
        <f t="shared" ca="1" si="524"/>
        <v>11934</v>
      </c>
      <c r="AD189" s="25">
        <f t="shared" ca="1" si="524"/>
        <v>293</v>
      </c>
      <c r="AE189" s="25">
        <f t="shared" ca="1" si="524"/>
        <v>12227</v>
      </c>
      <c r="AF189" s="25">
        <f t="shared" ca="1" si="524"/>
        <v>16102</v>
      </c>
      <c r="AG189" s="25">
        <f t="shared" ca="1" si="524"/>
        <v>320</v>
      </c>
      <c r="AH189" s="25">
        <f t="shared" ca="1" si="524"/>
        <v>16422</v>
      </c>
      <c r="AI189" s="25">
        <f t="shared" ca="1" si="524"/>
        <v>28649</v>
      </c>
      <c r="AJ189" s="27">
        <f t="shared" ca="1" si="505"/>
        <v>195.30017469879505</v>
      </c>
      <c r="AK189" s="24">
        <f>SUM(AK183:AK188)</f>
        <v>37031</v>
      </c>
      <c r="AL189" s="28">
        <f t="shared" ca="1" si="506"/>
        <v>0.77364910480408311</v>
      </c>
      <c r="AM189" s="29">
        <v>1.5</v>
      </c>
      <c r="AN189" s="28">
        <f t="shared" ca="1" si="507"/>
        <v>0.58912504854153747</v>
      </c>
      <c r="AO189" s="30">
        <f t="shared" ca="1" si="508"/>
        <v>0.88368757281230625</v>
      </c>
      <c r="AP189" s="29">
        <f ca="1">SUM(AP183:AP188)</f>
        <v>1352.2524078793442</v>
      </c>
      <c r="AQ189" s="29">
        <f ca="1">AP189/AA189</f>
        <v>8.1460988426466514</v>
      </c>
      <c r="AR189" s="25">
        <f t="shared" ca="1" si="510"/>
        <v>172.5843373493976</v>
      </c>
      <c r="AS189" s="76"/>
      <c r="AT189" s="76"/>
    </row>
    <row r="190" spans="1:46" ht="15.75" customHeight="1" x14ac:dyDescent="0.2">
      <c r="A190" s="110" t="s">
        <v>45</v>
      </c>
      <c r="B190" s="76"/>
      <c r="C190" s="76"/>
      <c r="D190" s="75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7" t="s">
        <v>1</v>
      </c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9"/>
      <c r="AS190" s="76"/>
      <c r="AT190" s="76"/>
    </row>
    <row r="191" spans="1:46" ht="15.75" customHeight="1" x14ac:dyDescent="0.2">
      <c r="A191" s="109">
        <v>46211</v>
      </c>
      <c r="B191" s="80" t="s">
        <v>2</v>
      </c>
      <c r="C191" s="80" t="s">
        <v>3</v>
      </c>
      <c r="D191" s="80" t="s">
        <v>4</v>
      </c>
      <c r="E191" s="80" t="s">
        <v>5</v>
      </c>
      <c r="F191" s="81" t="s">
        <v>6</v>
      </c>
      <c r="G191" s="80" t="s">
        <v>7</v>
      </c>
      <c r="H191" s="80" t="s">
        <v>8</v>
      </c>
      <c r="I191" s="80" t="s">
        <v>9</v>
      </c>
      <c r="J191" s="80" t="s">
        <v>10</v>
      </c>
      <c r="K191" s="80" t="s">
        <v>11</v>
      </c>
      <c r="L191" s="80" t="s">
        <v>12</v>
      </c>
      <c r="M191" s="80" t="s">
        <v>13</v>
      </c>
      <c r="N191" s="81" t="s">
        <v>14</v>
      </c>
      <c r="O191" s="80" t="s">
        <v>15</v>
      </c>
      <c r="P191" s="80" t="s">
        <v>16</v>
      </c>
      <c r="Q191" s="80" t="s">
        <v>17</v>
      </c>
      <c r="R191" s="80" t="s">
        <v>18</v>
      </c>
      <c r="S191" s="106" t="s">
        <v>19</v>
      </c>
      <c r="T191" s="107" t="s">
        <v>20</v>
      </c>
      <c r="U191" s="107" t="s">
        <v>21</v>
      </c>
      <c r="V191" s="105" t="s">
        <v>22</v>
      </c>
      <c r="W191" s="76"/>
      <c r="X191" s="1" t="s">
        <v>2</v>
      </c>
      <c r="Y191" s="1" t="s">
        <v>3</v>
      </c>
      <c r="Z191" s="1" t="s">
        <v>4</v>
      </c>
      <c r="AA191" s="1" t="s">
        <v>5</v>
      </c>
      <c r="AB191" s="2" t="s">
        <v>6</v>
      </c>
      <c r="AC191" s="1" t="s">
        <v>7</v>
      </c>
      <c r="AD191" s="1" t="s">
        <v>8</v>
      </c>
      <c r="AE191" s="1" t="s">
        <v>9</v>
      </c>
      <c r="AF191" s="1" t="s">
        <v>10</v>
      </c>
      <c r="AG191" s="1" t="s">
        <v>11</v>
      </c>
      <c r="AH191" s="1" t="s">
        <v>12</v>
      </c>
      <c r="AI191" s="1" t="s">
        <v>13</v>
      </c>
      <c r="AJ191" s="2" t="s">
        <v>14</v>
      </c>
      <c r="AK191" s="1" t="s">
        <v>15</v>
      </c>
      <c r="AL191" s="1" t="s">
        <v>16</v>
      </c>
      <c r="AM191" s="3" t="s">
        <v>17</v>
      </c>
      <c r="AN191" s="4" t="s">
        <v>18</v>
      </c>
      <c r="AO191" s="5" t="s">
        <v>19</v>
      </c>
      <c r="AP191" s="6" t="s">
        <v>20</v>
      </c>
      <c r="AQ191" s="6" t="s">
        <v>21</v>
      </c>
      <c r="AR191" s="7" t="s">
        <v>22</v>
      </c>
      <c r="AS191" s="76"/>
      <c r="AT191" s="76"/>
    </row>
    <row r="192" spans="1:46" ht="15.75" customHeight="1" x14ac:dyDescent="0.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6"/>
      <c r="X192" s="8">
        <v>1</v>
      </c>
      <c r="Y192" s="8" t="s">
        <v>23</v>
      </c>
      <c r="Z192" s="8">
        <f t="shared" ref="Z192:AI192" si="525">SUM(D200)</f>
        <v>35</v>
      </c>
      <c r="AA192" s="9">
        <f t="shared" ca="1" si="525"/>
        <v>34</v>
      </c>
      <c r="AB192" s="10">
        <f t="shared" ca="1" si="525"/>
        <v>6646.7799999999897</v>
      </c>
      <c r="AC192" s="9">
        <f t="shared" ca="1" si="525"/>
        <v>1755</v>
      </c>
      <c r="AD192" s="9">
        <f t="shared" ca="1" si="525"/>
        <v>0</v>
      </c>
      <c r="AE192" s="9">
        <f t="shared" ca="1" si="525"/>
        <v>1755</v>
      </c>
      <c r="AF192" s="9">
        <f t="shared" ca="1" si="525"/>
        <v>2818</v>
      </c>
      <c r="AG192" s="9">
        <f t="shared" ca="1" si="525"/>
        <v>101</v>
      </c>
      <c r="AH192" s="9">
        <f t="shared" ca="1" si="525"/>
        <v>2919</v>
      </c>
      <c r="AI192" s="9">
        <f t="shared" ca="1" si="525"/>
        <v>4674</v>
      </c>
      <c r="AJ192" s="11">
        <f t="shared" ref="AJ192:AJ194" ca="1" si="526">AB192/AA192</f>
        <v>195.4935294117644</v>
      </c>
      <c r="AK192" s="8">
        <f>SUM(O200)</f>
        <v>6853</v>
      </c>
      <c r="AL192" s="12">
        <f t="shared" ref="AL192:AL198" ca="1" si="527">AI192/AK192</f>
        <v>0.68203706405953601</v>
      </c>
      <c r="AM192" s="13">
        <f t="shared" ref="AM192:AM194" si="528">SUM(Q200)</f>
        <v>1.5</v>
      </c>
      <c r="AN192" s="12">
        <f t="shared" ref="AN192:AN198" ca="1" si="529">AO192/AM192</f>
        <v>0.46879842570387537</v>
      </c>
      <c r="AO192" s="14">
        <f t="shared" ref="AO192:AO198" ca="1" si="530">AI192/AB192</f>
        <v>0.70319763855581308</v>
      </c>
      <c r="AP192" s="13">
        <f t="shared" ref="AP192:AQ192" ca="1" si="531">SUM(T200)</f>
        <v>196.99999999999969</v>
      </c>
      <c r="AQ192" s="13">
        <f t="shared" ca="1" si="531"/>
        <v>5.7941176470588145</v>
      </c>
      <c r="AR192" s="9">
        <f t="shared" ref="AR192:AR198" ca="1" si="532">AI192/AA192</f>
        <v>137.47058823529412</v>
      </c>
      <c r="AS192" s="76"/>
      <c r="AT192" s="76"/>
    </row>
    <row r="193" spans="1:46" ht="15.75" customHeight="1" x14ac:dyDescent="0.2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6"/>
      <c r="X193" s="8">
        <v>2</v>
      </c>
      <c r="Y193" s="8" t="s">
        <v>24</v>
      </c>
      <c r="Z193" s="8">
        <f t="shared" ref="Z193:AI193" si="533">SUM(D201)</f>
        <v>44</v>
      </c>
      <c r="AA193" s="9">
        <f t="shared" ca="1" si="533"/>
        <v>43</v>
      </c>
      <c r="AB193" s="10">
        <f t="shared" ca="1" si="533"/>
        <v>7404.1969999999901</v>
      </c>
      <c r="AC193" s="9">
        <f t="shared" ca="1" si="533"/>
        <v>964</v>
      </c>
      <c r="AD193" s="9">
        <f t="shared" ca="1" si="533"/>
        <v>0</v>
      </c>
      <c r="AE193" s="9">
        <f t="shared" ca="1" si="533"/>
        <v>964</v>
      </c>
      <c r="AF193" s="9">
        <f t="shared" ca="1" si="533"/>
        <v>1257</v>
      </c>
      <c r="AG193" s="9">
        <f t="shared" ca="1" si="533"/>
        <v>0</v>
      </c>
      <c r="AH193" s="9">
        <f t="shared" ca="1" si="533"/>
        <v>1257</v>
      </c>
      <c r="AI193" s="9">
        <f t="shared" ca="1" si="533"/>
        <v>2221</v>
      </c>
      <c r="AJ193" s="11">
        <f t="shared" ca="1" si="526"/>
        <v>172.19062790697652</v>
      </c>
      <c r="AK193" s="8">
        <v>1580</v>
      </c>
      <c r="AL193" s="15">
        <f t="shared" ca="1" si="527"/>
        <v>1.4056962025316455</v>
      </c>
      <c r="AM193" s="13">
        <f t="shared" si="528"/>
        <v>1.5</v>
      </c>
      <c r="AN193" s="12">
        <f t="shared" ca="1" si="529"/>
        <v>0.19997667088904694</v>
      </c>
      <c r="AO193" s="14">
        <f t="shared" ca="1" si="530"/>
        <v>0.29996500633357043</v>
      </c>
      <c r="AP193" s="13">
        <f t="shared" ref="AP193:AQ193" ca="1" si="534">SUM(T201)</f>
        <v>276.22447304607311</v>
      </c>
      <c r="AQ193" s="13">
        <f t="shared" ca="1" si="534"/>
        <v>6.4238249545598398</v>
      </c>
      <c r="AR193" s="9">
        <f t="shared" ca="1" si="532"/>
        <v>51.651162790697676</v>
      </c>
      <c r="AS193" s="76"/>
      <c r="AT193" s="76"/>
    </row>
    <row r="194" spans="1:46" ht="15.75" customHeight="1" x14ac:dyDescent="0.2">
      <c r="A194" s="70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6"/>
      <c r="X194" s="8">
        <v>3</v>
      </c>
      <c r="Y194" s="8" t="s">
        <v>25</v>
      </c>
      <c r="Z194" s="8">
        <f t="shared" ref="Z194:AI194" si="535">SUM(D202)</f>
        <v>32</v>
      </c>
      <c r="AA194" s="9">
        <f t="shared" ca="1" si="535"/>
        <v>30</v>
      </c>
      <c r="AB194" s="10">
        <f t="shared" ca="1" si="535"/>
        <v>5949.8760000000002</v>
      </c>
      <c r="AC194" s="9">
        <f t="shared" ca="1" si="535"/>
        <v>2159</v>
      </c>
      <c r="AD194" s="9">
        <f t="shared" ca="1" si="535"/>
        <v>442</v>
      </c>
      <c r="AE194" s="9">
        <f t="shared" ca="1" si="535"/>
        <v>2601</v>
      </c>
      <c r="AF194" s="9">
        <f t="shared" ca="1" si="535"/>
        <v>2841</v>
      </c>
      <c r="AG194" s="9">
        <f t="shared" ca="1" si="535"/>
        <v>398</v>
      </c>
      <c r="AH194" s="9">
        <f t="shared" ca="1" si="535"/>
        <v>3239</v>
      </c>
      <c r="AI194" s="9">
        <f t="shared" ca="1" si="535"/>
        <v>5840</v>
      </c>
      <c r="AJ194" s="11">
        <f t="shared" ca="1" si="526"/>
        <v>198.32920000000001</v>
      </c>
      <c r="AK194" s="8">
        <f>SUM(O202)</f>
        <v>6622</v>
      </c>
      <c r="AL194" s="12">
        <f t="shared" ca="1" si="527"/>
        <v>0.88190878888553303</v>
      </c>
      <c r="AM194" s="13">
        <f t="shared" si="528"/>
        <v>1.5</v>
      </c>
      <c r="AN194" s="12">
        <f t="shared" ca="1" si="529"/>
        <v>0.6543553736806168</v>
      </c>
      <c r="AO194" s="14">
        <f t="shared" ca="1" si="530"/>
        <v>0.98153306052092515</v>
      </c>
      <c r="AP194" s="13">
        <f t="shared" ref="AP194:AQ194" ca="1" si="536">SUM(T202)</f>
        <v>249.5753355704698</v>
      </c>
      <c r="AQ194" s="13">
        <f t="shared" ca="1" si="536"/>
        <v>8.319177852348993</v>
      </c>
      <c r="AR194" s="9">
        <f t="shared" ca="1" si="532"/>
        <v>194.66666666666666</v>
      </c>
      <c r="AS194" s="76"/>
      <c r="AT194" s="76"/>
    </row>
    <row r="195" spans="1:46" ht="15.75" customHeight="1" x14ac:dyDescent="0.25">
      <c r="A195" s="70"/>
      <c r="B195" s="16">
        <v>1</v>
      </c>
      <c r="C195" s="16" t="s">
        <v>26</v>
      </c>
      <c r="D195" s="17">
        <v>20</v>
      </c>
      <c r="E195" s="18">
        <f ca="1">IFERROR(__xludf.DUMMYFUNCTION("COUNT(IMPORTRANGE(""https://docs.google.com/spreadsheets/d/1z0o91thOT38lgejTE_Bd2p3v_9VCDdQRkUsMIVqpQCk/edit"",""8!d2:d21""))"),20)</f>
        <v>20</v>
      </c>
      <c r="F195" s="19">
        <f ca="1">IFERROR(__xludf.DUMMYFUNCTION("SUM(IMPORTRANGE(""https://docs.google.com/spreadsheets/d/1z0o91thOT38lgejTE_Bd2p3v_9VCDdQRkUsMIVqpQCk/edit"",""8!Q2:Q21""))"),3892.662)</f>
        <v>3892.6619999999998</v>
      </c>
      <c r="G195" s="18">
        <f ca="1">IFERROR(__xludf.DUMMYFUNCTION("IMPORTRANGE(""https://docs.google.com/spreadsheets/d/1z0o91thOT38lgejTE_Bd2p3v_9VCDdQRkUsMIVqpQCk/edit"",""8!e28"")"),1815)</f>
        <v>1815</v>
      </c>
      <c r="H195" s="18">
        <f ca="1">IFERROR(__xludf.DUMMYFUNCTION("IMPORTRANGE(""https://docs.google.com/spreadsheets/d/1z0o91thOT38lgejTE_Bd2p3v_9VCDdQRkUsMIVqpQCk/edit"",""8!e29"")"),0)</f>
        <v>0</v>
      </c>
      <c r="I195" s="18">
        <f t="shared" ref="I195:I212" ca="1" si="537">SUM(G195:H195)</f>
        <v>1815</v>
      </c>
      <c r="J195" s="18">
        <f ca="1">IFERROR(__xludf.DUMMYFUNCTION("IMPORTRANGE(""https://docs.google.com/spreadsheets/d/1z0o91thOT38lgejTE_Bd2p3v_9VCDdQRkUsMIVqpQCk/edit"",""8!e32"")"),2642)</f>
        <v>2642</v>
      </c>
      <c r="K195" s="18">
        <f ca="1">IFERROR(__xludf.DUMMYFUNCTION("IMPORTRANGE(""https://docs.google.com/spreadsheets/d/1z0o91thOT38lgejTE_Bd2p3v_9VCDdQRkUsMIVqpQCk/edit"",""8!e33"")"),0)</f>
        <v>0</v>
      </c>
      <c r="L195" s="18">
        <f t="shared" ref="L195:L201" ca="1" si="538">SUM(J195:K195)</f>
        <v>2642</v>
      </c>
      <c r="M195" s="18">
        <f t="shared" ref="M195:M212" ca="1" si="539">SUM(I195+L195)</f>
        <v>4457</v>
      </c>
      <c r="N195" s="19">
        <f t="shared" ref="N195:N213" ca="1" si="540">F195/E195</f>
        <v>194.63309999999998</v>
      </c>
      <c r="O195" s="16">
        <v>5161</v>
      </c>
      <c r="P195" s="20">
        <f t="shared" ref="P195:P213" ca="1" si="541">M195/O195</f>
        <v>0.86359232706839761</v>
      </c>
      <c r="Q195" s="21">
        <v>1.5</v>
      </c>
      <c r="R195" s="20">
        <f t="shared" ref="R195:R213" ca="1" si="542">S195/Q195</f>
        <v>0.76331655132999821</v>
      </c>
      <c r="S195" s="22">
        <f t="shared" ref="S195:S213" ca="1" si="543">M195/F195</f>
        <v>1.1449748269949973</v>
      </c>
      <c r="T195" s="21">
        <f ca="1">F195/14.415</f>
        <v>270.04245577523415</v>
      </c>
      <c r="U195" s="21">
        <f t="shared" ref="U195:U213" ca="1" si="544">T195/E195</f>
        <v>13.502122788761707</v>
      </c>
      <c r="V195" s="18">
        <f t="shared" ref="V195:V213" ca="1" si="545">M195/E195</f>
        <v>222.85</v>
      </c>
      <c r="W195" s="76"/>
      <c r="X195" s="8">
        <v>4</v>
      </c>
      <c r="Y195" s="8" t="s">
        <v>27</v>
      </c>
      <c r="Z195" s="8">
        <f t="shared" ref="Z195:AK195" si="546">SUM(D208)</f>
        <v>30</v>
      </c>
      <c r="AA195" s="9">
        <f t="shared" ca="1" si="546"/>
        <v>29</v>
      </c>
      <c r="AB195" s="10">
        <f t="shared" ca="1" si="546"/>
        <v>5245.9249999999902</v>
      </c>
      <c r="AC195" s="9">
        <f t="shared" ca="1" si="546"/>
        <v>1868</v>
      </c>
      <c r="AD195" s="9">
        <f t="shared" ca="1" si="546"/>
        <v>92</v>
      </c>
      <c r="AE195" s="9">
        <f t="shared" ca="1" si="546"/>
        <v>1960</v>
      </c>
      <c r="AF195" s="9">
        <f t="shared" ca="1" si="546"/>
        <v>2874</v>
      </c>
      <c r="AG195" s="9">
        <f t="shared" ca="1" si="546"/>
        <v>106</v>
      </c>
      <c r="AH195" s="9">
        <f t="shared" ca="1" si="546"/>
        <v>2980</v>
      </c>
      <c r="AI195" s="9">
        <f t="shared" ca="1" si="546"/>
        <v>4940</v>
      </c>
      <c r="AJ195" s="11">
        <f t="shared" ca="1" si="546"/>
        <v>180.89396551724104</v>
      </c>
      <c r="AK195" s="8">
        <f t="shared" si="546"/>
        <v>8101</v>
      </c>
      <c r="AL195" s="12">
        <f t="shared" ca="1" si="527"/>
        <v>0.60980125910381433</v>
      </c>
      <c r="AM195" s="13">
        <f>SUM(Q208)</f>
        <v>1.5</v>
      </c>
      <c r="AN195" s="12">
        <f t="shared" ca="1" si="529"/>
        <v>0.62778887104435144</v>
      </c>
      <c r="AO195" s="14">
        <f t="shared" ca="1" si="530"/>
        <v>0.94168330656652721</v>
      </c>
      <c r="AP195" s="13">
        <f t="shared" ref="AP195:AQ195" ca="1" si="547">SUM(T208)</f>
        <v>262.4931198398794</v>
      </c>
      <c r="AQ195" s="13">
        <f t="shared" ca="1" si="547"/>
        <v>9.0514868910303239</v>
      </c>
      <c r="AR195" s="9">
        <f t="shared" ca="1" si="532"/>
        <v>170.34482758620689</v>
      </c>
      <c r="AS195" s="76"/>
      <c r="AT195" s="76"/>
    </row>
    <row r="196" spans="1:46" ht="15.75" customHeight="1" x14ac:dyDescent="0.25">
      <c r="A196" s="70"/>
      <c r="B196" s="16">
        <v>2</v>
      </c>
      <c r="C196" s="16" t="s">
        <v>28</v>
      </c>
      <c r="D196" s="17">
        <v>33</v>
      </c>
      <c r="E196" s="18">
        <f ca="1">IFERROR(__xludf.DUMMYFUNCTION("COUNT(IMPORTRANGE(""https://docs.google.com/spreadsheets/d/10a85iNN0y9GF6ngQfF1JXGAzFk-T7ywH4-TZtQcOTaE/edit"",""8!d2:d34""))"),32)</f>
        <v>32</v>
      </c>
      <c r="F196" s="19">
        <f ca="1">IFERROR(__xludf.DUMMYFUNCTION("SUM(IMPORTRANGE(""https://docs.google.com/spreadsheets/d/10a85iNN0y9GF6ngQfF1JXGAzFk-T7ywH4-TZtQcOTaE/edit"",""8!Q2:Q34""))"),6281.65699999999)</f>
        <v>6281.6569999999901</v>
      </c>
      <c r="G196" s="18">
        <f ca="1">IFERROR(__xludf.DUMMYFUNCTION("IMPORTRANGE(""https://docs.google.com/spreadsheets/d/10a85iNN0y9GF6ngQfF1JXGAzFk-T7ywH4-TZtQcOTaE/edit"",""8!e41"")"),1938)</f>
        <v>1938</v>
      </c>
      <c r="H196" s="18">
        <f ca="1">IFERROR(__xludf.DUMMYFUNCTION("IMPORTRANGE(""https://docs.google.com/spreadsheets/d/10a85iNN0y9GF6ngQfF1JXGAzFk-T7ywH4-TZtQcOTaE/edit"",""8!e42"")"),142)</f>
        <v>142</v>
      </c>
      <c r="I196" s="18">
        <f t="shared" ca="1" si="537"/>
        <v>2080</v>
      </c>
      <c r="J196" s="18">
        <f ca="1">IFERROR(__xludf.DUMMYFUNCTION("IMPORTRANGE(""https://docs.google.com/spreadsheets/d/10a85iNN0y9GF6ngQfF1JXGAzFk-T7ywH4-TZtQcOTaE/edit"",""8!e45"")"),2553)</f>
        <v>2553</v>
      </c>
      <c r="K196" s="18">
        <f ca="1">IFERROR(__xludf.DUMMYFUNCTION("IMPORTRANGE(""https://docs.google.com/spreadsheets/d/10a85iNN0y9GF6ngQfF1JXGAzFk-T7ywH4-TZtQcOTaE/edit"",""8!e46"")"),273)</f>
        <v>273</v>
      </c>
      <c r="L196" s="18">
        <f t="shared" ca="1" si="538"/>
        <v>2826</v>
      </c>
      <c r="M196" s="18">
        <f t="shared" ca="1" si="539"/>
        <v>4906</v>
      </c>
      <c r="N196" s="19">
        <f t="shared" ca="1" si="540"/>
        <v>196.30178124999969</v>
      </c>
      <c r="O196" s="16">
        <v>7315</v>
      </c>
      <c r="P196" s="20">
        <f t="shared" ca="1" si="541"/>
        <v>0.67067669172932332</v>
      </c>
      <c r="Q196" s="21">
        <v>1.5</v>
      </c>
      <c r="R196" s="20">
        <f t="shared" ca="1" si="542"/>
        <v>0.52066941360642127</v>
      </c>
      <c r="S196" s="22">
        <f t="shared" ca="1" si="543"/>
        <v>0.78100412040963196</v>
      </c>
      <c r="T196" s="21">
        <f ca="1">F196/30.897</f>
        <v>203.3096093471855</v>
      </c>
      <c r="U196" s="21">
        <f t="shared" ca="1" si="544"/>
        <v>6.3534252920995469</v>
      </c>
      <c r="V196" s="18">
        <f t="shared" ca="1" si="545"/>
        <v>153.3125</v>
      </c>
      <c r="W196" s="76"/>
      <c r="X196" s="8">
        <v>5</v>
      </c>
      <c r="Y196" s="8" t="s">
        <v>29</v>
      </c>
      <c r="Z196" s="8">
        <f t="shared" ref="Z196:AI196" si="548">SUM(D211)</f>
        <v>30</v>
      </c>
      <c r="AA196" s="9">
        <f t="shared" ca="1" si="548"/>
        <v>29</v>
      </c>
      <c r="AB196" s="10">
        <f t="shared" ca="1" si="548"/>
        <v>5832.5119999999997</v>
      </c>
      <c r="AC196" s="9">
        <f t="shared" ca="1" si="548"/>
        <v>2425</v>
      </c>
      <c r="AD196" s="9">
        <f t="shared" ca="1" si="548"/>
        <v>0</v>
      </c>
      <c r="AE196" s="9">
        <f t="shared" ca="1" si="548"/>
        <v>2425</v>
      </c>
      <c r="AF196" s="9">
        <f t="shared" ca="1" si="548"/>
        <v>3165</v>
      </c>
      <c r="AG196" s="9">
        <f t="shared" ca="1" si="548"/>
        <v>0</v>
      </c>
      <c r="AH196" s="9">
        <f t="shared" ca="1" si="548"/>
        <v>3165</v>
      </c>
      <c r="AI196" s="9">
        <f t="shared" ca="1" si="548"/>
        <v>5590</v>
      </c>
      <c r="AJ196" s="11">
        <f t="shared" ref="AJ196:AJ198" ca="1" si="549">AB196/AA196</f>
        <v>201.12110344827585</v>
      </c>
      <c r="AK196" s="8">
        <f t="shared" ref="AK196:AK197" si="550">SUM(O211)</f>
        <v>9201</v>
      </c>
      <c r="AL196" s="12">
        <f t="shared" ca="1" si="527"/>
        <v>0.60754265840669497</v>
      </c>
      <c r="AM196" s="13">
        <f t="shared" ref="AM196:AM197" si="551">SUM(Q211)</f>
        <v>1.5</v>
      </c>
      <c r="AN196" s="12">
        <f t="shared" ca="1" si="529"/>
        <v>0.63894710660975351</v>
      </c>
      <c r="AO196" s="14">
        <f t="shared" ca="1" si="530"/>
        <v>0.95842065991463032</v>
      </c>
      <c r="AP196" s="13">
        <f t="shared" ref="AP196:AQ196" ca="1" si="552">SUM(T211)</f>
        <v>224</v>
      </c>
      <c r="AQ196" s="13">
        <f t="shared" ca="1" si="552"/>
        <v>7.7241379310344831</v>
      </c>
      <c r="AR196" s="9">
        <f t="shared" ca="1" si="532"/>
        <v>192.75862068965517</v>
      </c>
      <c r="AS196" s="76"/>
      <c r="AT196" s="76"/>
    </row>
    <row r="197" spans="1:46" ht="15.75" customHeight="1" x14ac:dyDescent="0.25">
      <c r="A197" s="70"/>
      <c r="B197" s="16">
        <v>3</v>
      </c>
      <c r="C197" s="16" t="s">
        <v>30</v>
      </c>
      <c r="D197" s="17">
        <v>60</v>
      </c>
      <c r="E197" s="18">
        <f ca="1">IFERROR(__xludf.DUMMYFUNCTION("COUNT(IMPORTRANGE(""https://docs.google.com/spreadsheets/d/1WojVzHhpzodJL1e5UDHeu3A3u5MTSZwvxHu0BrwvL9w/edit"",""8!d2:d61""))"),59)</f>
        <v>59</v>
      </c>
      <c r="F197" s="23">
        <f ca="1">IFERROR(__xludf.DUMMYFUNCTION("SUM(IMPORTRANGE(""https://docs.google.com/spreadsheets/d/1WojVzHhpzodJL1e5UDHeu3A3u5MTSZwvxHu0BrwvL9w/edit"",""8!Q2:Q61""))"),11460.5659999999)</f>
        <v>11460.565999999901</v>
      </c>
      <c r="G197" s="18">
        <f ca="1">IFERROR(__xludf.DUMMYFUNCTION("IMPORTRANGE(""https://docs.google.com/spreadsheets/d/1WojVzHhpzodJL1e5UDHeu3A3u5MTSZwvxHu0BrwvL9w/edit"",""8!e68"")"),3207)</f>
        <v>3207</v>
      </c>
      <c r="H197" s="18">
        <f ca="1">IFERROR(__xludf.DUMMYFUNCTION("IMPORTRANGE(""https://docs.google.com/spreadsheets/d/1WojVzHhpzodJL1e5UDHeu3A3u5MTSZwvxHu0BrwvL9w/edit"",""8!e69"")"),0)</f>
        <v>0</v>
      </c>
      <c r="I197" s="18">
        <f t="shared" ca="1" si="537"/>
        <v>3207</v>
      </c>
      <c r="J197" s="18">
        <f ca="1">IFERROR(__xludf.DUMMYFUNCTION("IMPORTRANGE(""https://docs.google.com/spreadsheets/d/1WojVzHhpzodJL1e5UDHeu3A3u5MTSZwvxHu0BrwvL9w/edit"",""8!e72"")"),3259)</f>
        <v>3259</v>
      </c>
      <c r="K197" s="18">
        <f ca="1">IFERROR(__xludf.DUMMYFUNCTION("IMPORTRANGE(""https://docs.google.com/spreadsheets/d/1WojVzHhpzodJL1e5UDHeu3A3u5MTSZwvxHu0BrwvL9w/edit"",""8!e73"")"),568)</f>
        <v>568</v>
      </c>
      <c r="L197" s="18">
        <f t="shared" ca="1" si="538"/>
        <v>3827</v>
      </c>
      <c r="M197" s="18">
        <f t="shared" ca="1" si="539"/>
        <v>7034</v>
      </c>
      <c r="N197" s="19">
        <f t="shared" ca="1" si="540"/>
        <v>194.24688135593053</v>
      </c>
      <c r="O197" s="16">
        <v>11164</v>
      </c>
      <c r="P197" s="20">
        <f t="shared" ca="1" si="541"/>
        <v>0.63006091006807596</v>
      </c>
      <c r="Q197" s="21">
        <v>1.5</v>
      </c>
      <c r="R197" s="20">
        <f t="shared" ca="1" si="542"/>
        <v>0.40917118171418182</v>
      </c>
      <c r="S197" s="22">
        <f t="shared" ca="1" si="543"/>
        <v>0.6137567725712727</v>
      </c>
      <c r="T197" s="21">
        <f ca="1">F197/29.603</f>
        <v>387.14204641421139</v>
      </c>
      <c r="U197" s="21">
        <f t="shared" ca="1" si="544"/>
        <v>6.5617296002408709</v>
      </c>
      <c r="V197" s="18">
        <f t="shared" ca="1" si="545"/>
        <v>119.22033898305085</v>
      </c>
      <c r="W197" s="76"/>
      <c r="X197" s="8">
        <v>6</v>
      </c>
      <c r="Y197" s="8" t="s">
        <v>31</v>
      </c>
      <c r="Z197" s="8">
        <f t="shared" ref="Z197:AI197" si="553">SUM(D212)</f>
        <v>15</v>
      </c>
      <c r="AA197" s="9">
        <f t="shared" ca="1" si="553"/>
        <v>15</v>
      </c>
      <c r="AB197" s="11">
        <f t="shared" ca="1" si="553"/>
        <v>2999.085</v>
      </c>
      <c r="AC197" s="9">
        <f t="shared" ca="1" si="553"/>
        <v>943</v>
      </c>
      <c r="AD197" s="9">
        <f t="shared" ca="1" si="553"/>
        <v>47</v>
      </c>
      <c r="AE197" s="9">
        <f t="shared" ca="1" si="553"/>
        <v>990</v>
      </c>
      <c r="AF197" s="9">
        <f t="shared" ca="1" si="553"/>
        <v>1071</v>
      </c>
      <c r="AG197" s="9">
        <f t="shared" ca="1" si="553"/>
        <v>0</v>
      </c>
      <c r="AH197" s="9">
        <f t="shared" ca="1" si="553"/>
        <v>1071</v>
      </c>
      <c r="AI197" s="9">
        <f t="shared" ca="1" si="553"/>
        <v>2061</v>
      </c>
      <c r="AJ197" s="11">
        <f t="shared" ca="1" si="549"/>
        <v>199.93899999999999</v>
      </c>
      <c r="AK197" s="8">
        <f t="shared" si="550"/>
        <v>2717</v>
      </c>
      <c r="AL197" s="12">
        <f t="shared" ca="1" si="527"/>
        <v>0.75855723224144278</v>
      </c>
      <c r="AM197" s="13">
        <f t="shared" si="551"/>
        <v>1.5</v>
      </c>
      <c r="AN197" s="12">
        <f t="shared" ca="1" si="529"/>
        <v>0.45813973261844865</v>
      </c>
      <c r="AO197" s="14">
        <f t="shared" ca="1" si="530"/>
        <v>0.68720959892767297</v>
      </c>
      <c r="AP197" s="13">
        <f t="shared" ref="AP197:AQ197" ca="1" si="554">SUM(T212)</f>
        <v>69</v>
      </c>
      <c r="AQ197" s="13">
        <f t="shared" ca="1" si="554"/>
        <v>4.5999999999999996</v>
      </c>
      <c r="AR197" s="9">
        <f t="shared" ca="1" si="532"/>
        <v>137.4</v>
      </c>
      <c r="AS197" s="76"/>
      <c r="AT197" s="76"/>
    </row>
    <row r="198" spans="1:46" ht="15.75" customHeight="1" x14ac:dyDescent="0.25">
      <c r="A198" s="70"/>
      <c r="B198" s="16">
        <v>4</v>
      </c>
      <c r="C198" s="16" t="s">
        <v>32</v>
      </c>
      <c r="D198" s="17">
        <v>42</v>
      </c>
      <c r="E198" s="18">
        <f ca="1">IFERROR(__xludf.DUMMYFUNCTION("COUNT(IMPORTRANGE(""https://docs.google.com/spreadsheets/d/1vmCj5YcMSPHj1m64syDndQ6cqVL3yolcU03Y8KHmvdc/edit"",""8!d2:d43""))"),42)</f>
        <v>42</v>
      </c>
      <c r="F198" s="23">
        <f ca="1">IFERROR(__xludf.DUMMYFUNCTION("SUM(IMPORTRANGE(""https://docs.google.com/spreadsheets/d/1vmCj5YcMSPHj1m64syDndQ6cqVL3yolcU03Y8KHmvdc/edit"",""8!Q2:Q43""))"),8338.86899999999)</f>
        <v>8338.8689999999897</v>
      </c>
      <c r="G198" s="16">
        <f ca="1">IFERROR(__xludf.DUMMYFUNCTION("IMPORTRANGE(""https://docs.google.com/spreadsheets/d/1vmCj5YcMSPHj1m64syDndQ6cqVL3yolcU03Y8KHmvdc/edit"",""8!e50"")"),4406)</f>
        <v>4406</v>
      </c>
      <c r="H198" s="16">
        <f ca="1">IFERROR(__xludf.DUMMYFUNCTION("IMPORTRANGE(""https://docs.google.com/spreadsheets/d/1vmCj5YcMSPHj1m64syDndQ6cqVL3yolcU03Y8KHmvdc/edit"",""8!e51"")"),57)</f>
        <v>57</v>
      </c>
      <c r="I198" s="18">
        <f t="shared" ca="1" si="537"/>
        <v>4463</v>
      </c>
      <c r="J198" s="16">
        <f ca="1">IFERROR(__xludf.DUMMYFUNCTION("IMPORTRANGE(""https://docs.google.com/spreadsheets/d/1vmCj5YcMSPHj1m64syDndQ6cqVL3yolcU03Y8KHmvdc/edit"",""8!e54"")"),4961)</f>
        <v>4961</v>
      </c>
      <c r="K198" s="16">
        <f ca="1">IFERROR(__xludf.DUMMYFUNCTION("IMPORTRANGE(""https://docs.google.com/spreadsheets/d/1vmCj5YcMSPHj1m64syDndQ6cqVL3yolcU03Y8KHmvdc/edit"",""8!e55"")"),0)</f>
        <v>0</v>
      </c>
      <c r="L198" s="18">
        <f t="shared" ca="1" si="538"/>
        <v>4961</v>
      </c>
      <c r="M198" s="18">
        <f t="shared" ca="1" si="539"/>
        <v>9424</v>
      </c>
      <c r="N198" s="19">
        <f t="shared" ca="1" si="540"/>
        <v>198.54449999999974</v>
      </c>
      <c r="O198" s="16">
        <v>13817</v>
      </c>
      <c r="P198" s="20">
        <f t="shared" ca="1" si="541"/>
        <v>0.6820583339364551</v>
      </c>
      <c r="Q198" s="21">
        <v>1.5</v>
      </c>
      <c r="R198" s="20">
        <f t="shared" ca="1" si="542"/>
        <v>0.75341951848226352</v>
      </c>
      <c r="S198" s="22">
        <f t="shared" ca="1" si="543"/>
        <v>1.1301292777233953</v>
      </c>
      <c r="T198" s="21">
        <f ca="1">F198/25.089</f>
        <v>332.37151739806251</v>
      </c>
      <c r="U198" s="21">
        <f t="shared" ca="1" si="544"/>
        <v>7.9136075570967268</v>
      </c>
      <c r="V198" s="18">
        <f t="shared" ca="1" si="545"/>
        <v>224.38095238095238</v>
      </c>
      <c r="W198" s="76"/>
      <c r="X198" s="24" t="s">
        <v>33</v>
      </c>
      <c r="Y198" s="24">
        <v>6</v>
      </c>
      <c r="Z198" s="24">
        <f t="shared" ref="Z198:AI198" si="555">SUM(Z192:Z197)</f>
        <v>186</v>
      </c>
      <c r="AA198" s="25">
        <f t="shared" ca="1" si="555"/>
        <v>180</v>
      </c>
      <c r="AB198" s="26">
        <f t="shared" ca="1" si="555"/>
        <v>34078.374999999971</v>
      </c>
      <c r="AC198" s="25">
        <f t="shared" ca="1" si="555"/>
        <v>10114</v>
      </c>
      <c r="AD198" s="25">
        <f t="shared" ca="1" si="555"/>
        <v>581</v>
      </c>
      <c r="AE198" s="25">
        <f t="shared" ca="1" si="555"/>
        <v>10695</v>
      </c>
      <c r="AF198" s="25">
        <f t="shared" ca="1" si="555"/>
        <v>14026</v>
      </c>
      <c r="AG198" s="25">
        <f t="shared" ca="1" si="555"/>
        <v>605</v>
      </c>
      <c r="AH198" s="25">
        <f t="shared" ca="1" si="555"/>
        <v>14631</v>
      </c>
      <c r="AI198" s="25">
        <f t="shared" ca="1" si="555"/>
        <v>25326</v>
      </c>
      <c r="AJ198" s="27">
        <f t="shared" ca="1" si="549"/>
        <v>189.32430555555538</v>
      </c>
      <c r="AK198" s="24">
        <f>SUM(AK192:AK197)</f>
        <v>35074</v>
      </c>
      <c r="AL198" s="28">
        <f t="shared" ca="1" si="527"/>
        <v>0.72207333067229285</v>
      </c>
      <c r="AM198" s="29">
        <v>1.5</v>
      </c>
      <c r="AN198" s="28">
        <f t="shared" ca="1" si="529"/>
        <v>0.4954461590378067</v>
      </c>
      <c r="AO198" s="30">
        <f t="shared" ca="1" si="530"/>
        <v>0.74316923855671002</v>
      </c>
      <c r="AP198" s="29">
        <f ca="1">SUM(AP192:AP197)</f>
        <v>1278.292928456422</v>
      </c>
      <c r="AQ198" s="29">
        <f ca="1">AP198/AA198</f>
        <v>7.101627380313456</v>
      </c>
      <c r="AR198" s="25">
        <f t="shared" ca="1" si="532"/>
        <v>140.69999999999999</v>
      </c>
      <c r="AS198" s="76"/>
      <c r="AT198" s="76"/>
    </row>
    <row r="199" spans="1:46" ht="15.75" customHeight="1" x14ac:dyDescent="0.25">
      <c r="A199" s="70"/>
      <c r="B199" s="16">
        <v>5</v>
      </c>
      <c r="C199" s="16" t="s">
        <v>34</v>
      </c>
      <c r="D199" s="17">
        <v>40</v>
      </c>
      <c r="E199" s="18">
        <f ca="1">IFERROR(__xludf.DUMMYFUNCTION("COUNT(IMPORTRANGE(""https://docs.google.com/spreadsheets/d/14_Y-fpuq1wcec3DlT_1PBYekOC0YblQMrWVfO12YO3k/edit"",""8!d2:d41""))"),37)</f>
        <v>37</v>
      </c>
      <c r="F199" s="23">
        <f ca="1">IFERROR(__xludf.DUMMYFUNCTION("SUM(IMPORTRANGE(""https://docs.google.com/spreadsheets/d/14_Y-fpuq1wcec3DlT_1PBYekOC0YblQMrWVfO12YO3k/edit"",""8!Q2:Q41""))"),7143.444)</f>
        <v>7143.4440000000004</v>
      </c>
      <c r="G199" s="18">
        <f ca="1">IFERROR(__xludf.DUMMYFUNCTION("IMPORTRANGE(""https://docs.google.com/spreadsheets/d/14_Y-fpuq1wcec3DlT_1PBYekOC0YblQMrWVfO12YO3k/edit"",""8!e48"")"),2343)</f>
        <v>2343</v>
      </c>
      <c r="H199" s="18">
        <f ca="1">IFERROR(__xludf.DUMMYFUNCTION("IMPORTRANGE(""https://docs.google.com/spreadsheets/d/14_Y-fpuq1wcec3DlT_1PBYekOC0YblQMrWVfO12YO3k/edit"",""8!e49"")"),0)</f>
        <v>0</v>
      </c>
      <c r="I199" s="18">
        <f t="shared" ca="1" si="537"/>
        <v>2343</v>
      </c>
      <c r="J199" s="18">
        <f ca="1">IFERROR(__xludf.DUMMYFUNCTION("IMPORTRANGE(""https://docs.google.com/spreadsheets/d/14_Y-fpuq1wcec3DlT_1PBYekOC0YblQMrWVfO12YO3k/edit"",""8!e52"")"),2726)</f>
        <v>2726</v>
      </c>
      <c r="K199" s="18">
        <f ca="1">IFERROR(__xludf.DUMMYFUNCTION("IMPORTRANGE(""https://docs.google.com/spreadsheets/d/14_Y-fpuq1wcec3DlT_1PBYekOC0YblQMrWVfO12YO3k/edit"",""8!e53"")"),0)</f>
        <v>0</v>
      </c>
      <c r="L199" s="18">
        <f t="shared" ca="1" si="538"/>
        <v>2726</v>
      </c>
      <c r="M199" s="18">
        <f t="shared" ca="1" si="539"/>
        <v>5069</v>
      </c>
      <c r="N199" s="19">
        <f t="shared" ca="1" si="540"/>
        <v>193.06605405405406</v>
      </c>
      <c r="O199" s="16">
        <v>9354</v>
      </c>
      <c r="P199" s="20">
        <f t="shared" ca="1" si="541"/>
        <v>0.54190720547359417</v>
      </c>
      <c r="Q199" s="21">
        <v>1.5</v>
      </c>
      <c r="R199" s="20">
        <f t="shared" ca="1" si="542"/>
        <v>0.47306779941626659</v>
      </c>
      <c r="S199" s="22">
        <f t="shared" ca="1" si="543"/>
        <v>0.70960169912439985</v>
      </c>
      <c r="T199" s="21">
        <f ca="1">F199/30.713</f>
        <v>232.58698271090418</v>
      </c>
      <c r="U199" s="21">
        <f t="shared" ca="1" si="544"/>
        <v>6.2861346678622754</v>
      </c>
      <c r="V199" s="18">
        <f t="shared" ca="1" si="545"/>
        <v>137</v>
      </c>
      <c r="W199" s="76"/>
      <c r="X199" s="100" t="s">
        <v>35</v>
      </c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9"/>
      <c r="AS199" s="76"/>
      <c r="AT199" s="76"/>
    </row>
    <row r="200" spans="1:46" ht="15.75" customHeight="1" x14ac:dyDescent="0.25">
      <c r="A200" s="70"/>
      <c r="B200" s="16">
        <v>6</v>
      </c>
      <c r="C200" s="16" t="s">
        <v>23</v>
      </c>
      <c r="D200" s="17">
        <v>35</v>
      </c>
      <c r="E200" s="18">
        <f ca="1">IFERROR(__xludf.DUMMYFUNCTION("COUNT(IMPORTRANGE(""https://docs.google.com/spreadsheets/d/1lJqjdj05V4LOXuBOiTdE65GV4ZITyx1cMLcDdcuoUnE/edit"",""8!d2:d36""))"),34)</f>
        <v>34</v>
      </c>
      <c r="F200" s="23">
        <f ca="1">IFERROR(__xludf.DUMMYFUNCTION("SUM(IMPORTRANGE(""https://docs.google.com/spreadsheets/d/1lJqjdj05V4LOXuBOiTdE65GV4ZITyx1cMLcDdcuoUnE/edit"",""8!Q2:Q36""))"),6646.77999999999)</f>
        <v>6646.7799999999897</v>
      </c>
      <c r="G200" s="18">
        <f ca="1">IFERROR(__xludf.DUMMYFUNCTION("IMPORTRANGE(""https://docs.google.com/spreadsheets/d/1lJqjdj05V4LOXuBOiTdE65GV4ZITyx1cMLcDdcuoUnE/edit"",""8!e43"")"),1755)</f>
        <v>1755</v>
      </c>
      <c r="H200" s="18">
        <f ca="1">IFERROR(__xludf.DUMMYFUNCTION("IMPORTRANGE(""https://docs.google.com/spreadsheets/d/1lJqjdj05V4LOXuBOiTdE65GV4ZITyx1cMLcDdcuoUnE/edit"",""8!e44"")"),0)</f>
        <v>0</v>
      </c>
      <c r="I200" s="18">
        <f t="shared" ca="1" si="537"/>
        <v>1755</v>
      </c>
      <c r="J200" s="18">
        <f ca="1">IFERROR(__xludf.DUMMYFUNCTION("IMPORTRANGE(""https://docs.google.com/spreadsheets/d/1lJqjdj05V4LOXuBOiTdE65GV4ZITyx1cMLcDdcuoUnE/edit"",""8!e47"")"),2818)</f>
        <v>2818</v>
      </c>
      <c r="K200" s="18">
        <f ca="1">IFERROR(__xludf.DUMMYFUNCTION("IMPORTRANGE(""https://docs.google.com/spreadsheets/d/1lJqjdj05V4LOXuBOiTdE65GV4ZITyx1cMLcDdcuoUnE/edit"",""8!e48"")"),101)</f>
        <v>101</v>
      </c>
      <c r="L200" s="18">
        <f t="shared" ca="1" si="538"/>
        <v>2919</v>
      </c>
      <c r="M200" s="18">
        <f t="shared" ca="1" si="539"/>
        <v>4674</v>
      </c>
      <c r="N200" s="19">
        <f t="shared" ca="1" si="540"/>
        <v>195.4935294117644</v>
      </c>
      <c r="O200" s="16">
        <v>6853</v>
      </c>
      <c r="P200" s="20">
        <f t="shared" ca="1" si="541"/>
        <v>0.68203706405953601</v>
      </c>
      <c r="Q200" s="21">
        <v>1.5</v>
      </c>
      <c r="R200" s="20">
        <f t="shared" ca="1" si="542"/>
        <v>0.46879842570387537</v>
      </c>
      <c r="S200" s="22">
        <f t="shared" ca="1" si="543"/>
        <v>0.70319763855581308</v>
      </c>
      <c r="T200" s="21">
        <f ca="1">F200/33.74</f>
        <v>196.99999999999969</v>
      </c>
      <c r="U200" s="21">
        <f t="shared" ca="1" si="544"/>
        <v>5.7941176470588145</v>
      </c>
      <c r="V200" s="18">
        <f t="shared" ca="1" si="545"/>
        <v>137.47058823529412</v>
      </c>
      <c r="W200" s="76"/>
      <c r="X200" s="1" t="s">
        <v>2</v>
      </c>
      <c r="Y200" s="1" t="s">
        <v>3</v>
      </c>
      <c r="Z200" s="1" t="s">
        <v>4</v>
      </c>
      <c r="AA200" s="1" t="s">
        <v>5</v>
      </c>
      <c r="AB200" s="2" t="s">
        <v>6</v>
      </c>
      <c r="AC200" s="1" t="s">
        <v>7</v>
      </c>
      <c r="AD200" s="1" t="s">
        <v>8</v>
      </c>
      <c r="AE200" s="1" t="s">
        <v>9</v>
      </c>
      <c r="AF200" s="1" t="s">
        <v>10</v>
      </c>
      <c r="AG200" s="1" t="s">
        <v>11</v>
      </c>
      <c r="AH200" s="1" t="s">
        <v>12</v>
      </c>
      <c r="AI200" s="1" t="s">
        <v>13</v>
      </c>
      <c r="AJ200" s="2" t="s">
        <v>14</v>
      </c>
      <c r="AK200" s="1" t="s">
        <v>15</v>
      </c>
      <c r="AL200" s="1" t="s">
        <v>16</v>
      </c>
      <c r="AM200" s="3" t="s">
        <v>17</v>
      </c>
      <c r="AN200" s="4" t="s">
        <v>18</v>
      </c>
      <c r="AO200" s="5" t="s">
        <v>19</v>
      </c>
      <c r="AP200" s="6" t="s">
        <v>20</v>
      </c>
      <c r="AQ200" s="6" t="s">
        <v>21</v>
      </c>
      <c r="AR200" s="7" t="s">
        <v>22</v>
      </c>
      <c r="AS200" s="76"/>
      <c r="AT200" s="76"/>
    </row>
    <row r="201" spans="1:46" ht="15.75" customHeight="1" x14ac:dyDescent="0.25">
      <c r="A201" s="70"/>
      <c r="B201" s="16">
        <v>7</v>
      </c>
      <c r="C201" s="16" t="s">
        <v>24</v>
      </c>
      <c r="D201" s="17">
        <v>44</v>
      </c>
      <c r="E201" s="31">
        <f ca="1">IFERROR(__xludf.DUMMYFUNCTION("COUNT(IMPORTRANGE(""https://docs.google.com/spreadsheets/d/1_7EEO26q9Yq-XhNFiy7I6Zh4Yg6uGjTs9y0UqNvPKcQ/edit"",""8!d2:d45""))"),43)</f>
        <v>43</v>
      </c>
      <c r="F201" s="32">
        <f ca="1">IFERROR(__xludf.DUMMYFUNCTION("SUM(IMPORTRANGE(""https://docs.google.com/spreadsheets/d/1_7EEO26q9Yq-XhNFiy7I6Zh4Yg6uGjTs9y0UqNvPKcQ/edit"",""8!Q2:Q45""))"),7404.19699999999)</f>
        <v>7404.1969999999901</v>
      </c>
      <c r="G201" s="31">
        <f ca="1">IFERROR(__xludf.DUMMYFUNCTION("IMPORTRANGE(""https://docs.google.com/spreadsheets/d/1_7EEO26q9Yq-XhNFiy7I6Zh4Yg6uGjTs9y0UqNvPKcQ/edit"",""8!e53"")"),964)</f>
        <v>964</v>
      </c>
      <c r="H201" s="31">
        <f ca="1">IFERROR(__xludf.DUMMYFUNCTION("IMPORTRANGE(""https://docs.google.com/spreadsheets/d/1_7EEO26q9Yq-XhNFiy7I6Zh4Yg6uGjTs9y0UqNvPKcQ/edit"",""8!e54"")"),0)</f>
        <v>0</v>
      </c>
      <c r="I201" s="31">
        <f t="shared" ca="1" si="537"/>
        <v>964</v>
      </c>
      <c r="J201" s="31">
        <f ca="1">IFERROR(__xludf.DUMMYFUNCTION("IMPORTRANGE(""https://docs.google.com/spreadsheets/d/1_7EEO26q9Yq-XhNFiy7I6Zh4Yg6uGjTs9y0UqNvPKcQ/edit"",""8!e57"")"),1257)</f>
        <v>1257</v>
      </c>
      <c r="K201" s="31">
        <f ca="1">IFERROR(__xludf.DUMMYFUNCTION("IMPORTRANGE(""https://docs.google.com/spreadsheets/d/1_7EEO26q9Yq-XhNFiy7I6Zh4Yg6uGjTs9y0UqNvPKcQ/edit"",""8!e58"")"),0)</f>
        <v>0</v>
      </c>
      <c r="L201" s="18">
        <f t="shared" ca="1" si="538"/>
        <v>1257</v>
      </c>
      <c r="M201" s="18">
        <f t="shared" ca="1" si="539"/>
        <v>2221</v>
      </c>
      <c r="N201" s="19">
        <f t="shared" ca="1" si="540"/>
        <v>172.19062790697652</v>
      </c>
      <c r="O201" s="16">
        <v>1580</v>
      </c>
      <c r="P201" s="33">
        <f t="shared" ca="1" si="541"/>
        <v>1.4056962025316455</v>
      </c>
      <c r="Q201" s="21">
        <v>1.5</v>
      </c>
      <c r="R201" s="20">
        <f t="shared" ca="1" si="542"/>
        <v>0.19997667088904694</v>
      </c>
      <c r="S201" s="22">
        <f t="shared" ca="1" si="543"/>
        <v>0.29996500633357043</v>
      </c>
      <c r="T201" s="21">
        <f ca="1">F201/26.805</f>
        <v>276.22447304607311</v>
      </c>
      <c r="U201" s="21">
        <f t="shared" ca="1" si="544"/>
        <v>6.4238249545598398</v>
      </c>
      <c r="V201" s="18">
        <f t="shared" ca="1" si="545"/>
        <v>51.651162790697676</v>
      </c>
      <c r="W201" s="76"/>
      <c r="X201" s="8">
        <v>1</v>
      </c>
      <c r="Y201" s="8" t="s">
        <v>28</v>
      </c>
      <c r="Z201" s="8">
        <f t="shared" ref="Z201:AI201" si="556">SUM(D196)</f>
        <v>33</v>
      </c>
      <c r="AA201" s="9">
        <f t="shared" ca="1" si="556"/>
        <v>32</v>
      </c>
      <c r="AB201" s="11">
        <f t="shared" ca="1" si="556"/>
        <v>6281.6569999999901</v>
      </c>
      <c r="AC201" s="9">
        <f t="shared" ca="1" si="556"/>
        <v>1938</v>
      </c>
      <c r="AD201" s="9">
        <f t="shared" ca="1" si="556"/>
        <v>142</v>
      </c>
      <c r="AE201" s="9">
        <f t="shared" ca="1" si="556"/>
        <v>2080</v>
      </c>
      <c r="AF201" s="9">
        <f t="shared" ca="1" si="556"/>
        <v>2553</v>
      </c>
      <c r="AG201" s="9">
        <f t="shared" ca="1" si="556"/>
        <v>273</v>
      </c>
      <c r="AH201" s="9">
        <f t="shared" ca="1" si="556"/>
        <v>2826</v>
      </c>
      <c r="AI201" s="9">
        <f t="shared" ca="1" si="556"/>
        <v>4906</v>
      </c>
      <c r="AJ201" s="11">
        <f t="shared" ref="AJ201:AJ207" ca="1" si="557">AB201/AA201</f>
        <v>196.30178124999969</v>
      </c>
      <c r="AK201" s="8">
        <f t="shared" ref="AK201:AK202" si="558">SUM(O196)</f>
        <v>7315</v>
      </c>
      <c r="AL201" s="12">
        <f t="shared" ref="AL201:AL207" ca="1" si="559">AI201/AK201</f>
        <v>0.67067669172932332</v>
      </c>
      <c r="AM201" s="13">
        <f t="shared" ref="AM201:AM202" si="560">SUM(Q196)</f>
        <v>1.5</v>
      </c>
      <c r="AN201" s="12">
        <f t="shared" ref="AN201:AN207" ca="1" si="561">AO201/AM201</f>
        <v>0.52066941360642127</v>
      </c>
      <c r="AO201" s="14">
        <f t="shared" ref="AO201:AO207" ca="1" si="562">AI201/AB201</f>
        <v>0.78100412040963196</v>
      </c>
      <c r="AP201" s="13">
        <f t="shared" ref="AP201:AQ201" ca="1" si="563">SUM(T196)</f>
        <v>203.3096093471855</v>
      </c>
      <c r="AQ201" s="13">
        <f t="shared" ca="1" si="563"/>
        <v>6.3534252920995469</v>
      </c>
      <c r="AR201" s="9">
        <f t="shared" ref="AR201:AR207" ca="1" si="564">AI201/AA201</f>
        <v>153.3125</v>
      </c>
      <c r="AS201" s="76"/>
      <c r="AT201" s="76"/>
    </row>
    <row r="202" spans="1:46" ht="15.75" customHeight="1" x14ac:dyDescent="0.25">
      <c r="A202" s="70"/>
      <c r="B202" s="16">
        <v>8</v>
      </c>
      <c r="C202" s="16" t="s">
        <v>25</v>
      </c>
      <c r="D202" s="34">
        <v>32</v>
      </c>
      <c r="E202" s="18">
        <f ca="1">IFERROR(__xludf.DUMMYFUNCTION("COUNT(IMPORTRANGE(""https://docs.google.com/spreadsheets/d/1vLOLpiE-XsbnCnwWPcoi87PlUSXfqIAAQn3kvqHfO6s/edit"",""8!d2:D33""))"),30)</f>
        <v>30</v>
      </c>
      <c r="F202" s="23">
        <f ca="1">IFERROR(__xludf.DUMMYFUNCTION("SUM(IMPORTRANGE(""https://docs.google.com/spreadsheets/d/1vLOLpiE-XsbnCnwWPcoi87PlUSXfqIAAQn3kvqHfO6s/edit"",""8!Q2:Q33""))"),5949.876)</f>
        <v>5949.8760000000002</v>
      </c>
      <c r="G202" s="18">
        <f ca="1">IFERROR(__xludf.DUMMYFUNCTION("IMPORTRANGE(""https://docs.google.com/spreadsheets/d/1vLOLpiE-XsbnCnwWPcoi87PlUSXfqIAAQn3kvqHfO6s/edit"",""8!e40"")"),2159)</f>
        <v>2159</v>
      </c>
      <c r="H202" s="18">
        <f ca="1">IFERROR(__xludf.DUMMYFUNCTION("IMPORTRANGE(""https://docs.google.com/spreadsheets/d/1vLOLpiE-XsbnCnwWPcoi87PlUSXfqIAAQn3kvqHfO6s/edit"",""8!e41"")"),442)</f>
        <v>442</v>
      </c>
      <c r="I202" s="18">
        <f t="shared" ca="1" si="537"/>
        <v>2601</v>
      </c>
      <c r="J202" s="18">
        <f ca="1">IFERROR(__xludf.DUMMYFUNCTION("IMPORTRANGE(""https://docs.google.com/spreadsheets/d/1vLOLpiE-XsbnCnwWPcoi87PlUSXfqIAAQn3kvqHfO6s/edit"",""8!e44"")"),2841)</f>
        <v>2841</v>
      </c>
      <c r="K202" s="18">
        <f ca="1">IFERROR(__xludf.DUMMYFUNCTION("IMPORTRANGE(""https://docs.google.com/spreadsheets/d/1vLOLpiE-XsbnCnwWPcoi87PlUSXfqIAAQn3kvqHfO6s/edit"",""8!e45"")"),398)</f>
        <v>398</v>
      </c>
      <c r="L202" s="18">
        <f ca="1">J202+K202</f>
        <v>3239</v>
      </c>
      <c r="M202" s="18">
        <f t="shared" ca="1" si="539"/>
        <v>5840</v>
      </c>
      <c r="N202" s="19">
        <f t="shared" ca="1" si="540"/>
        <v>198.32920000000001</v>
      </c>
      <c r="O202" s="16">
        <v>6622</v>
      </c>
      <c r="P202" s="20">
        <f t="shared" ca="1" si="541"/>
        <v>0.88190878888553303</v>
      </c>
      <c r="Q202" s="21">
        <v>1.5</v>
      </c>
      <c r="R202" s="20">
        <f t="shared" ca="1" si="542"/>
        <v>0.6543553736806168</v>
      </c>
      <c r="S202" s="22">
        <f t="shared" ca="1" si="543"/>
        <v>0.98153306052092515</v>
      </c>
      <c r="T202" s="21">
        <f ca="1">F202/23.84</f>
        <v>249.5753355704698</v>
      </c>
      <c r="U202" s="21">
        <f t="shared" ca="1" si="544"/>
        <v>8.319177852348993</v>
      </c>
      <c r="V202" s="18">
        <f t="shared" ca="1" si="545"/>
        <v>194.66666666666666</v>
      </c>
      <c r="W202" s="76"/>
      <c r="X202" s="8">
        <v>2</v>
      </c>
      <c r="Y202" s="8" t="s">
        <v>30</v>
      </c>
      <c r="Z202" s="8">
        <f t="shared" ref="Z202:AI202" si="565">SUM(D197)</f>
        <v>60</v>
      </c>
      <c r="AA202" s="9">
        <f t="shared" ca="1" si="565"/>
        <v>59</v>
      </c>
      <c r="AB202" s="10">
        <f t="shared" ca="1" si="565"/>
        <v>11460.565999999901</v>
      </c>
      <c r="AC202" s="9">
        <f t="shared" ca="1" si="565"/>
        <v>3207</v>
      </c>
      <c r="AD202" s="9">
        <f t="shared" ca="1" si="565"/>
        <v>0</v>
      </c>
      <c r="AE202" s="9">
        <f t="shared" ca="1" si="565"/>
        <v>3207</v>
      </c>
      <c r="AF202" s="9">
        <f t="shared" ca="1" si="565"/>
        <v>3259</v>
      </c>
      <c r="AG202" s="9">
        <f t="shared" ca="1" si="565"/>
        <v>568</v>
      </c>
      <c r="AH202" s="9">
        <f t="shared" ca="1" si="565"/>
        <v>3827</v>
      </c>
      <c r="AI202" s="9">
        <f t="shared" ca="1" si="565"/>
        <v>7034</v>
      </c>
      <c r="AJ202" s="11">
        <f t="shared" ca="1" si="557"/>
        <v>194.24688135593053</v>
      </c>
      <c r="AK202" s="8">
        <f t="shared" si="558"/>
        <v>11164</v>
      </c>
      <c r="AL202" s="12">
        <f t="shared" ca="1" si="559"/>
        <v>0.63006091006807596</v>
      </c>
      <c r="AM202" s="13">
        <f t="shared" si="560"/>
        <v>1.5</v>
      </c>
      <c r="AN202" s="12">
        <f t="shared" ca="1" si="561"/>
        <v>0.40917118171418182</v>
      </c>
      <c r="AO202" s="14">
        <f t="shared" ca="1" si="562"/>
        <v>0.6137567725712727</v>
      </c>
      <c r="AP202" s="13">
        <f t="shared" ref="AP202:AQ202" ca="1" si="566">SUM(T197)</f>
        <v>387.14204641421139</v>
      </c>
      <c r="AQ202" s="13">
        <f t="shared" ca="1" si="566"/>
        <v>6.5617296002408709</v>
      </c>
      <c r="AR202" s="9">
        <f t="shared" ca="1" si="564"/>
        <v>119.22033898305085</v>
      </c>
      <c r="AS202" s="76"/>
      <c r="AT202" s="76"/>
    </row>
    <row r="203" spans="1:46" ht="15.75" customHeight="1" x14ac:dyDescent="0.25">
      <c r="A203" s="70"/>
      <c r="B203" s="16">
        <v>9</v>
      </c>
      <c r="C203" s="16" t="s">
        <v>36</v>
      </c>
      <c r="D203" s="34">
        <v>24</v>
      </c>
      <c r="E203" s="18">
        <f ca="1">IFERROR(__xludf.DUMMYFUNCTION("COUNT(IMPORTRANGE(""https://docs.google.com/spreadsheets/d/1WJJVq25XDtGjt-J2JPxeKs3jIvDZtkIREC0lFPXwf74/edit"",""8!d2:d31""))"),24)</f>
        <v>24</v>
      </c>
      <c r="F203" s="23">
        <f ca="1">IFERROR(__xludf.DUMMYFUNCTION("SUM(IMPORTRANGE(""https://docs.google.com/spreadsheets/d/1WJJVq25XDtGjt-J2JPxeKs3jIvDZtkIREC0lFPXwf74/edit"",""8!Q2:Q31""))"),4782.60799999999)</f>
        <v>4782.6079999999902</v>
      </c>
      <c r="G203" s="18">
        <f ca="1">IFERROR(__xludf.DUMMYFUNCTION("IMPORTRANGE(""https://docs.google.com/spreadsheets/d/1WJJVq25XDtGjt-J2JPxeKs3jIvDZtkIREC0lFPXwf74/edit"",""8!e38"")"),1329)</f>
        <v>1329</v>
      </c>
      <c r="H203" s="18">
        <f ca="1">IFERROR(__xludf.DUMMYFUNCTION("IMPORTRANGE(""https://docs.google.com/spreadsheets/d/1WJJVq25XDtGjt-J2JPxeKs3jIvDZtkIREC0lFPXwf74/edit"",""8!e39"")"),0)</f>
        <v>0</v>
      </c>
      <c r="I203" s="18">
        <f t="shared" ca="1" si="537"/>
        <v>1329</v>
      </c>
      <c r="J203" s="18">
        <f ca="1">IFERROR(__xludf.DUMMYFUNCTION("IMPORTRANGE(""https://docs.google.com/spreadsheets/d/1WJJVq25XDtGjt-J2JPxeKs3jIvDZtkIREC0lFPXwf74/edit"",""8!e42"")"),1964)</f>
        <v>1964</v>
      </c>
      <c r="K203" s="18">
        <f ca="1">IFERROR(__xludf.DUMMYFUNCTION("IMPORTRANGE(""https://docs.google.com/spreadsheets/d/1WJJVq25XDtGjt-J2JPxeKs3jIvDZtkIREC0lFPXwf74/edit"",""8!e43"")"),0)</f>
        <v>0</v>
      </c>
      <c r="L203" s="18">
        <f t="shared" ref="L203:L212" ca="1" si="567">SUM(J203:K203)</f>
        <v>1964</v>
      </c>
      <c r="M203" s="18">
        <f t="shared" ca="1" si="539"/>
        <v>3293</v>
      </c>
      <c r="N203" s="19">
        <f t="shared" ca="1" si="540"/>
        <v>199.27533333333292</v>
      </c>
      <c r="O203" s="16">
        <v>4796</v>
      </c>
      <c r="P203" s="20">
        <f t="shared" ca="1" si="541"/>
        <v>0.68661384487072563</v>
      </c>
      <c r="Q203" s="21">
        <v>1.5</v>
      </c>
      <c r="R203" s="20">
        <f t="shared" ca="1" si="542"/>
        <v>0.45902430919141562</v>
      </c>
      <c r="S203" s="22">
        <f t="shared" ca="1" si="543"/>
        <v>0.68853646378712341</v>
      </c>
      <c r="T203" s="21">
        <f ca="1">F203/37.414</f>
        <v>127.82936868551852</v>
      </c>
      <c r="U203" s="21">
        <f t="shared" ca="1" si="544"/>
        <v>5.3262236952299382</v>
      </c>
      <c r="V203" s="18">
        <f t="shared" ca="1" si="545"/>
        <v>137.20833333333334</v>
      </c>
      <c r="W203" s="76"/>
      <c r="X203" s="8">
        <v>3</v>
      </c>
      <c r="Y203" s="8" t="s">
        <v>34</v>
      </c>
      <c r="Z203" s="8">
        <f t="shared" ref="Z203:AI203" si="568">SUM(D199)</f>
        <v>40</v>
      </c>
      <c r="AA203" s="9">
        <f t="shared" ca="1" si="568"/>
        <v>37</v>
      </c>
      <c r="AB203" s="10">
        <f t="shared" ca="1" si="568"/>
        <v>7143.4440000000004</v>
      </c>
      <c r="AC203" s="9">
        <f t="shared" ca="1" si="568"/>
        <v>2343</v>
      </c>
      <c r="AD203" s="9">
        <f t="shared" ca="1" si="568"/>
        <v>0</v>
      </c>
      <c r="AE203" s="9">
        <f t="shared" ca="1" si="568"/>
        <v>2343</v>
      </c>
      <c r="AF203" s="9">
        <f t="shared" ca="1" si="568"/>
        <v>2726</v>
      </c>
      <c r="AG203" s="9">
        <f t="shared" ca="1" si="568"/>
        <v>0</v>
      </c>
      <c r="AH203" s="9">
        <f t="shared" ca="1" si="568"/>
        <v>2726</v>
      </c>
      <c r="AI203" s="9">
        <f t="shared" ca="1" si="568"/>
        <v>5069</v>
      </c>
      <c r="AJ203" s="11">
        <f t="shared" ca="1" si="557"/>
        <v>193.06605405405406</v>
      </c>
      <c r="AK203" s="8">
        <f>SUM(O199)</f>
        <v>9354</v>
      </c>
      <c r="AL203" s="12">
        <f t="shared" ca="1" si="559"/>
        <v>0.54190720547359417</v>
      </c>
      <c r="AM203" s="13">
        <f>SUM(Q199)</f>
        <v>1.5</v>
      </c>
      <c r="AN203" s="12">
        <f t="shared" ca="1" si="561"/>
        <v>0.47306779941626659</v>
      </c>
      <c r="AO203" s="14">
        <f t="shared" ca="1" si="562"/>
        <v>0.70960169912439985</v>
      </c>
      <c r="AP203" s="13">
        <f t="shared" ref="AP203:AQ203" ca="1" si="569">SUM(T199)</f>
        <v>232.58698271090418</v>
      </c>
      <c r="AQ203" s="13">
        <f t="shared" ca="1" si="569"/>
        <v>6.2861346678622754</v>
      </c>
      <c r="AR203" s="9">
        <f t="shared" ca="1" si="564"/>
        <v>137</v>
      </c>
      <c r="AS203" s="76"/>
      <c r="AT203" s="76"/>
    </row>
    <row r="204" spans="1:46" ht="15.75" customHeight="1" x14ac:dyDescent="0.25">
      <c r="A204" s="70"/>
      <c r="B204" s="16">
        <v>10</v>
      </c>
      <c r="C204" s="16" t="s">
        <v>37</v>
      </c>
      <c r="D204" s="17">
        <v>30</v>
      </c>
      <c r="E204" s="18">
        <f ca="1">IFERROR(__xludf.DUMMYFUNCTION("COUNT(IMPORTRANGE(""https://docs.google.com/spreadsheets/d/1rJyYfywRpWJW0zvDJHLOJtqUQqffoCGaqTVxxTDgV0k/edit"",""8!d2:d31""))"),28)</f>
        <v>28</v>
      </c>
      <c r="F204" s="23">
        <f ca="1">IFERROR(__xludf.DUMMYFUNCTION("SUM(IMPORTRANGE(""https://docs.google.com/spreadsheets/d/1rJyYfywRpWJW0zvDJHLOJtqUQqffoCGaqTVxxTDgV0k/edit"",""8!Q2:Q31""))"),5600.36999999999)</f>
        <v>5600.3699999999899</v>
      </c>
      <c r="G204" s="18">
        <f ca="1">IFERROR(__xludf.DUMMYFUNCTION("(IMPORTRANGE(""https://docs.google.com/spreadsheets/d/1rJyYfywRpWJW0zvDJHLOJtqUQqffoCGaqTVxxTDgV0k/edit"",""8!e38""))"),1899)</f>
        <v>1899</v>
      </c>
      <c r="H204" s="18">
        <f ca="1">IFERROR(__xludf.DUMMYFUNCTION("(IMPORTRANGE(""https://docs.google.com/spreadsheets/d/1rJyYfywRpWJW0zvDJHLOJtqUQqffoCGaqTVxxTDgV0k/edit"",""8!e39""))"),0)</f>
        <v>0</v>
      </c>
      <c r="I204" s="18">
        <f t="shared" ca="1" si="537"/>
        <v>1899</v>
      </c>
      <c r="J204" s="18">
        <f ca="1">IFERROR(__xludf.DUMMYFUNCTION("(IMPORTRANGE(""https://docs.google.com/spreadsheets/d/1rJyYfywRpWJW0zvDJHLOJtqUQqffoCGaqTVxxTDgV0k/edit"",""8!e42""))"),2728)</f>
        <v>2728</v>
      </c>
      <c r="K204" s="18">
        <f ca="1">IFERROR(__xludf.DUMMYFUNCTION("(IMPORTRANGE(""https://docs.google.com/spreadsheets/d/1rJyYfywRpWJW0zvDJHLOJtqUQqffoCGaqTVxxTDgV0k/edit"",""8!e43""))"),0)</f>
        <v>0</v>
      </c>
      <c r="L204" s="18">
        <f t="shared" ca="1" si="567"/>
        <v>2728</v>
      </c>
      <c r="M204" s="18">
        <f t="shared" ca="1" si="539"/>
        <v>4627</v>
      </c>
      <c r="N204" s="19">
        <f t="shared" ca="1" si="540"/>
        <v>200.01321428571393</v>
      </c>
      <c r="O204" s="16">
        <v>5887</v>
      </c>
      <c r="P204" s="20">
        <f t="shared" ca="1" si="541"/>
        <v>0.7859690844233056</v>
      </c>
      <c r="Q204" s="21">
        <v>1.5</v>
      </c>
      <c r="R204" s="20">
        <f t="shared" ca="1" si="542"/>
        <v>0.55079694139256374</v>
      </c>
      <c r="S204" s="22">
        <f t="shared" ca="1" si="543"/>
        <v>0.82619541208884562</v>
      </c>
      <c r="T204" s="21">
        <f ca="1">F204/24.792</f>
        <v>225.89424007744392</v>
      </c>
      <c r="U204" s="21">
        <f t="shared" ca="1" si="544"/>
        <v>8.0676514313372838</v>
      </c>
      <c r="V204" s="18">
        <f t="shared" ca="1" si="545"/>
        <v>165.25</v>
      </c>
      <c r="W204" s="76"/>
      <c r="X204" s="8">
        <v>4</v>
      </c>
      <c r="Y204" s="8" t="s">
        <v>38</v>
      </c>
      <c r="Z204" s="8">
        <f t="shared" ref="Z204:AI204" si="570">SUM(D207)</f>
        <v>30</v>
      </c>
      <c r="AA204" s="9">
        <f t="shared" ca="1" si="570"/>
        <v>30</v>
      </c>
      <c r="AB204" s="10">
        <f t="shared" ca="1" si="570"/>
        <v>5831.0229999999901</v>
      </c>
      <c r="AC204" s="9">
        <f t="shared" ca="1" si="570"/>
        <v>1476</v>
      </c>
      <c r="AD204" s="9">
        <f t="shared" ca="1" si="570"/>
        <v>67</v>
      </c>
      <c r="AE204" s="9">
        <f t="shared" ca="1" si="570"/>
        <v>1543</v>
      </c>
      <c r="AF204" s="9">
        <f t="shared" ca="1" si="570"/>
        <v>2327</v>
      </c>
      <c r="AG204" s="9">
        <f t="shared" ca="1" si="570"/>
        <v>0</v>
      </c>
      <c r="AH204" s="9">
        <f t="shared" ca="1" si="570"/>
        <v>2327</v>
      </c>
      <c r="AI204" s="9">
        <f t="shared" ca="1" si="570"/>
        <v>3870</v>
      </c>
      <c r="AJ204" s="11">
        <f t="shared" ca="1" si="557"/>
        <v>194.367433333333</v>
      </c>
      <c r="AK204" s="8">
        <v>7324</v>
      </c>
      <c r="AL204" s="12">
        <f t="shared" ca="1" si="559"/>
        <v>0.528399781540142</v>
      </c>
      <c r="AM204" s="13">
        <f>SUM(Q207)</f>
        <v>1.5</v>
      </c>
      <c r="AN204" s="12">
        <f t="shared" ca="1" si="561"/>
        <v>0.44246095410702452</v>
      </c>
      <c r="AO204" s="14">
        <f t="shared" ca="1" si="562"/>
        <v>0.66369143116053675</v>
      </c>
      <c r="AP204" s="13">
        <f t="shared" ref="AP204:AQ204" ca="1" si="571">SUM(T207)</f>
        <v>141.51251061764324</v>
      </c>
      <c r="AQ204" s="13">
        <f t="shared" ca="1" si="571"/>
        <v>4.7170836872547746</v>
      </c>
      <c r="AR204" s="9">
        <f t="shared" ca="1" si="564"/>
        <v>129</v>
      </c>
      <c r="AS204" s="76"/>
      <c r="AT204" s="76"/>
    </row>
    <row r="205" spans="1:46" ht="15.75" customHeight="1" x14ac:dyDescent="0.25">
      <c r="A205" s="70"/>
      <c r="B205" s="16">
        <v>12</v>
      </c>
      <c r="C205" s="16" t="s">
        <v>39</v>
      </c>
      <c r="D205" s="17">
        <v>28</v>
      </c>
      <c r="E205" s="18">
        <f ca="1">IFERROR(__xludf.DUMMYFUNCTION("COUNT(IMPORTRANGE(""https://docs.google.com/spreadsheets/d/1uaTn2DZCfr7O1PvovOd0wElzVz8kpl_iPfnrkNPp0Is/edit"",""8!d2:d29""))"),28)</f>
        <v>28</v>
      </c>
      <c r="F205" s="23">
        <f ca="1">IFERROR(__xludf.DUMMYFUNCTION("SUM(IMPORTRANGE(""https://docs.google.com/spreadsheets/d/1uaTn2DZCfr7O1PvovOd0wElzVz8kpl_iPfnrkNPp0Is/edit"",""8!Q2:Q29""))"),5597.478)</f>
        <v>5597.4780000000001</v>
      </c>
      <c r="G205" s="18">
        <f ca="1">IFERROR(__xludf.DUMMYFUNCTION("IMPORTRANGE(""https://docs.google.com/spreadsheets/d/1uaTn2DZCfr7O1PvovOd0wElzVz8kpl_iPfnrkNPp0Is/edit"",""8!e36"")"),1204)</f>
        <v>1204</v>
      </c>
      <c r="H205" s="18">
        <f ca="1">IFERROR(__xludf.DUMMYFUNCTION("(IMPORTRANGE(""https://docs.google.com/spreadsheets/d/1uaTn2DZCfr7O1PvovOd0wElzVz8kpl_iPfnrkNPp0Is/edit"",""8!e37""))"),0)</f>
        <v>0</v>
      </c>
      <c r="I205" s="18">
        <f t="shared" ca="1" si="537"/>
        <v>1204</v>
      </c>
      <c r="J205" s="18">
        <f ca="1">IFERROR(__xludf.DUMMYFUNCTION("IMPORTRANGE(""https://docs.google.com/spreadsheets/d/1uaTn2DZCfr7O1PvovOd0wElzVz8kpl_iPfnrkNPp0Is/edit"",""8!e40"")"),2029)</f>
        <v>2029</v>
      </c>
      <c r="K205" s="18">
        <f ca="1">IFERROR(__xludf.DUMMYFUNCTION("IMPORTRANGE(""https://docs.google.com/spreadsheets/d/1uaTn2DZCfr7O1PvovOd0wElzVz8kpl_iPfnrkNPp0Is/edit"",""8!e41"")"),0)</f>
        <v>0</v>
      </c>
      <c r="L205" s="18">
        <f t="shared" ca="1" si="567"/>
        <v>2029</v>
      </c>
      <c r="M205" s="18">
        <f t="shared" ca="1" si="539"/>
        <v>3233</v>
      </c>
      <c r="N205" s="19">
        <f t="shared" ca="1" si="540"/>
        <v>199.90992857142857</v>
      </c>
      <c r="O205" s="16">
        <v>3569</v>
      </c>
      <c r="P205" s="20">
        <f t="shared" ca="1" si="541"/>
        <v>0.90585598206780615</v>
      </c>
      <c r="Q205" s="21">
        <v>1.5</v>
      </c>
      <c r="R205" s="20">
        <f t="shared" ca="1" si="542"/>
        <v>0.38505436436433221</v>
      </c>
      <c r="S205" s="22">
        <f t="shared" ca="1" si="543"/>
        <v>0.57758154654649829</v>
      </c>
      <c r="T205" s="21">
        <f ca="1">F205/21.463</f>
        <v>260.79662675301682</v>
      </c>
      <c r="U205" s="21">
        <f t="shared" ca="1" si="544"/>
        <v>9.3141652411791718</v>
      </c>
      <c r="V205" s="18">
        <f t="shared" ca="1" si="545"/>
        <v>115.46428571428571</v>
      </c>
      <c r="W205" s="76"/>
      <c r="X205" s="8">
        <v>5</v>
      </c>
      <c r="Y205" s="8" t="s">
        <v>40</v>
      </c>
      <c r="Z205" s="8">
        <f t="shared" ref="Z205:AI205" si="572">SUM(D209)</f>
        <v>30</v>
      </c>
      <c r="AA205" s="9">
        <f t="shared" ca="1" si="572"/>
        <v>28</v>
      </c>
      <c r="AB205" s="10">
        <f t="shared" ca="1" si="572"/>
        <v>5574.8279999999904</v>
      </c>
      <c r="AC205" s="9">
        <f t="shared" ca="1" si="572"/>
        <v>3180</v>
      </c>
      <c r="AD205" s="9">
        <f t="shared" ca="1" si="572"/>
        <v>46</v>
      </c>
      <c r="AE205" s="9">
        <f t="shared" ca="1" si="572"/>
        <v>3226</v>
      </c>
      <c r="AF205" s="9">
        <f t="shared" ca="1" si="572"/>
        <v>3735</v>
      </c>
      <c r="AG205" s="9">
        <f t="shared" ca="1" si="572"/>
        <v>25</v>
      </c>
      <c r="AH205" s="9">
        <f t="shared" ca="1" si="572"/>
        <v>3760</v>
      </c>
      <c r="AI205" s="9">
        <f t="shared" ca="1" si="572"/>
        <v>6986</v>
      </c>
      <c r="AJ205" s="11">
        <f t="shared" ca="1" si="557"/>
        <v>199.10099999999966</v>
      </c>
      <c r="AK205" s="8">
        <f t="shared" ref="AK205:AK206" si="573">SUM(O209)</f>
        <v>8239</v>
      </c>
      <c r="AL205" s="12">
        <f t="shared" ca="1" si="559"/>
        <v>0.84791843670348344</v>
      </c>
      <c r="AM205" s="13">
        <f t="shared" ref="AM205:AM206" si="574">SUM(Q209)</f>
        <v>1.5</v>
      </c>
      <c r="AN205" s="12">
        <f t="shared" ca="1" si="561"/>
        <v>0.8354218880534684</v>
      </c>
      <c r="AO205" s="14">
        <f t="shared" ca="1" si="562"/>
        <v>1.2531328320802027</v>
      </c>
      <c r="AP205" s="13">
        <f t="shared" ref="AP205:AQ205" ca="1" si="575">SUM(T209)</f>
        <v>195.99999999999966</v>
      </c>
      <c r="AQ205" s="13">
        <f t="shared" ca="1" si="575"/>
        <v>6.9999999999999876</v>
      </c>
      <c r="AR205" s="9">
        <f t="shared" ca="1" si="564"/>
        <v>249.5</v>
      </c>
      <c r="AS205" s="76"/>
      <c r="AT205" s="76"/>
    </row>
    <row r="206" spans="1:46" ht="15.75" customHeight="1" x14ac:dyDescent="0.25">
      <c r="A206" s="70"/>
      <c r="B206" s="16">
        <v>12</v>
      </c>
      <c r="C206" s="16" t="s">
        <v>41</v>
      </c>
      <c r="D206" s="17">
        <v>24</v>
      </c>
      <c r="E206" s="18">
        <f ca="1">IFERROR(__xludf.DUMMYFUNCTION("COUNT(IMPORTRANGE(""https://docs.google.com/spreadsheets/d/1oYscvfOJW7GMkxt8QcupWuzb3ohaYePd3Mt2V2ufHok/edit"",""8!d2:d25""))"),23)</f>
        <v>23</v>
      </c>
      <c r="F206" s="23">
        <f ca="1">IFERROR(__xludf.DUMMYFUNCTION("SUM(IMPORTRANGE(""https://docs.google.com/spreadsheets/d/1oYscvfOJW7GMkxt8QcupWuzb3ohaYePd3Mt2V2ufHok/edit"",""8!Q2:Q25""))"),4704.268)</f>
        <v>4704.268</v>
      </c>
      <c r="G206" s="18">
        <f ca="1">IFERROR(__xludf.DUMMYFUNCTION("IMPORTRANGE(""https://docs.google.com/spreadsheets/d/1oYscvfOJW7GMkxt8QcupWuzb3ohaYePd3Mt2V2ufHok/edit"",""8!e32"")"),1199)</f>
        <v>1199</v>
      </c>
      <c r="H206" s="18">
        <f ca="1">IFERROR(__xludf.DUMMYFUNCTION("IMPORTRANGE(""https://docs.google.com/spreadsheets/d/1oYscvfOJW7GMkxt8QcupWuzb3ohaYePd3Mt2V2ufHok/edit"",""8!e33"")"),65)</f>
        <v>65</v>
      </c>
      <c r="I206" s="18">
        <f t="shared" ca="1" si="537"/>
        <v>1264</v>
      </c>
      <c r="J206" s="18">
        <f ca="1">IFERROR(__xludf.DUMMYFUNCTION("IMPORTRANGE(""https://docs.google.com/spreadsheets/d/1oYscvfOJW7GMkxt8QcupWuzb3ohaYePd3Mt2V2ufHok/edit"",""8!e36"")"),1702)</f>
        <v>1702</v>
      </c>
      <c r="K206" s="18">
        <f ca="1">IFERROR(__xludf.DUMMYFUNCTION("IMPORTRANGE(""https://docs.google.com/spreadsheets/d/1oYscvfOJW7GMkxt8QcupWuzb3ohaYePd3Mt2V2ufHok/edit"",""8!e37"")"),0)</f>
        <v>0</v>
      </c>
      <c r="L206" s="18">
        <f t="shared" ca="1" si="567"/>
        <v>1702</v>
      </c>
      <c r="M206" s="18">
        <f t="shared" ca="1" si="539"/>
        <v>2966</v>
      </c>
      <c r="N206" s="19">
        <f t="shared" ca="1" si="540"/>
        <v>204.53339130434782</v>
      </c>
      <c r="O206" s="16">
        <v>3801</v>
      </c>
      <c r="P206" s="20">
        <f t="shared" ca="1" si="541"/>
        <v>0.78032096816627206</v>
      </c>
      <c r="Q206" s="21">
        <v>1.5</v>
      </c>
      <c r="R206" s="20">
        <f t="shared" ca="1" si="542"/>
        <v>0.42032752669136481</v>
      </c>
      <c r="S206" s="22">
        <f t="shared" ca="1" si="543"/>
        <v>0.63049129003704718</v>
      </c>
      <c r="T206" s="21">
        <f ca="1">F206/29.628</f>
        <v>158.77777777777777</v>
      </c>
      <c r="U206" s="21">
        <f t="shared" ca="1" si="544"/>
        <v>6.9033816425120769</v>
      </c>
      <c r="V206" s="18">
        <f t="shared" ca="1" si="545"/>
        <v>128.95652173913044</v>
      </c>
      <c r="W206" s="76"/>
      <c r="X206" s="8">
        <v>6</v>
      </c>
      <c r="Y206" s="8" t="s">
        <v>42</v>
      </c>
      <c r="Z206" s="8">
        <f t="shared" ref="Z206:AI206" si="576">SUM(D210)</f>
        <v>33</v>
      </c>
      <c r="AA206" s="9">
        <f t="shared" ca="1" si="576"/>
        <v>33</v>
      </c>
      <c r="AB206" s="10">
        <f t="shared" ca="1" si="576"/>
        <v>6397.2059999999901</v>
      </c>
      <c r="AC206" s="9">
        <f t="shared" ca="1" si="576"/>
        <v>2780</v>
      </c>
      <c r="AD206" s="9">
        <f t="shared" ca="1" si="576"/>
        <v>185</v>
      </c>
      <c r="AE206" s="9">
        <f t="shared" ca="1" si="576"/>
        <v>2965</v>
      </c>
      <c r="AF206" s="9">
        <f t="shared" ca="1" si="576"/>
        <v>3997</v>
      </c>
      <c r="AG206" s="9">
        <f t="shared" ca="1" si="576"/>
        <v>223</v>
      </c>
      <c r="AH206" s="9">
        <f t="shared" ca="1" si="576"/>
        <v>4220</v>
      </c>
      <c r="AI206" s="9">
        <f t="shared" ca="1" si="576"/>
        <v>7185</v>
      </c>
      <c r="AJ206" s="11">
        <f t="shared" ca="1" si="557"/>
        <v>193.85472727272696</v>
      </c>
      <c r="AK206" s="8">
        <f t="shared" si="573"/>
        <v>9877</v>
      </c>
      <c r="AL206" s="12">
        <f t="shared" ca="1" si="559"/>
        <v>0.72744760554824339</v>
      </c>
      <c r="AM206" s="13">
        <f t="shared" si="574"/>
        <v>1.5</v>
      </c>
      <c r="AN206" s="12">
        <f t="shared" ca="1" si="561"/>
        <v>0.74876438245071475</v>
      </c>
      <c r="AO206" s="14">
        <f t="shared" ca="1" si="562"/>
        <v>1.1231465736760722</v>
      </c>
      <c r="AP206" s="13">
        <f t="shared" ref="AP206:AQ206" ca="1" si="577">SUM(T210)</f>
        <v>244.58826228254597</v>
      </c>
      <c r="AQ206" s="13">
        <f t="shared" ca="1" si="577"/>
        <v>7.4117655237135143</v>
      </c>
      <c r="AR206" s="9">
        <f t="shared" ca="1" si="564"/>
        <v>217.72727272727272</v>
      </c>
      <c r="AS206" s="76"/>
      <c r="AT206" s="76"/>
    </row>
    <row r="207" spans="1:46" ht="15.75" customHeight="1" x14ac:dyDescent="0.25">
      <c r="A207" s="70"/>
      <c r="B207" s="16">
        <v>13</v>
      </c>
      <c r="C207" s="16" t="s">
        <v>43</v>
      </c>
      <c r="D207" s="17">
        <v>30</v>
      </c>
      <c r="E207" s="18">
        <f ca="1">IFERROR(__xludf.DUMMYFUNCTION("COUNT(IMPORTRANGE(""https://docs.google.com/spreadsheets/d/1AxBmuQEdOYAeRnZ4C8vO6kuTNp7X_SGhpLXuY0n4ln4/edit"",""8!d2:d31""))"),30)</f>
        <v>30</v>
      </c>
      <c r="F207" s="23">
        <f ca="1">IFERROR(__xludf.DUMMYFUNCTION("SUM(IMPORTRANGE(""https://docs.google.com/spreadsheets/d/1AxBmuQEdOYAeRnZ4C8vO6kuTNp7X_SGhpLXuY0n4ln4/edit"",""8!Q2:Q31""))"),5831.02299999999)</f>
        <v>5831.0229999999901</v>
      </c>
      <c r="G207" s="18">
        <f ca="1">IFERROR(__xludf.DUMMYFUNCTION("IMPORTRANGE(""https://docs.google.com/spreadsheets/d/1AxBmuQEdOYAeRnZ4C8vO6kuTNp7X_SGhpLXuY0n4ln4/edit"",""8!e38"")"),1476)</f>
        <v>1476</v>
      </c>
      <c r="H207" s="18">
        <f ca="1">IFERROR(__xludf.DUMMYFUNCTION("IMPORTRANGE(""https://docs.google.com/spreadsheets/d/1AxBmuQEdOYAeRnZ4C8vO6kuTNp7X_SGhpLXuY0n4ln4/edit"",""8!e39"")"),67)</f>
        <v>67</v>
      </c>
      <c r="I207" s="18">
        <f t="shared" ca="1" si="537"/>
        <v>1543</v>
      </c>
      <c r="J207" s="18">
        <f ca="1">IFERROR(__xludf.DUMMYFUNCTION("IMPORTRANGE(""https://docs.google.com/spreadsheets/d/1AxBmuQEdOYAeRnZ4C8vO6kuTNp7X_SGhpLXuY0n4ln4/edit"",""8!e42"")"),2327)</f>
        <v>2327</v>
      </c>
      <c r="K207" s="18">
        <f ca="1">IFERROR(__xludf.DUMMYFUNCTION("IMPORTRANGE(""https://docs.google.com/spreadsheets/d/1AxBmuQEdOYAeRnZ4C8vO6kuTNp7X_SGhpLXuY0n4ln4/edit"",""8!e43"")"),0)</f>
        <v>0</v>
      </c>
      <c r="L207" s="18">
        <f t="shared" ca="1" si="567"/>
        <v>2327</v>
      </c>
      <c r="M207" s="18">
        <f t="shared" ca="1" si="539"/>
        <v>3870</v>
      </c>
      <c r="N207" s="19">
        <f t="shared" ca="1" si="540"/>
        <v>194.367433333333</v>
      </c>
      <c r="O207" s="16">
        <v>8345</v>
      </c>
      <c r="P207" s="20">
        <f t="shared" ca="1" si="541"/>
        <v>0.46375074895146795</v>
      </c>
      <c r="Q207" s="21">
        <v>1.5</v>
      </c>
      <c r="R207" s="20">
        <f t="shared" ca="1" si="542"/>
        <v>0.44246095410702452</v>
      </c>
      <c r="S207" s="22">
        <f t="shared" ca="1" si="543"/>
        <v>0.66369143116053675</v>
      </c>
      <c r="T207" s="21">
        <f ca="1">F207/41.205</f>
        <v>141.51251061764324</v>
      </c>
      <c r="U207" s="21">
        <f t="shared" ca="1" si="544"/>
        <v>4.7170836872547746</v>
      </c>
      <c r="V207" s="18">
        <f t="shared" ca="1" si="545"/>
        <v>129</v>
      </c>
      <c r="W207" s="76"/>
      <c r="X207" s="24" t="s">
        <v>33</v>
      </c>
      <c r="Y207" s="24">
        <v>6</v>
      </c>
      <c r="Z207" s="24">
        <f t="shared" ref="Z207:AI207" si="578">SUM(Z201:Z206)</f>
        <v>226</v>
      </c>
      <c r="AA207" s="25">
        <f t="shared" ca="1" si="578"/>
        <v>219</v>
      </c>
      <c r="AB207" s="27">
        <f t="shared" ca="1" si="578"/>
        <v>42688.723999999856</v>
      </c>
      <c r="AC207" s="25">
        <f t="shared" ca="1" si="578"/>
        <v>14924</v>
      </c>
      <c r="AD207" s="25">
        <f t="shared" ca="1" si="578"/>
        <v>440</v>
      </c>
      <c r="AE207" s="25">
        <f t="shared" ca="1" si="578"/>
        <v>15364</v>
      </c>
      <c r="AF207" s="25">
        <f t="shared" ca="1" si="578"/>
        <v>18597</v>
      </c>
      <c r="AG207" s="25">
        <f t="shared" ca="1" si="578"/>
        <v>1089</v>
      </c>
      <c r="AH207" s="25">
        <f t="shared" ca="1" si="578"/>
        <v>19686</v>
      </c>
      <c r="AI207" s="25">
        <f t="shared" ca="1" si="578"/>
        <v>35050</v>
      </c>
      <c r="AJ207" s="27">
        <f t="shared" ca="1" si="557"/>
        <v>194.92568036529616</v>
      </c>
      <c r="AK207" s="24">
        <f>SUM(AK201:AK206)</f>
        <v>53273</v>
      </c>
      <c r="AL207" s="28">
        <f t="shared" ca="1" si="559"/>
        <v>0.65793178533215702</v>
      </c>
      <c r="AM207" s="29">
        <v>1.5</v>
      </c>
      <c r="AN207" s="28">
        <f t="shared" ca="1" si="561"/>
        <v>0.54737327512217859</v>
      </c>
      <c r="AO207" s="30">
        <f t="shared" ca="1" si="562"/>
        <v>0.82105991268326783</v>
      </c>
      <c r="AP207" s="29">
        <f ca="1">SUM(AP201:AP206)</f>
        <v>1405.1394113724898</v>
      </c>
      <c r="AQ207" s="29">
        <f ca="1">AP207/AA207</f>
        <v>6.416161695764794</v>
      </c>
      <c r="AR207" s="25">
        <f t="shared" ca="1" si="564"/>
        <v>160.04566210045661</v>
      </c>
      <c r="AS207" s="76"/>
      <c r="AT207" s="76"/>
    </row>
    <row r="208" spans="1:46" ht="15.75" customHeight="1" x14ac:dyDescent="0.25">
      <c r="A208" s="70"/>
      <c r="B208" s="16">
        <v>14</v>
      </c>
      <c r="C208" s="16" t="s">
        <v>27</v>
      </c>
      <c r="D208" s="17">
        <v>30</v>
      </c>
      <c r="E208" s="18">
        <f ca="1">IFERROR(__xludf.DUMMYFUNCTION("COUNT(IMPORTRANGE(""https://docs.google.com/spreadsheets/d/1LsL4JuXvBtfJ-TVi4NFml9lV_pmd61b789A_nbO-QrA/edit"",""8!d2:d31""))"),29)</f>
        <v>29</v>
      </c>
      <c r="F208" s="23">
        <f ca="1">IFERROR(__xludf.DUMMYFUNCTION("SUM(IMPORTRANGE(""https://docs.google.com/spreadsheets/d/1LsL4JuXvBtfJ-TVi4NFml9lV_pmd61b789A_nbO-QrA/edit"",""8!Q2:Q31""))"),5245.92499999999)</f>
        <v>5245.9249999999902</v>
      </c>
      <c r="G208" s="18">
        <f ca="1">IFERROR(__xludf.DUMMYFUNCTION("IMPORTRANGE(""https://docs.google.com/spreadsheets/d/1LsL4JuXvBtfJ-TVi4NFml9lV_pmd61b789A_nbO-QrA/edit"",""8!e38"")"),1868)</f>
        <v>1868</v>
      </c>
      <c r="H208" s="18">
        <f ca="1">IFERROR(__xludf.DUMMYFUNCTION("IMPORTRANGE(""https://docs.google.com/spreadsheets/d/1LsL4JuXvBtfJ-TVi4NFml9lV_pmd61b789A_nbO-QrA/edit"",""8!e39"")"),92)</f>
        <v>92</v>
      </c>
      <c r="I208" s="18">
        <f t="shared" ca="1" si="537"/>
        <v>1960</v>
      </c>
      <c r="J208" s="18">
        <f ca="1">IFERROR(__xludf.DUMMYFUNCTION("IMPORTRANGE(""https://docs.google.com/spreadsheets/d/1LsL4JuXvBtfJ-TVi4NFml9lV_pmd61b789A_nbO-QrA/edit"",""8!e42"")"),2874)</f>
        <v>2874</v>
      </c>
      <c r="K208" s="18">
        <f ca="1">IFERROR(__xludf.DUMMYFUNCTION("IMPORTRANGE(""https://docs.google.com/spreadsheets/d/1LsL4JuXvBtfJ-TVi4NFml9lV_pmd61b789A_nbO-QrA/edit"",""8!e43"")"),106)</f>
        <v>106</v>
      </c>
      <c r="L208" s="18">
        <f t="shared" ca="1" si="567"/>
        <v>2980</v>
      </c>
      <c r="M208" s="18">
        <f t="shared" ca="1" si="539"/>
        <v>4940</v>
      </c>
      <c r="N208" s="19">
        <f t="shared" ca="1" si="540"/>
        <v>180.89396551724104</v>
      </c>
      <c r="O208" s="16">
        <v>8101</v>
      </c>
      <c r="P208" s="20">
        <f t="shared" ca="1" si="541"/>
        <v>0.60980125910381433</v>
      </c>
      <c r="Q208" s="21">
        <v>1.5</v>
      </c>
      <c r="R208" s="20">
        <f t="shared" ca="1" si="542"/>
        <v>0.62778887104435144</v>
      </c>
      <c r="S208" s="22">
        <f t="shared" ca="1" si="543"/>
        <v>0.94168330656652721</v>
      </c>
      <c r="T208" s="21">
        <f ca="1">F208/19.985</f>
        <v>262.4931198398794</v>
      </c>
      <c r="U208" s="21">
        <f t="shared" ca="1" si="544"/>
        <v>9.0514868910303239</v>
      </c>
      <c r="V208" s="18">
        <f t="shared" ca="1" si="545"/>
        <v>170.34482758620689</v>
      </c>
      <c r="W208" s="76"/>
      <c r="X208" s="97" t="s">
        <v>44</v>
      </c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9"/>
      <c r="AS208" s="76"/>
      <c r="AT208" s="76"/>
    </row>
    <row r="209" spans="1:46" ht="15.75" customHeight="1" x14ac:dyDescent="0.25">
      <c r="A209" s="70"/>
      <c r="B209" s="16">
        <v>15</v>
      </c>
      <c r="C209" s="16" t="s">
        <v>40</v>
      </c>
      <c r="D209" s="17">
        <v>30</v>
      </c>
      <c r="E209" s="18">
        <f ca="1">IFERROR(__xludf.DUMMYFUNCTION("COUNT(IMPORTRANGE(""https://docs.google.com/spreadsheets/d/1Krav0MVlY0vbUNsFRDnb_kR72_tyuGnWBYbGjNZrl18/edit"",""8!d2:d31""))"),28)</f>
        <v>28</v>
      </c>
      <c r="F209" s="23">
        <f ca="1">IFERROR(__xludf.DUMMYFUNCTION("SUM(IMPORTRANGE(""https://docs.google.com/spreadsheets/d/1Krav0MVlY0vbUNsFRDnb_kR72_tyuGnWBYbGjNZrl18/edit"",""8!Q2:Q31""))"),5574.82799999999)</f>
        <v>5574.8279999999904</v>
      </c>
      <c r="G209" s="18">
        <f ca="1">IFERROR(__xludf.DUMMYFUNCTION("IMPORTRANGE(""https://docs.google.com/spreadsheets/d/1Krav0MVlY0vbUNsFRDnb_kR72_tyuGnWBYbGjNZrl18/edit"",""8!e38"")"),3180)</f>
        <v>3180</v>
      </c>
      <c r="H209" s="18">
        <f ca="1">IFERROR(__xludf.DUMMYFUNCTION("IMPORTRANGE(""https://docs.google.com/spreadsheets/d/1Krav0MVlY0vbUNsFRDnb_kR72_tyuGnWBYbGjNZrl18/edit"",""8!e39"")"),46)</f>
        <v>46</v>
      </c>
      <c r="I209" s="18">
        <f t="shared" ca="1" si="537"/>
        <v>3226</v>
      </c>
      <c r="J209" s="18">
        <f ca="1">IFERROR(__xludf.DUMMYFUNCTION("IMPORTRANGE(""https://docs.google.com/spreadsheets/d/1Krav0MVlY0vbUNsFRDnb_kR72_tyuGnWBYbGjNZrl18/edit"",""8!e42"")"),3735)</f>
        <v>3735</v>
      </c>
      <c r="K209" s="18">
        <f ca="1">IFERROR(__xludf.DUMMYFUNCTION("IMPORTRANGE(""https://docs.google.com/spreadsheets/d/1Krav0MVlY0vbUNsFRDnb_kR72_tyuGnWBYbGjNZrl18/edit"",""8!e43"")"),25)</f>
        <v>25</v>
      </c>
      <c r="L209" s="18">
        <f t="shared" ca="1" si="567"/>
        <v>3760</v>
      </c>
      <c r="M209" s="18">
        <f t="shared" ca="1" si="539"/>
        <v>6986</v>
      </c>
      <c r="N209" s="19">
        <f t="shared" ca="1" si="540"/>
        <v>199.10099999999966</v>
      </c>
      <c r="O209" s="16">
        <v>8239</v>
      </c>
      <c r="P209" s="20">
        <f t="shared" ca="1" si="541"/>
        <v>0.84791843670348344</v>
      </c>
      <c r="Q209" s="21">
        <v>1.5</v>
      </c>
      <c r="R209" s="20">
        <f t="shared" ca="1" si="542"/>
        <v>0.8354218880534684</v>
      </c>
      <c r="S209" s="22">
        <f t="shared" ca="1" si="543"/>
        <v>1.2531328320802027</v>
      </c>
      <c r="T209" s="21">
        <f ca="1">F209/28.443</f>
        <v>195.99999999999966</v>
      </c>
      <c r="U209" s="21">
        <f t="shared" ca="1" si="544"/>
        <v>6.9999999999999876</v>
      </c>
      <c r="V209" s="18">
        <f t="shared" ca="1" si="545"/>
        <v>249.5</v>
      </c>
      <c r="W209" s="76"/>
      <c r="X209" s="1" t="s">
        <v>2</v>
      </c>
      <c r="Y209" s="1" t="s">
        <v>3</v>
      </c>
      <c r="Z209" s="1" t="s">
        <v>4</v>
      </c>
      <c r="AA209" s="1" t="s">
        <v>5</v>
      </c>
      <c r="AB209" s="2" t="s">
        <v>6</v>
      </c>
      <c r="AC209" s="1" t="s">
        <v>7</v>
      </c>
      <c r="AD209" s="1" t="s">
        <v>8</v>
      </c>
      <c r="AE209" s="1" t="s">
        <v>9</v>
      </c>
      <c r="AF209" s="1" t="s">
        <v>10</v>
      </c>
      <c r="AG209" s="1" t="s">
        <v>11</v>
      </c>
      <c r="AH209" s="1" t="s">
        <v>12</v>
      </c>
      <c r="AI209" s="1" t="s">
        <v>13</v>
      </c>
      <c r="AJ209" s="2" t="s">
        <v>14</v>
      </c>
      <c r="AK209" s="1" t="s">
        <v>15</v>
      </c>
      <c r="AL209" s="1" t="s">
        <v>16</v>
      </c>
      <c r="AM209" s="3" t="s">
        <v>17</v>
      </c>
      <c r="AN209" s="4" t="s">
        <v>18</v>
      </c>
      <c r="AO209" s="5" t="s">
        <v>19</v>
      </c>
      <c r="AP209" s="6" t="s">
        <v>20</v>
      </c>
      <c r="AQ209" s="6" t="s">
        <v>21</v>
      </c>
      <c r="AR209" s="7" t="s">
        <v>22</v>
      </c>
      <c r="AS209" s="76"/>
      <c r="AT209" s="76"/>
    </row>
    <row r="210" spans="1:46" ht="15.75" customHeight="1" x14ac:dyDescent="0.25">
      <c r="A210" s="70"/>
      <c r="B210" s="16">
        <v>16</v>
      </c>
      <c r="C210" s="16" t="s">
        <v>42</v>
      </c>
      <c r="D210" s="17">
        <v>33</v>
      </c>
      <c r="E210" s="18">
        <f ca="1">IFERROR(__xludf.DUMMYFUNCTION("COUNT(IMPORTRANGE(""https://docs.google.com/spreadsheets/d/1uXtm-E8PG0CetlFmSpTX3RK0LNEMnpR-mxbET9AGD6w/edit"",""8!d2:d34""))"),33)</f>
        <v>33</v>
      </c>
      <c r="F210" s="23">
        <f ca="1">IFERROR(__xludf.DUMMYFUNCTION("SUM(IMPORTRANGE(""https://docs.google.com/spreadsheets/d/1uXtm-E8PG0CetlFmSpTX3RK0LNEMnpR-mxbET9AGD6w/edit"",""8!Q2:Q34""))"),6397.20599999999)</f>
        <v>6397.2059999999901</v>
      </c>
      <c r="G210" s="18">
        <f ca="1">IFERROR(__xludf.DUMMYFUNCTION("IMPORTRANGE(""https://docs.google.com/spreadsheets/d/1uXtm-E8PG0CetlFmSpTX3RK0LNEMnpR-mxbET9AGD6w/edit"",""8!e41"")"),2780)</f>
        <v>2780</v>
      </c>
      <c r="H210" s="18">
        <f ca="1">IFERROR(__xludf.DUMMYFUNCTION("IMPORTRANGE(""https://docs.google.com/spreadsheets/d/1uXtm-E8PG0CetlFmSpTX3RK0LNEMnpR-mxbET9AGD6w/edit"",""8!e42"")"),185)</f>
        <v>185</v>
      </c>
      <c r="I210" s="18">
        <f t="shared" ca="1" si="537"/>
        <v>2965</v>
      </c>
      <c r="J210" s="18">
        <f ca="1">IFERROR(__xludf.DUMMYFUNCTION("IMPORTRANGE(""https://docs.google.com/spreadsheets/d/1uXtm-E8PG0CetlFmSpTX3RK0LNEMnpR-mxbET9AGD6w/edit"",""8!e45"")"),3997)</f>
        <v>3997</v>
      </c>
      <c r="K210" s="18">
        <f ca="1">IFERROR(__xludf.DUMMYFUNCTION("IMPORTRANGE(""https://docs.google.com/spreadsheets/d/1uXtm-E8PG0CetlFmSpTX3RK0LNEMnpR-mxbET9AGD6w/edit"",""8!e46"")"),223)</f>
        <v>223</v>
      </c>
      <c r="L210" s="18">
        <f t="shared" ca="1" si="567"/>
        <v>4220</v>
      </c>
      <c r="M210" s="18">
        <f t="shared" ca="1" si="539"/>
        <v>7185</v>
      </c>
      <c r="N210" s="19">
        <f t="shared" ca="1" si="540"/>
        <v>193.85472727272696</v>
      </c>
      <c r="O210" s="16">
        <v>9877</v>
      </c>
      <c r="P210" s="20">
        <f t="shared" ca="1" si="541"/>
        <v>0.72744760554824339</v>
      </c>
      <c r="Q210" s="21">
        <v>1.5</v>
      </c>
      <c r="R210" s="20">
        <f t="shared" ca="1" si="542"/>
        <v>0.74876438245071475</v>
      </c>
      <c r="S210" s="22">
        <f t="shared" ca="1" si="543"/>
        <v>1.1231465736760722</v>
      </c>
      <c r="T210" s="21">
        <f ca="1">F210/26.155</f>
        <v>244.58826228254597</v>
      </c>
      <c r="U210" s="21">
        <f t="shared" ca="1" si="544"/>
        <v>7.4117655237135143</v>
      </c>
      <c r="V210" s="18">
        <f t="shared" ca="1" si="545"/>
        <v>217.72727272727272</v>
      </c>
      <c r="W210" s="76"/>
      <c r="X210" s="8">
        <v>1</v>
      </c>
      <c r="Y210" s="8" t="s">
        <v>26</v>
      </c>
      <c r="Z210" s="8">
        <f t="shared" ref="Z210:AI210" si="579">SUM(D195)</f>
        <v>20</v>
      </c>
      <c r="AA210" s="9">
        <f t="shared" ca="1" si="579"/>
        <v>20</v>
      </c>
      <c r="AB210" s="11">
        <f t="shared" ca="1" si="579"/>
        <v>3892.6619999999998</v>
      </c>
      <c r="AC210" s="9">
        <f t="shared" ca="1" si="579"/>
        <v>1815</v>
      </c>
      <c r="AD210" s="9">
        <f t="shared" ca="1" si="579"/>
        <v>0</v>
      </c>
      <c r="AE210" s="9">
        <f t="shared" ca="1" si="579"/>
        <v>1815</v>
      </c>
      <c r="AF210" s="9">
        <f t="shared" ca="1" si="579"/>
        <v>2642</v>
      </c>
      <c r="AG210" s="9">
        <f t="shared" ca="1" si="579"/>
        <v>0</v>
      </c>
      <c r="AH210" s="9">
        <f t="shared" ca="1" si="579"/>
        <v>2642</v>
      </c>
      <c r="AI210" s="9">
        <f t="shared" ca="1" si="579"/>
        <v>4457</v>
      </c>
      <c r="AJ210" s="11">
        <f t="shared" ref="AJ210:AJ216" ca="1" si="580">AB210/AA210</f>
        <v>194.63309999999998</v>
      </c>
      <c r="AK210" s="8">
        <f>SUM(O195)</f>
        <v>5161</v>
      </c>
      <c r="AL210" s="12">
        <f t="shared" ref="AL210:AL216" ca="1" si="581">AI210/AK210</f>
        <v>0.86359232706839761</v>
      </c>
      <c r="AM210" s="13">
        <f>SUM(Q195)</f>
        <v>1.5</v>
      </c>
      <c r="AN210" s="12">
        <f t="shared" ref="AN210:AN216" ca="1" si="582">AO210/AM210</f>
        <v>0.76331655132999821</v>
      </c>
      <c r="AO210" s="14">
        <f t="shared" ref="AO210:AO216" ca="1" si="583">AI210/AB210</f>
        <v>1.1449748269949973</v>
      </c>
      <c r="AP210" s="13">
        <f t="shared" ref="AP210:AQ210" ca="1" si="584">SUM(T195)</f>
        <v>270.04245577523415</v>
      </c>
      <c r="AQ210" s="13">
        <f t="shared" ca="1" si="584"/>
        <v>13.502122788761707</v>
      </c>
      <c r="AR210" s="9">
        <f t="shared" ref="AR210:AR216" ca="1" si="585">AI210/AA210</f>
        <v>222.85</v>
      </c>
      <c r="AS210" s="76"/>
      <c r="AT210" s="76"/>
    </row>
    <row r="211" spans="1:46" ht="15.75" customHeight="1" x14ac:dyDescent="0.25">
      <c r="A211" s="70"/>
      <c r="B211" s="16">
        <v>17</v>
      </c>
      <c r="C211" s="16" t="s">
        <v>29</v>
      </c>
      <c r="D211" s="17">
        <v>30</v>
      </c>
      <c r="E211" s="18">
        <f ca="1">IFERROR(__xludf.DUMMYFUNCTION("COUNT(IMPORTRANGE(""https://docs.google.com/spreadsheets/d/12xcKI0lSnAsjEsxfm9K8Qx0B_89Gzsh816mowItkQao/edit"",""8!d2:d31""))"),29)</f>
        <v>29</v>
      </c>
      <c r="F211" s="23">
        <f ca="1">IFERROR(__xludf.DUMMYFUNCTION("SUM(IMPORTRANGE(""https://docs.google.com/spreadsheets/d/12xcKI0lSnAsjEsxfm9K8Qx0B_89Gzsh816mowItkQao/edit"",""8!Q2:Q31""))"),5832.512)</f>
        <v>5832.5119999999997</v>
      </c>
      <c r="G211" s="18">
        <f ca="1">IFERROR(__xludf.DUMMYFUNCTION("IMPORTRANGE(""https://docs.google.com/spreadsheets/d/12xcKI0lSnAsjEsxfm9K8Qx0B_89Gzsh816mowItkQao/edit"",""8!e38"")"),2425)</f>
        <v>2425</v>
      </c>
      <c r="H211" s="18">
        <f ca="1">IFERROR(__xludf.DUMMYFUNCTION("IMPORTRANGE(""https://docs.google.com/spreadsheets/d/12xcKI0lSnAsjEsxfm9K8Qx0B_89Gzsh816mowItkQao/edit"",""8!e39"")"),0)</f>
        <v>0</v>
      </c>
      <c r="I211" s="18">
        <f t="shared" ca="1" si="537"/>
        <v>2425</v>
      </c>
      <c r="J211" s="18">
        <f ca="1">IFERROR(__xludf.DUMMYFUNCTION("IMPORTRANGE(""https://docs.google.com/spreadsheets/d/12xcKI0lSnAsjEsxfm9K8Qx0B_89Gzsh816mowItkQao/edit"",""8!e42"")"),3165)</f>
        <v>3165</v>
      </c>
      <c r="K211" s="18">
        <f ca="1">IFERROR(__xludf.DUMMYFUNCTION("IMPORTRANGE(""https://docs.google.com/spreadsheets/d/12xcKI0lSnAsjEsxfm9K8Qx0B_89Gzsh816mowItkQao/edit"",""8!e43"")"),0)</f>
        <v>0</v>
      </c>
      <c r="L211" s="18">
        <f t="shared" ca="1" si="567"/>
        <v>3165</v>
      </c>
      <c r="M211" s="18">
        <f t="shared" ca="1" si="539"/>
        <v>5590</v>
      </c>
      <c r="N211" s="19">
        <f t="shared" ca="1" si="540"/>
        <v>201.12110344827585</v>
      </c>
      <c r="O211" s="16">
        <v>9201</v>
      </c>
      <c r="P211" s="20">
        <f t="shared" ca="1" si="541"/>
        <v>0.60754265840669497</v>
      </c>
      <c r="Q211" s="21">
        <v>1.5</v>
      </c>
      <c r="R211" s="20">
        <f t="shared" ca="1" si="542"/>
        <v>0.63894710660975351</v>
      </c>
      <c r="S211" s="22">
        <f t="shared" ca="1" si="543"/>
        <v>0.95842065991463032</v>
      </c>
      <c r="T211" s="21">
        <f ca="1">F211/26.038</f>
        <v>224</v>
      </c>
      <c r="U211" s="21">
        <f t="shared" ca="1" si="544"/>
        <v>7.7241379310344831</v>
      </c>
      <c r="V211" s="18">
        <f t="shared" ca="1" si="545"/>
        <v>192.75862068965517</v>
      </c>
      <c r="W211" s="76"/>
      <c r="X211" s="8">
        <v>2</v>
      </c>
      <c r="Y211" s="8" t="s">
        <v>32</v>
      </c>
      <c r="Z211" s="8">
        <f t="shared" ref="Z211:AI211" si="586">SUM(D198)</f>
        <v>42</v>
      </c>
      <c r="AA211" s="9">
        <f t="shared" ca="1" si="586"/>
        <v>42</v>
      </c>
      <c r="AB211" s="10">
        <f t="shared" ca="1" si="586"/>
        <v>8338.8689999999897</v>
      </c>
      <c r="AC211" s="8">
        <f t="shared" ca="1" si="586"/>
        <v>4406</v>
      </c>
      <c r="AD211" s="8">
        <f t="shared" ca="1" si="586"/>
        <v>57</v>
      </c>
      <c r="AE211" s="9">
        <f t="shared" ca="1" si="586"/>
        <v>4463</v>
      </c>
      <c r="AF211" s="8">
        <f t="shared" ca="1" si="586"/>
        <v>4961</v>
      </c>
      <c r="AG211" s="8">
        <f t="shared" ca="1" si="586"/>
        <v>0</v>
      </c>
      <c r="AH211" s="9">
        <f t="shared" ca="1" si="586"/>
        <v>4961</v>
      </c>
      <c r="AI211" s="9">
        <f t="shared" ca="1" si="586"/>
        <v>9424</v>
      </c>
      <c r="AJ211" s="11">
        <f t="shared" ca="1" si="580"/>
        <v>198.54449999999974</v>
      </c>
      <c r="AK211" s="8">
        <f>SUM(O198)</f>
        <v>13817</v>
      </c>
      <c r="AL211" s="12">
        <f t="shared" ca="1" si="581"/>
        <v>0.6820583339364551</v>
      </c>
      <c r="AM211" s="13">
        <f>SUM(Q198)</f>
        <v>1.5</v>
      </c>
      <c r="AN211" s="12">
        <f t="shared" ca="1" si="582"/>
        <v>0.75341951848226352</v>
      </c>
      <c r="AO211" s="14">
        <f t="shared" ca="1" si="583"/>
        <v>1.1301292777233953</v>
      </c>
      <c r="AP211" s="13">
        <f t="shared" ref="AP211:AQ211" ca="1" si="587">SUM(T198)</f>
        <v>332.37151739806251</v>
      </c>
      <c r="AQ211" s="13">
        <f t="shared" ca="1" si="587"/>
        <v>7.9136075570967268</v>
      </c>
      <c r="AR211" s="9">
        <f t="shared" ca="1" si="585"/>
        <v>224.38095238095238</v>
      </c>
      <c r="AS211" s="76"/>
      <c r="AT211" s="76"/>
    </row>
    <row r="212" spans="1:46" ht="15.75" customHeight="1" x14ac:dyDescent="0.25">
      <c r="A212" s="70"/>
      <c r="B212" s="16">
        <v>18</v>
      </c>
      <c r="C212" s="16" t="s">
        <v>31</v>
      </c>
      <c r="D212" s="17">
        <v>15</v>
      </c>
      <c r="E212" s="18">
        <f ca="1">IFERROR(__xludf.DUMMYFUNCTION("COUNT(IMPORTRANGE(""https://docs.google.com/spreadsheets/d/1fgCFOFzOla4Qim6_-zG-lbYhLCItqv_kZiAHoErRgcM/edit"",""8!d2:d16""))"),15)</f>
        <v>15</v>
      </c>
      <c r="F212" s="19">
        <f ca="1">IFERROR(__xludf.DUMMYFUNCTION("SUM(IMPORTRANGE(""https://docs.google.com/spreadsheets/d/1fgCFOFzOla4Qim6_-zG-lbYhLCItqv_kZiAHoErRgcM/edit"",""8!Q2:Q16""))"),2999.085)</f>
        <v>2999.085</v>
      </c>
      <c r="G212" s="18">
        <f ca="1">IFERROR(__xludf.DUMMYFUNCTION("IMPORTRANGE(""https://docs.google.com/spreadsheets/d/1fgCFOFzOla4Qim6_-zG-lbYhLCItqv_kZiAHoErRgcM/edit"",""8!e23"")"),943)</f>
        <v>943</v>
      </c>
      <c r="H212" s="18">
        <f ca="1">IFERROR(__xludf.DUMMYFUNCTION("IMPORTRANGE(""https://docs.google.com/spreadsheets/d/1fgCFOFzOla4Qim6_-zG-lbYhLCItqv_kZiAHoErRgcM/edit"",""8!e24"")"),47)</f>
        <v>47</v>
      </c>
      <c r="I212" s="18">
        <f t="shared" ca="1" si="537"/>
        <v>990</v>
      </c>
      <c r="J212" s="18">
        <f ca="1">IFERROR(__xludf.DUMMYFUNCTION("IMPORTRANGE(""https://docs.google.com/spreadsheets/d/1fgCFOFzOla4Qim6_-zG-lbYhLCItqv_kZiAHoErRgcM/edit"",""8!e27"")"),1071)</f>
        <v>1071</v>
      </c>
      <c r="K212" s="18">
        <f ca="1">IFERROR(__xludf.DUMMYFUNCTION("IMPORTRANGE(""https://docs.google.com/spreadsheets/d/1fgCFOFzOla4Qim6_-zG-lbYhLCItqv_kZiAHoErRgcM/edit"",""8!e28"")"),0)</f>
        <v>0</v>
      </c>
      <c r="L212" s="18">
        <f t="shared" ca="1" si="567"/>
        <v>1071</v>
      </c>
      <c r="M212" s="18">
        <f t="shared" ca="1" si="539"/>
        <v>2061</v>
      </c>
      <c r="N212" s="19">
        <f t="shared" ca="1" si="540"/>
        <v>199.93899999999999</v>
      </c>
      <c r="O212" s="16">
        <v>2717</v>
      </c>
      <c r="P212" s="20">
        <f t="shared" ca="1" si="541"/>
        <v>0.75855723224144278</v>
      </c>
      <c r="Q212" s="21">
        <v>1.5</v>
      </c>
      <c r="R212" s="20">
        <f t="shared" ca="1" si="542"/>
        <v>0.45813973261844865</v>
      </c>
      <c r="S212" s="22">
        <f t="shared" ca="1" si="543"/>
        <v>0.68720959892767297</v>
      </c>
      <c r="T212" s="21">
        <f ca="1">F212/43.465</f>
        <v>69</v>
      </c>
      <c r="U212" s="21">
        <f t="shared" ca="1" si="544"/>
        <v>4.5999999999999996</v>
      </c>
      <c r="V212" s="18">
        <f t="shared" ca="1" si="545"/>
        <v>137.4</v>
      </c>
      <c r="W212" s="76"/>
      <c r="X212" s="8">
        <v>3</v>
      </c>
      <c r="Y212" s="8" t="s">
        <v>36</v>
      </c>
      <c r="Z212" s="8">
        <f t="shared" ref="Z212:AI212" si="588">SUM(D203)</f>
        <v>24</v>
      </c>
      <c r="AA212" s="9">
        <f t="shared" ca="1" si="588"/>
        <v>24</v>
      </c>
      <c r="AB212" s="10">
        <f t="shared" ca="1" si="588"/>
        <v>4782.6079999999902</v>
      </c>
      <c r="AC212" s="9">
        <f t="shared" ca="1" si="588"/>
        <v>1329</v>
      </c>
      <c r="AD212" s="9">
        <f t="shared" ca="1" si="588"/>
        <v>0</v>
      </c>
      <c r="AE212" s="9">
        <f t="shared" ca="1" si="588"/>
        <v>1329</v>
      </c>
      <c r="AF212" s="9">
        <f t="shared" ca="1" si="588"/>
        <v>1964</v>
      </c>
      <c r="AG212" s="9">
        <f t="shared" ca="1" si="588"/>
        <v>0</v>
      </c>
      <c r="AH212" s="9">
        <f t="shared" ca="1" si="588"/>
        <v>1964</v>
      </c>
      <c r="AI212" s="9">
        <f t="shared" ca="1" si="588"/>
        <v>3293</v>
      </c>
      <c r="AJ212" s="11">
        <f t="shared" ca="1" si="580"/>
        <v>199.27533333333292</v>
      </c>
      <c r="AK212" s="8">
        <f t="shared" ref="AK212:AK215" si="589">SUM(O203)</f>
        <v>4796</v>
      </c>
      <c r="AL212" s="12">
        <f t="shared" ca="1" si="581"/>
        <v>0.68661384487072563</v>
      </c>
      <c r="AM212" s="13">
        <f t="shared" ref="AM212:AM215" si="590">SUM(Q203)</f>
        <v>1.5</v>
      </c>
      <c r="AN212" s="12">
        <f t="shared" ca="1" si="582"/>
        <v>0.45902430919141562</v>
      </c>
      <c r="AO212" s="14">
        <f t="shared" ca="1" si="583"/>
        <v>0.68853646378712341</v>
      </c>
      <c r="AP212" s="13">
        <f t="shared" ref="AP212:AQ212" ca="1" si="591">SUM(T203)</f>
        <v>127.82936868551852</v>
      </c>
      <c r="AQ212" s="13">
        <f t="shared" ca="1" si="591"/>
        <v>5.3262236952299382</v>
      </c>
      <c r="AR212" s="9">
        <f t="shared" ca="1" si="585"/>
        <v>137.20833333333334</v>
      </c>
      <c r="AS212" s="76"/>
      <c r="AT212" s="76"/>
    </row>
    <row r="213" spans="1:46" ht="15.75" customHeight="1" x14ac:dyDescent="0.2">
      <c r="A213" s="70"/>
      <c r="B213" s="98" t="s">
        <v>33</v>
      </c>
      <c r="C213" s="98">
        <v>18</v>
      </c>
      <c r="D213" s="98">
        <f t="shared" ref="D213:M213" si="592">SUM(D195:D212)</f>
        <v>580</v>
      </c>
      <c r="E213" s="74">
        <f t="shared" ca="1" si="592"/>
        <v>564</v>
      </c>
      <c r="F213" s="99">
        <f t="shared" ca="1" si="592"/>
        <v>109683.35399999983</v>
      </c>
      <c r="G213" s="74">
        <f t="shared" ca="1" si="592"/>
        <v>36890</v>
      </c>
      <c r="H213" s="74">
        <f t="shared" ca="1" si="592"/>
        <v>1143</v>
      </c>
      <c r="I213" s="74">
        <f t="shared" ca="1" si="592"/>
        <v>38033</v>
      </c>
      <c r="J213" s="74">
        <f t="shared" ca="1" si="592"/>
        <v>48649</v>
      </c>
      <c r="K213" s="74">
        <f t="shared" ca="1" si="592"/>
        <v>1694</v>
      </c>
      <c r="L213" s="74">
        <f t="shared" ca="1" si="592"/>
        <v>50343</v>
      </c>
      <c r="M213" s="74">
        <f t="shared" ca="1" si="592"/>
        <v>88376</v>
      </c>
      <c r="N213" s="99">
        <f t="shared" ca="1" si="540"/>
        <v>194.47403191489332</v>
      </c>
      <c r="O213" s="98">
        <f>SUM(O195:O212)</f>
        <v>126399</v>
      </c>
      <c r="P213" s="69">
        <f t="shared" ca="1" si="541"/>
        <v>0.69918274669894542</v>
      </c>
      <c r="Q213" s="72">
        <v>1.5</v>
      </c>
      <c r="R213" s="69">
        <f t="shared" ca="1" si="542"/>
        <v>0.53715838534016225</v>
      </c>
      <c r="S213" s="73">
        <f t="shared" ca="1" si="543"/>
        <v>0.80573757801024337</v>
      </c>
      <c r="T213" s="72">
        <f ca="1">SUM(T195:T212)</f>
        <v>4059.144326295966</v>
      </c>
      <c r="U213" s="72">
        <f t="shared" ca="1" si="544"/>
        <v>7.197064408326181</v>
      </c>
      <c r="V213" s="74">
        <f t="shared" ca="1" si="545"/>
        <v>156.6950354609929</v>
      </c>
      <c r="W213" s="76"/>
      <c r="X213" s="8">
        <v>4</v>
      </c>
      <c r="Y213" s="8" t="s">
        <v>37</v>
      </c>
      <c r="Z213" s="8">
        <f t="shared" ref="Z213:AI213" si="593">SUM(D204)</f>
        <v>30</v>
      </c>
      <c r="AA213" s="9">
        <f t="shared" ca="1" si="593"/>
        <v>28</v>
      </c>
      <c r="AB213" s="10">
        <f t="shared" ca="1" si="593"/>
        <v>5600.3699999999899</v>
      </c>
      <c r="AC213" s="9">
        <f t="shared" ca="1" si="593"/>
        <v>1899</v>
      </c>
      <c r="AD213" s="9">
        <f t="shared" ca="1" si="593"/>
        <v>0</v>
      </c>
      <c r="AE213" s="9">
        <f t="shared" ca="1" si="593"/>
        <v>1899</v>
      </c>
      <c r="AF213" s="9">
        <f t="shared" ca="1" si="593"/>
        <v>2728</v>
      </c>
      <c r="AG213" s="9">
        <f t="shared" ca="1" si="593"/>
        <v>0</v>
      </c>
      <c r="AH213" s="9">
        <f t="shared" ca="1" si="593"/>
        <v>2728</v>
      </c>
      <c r="AI213" s="9">
        <f t="shared" ca="1" si="593"/>
        <v>4627</v>
      </c>
      <c r="AJ213" s="11">
        <f t="shared" ca="1" si="580"/>
        <v>200.01321428571393</v>
      </c>
      <c r="AK213" s="8">
        <f t="shared" si="589"/>
        <v>5887</v>
      </c>
      <c r="AL213" s="12">
        <f t="shared" ca="1" si="581"/>
        <v>0.7859690844233056</v>
      </c>
      <c r="AM213" s="13">
        <f t="shared" si="590"/>
        <v>1.5</v>
      </c>
      <c r="AN213" s="12">
        <f t="shared" ca="1" si="582"/>
        <v>0.55079694139256374</v>
      </c>
      <c r="AO213" s="14">
        <f t="shared" ca="1" si="583"/>
        <v>0.82619541208884562</v>
      </c>
      <c r="AP213" s="13">
        <f t="shared" ref="AP213:AQ213" ca="1" si="594">SUM(T204)</f>
        <v>225.89424007744392</v>
      </c>
      <c r="AQ213" s="13">
        <f t="shared" ca="1" si="594"/>
        <v>8.0676514313372838</v>
      </c>
      <c r="AR213" s="9">
        <f t="shared" ca="1" si="585"/>
        <v>165.25</v>
      </c>
      <c r="AS213" s="76"/>
      <c r="AT213" s="76"/>
    </row>
    <row r="214" spans="1:46" ht="15.75" customHeight="1" x14ac:dyDescent="0.2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6"/>
      <c r="X214" s="8">
        <v>5</v>
      </c>
      <c r="Y214" s="8" t="s">
        <v>39</v>
      </c>
      <c r="Z214" s="8">
        <f t="shared" ref="Z214:AI214" si="595">SUM(D205)</f>
        <v>28</v>
      </c>
      <c r="AA214" s="9">
        <f t="shared" ca="1" si="595"/>
        <v>28</v>
      </c>
      <c r="AB214" s="10">
        <f t="shared" ca="1" si="595"/>
        <v>5597.4780000000001</v>
      </c>
      <c r="AC214" s="9">
        <f t="shared" ca="1" si="595"/>
        <v>1204</v>
      </c>
      <c r="AD214" s="9">
        <f t="shared" ca="1" si="595"/>
        <v>0</v>
      </c>
      <c r="AE214" s="9">
        <f t="shared" ca="1" si="595"/>
        <v>1204</v>
      </c>
      <c r="AF214" s="9">
        <f t="shared" ca="1" si="595"/>
        <v>2029</v>
      </c>
      <c r="AG214" s="9">
        <f t="shared" ca="1" si="595"/>
        <v>0</v>
      </c>
      <c r="AH214" s="9">
        <f t="shared" ca="1" si="595"/>
        <v>2029</v>
      </c>
      <c r="AI214" s="9">
        <f t="shared" ca="1" si="595"/>
        <v>3233</v>
      </c>
      <c r="AJ214" s="11">
        <f t="shared" ca="1" si="580"/>
        <v>199.90992857142857</v>
      </c>
      <c r="AK214" s="8">
        <f t="shared" si="589"/>
        <v>3569</v>
      </c>
      <c r="AL214" s="12">
        <f t="shared" ca="1" si="581"/>
        <v>0.90585598206780615</v>
      </c>
      <c r="AM214" s="13">
        <f t="shared" si="590"/>
        <v>1.5</v>
      </c>
      <c r="AN214" s="12">
        <f t="shared" ca="1" si="582"/>
        <v>0.38505436436433221</v>
      </c>
      <c r="AO214" s="14">
        <f t="shared" ca="1" si="583"/>
        <v>0.57758154654649829</v>
      </c>
      <c r="AP214" s="13">
        <f t="shared" ref="AP214:AQ214" ca="1" si="596">SUM(T205)</f>
        <v>260.79662675301682</v>
      </c>
      <c r="AQ214" s="13">
        <f t="shared" ca="1" si="596"/>
        <v>9.3141652411791718</v>
      </c>
      <c r="AR214" s="9">
        <f t="shared" ca="1" si="585"/>
        <v>115.46428571428571</v>
      </c>
      <c r="AS214" s="76"/>
      <c r="AT214" s="76"/>
    </row>
    <row r="215" spans="1:46" ht="15.75" customHeight="1" x14ac:dyDescent="0.2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6"/>
      <c r="X215" s="8">
        <v>6</v>
      </c>
      <c r="Y215" s="8" t="s">
        <v>41</v>
      </c>
      <c r="Z215" s="8">
        <f t="shared" ref="Z215:AI215" si="597">SUM(D206)</f>
        <v>24</v>
      </c>
      <c r="AA215" s="9">
        <f t="shared" ca="1" si="597"/>
        <v>23</v>
      </c>
      <c r="AB215" s="10">
        <f t="shared" ca="1" si="597"/>
        <v>4704.268</v>
      </c>
      <c r="AC215" s="9">
        <f t="shared" ca="1" si="597"/>
        <v>1199</v>
      </c>
      <c r="AD215" s="9">
        <f t="shared" ca="1" si="597"/>
        <v>65</v>
      </c>
      <c r="AE215" s="9">
        <f t="shared" ca="1" si="597"/>
        <v>1264</v>
      </c>
      <c r="AF215" s="9">
        <f t="shared" ca="1" si="597"/>
        <v>1702</v>
      </c>
      <c r="AG215" s="9">
        <f t="shared" ca="1" si="597"/>
        <v>0</v>
      </c>
      <c r="AH215" s="9">
        <f t="shared" ca="1" si="597"/>
        <v>1702</v>
      </c>
      <c r="AI215" s="9">
        <f t="shared" ca="1" si="597"/>
        <v>2966</v>
      </c>
      <c r="AJ215" s="11">
        <f t="shared" ca="1" si="580"/>
        <v>204.53339130434782</v>
      </c>
      <c r="AK215" s="8">
        <f t="shared" si="589"/>
        <v>3801</v>
      </c>
      <c r="AL215" s="12">
        <f t="shared" ca="1" si="581"/>
        <v>0.78032096816627206</v>
      </c>
      <c r="AM215" s="13">
        <f t="shared" si="590"/>
        <v>1.5</v>
      </c>
      <c r="AN215" s="12">
        <f t="shared" ca="1" si="582"/>
        <v>0.42032752669136481</v>
      </c>
      <c r="AO215" s="14">
        <f t="shared" ca="1" si="583"/>
        <v>0.63049129003704718</v>
      </c>
      <c r="AP215" s="13">
        <f t="shared" ref="AP215:AQ215" ca="1" si="598">SUM(T206)</f>
        <v>158.77777777777777</v>
      </c>
      <c r="AQ215" s="13">
        <f t="shared" ca="1" si="598"/>
        <v>6.9033816425120769</v>
      </c>
      <c r="AR215" s="9">
        <f t="shared" ca="1" si="585"/>
        <v>128.95652173913044</v>
      </c>
      <c r="AS215" s="76"/>
      <c r="AT215" s="76"/>
    </row>
    <row r="216" spans="1:46" ht="15.75" customHeight="1" x14ac:dyDescent="0.25">
      <c r="A216" s="110" t="s">
        <v>45</v>
      </c>
      <c r="B216" s="76"/>
      <c r="C216" s="76"/>
      <c r="D216" s="75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24" t="s">
        <v>33</v>
      </c>
      <c r="Y216" s="24">
        <v>6</v>
      </c>
      <c r="Z216" s="24">
        <f t="shared" ref="Z216:AI216" si="599">SUM(Z210:Z215)</f>
        <v>168</v>
      </c>
      <c r="AA216" s="25">
        <f t="shared" ca="1" si="599"/>
        <v>165</v>
      </c>
      <c r="AB216" s="27">
        <f t="shared" ca="1" si="599"/>
        <v>32916.254999999968</v>
      </c>
      <c r="AC216" s="25">
        <f t="shared" ca="1" si="599"/>
        <v>11852</v>
      </c>
      <c r="AD216" s="25">
        <f t="shared" ca="1" si="599"/>
        <v>122</v>
      </c>
      <c r="AE216" s="25">
        <f t="shared" ca="1" si="599"/>
        <v>11974</v>
      </c>
      <c r="AF216" s="25">
        <f t="shared" ca="1" si="599"/>
        <v>16026</v>
      </c>
      <c r="AG216" s="25">
        <f t="shared" ca="1" si="599"/>
        <v>0</v>
      </c>
      <c r="AH216" s="25">
        <f t="shared" ca="1" si="599"/>
        <v>16026</v>
      </c>
      <c r="AI216" s="25">
        <f t="shared" ca="1" si="599"/>
        <v>28000</v>
      </c>
      <c r="AJ216" s="27">
        <f t="shared" ca="1" si="580"/>
        <v>199.49245454545436</v>
      </c>
      <c r="AK216" s="24">
        <f>SUM(AK210:AK215)</f>
        <v>37031</v>
      </c>
      <c r="AL216" s="28">
        <f t="shared" ca="1" si="581"/>
        <v>0.75612324808943854</v>
      </c>
      <c r="AM216" s="29">
        <v>1.5</v>
      </c>
      <c r="AN216" s="28">
        <f t="shared" ca="1" si="582"/>
        <v>0.56709569988039898</v>
      </c>
      <c r="AO216" s="30">
        <f t="shared" ca="1" si="583"/>
        <v>0.85064354982059853</v>
      </c>
      <c r="AP216" s="29">
        <f ca="1">SUM(AP210:AP215)</f>
        <v>1375.7119864670537</v>
      </c>
      <c r="AQ216" s="29">
        <f ca="1">AP216/AA216</f>
        <v>8.337648402830629</v>
      </c>
      <c r="AR216" s="25">
        <f t="shared" ca="1" si="585"/>
        <v>169.69696969696969</v>
      </c>
      <c r="AS216" s="76"/>
      <c r="AT216" s="76"/>
    </row>
    <row r="217" spans="1:46" ht="15.75" customHeight="1" x14ac:dyDescent="0.2">
      <c r="A217" s="110" t="s">
        <v>45</v>
      </c>
      <c r="B217" s="76"/>
      <c r="C217" s="76"/>
      <c r="D217" s="75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7" t="s">
        <v>1</v>
      </c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9"/>
      <c r="AS217" s="76"/>
      <c r="AT217" s="76"/>
    </row>
    <row r="218" spans="1:46" ht="15.75" customHeight="1" x14ac:dyDescent="0.2">
      <c r="A218" s="109">
        <v>46212</v>
      </c>
      <c r="B218" s="80" t="s">
        <v>2</v>
      </c>
      <c r="C218" s="80" t="s">
        <v>3</v>
      </c>
      <c r="D218" s="80" t="s">
        <v>4</v>
      </c>
      <c r="E218" s="80" t="s">
        <v>5</v>
      </c>
      <c r="F218" s="81" t="s">
        <v>6</v>
      </c>
      <c r="G218" s="80" t="s">
        <v>7</v>
      </c>
      <c r="H218" s="80" t="s">
        <v>8</v>
      </c>
      <c r="I218" s="80" t="s">
        <v>9</v>
      </c>
      <c r="J218" s="80" t="s">
        <v>10</v>
      </c>
      <c r="K218" s="80" t="s">
        <v>11</v>
      </c>
      <c r="L218" s="80" t="s">
        <v>12</v>
      </c>
      <c r="M218" s="80" t="s">
        <v>13</v>
      </c>
      <c r="N218" s="81" t="s">
        <v>14</v>
      </c>
      <c r="O218" s="80" t="s">
        <v>15</v>
      </c>
      <c r="P218" s="80" t="s">
        <v>16</v>
      </c>
      <c r="Q218" s="80" t="s">
        <v>17</v>
      </c>
      <c r="R218" s="80" t="s">
        <v>18</v>
      </c>
      <c r="S218" s="106" t="s">
        <v>19</v>
      </c>
      <c r="T218" s="107" t="s">
        <v>20</v>
      </c>
      <c r="U218" s="107" t="s">
        <v>21</v>
      </c>
      <c r="V218" s="105" t="s">
        <v>22</v>
      </c>
      <c r="W218" s="76"/>
      <c r="X218" s="1" t="s">
        <v>2</v>
      </c>
      <c r="Y218" s="1" t="s">
        <v>3</v>
      </c>
      <c r="Z218" s="1" t="s">
        <v>4</v>
      </c>
      <c r="AA218" s="1" t="s">
        <v>5</v>
      </c>
      <c r="AB218" s="2" t="s">
        <v>6</v>
      </c>
      <c r="AC218" s="1" t="s">
        <v>7</v>
      </c>
      <c r="AD218" s="1" t="s">
        <v>8</v>
      </c>
      <c r="AE218" s="1" t="s">
        <v>9</v>
      </c>
      <c r="AF218" s="1" t="s">
        <v>10</v>
      </c>
      <c r="AG218" s="1" t="s">
        <v>11</v>
      </c>
      <c r="AH218" s="1" t="s">
        <v>12</v>
      </c>
      <c r="AI218" s="1" t="s">
        <v>13</v>
      </c>
      <c r="AJ218" s="2" t="s">
        <v>14</v>
      </c>
      <c r="AK218" s="1" t="s">
        <v>15</v>
      </c>
      <c r="AL218" s="1" t="s">
        <v>16</v>
      </c>
      <c r="AM218" s="3" t="s">
        <v>17</v>
      </c>
      <c r="AN218" s="4" t="s">
        <v>18</v>
      </c>
      <c r="AO218" s="5" t="s">
        <v>19</v>
      </c>
      <c r="AP218" s="6" t="s">
        <v>20</v>
      </c>
      <c r="AQ218" s="6" t="s">
        <v>21</v>
      </c>
      <c r="AR218" s="7" t="s">
        <v>22</v>
      </c>
      <c r="AS218" s="76"/>
      <c r="AT218" s="76"/>
    </row>
    <row r="219" spans="1:46" ht="15.75" customHeight="1" x14ac:dyDescent="0.2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6"/>
      <c r="X219" s="8">
        <v>1</v>
      </c>
      <c r="Y219" s="8" t="s">
        <v>23</v>
      </c>
      <c r="Z219" s="8">
        <f t="shared" ref="Z219:AI219" si="600">SUM(D227)</f>
        <v>35</v>
      </c>
      <c r="AA219" s="9">
        <f t="shared" ca="1" si="600"/>
        <v>34</v>
      </c>
      <c r="AB219" s="10">
        <f t="shared" ca="1" si="600"/>
        <v>6781.7399999999898</v>
      </c>
      <c r="AC219" s="9">
        <f t="shared" ca="1" si="600"/>
        <v>1654</v>
      </c>
      <c r="AD219" s="9">
        <f t="shared" ca="1" si="600"/>
        <v>50</v>
      </c>
      <c r="AE219" s="9">
        <f t="shared" ca="1" si="600"/>
        <v>1704</v>
      </c>
      <c r="AF219" s="9">
        <f t="shared" ca="1" si="600"/>
        <v>2854</v>
      </c>
      <c r="AG219" s="9">
        <f t="shared" ca="1" si="600"/>
        <v>0</v>
      </c>
      <c r="AH219" s="9">
        <f t="shared" ca="1" si="600"/>
        <v>2854</v>
      </c>
      <c r="AI219" s="9">
        <f t="shared" ca="1" si="600"/>
        <v>4558</v>
      </c>
      <c r="AJ219" s="11">
        <f t="shared" ref="AJ219:AJ221" ca="1" si="601">AB219/AA219</f>
        <v>199.46294117647028</v>
      </c>
      <c r="AK219" s="8">
        <f>SUM(O227)</f>
        <v>6853</v>
      </c>
      <c r="AL219" s="12">
        <f t="shared" ref="AL219:AL225" ca="1" si="602">AI219/AK219</f>
        <v>0.66511017072814826</v>
      </c>
      <c r="AM219" s="13">
        <f t="shared" ref="AM219:AM221" si="603">SUM(Q227)</f>
        <v>1.5</v>
      </c>
      <c r="AN219" s="12">
        <f t="shared" ref="AN219:AN225" ca="1" si="604">AO219/AM219</f>
        <v>0.44806593391469907</v>
      </c>
      <c r="AO219" s="14">
        <f t="shared" ref="AO219:AO225" ca="1" si="605">AI219/AB219</f>
        <v>0.6720989008720486</v>
      </c>
      <c r="AP219" s="13">
        <f t="shared" ref="AP219:AQ219" ca="1" si="606">SUM(T227)</f>
        <v>200.99999999999969</v>
      </c>
      <c r="AQ219" s="13">
        <f t="shared" ca="1" si="606"/>
        <v>5.9117647058823435</v>
      </c>
      <c r="AR219" s="9">
        <f t="shared" ref="AR219:AR225" ca="1" si="607">AI219/AA219</f>
        <v>134.05882352941177</v>
      </c>
      <c r="AS219" s="76"/>
      <c r="AT219" s="76"/>
    </row>
    <row r="220" spans="1:46" ht="15.75" customHeight="1" x14ac:dyDescent="0.2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6"/>
      <c r="X220" s="8">
        <v>2</v>
      </c>
      <c r="Y220" s="8" t="s">
        <v>24</v>
      </c>
      <c r="Z220" s="8">
        <f t="shared" ref="Z220:AI220" si="608">SUM(D228)</f>
        <v>44</v>
      </c>
      <c r="AA220" s="9">
        <f t="shared" ca="1" si="608"/>
        <v>43</v>
      </c>
      <c r="AB220" s="10">
        <f t="shared" ca="1" si="608"/>
        <v>7847.15199999999</v>
      </c>
      <c r="AC220" s="9">
        <f t="shared" ca="1" si="608"/>
        <v>986</v>
      </c>
      <c r="AD220" s="9">
        <f t="shared" ca="1" si="608"/>
        <v>21</v>
      </c>
      <c r="AE220" s="9">
        <f t="shared" ca="1" si="608"/>
        <v>1007</v>
      </c>
      <c r="AF220" s="9">
        <f t="shared" ca="1" si="608"/>
        <v>1230</v>
      </c>
      <c r="AG220" s="9">
        <f t="shared" ca="1" si="608"/>
        <v>41</v>
      </c>
      <c r="AH220" s="9">
        <f t="shared" ca="1" si="608"/>
        <v>1271</v>
      </c>
      <c r="AI220" s="9">
        <f t="shared" ca="1" si="608"/>
        <v>2278</v>
      </c>
      <c r="AJ220" s="11">
        <f t="shared" ca="1" si="601"/>
        <v>182.49190697674396</v>
      </c>
      <c r="AK220" s="8">
        <v>1580</v>
      </c>
      <c r="AL220" s="12">
        <f t="shared" ca="1" si="602"/>
        <v>1.4417721518987341</v>
      </c>
      <c r="AM220" s="13">
        <f t="shared" si="603"/>
        <v>1.5</v>
      </c>
      <c r="AN220" s="12">
        <f t="shared" ca="1" si="604"/>
        <v>0.19353093538479549</v>
      </c>
      <c r="AO220" s="14">
        <f t="shared" ca="1" si="605"/>
        <v>0.29029640307719323</v>
      </c>
      <c r="AP220" s="13">
        <f t="shared" ref="AP220:AQ220" ca="1" si="609">SUM(T228)</f>
        <v>292.7495616489457</v>
      </c>
      <c r="AQ220" s="13">
        <f t="shared" ca="1" si="609"/>
        <v>6.8081293406731556</v>
      </c>
      <c r="AR220" s="9">
        <f t="shared" ca="1" si="607"/>
        <v>52.97674418604651</v>
      </c>
      <c r="AS220" s="76"/>
      <c r="AT220" s="76"/>
    </row>
    <row r="221" spans="1:46" ht="15.75" customHeight="1" x14ac:dyDescent="0.2">
      <c r="A221" s="70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6"/>
      <c r="X221" s="8">
        <v>3</v>
      </c>
      <c r="Y221" s="8" t="s">
        <v>25</v>
      </c>
      <c r="Z221" s="8">
        <f t="shared" ref="Z221:AI221" si="610">SUM(D229)</f>
        <v>32</v>
      </c>
      <c r="AA221" s="9">
        <f t="shared" ca="1" si="610"/>
        <v>29</v>
      </c>
      <c r="AB221" s="10">
        <f t="shared" ca="1" si="610"/>
        <v>5841.7120000000004</v>
      </c>
      <c r="AC221" s="9">
        <f t="shared" ca="1" si="610"/>
        <v>2323</v>
      </c>
      <c r="AD221" s="9">
        <f t="shared" ca="1" si="610"/>
        <v>446</v>
      </c>
      <c r="AE221" s="9">
        <f t="shared" ca="1" si="610"/>
        <v>2769</v>
      </c>
      <c r="AF221" s="9">
        <f t="shared" ca="1" si="610"/>
        <v>2574</v>
      </c>
      <c r="AG221" s="9">
        <f t="shared" ca="1" si="610"/>
        <v>454</v>
      </c>
      <c r="AH221" s="9">
        <f t="shared" ca="1" si="610"/>
        <v>3028</v>
      </c>
      <c r="AI221" s="9">
        <f t="shared" ca="1" si="610"/>
        <v>5797</v>
      </c>
      <c r="AJ221" s="11">
        <f t="shared" ca="1" si="601"/>
        <v>201.43834482758623</v>
      </c>
      <c r="AK221" s="8">
        <f>SUM(O229)</f>
        <v>6622</v>
      </c>
      <c r="AL221" s="12">
        <f t="shared" ca="1" si="602"/>
        <v>0.87541528239202659</v>
      </c>
      <c r="AM221" s="13">
        <f t="shared" si="603"/>
        <v>1.5</v>
      </c>
      <c r="AN221" s="12">
        <f t="shared" ca="1" si="604"/>
        <v>0.66156405291234255</v>
      </c>
      <c r="AO221" s="14">
        <f t="shared" ca="1" si="605"/>
        <v>0.99234607936851382</v>
      </c>
      <c r="AP221" s="13">
        <f t="shared" ref="AP221:AQ221" ca="1" si="611">SUM(T229)</f>
        <v>245.03825503355708</v>
      </c>
      <c r="AQ221" s="13">
        <f t="shared" ca="1" si="611"/>
        <v>8.4495950011571406</v>
      </c>
      <c r="AR221" s="9">
        <f t="shared" ca="1" si="607"/>
        <v>199.89655172413794</v>
      </c>
      <c r="AS221" s="76"/>
      <c r="AT221" s="76"/>
    </row>
    <row r="222" spans="1:46" ht="15.75" customHeight="1" x14ac:dyDescent="0.25">
      <c r="A222" s="70"/>
      <c r="B222" s="16">
        <v>1</v>
      </c>
      <c r="C222" s="16" t="s">
        <v>26</v>
      </c>
      <c r="D222" s="17">
        <v>20</v>
      </c>
      <c r="E222" s="18">
        <f ca="1">IFERROR(__xludf.DUMMYFUNCTION("COUNT(IMPORTRANGE(""https://docs.google.com/spreadsheets/d/1z0o91thOT38lgejTE_Bd2p3v_9VCDdQRkUsMIVqpQCk/edit"",""9!d2:d21""))"),20)</f>
        <v>20</v>
      </c>
      <c r="F222" s="19">
        <f ca="1">IFERROR(__xludf.DUMMYFUNCTION("SUM(IMPORTRANGE(""https://docs.google.com/spreadsheets/d/1z0o91thOT38lgejTE_Bd2p3v_9VCDdQRkUsMIVqpQCk/edit"",""9!Q2:Q21""))"),3885.37799999999)</f>
        <v>3885.3779999999902</v>
      </c>
      <c r="G222" s="18">
        <f ca="1">IFERROR(__xludf.DUMMYFUNCTION("IMPORTRANGE(""https://docs.google.com/spreadsheets/d/1z0o91thOT38lgejTE_Bd2p3v_9VCDdQRkUsMIVqpQCk/edit"",""9!e28"")"),1983)</f>
        <v>1983</v>
      </c>
      <c r="H222" s="18">
        <f ca="1">IFERROR(__xludf.DUMMYFUNCTION("IMPORTRANGE(""https://docs.google.com/spreadsheets/d/1z0o91thOT38lgejTE_Bd2p3v_9VCDdQRkUsMIVqpQCk/edit"",""9!e29"")"),0)</f>
        <v>0</v>
      </c>
      <c r="I222" s="18">
        <f t="shared" ref="I222:I239" ca="1" si="612">SUM(G222:H222)</f>
        <v>1983</v>
      </c>
      <c r="J222" s="18">
        <f ca="1">IFERROR(__xludf.DUMMYFUNCTION("IMPORTRANGE(""https://docs.google.com/spreadsheets/d/1z0o91thOT38lgejTE_Bd2p3v_9VCDdQRkUsMIVqpQCk/edit"",""9!e32"")"),2588)</f>
        <v>2588</v>
      </c>
      <c r="K222" s="18">
        <f ca="1">IFERROR(__xludf.DUMMYFUNCTION("IMPORTRANGE(""https://docs.google.com/spreadsheets/d/1z0o91thOT38lgejTE_Bd2p3v_9VCDdQRkUsMIVqpQCk/edit"",""9!e33"")"),175)</f>
        <v>175</v>
      </c>
      <c r="L222" s="18">
        <f t="shared" ref="L222:L228" ca="1" si="613">SUM(J222:K222)</f>
        <v>2763</v>
      </c>
      <c r="M222" s="18">
        <f t="shared" ref="M222:M239" ca="1" si="614">SUM(I222+L222)</f>
        <v>4746</v>
      </c>
      <c r="N222" s="19">
        <f t="shared" ref="N222:N240" ca="1" si="615">F222/E222</f>
        <v>194.26889999999952</v>
      </c>
      <c r="O222" s="16">
        <v>5161</v>
      </c>
      <c r="P222" s="20">
        <f t="shared" ref="P222:P240" ca="1" si="616">M222/O222</f>
        <v>0.91958922689401279</v>
      </c>
      <c r="Q222" s="21">
        <v>1.5</v>
      </c>
      <c r="R222" s="20">
        <f t="shared" ref="R222:R240" ca="1" si="617">S222/Q222</f>
        <v>0.81433518180213305</v>
      </c>
      <c r="S222" s="22">
        <f t="shared" ref="S222:S240" ca="1" si="618">M222/F222</f>
        <v>1.2215027727031995</v>
      </c>
      <c r="T222" s="21">
        <f ca="1">F222/14.415</f>
        <v>269.53714880332922</v>
      </c>
      <c r="U222" s="21">
        <f t="shared" ref="U222:U240" ca="1" si="619">T222/E222</f>
        <v>13.47685744016646</v>
      </c>
      <c r="V222" s="18">
        <f t="shared" ref="V222:V240" ca="1" si="620">M222/E222</f>
        <v>237.3</v>
      </c>
      <c r="W222" s="76"/>
      <c r="X222" s="8">
        <v>4</v>
      </c>
      <c r="Y222" s="8" t="s">
        <v>27</v>
      </c>
      <c r="Z222" s="8">
        <f t="shared" ref="Z222:AK222" si="621">SUM(D235)</f>
        <v>30</v>
      </c>
      <c r="AA222" s="9">
        <f t="shared" ca="1" si="621"/>
        <v>29</v>
      </c>
      <c r="AB222" s="10">
        <f t="shared" ca="1" si="621"/>
        <v>5367.7510000000002</v>
      </c>
      <c r="AC222" s="9">
        <f t="shared" ca="1" si="621"/>
        <v>2030</v>
      </c>
      <c r="AD222" s="9">
        <f t="shared" ca="1" si="621"/>
        <v>85</v>
      </c>
      <c r="AE222" s="9">
        <f t="shared" ca="1" si="621"/>
        <v>2115</v>
      </c>
      <c r="AF222" s="9">
        <f t="shared" ca="1" si="621"/>
        <v>2682</v>
      </c>
      <c r="AG222" s="9">
        <f t="shared" ca="1" si="621"/>
        <v>86</v>
      </c>
      <c r="AH222" s="9">
        <f t="shared" ca="1" si="621"/>
        <v>2768</v>
      </c>
      <c r="AI222" s="9">
        <f t="shared" ca="1" si="621"/>
        <v>4883</v>
      </c>
      <c r="AJ222" s="11">
        <f t="shared" ca="1" si="621"/>
        <v>185.09486206896551</v>
      </c>
      <c r="AK222" s="8">
        <f t="shared" si="621"/>
        <v>8101</v>
      </c>
      <c r="AL222" s="12">
        <f t="shared" ca="1" si="602"/>
        <v>0.60276509072953954</v>
      </c>
      <c r="AM222" s="13">
        <f>SUM(Q235)</f>
        <v>1.5</v>
      </c>
      <c r="AN222" s="12">
        <f t="shared" ca="1" si="604"/>
        <v>0.60646131561119976</v>
      </c>
      <c r="AO222" s="14">
        <f t="shared" ca="1" si="605"/>
        <v>0.90969197341679964</v>
      </c>
      <c r="AP222" s="13">
        <f t="shared" ref="AP222:AQ222" ca="1" si="622">SUM(T235)</f>
        <v>268.58899174380787</v>
      </c>
      <c r="AQ222" s="13">
        <f t="shared" ca="1" si="622"/>
        <v>9.2616893704761338</v>
      </c>
      <c r="AR222" s="9">
        <f t="shared" ca="1" si="607"/>
        <v>168.37931034482759</v>
      </c>
      <c r="AS222" s="76"/>
      <c r="AT222" s="76"/>
    </row>
    <row r="223" spans="1:46" ht="15.75" customHeight="1" x14ac:dyDescent="0.25">
      <c r="A223" s="70"/>
      <c r="B223" s="16">
        <v>2</v>
      </c>
      <c r="C223" s="16" t="s">
        <v>28</v>
      </c>
      <c r="D223" s="17">
        <v>33</v>
      </c>
      <c r="E223" s="18">
        <f ca="1">IFERROR(__xludf.DUMMYFUNCTION("COUNT(IMPORTRANGE(""https://docs.google.com/spreadsheets/d/10a85iNN0y9GF6ngQfF1JXGAzFk-T7ywH4-TZtQcOTaE/edit"",""9!d2:d34""))"),32)</f>
        <v>32</v>
      </c>
      <c r="F223" s="19">
        <f ca="1">IFERROR(__xludf.DUMMYFUNCTION("SUM(IMPORTRANGE(""https://docs.google.com/spreadsheets/d/10a85iNN0y9GF6ngQfF1JXGAzFk-T7ywH4-TZtQcOTaE/edit"",""9!Q2:Q34""))"),6295.929)</f>
        <v>6295.9290000000001</v>
      </c>
      <c r="G223" s="18">
        <f ca="1">IFERROR(__xludf.DUMMYFUNCTION("IMPORTRANGE(""https://docs.google.com/spreadsheets/d/10a85iNN0y9GF6ngQfF1JXGAzFk-T7ywH4-TZtQcOTaE/edit"",""9!e41"")"),1959)</f>
        <v>1959</v>
      </c>
      <c r="H223" s="18">
        <f ca="1">IFERROR(__xludf.DUMMYFUNCTION("IMPORTRANGE(""https://docs.google.com/spreadsheets/d/10a85iNN0y9GF6ngQfF1JXGAzFk-T7ywH4-TZtQcOTaE/edit"",""9!e42"")"),121)</f>
        <v>121</v>
      </c>
      <c r="I223" s="18">
        <f t="shared" ca="1" si="612"/>
        <v>2080</v>
      </c>
      <c r="J223" s="18">
        <f ca="1">IFERROR(__xludf.DUMMYFUNCTION("IMPORTRANGE(""https://docs.google.com/spreadsheets/d/10a85iNN0y9GF6ngQfF1JXGAzFk-T7ywH4-TZtQcOTaE/edit"",""9!e45"")"),2478)</f>
        <v>2478</v>
      </c>
      <c r="K223" s="18">
        <f ca="1">IFERROR(__xludf.DUMMYFUNCTION("IMPORTRANGE(""https://docs.google.com/spreadsheets/d/10a85iNN0y9GF6ngQfF1JXGAzFk-T7ywH4-TZtQcOTaE/edit"",""9!e46"")"),196)</f>
        <v>196</v>
      </c>
      <c r="L223" s="18">
        <f t="shared" ca="1" si="613"/>
        <v>2674</v>
      </c>
      <c r="M223" s="18">
        <f t="shared" ca="1" si="614"/>
        <v>4754</v>
      </c>
      <c r="N223" s="19">
        <f t="shared" ca="1" si="615"/>
        <v>196.74778125</v>
      </c>
      <c r="O223" s="16">
        <v>7315</v>
      </c>
      <c r="P223" s="20">
        <f t="shared" ca="1" si="616"/>
        <v>0.64989747095010253</v>
      </c>
      <c r="Q223" s="21">
        <v>1.5</v>
      </c>
      <c r="R223" s="20">
        <f t="shared" ca="1" si="617"/>
        <v>0.50339407152357241</v>
      </c>
      <c r="S223" s="22">
        <f t="shared" ca="1" si="618"/>
        <v>0.75509110728535855</v>
      </c>
      <c r="T223" s="21">
        <f ca="1">F223/30.897</f>
        <v>203.77153121662298</v>
      </c>
      <c r="U223" s="21">
        <f t="shared" ca="1" si="619"/>
        <v>6.367860350519468</v>
      </c>
      <c r="V223" s="18">
        <f t="shared" ca="1" si="620"/>
        <v>148.5625</v>
      </c>
      <c r="W223" s="76"/>
      <c r="X223" s="8">
        <v>5</v>
      </c>
      <c r="Y223" s="8" t="s">
        <v>29</v>
      </c>
      <c r="Z223" s="8">
        <f t="shared" ref="Z223:AI223" si="623">SUM(D238)</f>
        <v>30</v>
      </c>
      <c r="AA223" s="9">
        <f t="shared" ca="1" si="623"/>
        <v>28</v>
      </c>
      <c r="AB223" s="10">
        <f t="shared" ca="1" si="623"/>
        <v>5520.0559999999996</v>
      </c>
      <c r="AC223" s="9">
        <f t="shared" ca="1" si="623"/>
        <v>2384</v>
      </c>
      <c r="AD223" s="9">
        <f t="shared" ca="1" si="623"/>
        <v>0</v>
      </c>
      <c r="AE223" s="9">
        <f t="shared" ca="1" si="623"/>
        <v>2384</v>
      </c>
      <c r="AF223" s="9">
        <f t="shared" ca="1" si="623"/>
        <v>3054</v>
      </c>
      <c r="AG223" s="9">
        <f t="shared" ca="1" si="623"/>
        <v>0</v>
      </c>
      <c r="AH223" s="9">
        <f t="shared" ca="1" si="623"/>
        <v>3054</v>
      </c>
      <c r="AI223" s="9">
        <f t="shared" ca="1" si="623"/>
        <v>5438</v>
      </c>
      <c r="AJ223" s="11">
        <f t="shared" ref="AJ223:AJ225" ca="1" si="624">AB223/AA223</f>
        <v>197.14485714285712</v>
      </c>
      <c r="AK223" s="8">
        <f t="shared" ref="AK223:AK224" si="625">SUM(O238)</f>
        <v>9201</v>
      </c>
      <c r="AL223" s="12">
        <f t="shared" ca="1" si="602"/>
        <v>0.59102271492229108</v>
      </c>
      <c r="AM223" s="13">
        <f t="shared" ref="AM223:AM224" si="626">SUM(Q238)</f>
        <v>1.5</v>
      </c>
      <c r="AN223" s="12">
        <f t="shared" ca="1" si="604"/>
        <v>0.65675662227581266</v>
      </c>
      <c r="AO223" s="14">
        <f t="shared" ca="1" si="605"/>
        <v>0.98513493341371905</v>
      </c>
      <c r="AP223" s="13">
        <f t="shared" ref="AP223:AQ223" ca="1" si="627">SUM(T238)</f>
        <v>211.99999999999997</v>
      </c>
      <c r="AQ223" s="13">
        <f t="shared" ca="1" si="627"/>
        <v>7.5714285714285703</v>
      </c>
      <c r="AR223" s="9">
        <f t="shared" ca="1" si="607"/>
        <v>194.21428571428572</v>
      </c>
      <c r="AS223" s="76"/>
      <c r="AT223" s="76"/>
    </row>
    <row r="224" spans="1:46" ht="15.75" customHeight="1" x14ac:dyDescent="0.25">
      <c r="A224" s="70"/>
      <c r="B224" s="16">
        <v>3</v>
      </c>
      <c r="C224" s="16" t="s">
        <v>30</v>
      </c>
      <c r="D224" s="17">
        <v>60</v>
      </c>
      <c r="E224" s="18">
        <f ca="1">IFERROR(__xludf.DUMMYFUNCTION("COUNT(IMPORTRANGE(""https://docs.google.com/spreadsheets/d/1WojVzHhpzodJL1e5UDHeu3A3u5MTSZwvxHu0BrwvL9w/edit"",""9!d2:d61""))"),59)</f>
        <v>59</v>
      </c>
      <c r="F224" s="23">
        <f ca="1">IFERROR(__xludf.DUMMYFUNCTION("SUM(IMPORTRANGE(""https://docs.google.com/spreadsheets/d/1WojVzHhpzodJL1e5UDHeu3A3u5MTSZwvxHu0BrwvL9w/edit"",""9!Q2:Q61""))"),11562.0739999999)</f>
        <v>11562.0739999999</v>
      </c>
      <c r="G224" s="18">
        <f ca="1">IFERROR(__xludf.DUMMYFUNCTION("IMPORTRANGE(""https://docs.google.com/spreadsheets/d/1WojVzHhpzodJL1e5UDHeu3A3u5MTSZwvxHu0BrwvL9w/edit"",""9!e68"")"),3220)</f>
        <v>3220</v>
      </c>
      <c r="H224" s="18">
        <f ca="1">IFERROR(__xludf.DUMMYFUNCTION("IMPORTRANGE(""https://docs.google.com/spreadsheets/d/1WojVzHhpzodJL1e5UDHeu3A3u5MTSZwvxHu0BrwvL9w/edit"",""9!e69"")"),0)</f>
        <v>0</v>
      </c>
      <c r="I224" s="18">
        <f t="shared" ca="1" si="612"/>
        <v>3220</v>
      </c>
      <c r="J224" s="18">
        <f ca="1">IFERROR(__xludf.DUMMYFUNCTION("IMPORTRANGE(""https://docs.google.com/spreadsheets/d/1WojVzHhpzodJL1e5UDHeu3A3u5MTSZwvxHu0BrwvL9w/edit"",""9!e72"")"),4483)</f>
        <v>4483</v>
      </c>
      <c r="K224" s="18">
        <f ca="1">IFERROR(__xludf.DUMMYFUNCTION("IMPORTRANGE(""https://docs.google.com/spreadsheets/d/1WojVzHhpzodJL1e5UDHeu3A3u5MTSZwvxHu0BrwvL9w/edit"",""9!e73"")"),143)</f>
        <v>143</v>
      </c>
      <c r="L224" s="18">
        <f t="shared" ca="1" si="613"/>
        <v>4626</v>
      </c>
      <c r="M224" s="18">
        <f t="shared" ca="1" si="614"/>
        <v>7846</v>
      </c>
      <c r="N224" s="19">
        <f t="shared" ca="1" si="615"/>
        <v>195.96735593220171</v>
      </c>
      <c r="O224" s="16">
        <v>11164</v>
      </c>
      <c r="P224" s="20">
        <f t="shared" ca="1" si="616"/>
        <v>0.70279469724113219</v>
      </c>
      <c r="Q224" s="21">
        <v>1.5</v>
      </c>
      <c r="R224" s="20">
        <f t="shared" ca="1" si="617"/>
        <v>0.45239864981548394</v>
      </c>
      <c r="S224" s="22">
        <f t="shared" ca="1" si="618"/>
        <v>0.67859797472322592</v>
      </c>
      <c r="T224" s="21">
        <f ca="1">F224/29.603</f>
        <v>390.57102320710402</v>
      </c>
      <c r="U224" s="21">
        <f t="shared" ca="1" si="619"/>
        <v>6.6198478509678651</v>
      </c>
      <c r="V224" s="18">
        <f t="shared" ca="1" si="620"/>
        <v>132.98305084745763</v>
      </c>
      <c r="W224" s="76"/>
      <c r="X224" s="8">
        <v>6</v>
      </c>
      <c r="Y224" s="8" t="s">
        <v>31</v>
      </c>
      <c r="Z224" s="8">
        <f t="shared" ref="Z224:AI224" si="628">SUM(D239)</f>
        <v>15</v>
      </c>
      <c r="AA224" s="9">
        <f t="shared" ca="1" si="628"/>
        <v>13</v>
      </c>
      <c r="AB224" s="11">
        <f t="shared" ca="1" si="628"/>
        <v>2607.8999999999901</v>
      </c>
      <c r="AC224" s="9">
        <f t="shared" ca="1" si="628"/>
        <v>841</v>
      </c>
      <c r="AD224" s="9">
        <f t="shared" ca="1" si="628"/>
        <v>15</v>
      </c>
      <c r="AE224" s="9">
        <f t="shared" ca="1" si="628"/>
        <v>856</v>
      </c>
      <c r="AF224" s="9">
        <f t="shared" ca="1" si="628"/>
        <v>999</v>
      </c>
      <c r="AG224" s="9">
        <f t="shared" ca="1" si="628"/>
        <v>0</v>
      </c>
      <c r="AH224" s="9">
        <f t="shared" ca="1" si="628"/>
        <v>999</v>
      </c>
      <c r="AI224" s="9">
        <f t="shared" ca="1" si="628"/>
        <v>1855</v>
      </c>
      <c r="AJ224" s="11">
        <f t="shared" ca="1" si="624"/>
        <v>200.60769230769154</v>
      </c>
      <c r="AK224" s="8">
        <f t="shared" si="625"/>
        <v>2717</v>
      </c>
      <c r="AL224" s="12">
        <f t="shared" ca="1" si="602"/>
        <v>0.68273831431726173</v>
      </c>
      <c r="AM224" s="13">
        <f t="shared" si="626"/>
        <v>1.5</v>
      </c>
      <c r="AN224" s="12">
        <f t="shared" ca="1" si="604"/>
        <v>0.47420018661247415</v>
      </c>
      <c r="AO224" s="14">
        <f t="shared" ca="1" si="605"/>
        <v>0.71130027991871125</v>
      </c>
      <c r="AP224" s="13">
        <f t="shared" ref="AP224:AQ224" ca="1" si="629">SUM(T239)</f>
        <v>59.999999999999766</v>
      </c>
      <c r="AQ224" s="13">
        <f t="shared" ca="1" si="629"/>
        <v>4.6153846153845972</v>
      </c>
      <c r="AR224" s="9">
        <f t="shared" ca="1" si="607"/>
        <v>142.69230769230768</v>
      </c>
      <c r="AS224" s="76"/>
      <c r="AT224" s="76"/>
    </row>
    <row r="225" spans="1:46" ht="15.75" customHeight="1" x14ac:dyDescent="0.25">
      <c r="A225" s="70"/>
      <c r="B225" s="16">
        <v>4</v>
      </c>
      <c r="C225" s="16" t="s">
        <v>32</v>
      </c>
      <c r="D225" s="17">
        <v>42</v>
      </c>
      <c r="E225" s="18">
        <f ca="1">IFERROR(__xludf.DUMMYFUNCTION("COUNT(IMPORTRANGE(""https://docs.google.com/spreadsheets/d/1vmCj5YcMSPHj1m64syDndQ6cqVL3yolcU03Y8KHmvdc/edit"",""9!d2:d43""))"),42)</f>
        <v>42</v>
      </c>
      <c r="F225" s="23">
        <f ca="1">IFERROR(__xludf.DUMMYFUNCTION("SUM(IMPORTRANGE(""https://docs.google.com/spreadsheets/d/1vmCj5YcMSPHj1m64syDndQ6cqVL3yolcU03Y8KHmvdc/edit"",""9!Q2:Q43""))"),8366.10699999999)</f>
        <v>8366.1069999999909</v>
      </c>
      <c r="G225" s="16">
        <f ca="1">IFERROR(__xludf.DUMMYFUNCTION("IMPORTRANGE(""https://docs.google.com/spreadsheets/d/1vmCj5YcMSPHj1m64syDndQ6cqVL3yolcU03Y8KHmvdc/edit"",""9!e50"")"),4491)</f>
        <v>4491</v>
      </c>
      <c r="H225" s="16">
        <f ca="1">IFERROR(__xludf.DUMMYFUNCTION("IMPORTRANGE(""https://docs.google.com/spreadsheets/d/1vmCj5YcMSPHj1m64syDndQ6cqVL3yolcU03Y8KHmvdc/edit"",""9!e51"")"),30)</f>
        <v>30</v>
      </c>
      <c r="I225" s="18">
        <f t="shared" ca="1" si="612"/>
        <v>4521</v>
      </c>
      <c r="J225" s="16">
        <f ca="1">IFERROR(__xludf.DUMMYFUNCTION("IMPORTRANGE(""https://docs.google.com/spreadsheets/d/1vmCj5YcMSPHj1m64syDndQ6cqVL3yolcU03Y8KHmvdc/edit"",""9!e54"")"),5058)</f>
        <v>5058</v>
      </c>
      <c r="K225" s="16">
        <f ca="1">IFERROR(__xludf.DUMMYFUNCTION("IMPORTRANGE(""https://docs.google.com/spreadsheets/d/1vmCj5YcMSPHj1m64syDndQ6cqVL3yolcU03Y8KHmvdc/edit"",""9!e55"")"),120)</f>
        <v>120</v>
      </c>
      <c r="L225" s="18">
        <f t="shared" ca="1" si="613"/>
        <v>5178</v>
      </c>
      <c r="M225" s="18">
        <f t="shared" ca="1" si="614"/>
        <v>9699</v>
      </c>
      <c r="N225" s="19">
        <f t="shared" ca="1" si="615"/>
        <v>199.19302380952359</v>
      </c>
      <c r="O225" s="16">
        <v>13817</v>
      </c>
      <c r="P225" s="20">
        <f t="shared" ca="1" si="616"/>
        <v>0.70196135195773324</v>
      </c>
      <c r="Q225" s="21">
        <v>1.5</v>
      </c>
      <c r="R225" s="20">
        <f t="shared" ca="1" si="617"/>
        <v>0.77288038510623958</v>
      </c>
      <c r="S225" s="22">
        <f t="shared" ca="1" si="618"/>
        <v>1.1593205776593594</v>
      </c>
      <c r="T225" s="21">
        <f ca="1">F225/25.089</f>
        <v>333.45717246602061</v>
      </c>
      <c r="U225" s="21">
        <f t="shared" ca="1" si="619"/>
        <v>7.939456487286205</v>
      </c>
      <c r="V225" s="18">
        <f t="shared" ca="1" si="620"/>
        <v>230.92857142857142</v>
      </c>
      <c r="W225" s="76"/>
      <c r="X225" s="24" t="s">
        <v>33</v>
      </c>
      <c r="Y225" s="24">
        <v>6</v>
      </c>
      <c r="Z225" s="24">
        <f t="shared" ref="Z225:AI225" si="630">SUM(Z219:Z224)</f>
        <v>186</v>
      </c>
      <c r="AA225" s="25">
        <f t="shared" ca="1" si="630"/>
        <v>176</v>
      </c>
      <c r="AB225" s="26">
        <f t="shared" ca="1" si="630"/>
        <v>33966.310999999972</v>
      </c>
      <c r="AC225" s="25">
        <f t="shared" ca="1" si="630"/>
        <v>10218</v>
      </c>
      <c r="AD225" s="25">
        <f t="shared" ca="1" si="630"/>
        <v>617</v>
      </c>
      <c r="AE225" s="25">
        <f t="shared" ca="1" si="630"/>
        <v>10835</v>
      </c>
      <c r="AF225" s="25">
        <f t="shared" ca="1" si="630"/>
        <v>13393</v>
      </c>
      <c r="AG225" s="25">
        <f t="shared" ca="1" si="630"/>
        <v>581</v>
      </c>
      <c r="AH225" s="25">
        <f t="shared" ca="1" si="630"/>
        <v>13974</v>
      </c>
      <c r="AI225" s="25">
        <f t="shared" ca="1" si="630"/>
        <v>24809</v>
      </c>
      <c r="AJ225" s="27">
        <f t="shared" ca="1" si="624"/>
        <v>192.99040340909076</v>
      </c>
      <c r="AK225" s="24">
        <f>SUM(AK219:AK224)</f>
        <v>35074</v>
      </c>
      <c r="AL225" s="28">
        <f t="shared" ca="1" si="602"/>
        <v>0.70733306722928668</v>
      </c>
      <c r="AM225" s="29">
        <v>1.5</v>
      </c>
      <c r="AN225" s="28">
        <f t="shared" ca="1" si="604"/>
        <v>0.48693345984299996</v>
      </c>
      <c r="AO225" s="30">
        <f t="shared" ca="1" si="605"/>
        <v>0.73040018976449994</v>
      </c>
      <c r="AP225" s="29">
        <f ca="1">SUM(AP219:AP224)</f>
        <v>1279.3768084263102</v>
      </c>
      <c r="AQ225" s="29">
        <f ca="1">AP225/AA225</f>
        <v>7.2691864115131262</v>
      </c>
      <c r="AR225" s="25">
        <f t="shared" ca="1" si="607"/>
        <v>140.96022727272728</v>
      </c>
      <c r="AS225" s="76"/>
      <c r="AT225" s="76"/>
    </row>
    <row r="226" spans="1:46" ht="15.75" customHeight="1" x14ac:dyDescent="0.25">
      <c r="A226" s="70"/>
      <c r="B226" s="16">
        <v>5</v>
      </c>
      <c r="C226" s="16" t="s">
        <v>34</v>
      </c>
      <c r="D226" s="17">
        <v>40</v>
      </c>
      <c r="E226" s="18">
        <f ca="1">IFERROR(__xludf.DUMMYFUNCTION("COUNT(IMPORTRANGE(""https://docs.google.com/spreadsheets/d/14_Y-fpuq1wcec3DlT_1PBYekOC0YblQMrWVfO12YO3k/edit"",""9!d2:d41""))"),38)</f>
        <v>38</v>
      </c>
      <c r="F226" s="23">
        <f ca="1">IFERROR(__xludf.DUMMYFUNCTION("SUM(IMPORTRANGE(""https://docs.google.com/spreadsheets/d/14_Y-fpuq1wcec3DlT_1PBYekOC0YblQMrWVfO12YO3k/edit"",""9!Q2:Q41""))"),7497.078)</f>
        <v>7497.0780000000004</v>
      </c>
      <c r="G226" s="18">
        <f ca="1">IFERROR(__xludf.DUMMYFUNCTION("IMPORTRANGE(""https://docs.google.com/spreadsheets/d/14_Y-fpuq1wcec3DlT_1PBYekOC0YblQMrWVfO12YO3k/edit"",""9!e48"")"),2443)</f>
        <v>2443</v>
      </c>
      <c r="H226" s="18">
        <f ca="1">IFERROR(__xludf.DUMMYFUNCTION("IMPORTRANGE(""https://docs.google.com/spreadsheets/d/14_Y-fpuq1wcec3DlT_1PBYekOC0YblQMrWVfO12YO3k/edit"",""9!e49"")"),0)</f>
        <v>0</v>
      </c>
      <c r="I226" s="18">
        <f t="shared" ca="1" si="612"/>
        <v>2443</v>
      </c>
      <c r="J226" s="18">
        <f ca="1">IFERROR(__xludf.DUMMYFUNCTION("IMPORTRANGE(""https://docs.google.com/spreadsheets/d/14_Y-fpuq1wcec3DlT_1PBYekOC0YblQMrWVfO12YO3k/edit"",""9!e52"")"),2955)</f>
        <v>2955</v>
      </c>
      <c r="K226" s="18">
        <f ca="1">IFERROR(__xludf.DUMMYFUNCTION("IMPORTRANGE(""https://docs.google.com/spreadsheets/d/14_Y-fpuq1wcec3DlT_1PBYekOC0YblQMrWVfO12YO3k/edit"",""9!e53"")"),0)</f>
        <v>0</v>
      </c>
      <c r="L226" s="18">
        <f t="shared" ca="1" si="613"/>
        <v>2955</v>
      </c>
      <c r="M226" s="18">
        <f t="shared" ca="1" si="614"/>
        <v>5398</v>
      </c>
      <c r="N226" s="19">
        <f t="shared" ca="1" si="615"/>
        <v>197.2915263157895</v>
      </c>
      <c r="O226" s="16">
        <v>9354</v>
      </c>
      <c r="P226" s="20">
        <f t="shared" ca="1" si="616"/>
        <v>0.57707932435321785</v>
      </c>
      <c r="Q226" s="21">
        <v>1.5</v>
      </c>
      <c r="R226" s="20">
        <f t="shared" ca="1" si="617"/>
        <v>0.48000923381971838</v>
      </c>
      <c r="S226" s="22">
        <f t="shared" ca="1" si="618"/>
        <v>0.72001385072957758</v>
      </c>
      <c r="T226" s="21">
        <f ca="1">F226/30.713</f>
        <v>244.10112981473642</v>
      </c>
      <c r="U226" s="21">
        <f t="shared" ca="1" si="619"/>
        <v>6.4237139424930634</v>
      </c>
      <c r="V226" s="18">
        <f t="shared" ca="1" si="620"/>
        <v>142.05263157894737</v>
      </c>
      <c r="W226" s="76"/>
      <c r="X226" s="100" t="s">
        <v>35</v>
      </c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9"/>
      <c r="AS226" s="76"/>
      <c r="AT226" s="76"/>
    </row>
    <row r="227" spans="1:46" ht="15.75" customHeight="1" x14ac:dyDescent="0.25">
      <c r="A227" s="70"/>
      <c r="B227" s="16">
        <v>6</v>
      </c>
      <c r="C227" s="16" t="s">
        <v>23</v>
      </c>
      <c r="D227" s="17">
        <v>35</v>
      </c>
      <c r="E227" s="18">
        <f ca="1">IFERROR(__xludf.DUMMYFUNCTION("COUNT(IMPORTRANGE(""https://docs.google.com/spreadsheets/d/1lJqjdj05V4LOXuBOiTdE65GV4ZITyx1cMLcDdcuoUnE/edit"",""9!d2:d36""))"),34)</f>
        <v>34</v>
      </c>
      <c r="F227" s="23">
        <f ca="1">IFERROR(__xludf.DUMMYFUNCTION("SUM(IMPORTRANGE(""https://docs.google.com/spreadsheets/d/1lJqjdj05V4LOXuBOiTdE65GV4ZITyx1cMLcDdcuoUnE/edit"",""9!Q2:Q36""))"),6781.73999999999)</f>
        <v>6781.7399999999898</v>
      </c>
      <c r="G227" s="18">
        <f ca="1">IFERROR(__xludf.DUMMYFUNCTION("IMPORTRANGE(""https://docs.google.com/spreadsheets/d/1lJqjdj05V4LOXuBOiTdE65GV4ZITyx1cMLcDdcuoUnE/edit"",""9!e43"")"),1654)</f>
        <v>1654</v>
      </c>
      <c r="H227" s="18">
        <f ca="1">IFERROR(__xludf.DUMMYFUNCTION("IMPORTRANGE(""https://docs.google.com/spreadsheets/d/1lJqjdj05V4LOXuBOiTdE65GV4ZITyx1cMLcDdcuoUnE/edit"",""9!e44"")"),50)</f>
        <v>50</v>
      </c>
      <c r="I227" s="18">
        <f t="shared" ca="1" si="612"/>
        <v>1704</v>
      </c>
      <c r="J227" s="18">
        <f ca="1">IFERROR(__xludf.DUMMYFUNCTION("IMPORTRANGE(""https://docs.google.com/spreadsheets/d/1lJqjdj05V4LOXuBOiTdE65GV4ZITyx1cMLcDdcuoUnE/edit"",""9!e47"")"),2854)</f>
        <v>2854</v>
      </c>
      <c r="K227" s="18">
        <f ca="1">IFERROR(__xludf.DUMMYFUNCTION("IMPORTRANGE(""https://docs.google.com/spreadsheets/d/1lJqjdj05V4LOXuBOiTdE65GV4ZITyx1cMLcDdcuoUnE/edit"",""9!e48"")"),0)</f>
        <v>0</v>
      </c>
      <c r="L227" s="18">
        <f t="shared" ca="1" si="613"/>
        <v>2854</v>
      </c>
      <c r="M227" s="18">
        <f t="shared" ca="1" si="614"/>
        <v>4558</v>
      </c>
      <c r="N227" s="19">
        <f t="shared" ca="1" si="615"/>
        <v>199.46294117647028</v>
      </c>
      <c r="O227" s="16">
        <v>6853</v>
      </c>
      <c r="P227" s="20">
        <f t="shared" ca="1" si="616"/>
        <v>0.66511017072814826</v>
      </c>
      <c r="Q227" s="21">
        <v>1.5</v>
      </c>
      <c r="R227" s="20">
        <f t="shared" ca="1" si="617"/>
        <v>0.44806593391469907</v>
      </c>
      <c r="S227" s="22">
        <f t="shared" ca="1" si="618"/>
        <v>0.6720989008720486</v>
      </c>
      <c r="T227" s="21">
        <f ca="1">F227/33.74</f>
        <v>200.99999999999969</v>
      </c>
      <c r="U227" s="21">
        <f t="shared" ca="1" si="619"/>
        <v>5.9117647058823435</v>
      </c>
      <c r="V227" s="18">
        <f t="shared" ca="1" si="620"/>
        <v>134.05882352941177</v>
      </c>
      <c r="W227" s="76"/>
      <c r="X227" s="1" t="s">
        <v>2</v>
      </c>
      <c r="Y227" s="1" t="s">
        <v>3</v>
      </c>
      <c r="Z227" s="1" t="s">
        <v>4</v>
      </c>
      <c r="AA227" s="1" t="s">
        <v>5</v>
      </c>
      <c r="AB227" s="2" t="s">
        <v>6</v>
      </c>
      <c r="AC227" s="1" t="s">
        <v>7</v>
      </c>
      <c r="AD227" s="1" t="s">
        <v>8</v>
      </c>
      <c r="AE227" s="1" t="s">
        <v>9</v>
      </c>
      <c r="AF227" s="1" t="s">
        <v>10</v>
      </c>
      <c r="AG227" s="1" t="s">
        <v>11</v>
      </c>
      <c r="AH227" s="1" t="s">
        <v>12</v>
      </c>
      <c r="AI227" s="1" t="s">
        <v>13</v>
      </c>
      <c r="AJ227" s="2" t="s">
        <v>14</v>
      </c>
      <c r="AK227" s="1" t="s">
        <v>15</v>
      </c>
      <c r="AL227" s="1" t="s">
        <v>16</v>
      </c>
      <c r="AM227" s="3" t="s">
        <v>17</v>
      </c>
      <c r="AN227" s="4" t="s">
        <v>18</v>
      </c>
      <c r="AO227" s="5" t="s">
        <v>19</v>
      </c>
      <c r="AP227" s="6" t="s">
        <v>20</v>
      </c>
      <c r="AQ227" s="6" t="s">
        <v>21</v>
      </c>
      <c r="AR227" s="7" t="s">
        <v>22</v>
      </c>
      <c r="AS227" s="76"/>
      <c r="AT227" s="76"/>
    </row>
    <row r="228" spans="1:46" ht="15.75" customHeight="1" x14ac:dyDescent="0.25">
      <c r="A228" s="70"/>
      <c r="B228" s="16">
        <v>7</v>
      </c>
      <c r="C228" s="16" t="s">
        <v>24</v>
      </c>
      <c r="D228" s="17">
        <v>44</v>
      </c>
      <c r="E228" s="31">
        <f ca="1">IFERROR(__xludf.DUMMYFUNCTION("COUNT(IMPORTRANGE(""https://docs.google.com/spreadsheets/d/1_7EEO26q9Yq-XhNFiy7I6Zh4Yg6uGjTs9y0UqNvPKcQ/edit"",""9!d2:d45""))"),43)</f>
        <v>43</v>
      </c>
      <c r="F228" s="32">
        <f ca="1">IFERROR(__xludf.DUMMYFUNCTION("SUM(IMPORTRANGE(""https://docs.google.com/spreadsheets/d/1_7EEO26q9Yq-XhNFiy7I6Zh4Yg6uGjTs9y0UqNvPKcQ/edit"",""9!Q2:Q45""))"),7847.15199999999)</f>
        <v>7847.15199999999</v>
      </c>
      <c r="G228" s="31">
        <f ca="1">IFERROR(__xludf.DUMMYFUNCTION("IMPORTRANGE(""https://docs.google.com/spreadsheets/d/1_7EEO26q9Yq-XhNFiy7I6Zh4Yg6uGjTs9y0UqNvPKcQ/edit"",""9!e53"")"),986)</f>
        <v>986</v>
      </c>
      <c r="H228" s="31">
        <f ca="1">IFERROR(__xludf.DUMMYFUNCTION("IMPORTRANGE(""https://docs.google.com/spreadsheets/d/1_7EEO26q9Yq-XhNFiy7I6Zh4Yg6uGjTs9y0UqNvPKcQ/edit"",""9!e54"")"),21)</f>
        <v>21</v>
      </c>
      <c r="I228" s="31">
        <f t="shared" ca="1" si="612"/>
        <v>1007</v>
      </c>
      <c r="J228" s="31">
        <f ca="1">IFERROR(__xludf.DUMMYFUNCTION("IMPORTRANGE(""https://docs.google.com/spreadsheets/d/1_7EEO26q9Yq-XhNFiy7I6Zh4Yg6uGjTs9y0UqNvPKcQ/edit"",""9!e57"")"),1230)</f>
        <v>1230</v>
      </c>
      <c r="K228" s="31">
        <f ca="1">IFERROR(__xludf.DUMMYFUNCTION("IMPORTRANGE(""https://docs.google.com/spreadsheets/d/1_7EEO26q9Yq-XhNFiy7I6Zh4Yg6uGjTs9y0UqNvPKcQ/edit"",""9!e58"")"),41)</f>
        <v>41</v>
      </c>
      <c r="L228" s="18">
        <f t="shared" ca="1" si="613"/>
        <v>1271</v>
      </c>
      <c r="M228" s="18">
        <f t="shared" ca="1" si="614"/>
        <v>2278</v>
      </c>
      <c r="N228" s="19">
        <f t="shared" ca="1" si="615"/>
        <v>182.49190697674396</v>
      </c>
      <c r="O228" s="16">
        <v>1580</v>
      </c>
      <c r="P228" s="20">
        <f t="shared" ca="1" si="616"/>
        <v>1.4417721518987341</v>
      </c>
      <c r="Q228" s="21">
        <v>1.5</v>
      </c>
      <c r="R228" s="20">
        <f t="shared" ca="1" si="617"/>
        <v>0.19353093538479549</v>
      </c>
      <c r="S228" s="22">
        <f t="shared" ca="1" si="618"/>
        <v>0.29029640307719323</v>
      </c>
      <c r="T228" s="21">
        <f ca="1">F228/26.805</f>
        <v>292.7495616489457</v>
      </c>
      <c r="U228" s="21">
        <f t="shared" ca="1" si="619"/>
        <v>6.8081293406731556</v>
      </c>
      <c r="V228" s="18">
        <f t="shared" ca="1" si="620"/>
        <v>52.97674418604651</v>
      </c>
      <c r="W228" s="76"/>
      <c r="X228" s="8">
        <v>1</v>
      </c>
      <c r="Y228" s="8" t="s">
        <v>28</v>
      </c>
      <c r="Z228" s="8">
        <f t="shared" ref="Z228:AI228" si="631">SUM(D223)</f>
        <v>33</v>
      </c>
      <c r="AA228" s="9">
        <f t="shared" ca="1" si="631"/>
        <v>32</v>
      </c>
      <c r="AB228" s="11">
        <f t="shared" ca="1" si="631"/>
        <v>6295.9290000000001</v>
      </c>
      <c r="AC228" s="9">
        <f t="shared" ca="1" si="631"/>
        <v>1959</v>
      </c>
      <c r="AD228" s="9">
        <f t="shared" ca="1" si="631"/>
        <v>121</v>
      </c>
      <c r="AE228" s="9">
        <f t="shared" ca="1" si="631"/>
        <v>2080</v>
      </c>
      <c r="AF228" s="9">
        <f t="shared" ca="1" si="631"/>
        <v>2478</v>
      </c>
      <c r="AG228" s="9">
        <f t="shared" ca="1" si="631"/>
        <v>196</v>
      </c>
      <c r="AH228" s="9">
        <f t="shared" ca="1" si="631"/>
        <v>2674</v>
      </c>
      <c r="AI228" s="9">
        <f t="shared" ca="1" si="631"/>
        <v>4754</v>
      </c>
      <c r="AJ228" s="11">
        <f t="shared" ref="AJ228:AJ234" ca="1" si="632">AB228/AA228</f>
        <v>196.74778125</v>
      </c>
      <c r="AK228" s="8">
        <f t="shared" ref="AK228:AK229" si="633">SUM(O223)</f>
        <v>7315</v>
      </c>
      <c r="AL228" s="12">
        <f t="shared" ref="AL228:AL234" ca="1" si="634">AI228/AK228</f>
        <v>0.64989747095010253</v>
      </c>
      <c r="AM228" s="13">
        <f t="shared" ref="AM228:AM229" si="635">SUM(Q223)</f>
        <v>1.5</v>
      </c>
      <c r="AN228" s="12">
        <f t="shared" ref="AN228:AN234" ca="1" si="636">AO228/AM228</f>
        <v>0.50339407152357241</v>
      </c>
      <c r="AO228" s="14">
        <f t="shared" ref="AO228:AO234" ca="1" si="637">AI228/AB228</f>
        <v>0.75509110728535855</v>
      </c>
      <c r="AP228" s="13">
        <f t="shared" ref="AP228:AQ228" ca="1" si="638">SUM(T223)</f>
        <v>203.77153121662298</v>
      </c>
      <c r="AQ228" s="13">
        <f t="shared" ca="1" si="638"/>
        <v>6.367860350519468</v>
      </c>
      <c r="AR228" s="9">
        <f t="shared" ref="AR228:AR234" ca="1" si="639">AI228/AA228</f>
        <v>148.5625</v>
      </c>
      <c r="AS228" s="76"/>
      <c r="AT228" s="76"/>
    </row>
    <row r="229" spans="1:46" ht="15.75" customHeight="1" x14ac:dyDescent="0.25">
      <c r="A229" s="70"/>
      <c r="B229" s="16">
        <v>8</v>
      </c>
      <c r="C229" s="16" t="s">
        <v>25</v>
      </c>
      <c r="D229" s="34">
        <v>32</v>
      </c>
      <c r="E229" s="18">
        <f ca="1">IFERROR(__xludf.DUMMYFUNCTION("COUNT(IMPORTRANGE(""https://docs.google.com/spreadsheets/d/1vLOLpiE-XsbnCnwWPcoi87PlUSXfqIAAQn3kvqHfO6s/edit"",""9!d2:D33""))"),29)</f>
        <v>29</v>
      </c>
      <c r="F229" s="23">
        <f ca="1">IFERROR(__xludf.DUMMYFUNCTION("SUM(IMPORTRANGE(""https://docs.google.com/spreadsheets/d/1vLOLpiE-XsbnCnwWPcoi87PlUSXfqIAAQn3kvqHfO6s/edit"",""9!Q2:Q33""))"),5841.712)</f>
        <v>5841.7120000000004</v>
      </c>
      <c r="G229" s="18">
        <f ca="1">IFERROR(__xludf.DUMMYFUNCTION("IMPORTRANGE(""https://docs.google.com/spreadsheets/d/1vLOLpiE-XsbnCnwWPcoi87PlUSXfqIAAQn3kvqHfO6s/edit"",""9!e40"")"),2323)</f>
        <v>2323</v>
      </c>
      <c r="H229" s="18">
        <f ca="1">IFERROR(__xludf.DUMMYFUNCTION("IMPORTRANGE(""https://docs.google.com/spreadsheets/d/1vLOLpiE-XsbnCnwWPcoi87PlUSXfqIAAQn3kvqHfO6s/edit"",""9!e41"")"),446)</f>
        <v>446</v>
      </c>
      <c r="I229" s="18">
        <f t="shared" ca="1" si="612"/>
        <v>2769</v>
      </c>
      <c r="J229" s="18">
        <f ca="1">IFERROR(__xludf.DUMMYFUNCTION("IMPORTRANGE(""https://docs.google.com/spreadsheets/d/1vLOLpiE-XsbnCnwWPcoi87PlUSXfqIAAQn3kvqHfO6s/edit"",""9!e44"")"),2574)</f>
        <v>2574</v>
      </c>
      <c r="K229" s="18">
        <f ca="1">IFERROR(__xludf.DUMMYFUNCTION("IMPORTRANGE(""https://docs.google.com/spreadsheets/d/1vLOLpiE-XsbnCnwWPcoi87PlUSXfqIAAQn3kvqHfO6s/edit"",""9!e45"")"),454)</f>
        <v>454</v>
      </c>
      <c r="L229" s="18">
        <f ca="1">J229+K229</f>
        <v>3028</v>
      </c>
      <c r="M229" s="18">
        <f t="shared" ca="1" si="614"/>
        <v>5797</v>
      </c>
      <c r="N229" s="19">
        <f t="shared" ca="1" si="615"/>
        <v>201.43834482758623</v>
      </c>
      <c r="O229" s="16">
        <v>6622</v>
      </c>
      <c r="P229" s="20">
        <f t="shared" ca="1" si="616"/>
        <v>0.87541528239202659</v>
      </c>
      <c r="Q229" s="21">
        <v>1.5</v>
      </c>
      <c r="R229" s="20">
        <f t="shared" ca="1" si="617"/>
        <v>0.66156405291234255</v>
      </c>
      <c r="S229" s="22">
        <f t="shared" ca="1" si="618"/>
        <v>0.99234607936851382</v>
      </c>
      <c r="T229" s="21">
        <f ca="1">F229/23.84</f>
        <v>245.03825503355708</v>
      </c>
      <c r="U229" s="21">
        <f t="shared" ca="1" si="619"/>
        <v>8.4495950011571406</v>
      </c>
      <c r="V229" s="18">
        <f t="shared" ca="1" si="620"/>
        <v>199.89655172413794</v>
      </c>
      <c r="W229" s="76"/>
      <c r="X229" s="8">
        <v>2</v>
      </c>
      <c r="Y229" s="8" t="s">
        <v>30</v>
      </c>
      <c r="Z229" s="8">
        <f t="shared" ref="Z229:AI229" si="640">SUM(D224)</f>
        <v>60</v>
      </c>
      <c r="AA229" s="9">
        <f t="shared" ca="1" si="640"/>
        <v>59</v>
      </c>
      <c r="AB229" s="10">
        <f t="shared" ca="1" si="640"/>
        <v>11562.0739999999</v>
      </c>
      <c r="AC229" s="9">
        <f t="shared" ca="1" si="640"/>
        <v>3220</v>
      </c>
      <c r="AD229" s="9">
        <f t="shared" ca="1" si="640"/>
        <v>0</v>
      </c>
      <c r="AE229" s="9">
        <f t="shared" ca="1" si="640"/>
        <v>3220</v>
      </c>
      <c r="AF229" s="9">
        <f t="shared" ca="1" si="640"/>
        <v>4483</v>
      </c>
      <c r="AG229" s="9">
        <f t="shared" ca="1" si="640"/>
        <v>143</v>
      </c>
      <c r="AH229" s="9">
        <f t="shared" ca="1" si="640"/>
        <v>4626</v>
      </c>
      <c r="AI229" s="9">
        <f t="shared" ca="1" si="640"/>
        <v>7846</v>
      </c>
      <c r="AJ229" s="11">
        <f t="shared" ca="1" si="632"/>
        <v>195.96735593220171</v>
      </c>
      <c r="AK229" s="8">
        <f t="shared" si="633"/>
        <v>11164</v>
      </c>
      <c r="AL229" s="12">
        <f t="shared" ca="1" si="634"/>
        <v>0.70279469724113219</v>
      </c>
      <c r="AM229" s="13">
        <f t="shared" si="635"/>
        <v>1.5</v>
      </c>
      <c r="AN229" s="12">
        <f t="shared" ca="1" si="636"/>
        <v>0.45239864981548394</v>
      </c>
      <c r="AO229" s="14">
        <f t="shared" ca="1" si="637"/>
        <v>0.67859797472322592</v>
      </c>
      <c r="AP229" s="13">
        <f t="shared" ref="AP229:AQ229" ca="1" si="641">SUM(T224)</f>
        <v>390.57102320710402</v>
      </c>
      <c r="AQ229" s="13">
        <f t="shared" ca="1" si="641"/>
        <v>6.6198478509678651</v>
      </c>
      <c r="AR229" s="9">
        <f t="shared" ca="1" si="639"/>
        <v>132.98305084745763</v>
      </c>
      <c r="AS229" s="76"/>
      <c r="AT229" s="76"/>
    </row>
    <row r="230" spans="1:46" ht="15.75" customHeight="1" x14ac:dyDescent="0.25">
      <c r="A230" s="70"/>
      <c r="B230" s="16">
        <v>9</v>
      </c>
      <c r="C230" s="16" t="s">
        <v>36</v>
      </c>
      <c r="D230" s="34">
        <v>24</v>
      </c>
      <c r="E230" s="18">
        <f ca="1">IFERROR(__xludf.DUMMYFUNCTION("COUNT(IMPORTRANGE(""https://docs.google.com/spreadsheets/d/1WJJVq25XDtGjt-J2JPxeKs3jIvDZtkIREC0lFPXwf74/edit"",""9!d2:d31""))"),24)</f>
        <v>24</v>
      </c>
      <c r="F230" s="23">
        <f ca="1">IFERROR(__xludf.DUMMYFUNCTION("SUM(IMPORTRANGE(""https://docs.google.com/spreadsheets/d/1WJJVq25XDtGjt-J2JPxeKs3jIvDZtkIREC0lFPXwf74/edit"",""9!Q2:Q31""))"),4707.77999999999)</f>
        <v>4707.7799999999897</v>
      </c>
      <c r="G230" s="18">
        <f ca="1">IFERROR(__xludf.DUMMYFUNCTION("IMPORTRANGE(""https://docs.google.com/spreadsheets/d/1WJJVq25XDtGjt-J2JPxeKs3jIvDZtkIREC0lFPXwf74/edit"",""9!e38"")"),1280)</f>
        <v>1280</v>
      </c>
      <c r="H230" s="18">
        <f ca="1">IFERROR(__xludf.DUMMYFUNCTION("IMPORTRANGE(""https://docs.google.com/spreadsheets/d/1WJJVq25XDtGjt-J2JPxeKs3jIvDZtkIREC0lFPXwf74/edit"",""9!e39"")"),0)</f>
        <v>0</v>
      </c>
      <c r="I230" s="18">
        <f t="shared" ca="1" si="612"/>
        <v>1280</v>
      </c>
      <c r="J230" s="18">
        <f ca="1">IFERROR(__xludf.DUMMYFUNCTION("IMPORTRANGE(""https://docs.google.com/spreadsheets/d/1WJJVq25XDtGjt-J2JPxeKs3jIvDZtkIREC0lFPXwf74/edit"",""9!e42"")"),2131)</f>
        <v>2131</v>
      </c>
      <c r="K230" s="18">
        <f ca="1">IFERROR(__xludf.DUMMYFUNCTION("IMPORTRANGE(""https://docs.google.com/spreadsheets/d/1WJJVq25XDtGjt-J2JPxeKs3jIvDZtkIREC0lFPXwf74/edit"",""9!e43"")"),0)</f>
        <v>0</v>
      </c>
      <c r="L230" s="18">
        <f t="shared" ref="L230:L239" ca="1" si="642">SUM(J230:K230)</f>
        <v>2131</v>
      </c>
      <c r="M230" s="18">
        <f t="shared" ca="1" si="614"/>
        <v>3411</v>
      </c>
      <c r="N230" s="19">
        <f t="shared" ca="1" si="615"/>
        <v>196.15749999999957</v>
      </c>
      <c r="O230" s="16">
        <v>4796</v>
      </c>
      <c r="P230" s="20">
        <f t="shared" ca="1" si="616"/>
        <v>0.71121768140116759</v>
      </c>
      <c r="Q230" s="21">
        <v>1.5</v>
      </c>
      <c r="R230" s="20">
        <f t="shared" ca="1" si="617"/>
        <v>0.48303021806456653</v>
      </c>
      <c r="S230" s="22">
        <f t="shared" ca="1" si="618"/>
        <v>0.72454532709684982</v>
      </c>
      <c r="T230" s="21">
        <f ca="1">F230/37.414</f>
        <v>125.82936868551852</v>
      </c>
      <c r="U230" s="21">
        <f t="shared" ca="1" si="619"/>
        <v>5.2428903618966052</v>
      </c>
      <c r="V230" s="18">
        <f t="shared" ca="1" si="620"/>
        <v>142.125</v>
      </c>
      <c r="W230" s="76"/>
      <c r="X230" s="8">
        <v>3</v>
      </c>
      <c r="Y230" s="8" t="s">
        <v>34</v>
      </c>
      <c r="Z230" s="8">
        <f t="shared" ref="Z230:AI230" si="643">SUM(D226)</f>
        <v>40</v>
      </c>
      <c r="AA230" s="9">
        <f t="shared" ca="1" si="643"/>
        <v>38</v>
      </c>
      <c r="AB230" s="10">
        <f t="shared" ca="1" si="643"/>
        <v>7497.0780000000004</v>
      </c>
      <c r="AC230" s="9">
        <f t="shared" ca="1" si="643"/>
        <v>2443</v>
      </c>
      <c r="AD230" s="9">
        <f t="shared" ca="1" si="643"/>
        <v>0</v>
      </c>
      <c r="AE230" s="9">
        <f t="shared" ca="1" si="643"/>
        <v>2443</v>
      </c>
      <c r="AF230" s="9">
        <f t="shared" ca="1" si="643"/>
        <v>2955</v>
      </c>
      <c r="AG230" s="9">
        <f t="shared" ca="1" si="643"/>
        <v>0</v>
      </c>
      <c r="AH230" s="9">
        <f t="shared" ca="1" si="643"/>
        <v>2955</v>
      </c>
      <c r="AI230" s="9">
        <f t="shared" ca="1" si="643"/>
        <v>5398</v>
      </c>
      <c r="AJ230" s="11">
        <f t="shared" ca="1" si="632"/>
        <v>197.2915263157895</v>
      </c>
      <c r="AK230" s="8">
        <f>SUM(O226)</f>
        <v>9354</v>
      </c>
      <c r="AL230" s="12">
        <f t="shared" ca="1" si="634"/>
        <v>0.57707932435321785</v>
      </c>
      <c r="AM230" s="13">
        <f>SUM(Q226)</f>
        <v>1.5</v>
      </c>
      <c r="AN230" s="12">
        <f t="shared" ca="1" si="636"/>
        <v>0.48000923381971838</v>
      </c>
      <c r="AO230" s="14">
        <f t="shared" ca="1" si="637"/>
        <v>0.72001385072957758</v>
      </c>
      <c r="AP230" s="13">
        <f t="shared" ref="AP230:AQ230" ca="1" si="644">SUM(T226)</f>
        <v>244.10112981473642</v>
      </c>
      <c r="AQ230" s="13">
        <f t="shared" ca="1" si="644"/>
        <v>6.4237139424930634</v>
      </c>
      <c r="AR230" s="9">
        <f t="shared" ca="1" si="639"/>
        <v>142.05263157894737</v>
      </c>
      <c r="AS230" s="76"/>
      <c r="AT230" s="76"/>
    </row>
    <row r="231" spans="1:46" ht="15.75" customHeight="1" x14ac:dyDescent="0.25">
      <c r="A231" s="70"/>
      <c r="B231" s="16">
        <v>10</v>
      </c>
      <c r="C231" s="16" t="s">
        <v>37</v>
      </c>
      <c r="D231" s="17">
        <v>30</v>
      </c>
      <c r="E231" s="18">
        <f ca="1">IFERROR(__xludf.DUMMYFUNCTION("COUNT(IMPORTRANGE(""https://docs.google.com/spreadsheets/d/1rJyYfywRpWJW0zvDJHLOJtqUQqffoCGaqTVxxTDgV0k/edit"",""9!d2:d31""))"),29)</f>
        <v>29</v>
      </c>
      <c r="F231" s="23">
        <f ca="1">IFERROR(__xludf.DUMMYFUNCTION("SUM(IMPORTRANGE(""https://docs.google.com/spreadsheets/d/1rJyYfywRpWJW0zvDJHLOJtqUQqffoCGaqTVxxTDgV0k/edit"",""9!Q2:Q31""))"),5688.22799999999)</f>
        <v>5688.2279999999901</v>
      </c>
      <c r="G231" s="18">
        <f ca="1">IFERROR(__xludf.DUMMYFUNCTION("(IMPORTRANGE(""https://docs.google.com/spreadsheets/d/1rJyYfywRpWJW0zvDJHLOJtqUQqffoCGaqTVxxTDgV0k/edit"",""9!e38""))"),1958)</f>
        <v>1958</v>
      </c>
      <c r="H231" s="18">
        <f ca="1">IFERROR(__xludf.DUMMYFUNCTION("(IMPORTRANGE(""https://docs.google.com/spreadsheets/d/1rJyYfywRpWJW0zvDJHLOJtqUQqffoCGaqTVxxTDgV0k/edit"",""9!e39""))"),0)</f>
        <v>0</v>
      </c>
      <c r="I231" s="18">
        <f t="shared" ca="1" si="612"/>
        <v>1958</v>
      </c>
      <c r="J231" s="18">
        <f ca="1">IFERROR(__xludf.DUMMYFUNCTION("(IMPORTRANGE(""https://docs.google.com/spreadsheets/d/1rJyYfywRpWJW0zvDJHLOJtqUQqffoCGaqTVxxTDgV0k/edit"",""9!e42""))"),2554)</f>
        <v>2554</v>
      </c>
      <c r="K231" s="18">
        <f ca="1">IFERROR(__xludf.DUMMYFUNCTION("(IMPORTRANGE(""https://docs.google.com/spreadsheets/d/1rJyYfywRpWJW0zvDJHLOJtqUQqffoCGaqTVxxTDgV0k/edit"",""9!e43""))"),0)</f>
        <v>0</v>
      </c>
      <c r="L231" s="18">
        <f t="shared" ca="1" si="642"/>
        <v>2554</v>
      </c>
      <c r="M231" s="18">
        <f t="shared" ca="1" si="614"/>
        <v>4512</v>
      </c>
      <c r="N231" s="19">
        <f t="shared" ca="1" si="615"/>
        <v>196.14579310344794</v>
      </c>
      <c r="O231" s="16">
        <v>5887</v>
      </c>
      <c r="P231" s="20">
        <f t="shared" ca="1" si="616"/>
        <v>0.76643451673178187</v>
      </c>
      <c r="Q231" s="21">
        <v>1.5</v>
      </c>
      <c r="R231" s="20">
        <f t="shared" ca="1" si="617"/>
        <v>0.52881143301569578</v>
      </c>
      <c r="S231" s="22">
        <f t="shared" ca="1" si="618"/>
        <v>0.79321714952354372</v>
      </c>
      <c r="T231" s="21">
        <f ca="1">F231/24.792</f>
        <v>229.4380445304933</v>
      </c>
      <c r="U231" s="21">
        <f t="shared" ca="1" si="619"/>
        <v>7.9116567079480449</v>
      </c>
      <c r="V231" s="18">
        <f t="shared" ca="1" si="620"/>
        <v>155.58620689655172</v>
      </c>
      <c r="W231" s="76"/>
      <c r="X231" s="8">
        <v>4</v>
      </c>
      <c r="Y231" s="8" t="s">
        <v>38</v>
      </c>
      <c r="Z231" s="8">
        <f t="shared" ref="Z231:AI231" si="645">SUM(D234)</f>
        <v>30</v>
      </c>
      <c r="AA231" s="9">
        <f t="shared" ca="1" si="645"/>
        <v>30</v>
      </c>
      <c r="AB231" s="10">
        <f t="shared" ca="1" si="645"/>
        <v>6140.57599999999</v>
      </c>
      <c r="AC231" s="9">
        <f t="shared" ca="1" si="645"/>
        <v>1829</v>
      </c>
      <c r="AD231" s="9">
        <f t="shared" ca="1" si="645"/>
        <v>0</v>
      </c>
      <c r="AE231" s="9">
        <f t="shared" ca="1" si="645"/>
        <v>1829</v>
      </c>
      <c r="AF231" s="9">
        <f t="shared" ca="1" si="645"/>
        <v>2493</v>
      </c>
      <c r="AG231" s="9">
        <f t="shared" ca="1" si="645"/>
        <v>0</v>
      </c>
      <c r="AH231" s="9">
        <f t="shared" ca="1" si="645"/>
        <v>2493</v>
      </c>
      <c r="AI231" s="9">
        <f t="shared" ca="1" si="645"/>
        <v>4322</v>
      </c>
      <c r="AJ231" s="11">
        <f t="shared" ca="1" si="632"/>
        <v>204.68586666666633</v>
      </c>
      <c r="AK231" s="8">
        <v>7324</v>
      </c>
      <c r="AL231" s="12">
        <f t="shared" ca="1" si="634"/>
        <v>0.59011469142545059</v>
      </c>
      <c r="AM231" s="13">
        <f>SUM(Q234)</f>
        <v>1.5</v>
      </c>
      <c r="AN231" s="12">
        <f t="shared" ca="1" si="636"/>
        <v>0.46922851102784785</v>
      </c>
      <c r="AO231" s="14">
        <f t="shared" ca="1" si="637"/>
        <v>0.7038427665417718</v>
      </c>
      <c r="AP231" s="13">
        <f t="shared" ref="AP231:AQ231" ca="1" si="646">SUM(T234)</f>
        <v>149.02502123528674</v>
      </c>
      <c r="AQ231" s="13">
        <f t="shared" ca="1" si="646"/>
        <v>4.9675007078428912</v>
      </c>
      <c r="AR231" s="9">
        <f t="shared" ca="1" si="639"/>
        <v>144.06666666666666</v>
      </c>
      <c r="AS231" s="76"/>
      <c r="AT231" s="76"/>
    </row>
    <row r="232" spans="1:46" ht="15.75" customHeight="1" x14ac:dyDescent="0.25">
      <c r="A232" s="70"/>
      <c r="B232" s="16">
        <v>12</v>
      </c>
      <c r="C232" s="16" t="s">
        <v>39</v>
      </c>
      <c r="D232" s="17">
        <v>28</v>
      </c>
      <c r="E232" s="18">
        <f ca="1">IFERROR(__xludf.DUMMYFUNCTION("COUNT(IMPORTRANGE(""https://docs.google.com/spreadsheets/d/1uaTn2DZCfr7O1PvovOd0wElzVz8kpl_iPfnrkNPp0Is/edit"",""9!d2:d29""))"),28)</f>
        <v>28</v>
      </c>
      <c r="F232" s="23">
        <f ca="1">IFERROR(__xludf.DUMMYFUNCTION("SUM(IMPORTRANGE(""https://docs.google.com/spreadsheets/d/1uaTn2DZCfr7O1PvovOd0wElzVz8kpl_iPfnrkNPp0Is/edit"",""9!Q2:Q29""))"),5136.933)</f>
        <v>5136.933</v>
      </c>
      <c r="G232" s="18">
        <f ca="1">IFERROR(__xludf.DUMMYFUNCTION("IMPORTRANGE(""https://docs.google.com/spreadsheets/d/1uaTn2DZCfr7O1PvovOd0wElzVz8kpl_iPfnrkNPp0Is/edit"",""9!e36"")"),1138)</f>
        <v>1138</v>
      </c>
      <c r="H232" s="18">
        <f ca="1">IFERROR(__xludf.DUMMYFUNCTION("(IMPORTRANGE(""https://docs.google.com/spreadsheets/d/1uaTn2DZCfr7O1PvovOd0wElzVz8kpl_iPfnrkNPp0Is/edit"",""9!e37""))"),0)</f>
        <v>0</v>
      </c>
      <c r="I232" s="18">
        <f t="shared" ca="1" si="612"/>
        <v>1138</v>
      </c>
      <c r="J232" s="18">
        <f ca="1">IFERROR(__xludf.DUMMYFUNCTION("IMPORTRANGE(""https://docs.google.com/spreadsheets/d/1uaTn2DZCfr7O1PvovOd0wElzVz8kpl_iPfnrkNPp0Is/edit"",""9!e40"")"),1906)</f>
        <v>1906</v>
      </c>
      <c r="K232" s="18">
        <f ca="1">IFERROR(__xludf.DUMMYFUNCTION("IMPORTRANGE(""https://docs.google.com/spreadsheets/d/1uaTn2DZCfr7O1PvovOd0wElzVz8kpl_iPfnrkNPp0Is/edit"",""9!e41"")"),0)</f>
        <v>0</v>
      </c>
      <c r="L232" s="18">
        <f t="shared" ca="1" si="642"/>
        <v>1906</v>
      </c>
      <c r="M232" s="18">
        <f t="shared" ca="1" si="614"/>
        <v>3044</v>
      </c>
      <c r="N232" s="19">
        <f t="shared" ca="1" si="615"/>
        <v>183.46189285714286</v>
      </c>
      <c r="O232" s="16">
        <v>3569</v>
      </c>
      <c r="P232" s="20">
        <f t="shared" ca="1" si="616"/>
        <v>0.85289997198094702</v>
      </c>
      <c r="Q232" s="21">
        <v>1.5</v>
      </c>
      <c r="R232" s="20">
        <f t="shared" ca="1" si="617"/>
        <v>0.39504765457001939</v>
      </c>
      <c r="S232" s="22">
        <f t="shared" ca="1" si="618"/>
        <v>0.59257148185502906</v>
      </c>
      <c r="T232" s="21">
        <f ca="1">F232/21.463</f>
        <v>239.33900200344777</v>
      </c>
      <c r="U232" s="21">
        <f t="shared" ca="1" si="619"/>
        <v>8.5478215001231348</v>
      </c>
      <c r="V232" s="18">
        <f t="shared" ca="1" si="620"/>
        <v>108.71428571428571</v>
      </c>
      <c r="W232" s="76"/>
      <c r="X232" s="8">
        <v>5</v>
      </c>
      <c r="Y232" s="8" t="s">
        <v>40</v>
      </c>
      <c r="Z232" s="8">
        <f t="shared" ref="Z232:AI232" si="647">SUM(D236)</f>
        <v>30</v>
      </c>
      <c r="AA232" s="9">
        <f t="shared" ca="1" si="647"/>
        <v>30</v>
      </c>
      <c r="AB232" s="10">
        <f t="shared" ca="1" si="647"/>
        <v>5872.8129999999901</v>
      </c>
      <c r="AC232" s="9">
        <f t="shared" ca="1" si="647"/>
        <v>3299</v>
      </c>
      <c r="AD232" s="9">
        <f t="shared" ca="1" si="647"/>
        <v>50</v>
      </c>
      <c r="AE232" s="9">
        <f t="shared" ca="1" si="647"/>
        <v>3349</v>
      </c>
      <c r="AF232" s="9">
        <f t="shared" ca="1" si="647"/>
        <v>3664</v>
      </c>
      <c r="AG232" s="9">
        <f t="shared" ca="1" si="647"/>
        <v>149</v>
      </c>
      <c r="AH232" s="9">
        <f t="shared" ca="1" si="647"/>
        <v>3813</v>
      </c>
      <c r="AI232" s="9">
        <f t="shared" ca="1" si="647"/>
        <v>7162</v>
      </c>
      <c r="AJ232" s="11">
        <f t="shared" ca="1" si="632"/>
        <v>195.760433333333</v>
      </c>
      <c r="AK232" s="8">
        <f t="shared" ref="AK232:AK233" si="648">SUM(O236)</f>
        <v>8239</v>
      </c>
      <c r="AL232" s="12">
        <f t="shared" ca="1" si="634"/>
        <v>0.86928025245782259</v>
      </c>
      <c r="AM232" s="13">
        <f t="shared" ref="AM232:AM233" si="649">SUM(Q236)</f>
        <v>1.5</v>
      </c>
      <c r="AN232" s="12">
        <f t="shared" ca="1" si="636"/>
        <v>0.81301186785049595</v>
      </c>
      <c r="AO232" s="14">
        <f t="shared" ca="1" si="637"/>
        <v>1.219517801775744</v>
      </c>
      <c r="AP232" s="13">
        <f t="shared" ref="AP232:AQ232" ca="1" si="650">SUM(T236)</f>
        <v>206.4765671694262</v>
      </c>
      <c r="AQ232" s="13">
        <f t="shared" ca="1" si="650"/>
        <v>6.8825522389808738</v>
      </c>
      <c r="AR232" s="9">
        <f t="shared" ca="1" si="639"/>
        <v>238.73333333333332</v>
      </c>
      <c r="AS232" s="76"/>
      <c r="AT232" s="76"/>
    </row>
    <row r="233" spans="1:46" ht="15.75" customHeight="1" x14ac:dyDescent="0.25">
      <c r="A233" s="70"/>
      <c r="B233" s="16">
        <v>12</v>
      </c>
      <c r="C233" s="16" t="s">
        <v>41</v>
      </c>
      <c r="D233" s="17">
        <v>24</v>
      </c>
      <c r="E233" s="18">
        <f ca="1">IFERROR(__xludf.DUMMYFUNCTION("COUNT(IMPORTRANGE(""https://docs.google.com/spreadsheets/d/1oYscvfOJW7GMkxt8QcupWuzb3ohaYePd3Mt2V2ufHok/edit"",""9!d2:d25""))"),24)</f>
        <v>24</v>
      </c>
      <c r="F233" s="23">
        <f ca="1">IFERROR(__xludf.DUMMYFUNCTION("SUM(IMPORTRANGE(""https://docs.google.com/spreadsheets/d/1oYscvfOJW7GMkxt8QcupWuzb3ohaYePd3Mt2V2ufHok/edit"",""9!Q2:Q25""))"),4793.152)</f>
        <v>4793.152</v>
      </c>
      <c r="G233" s="18">
        <f ca="1">IFERROR(__xludf.DUMMYFUNCTION("IMPORTRANGE(""https://docs.google.com/spreadsheets/d/1oYscvfOJW7GMkxt8QcupWuzb3ohaYePd3Mt2V2ufHok/edit"",""9!e32"")"),1246)</f>
        <v>1246</v>
      </c>
      <c r="H233" s="18">
        <f ca="1">IFERROR(__xludf.DUMMYFUNCTION("IMPORTRANGE(""https://docs.google.com/spreadsheets/d/1oYscvfOJW7GMkxt8QcupWuzb3ohaYePd3Mt2V2ufHok/edit"",""9!e33"")"),0)</f>
        <v>0</v>
      </c>
      <c r="I233" s="18">
        <f t="shared" ca="1" si="612"/>
        <v>1246</v>
      </c>
      <c r="J233" s="18">
        <f ca="1">IFERROR(__xludf.DUMMYFUNCTION("IMPORTRANGE(""https://docs.google.com/spreadsheets/d/1oYscvfOJW7GMkxt8QcupWuzb3ohaYePd3Mt2V2ufHok/edit"",""9!e36"")"),1596)</f>
        <v>1596</v>
      </c>
      <c r="K233" s="18">
        <f ca="1">IFERROR(__xludf.DUMMYFUNCTION("IMPORTRANGE(""https://docs.google.com/spreadsheets/d/1oYscvfOJW7GMkxt8QcupWuzb3ohaYePd3Mt2V2ufHok/edit"",""9!e37"")"),0)</f>
        <v>0</v>
      </c>
      <c r="L233" s="18">
        <f t="shared" ca="1" si="642"/>
        <v>1596</v>
      </c>
      <c r="M233" s="18">
        <f t="shared" ca="1" si="614"/>
        <v>2842</v>
      </c>
      <c r="N233" s="19">
        <f t="shared" ca="1" si="615"/>
        <v>199.71466666666666</v>
      </c>
      <c r="O233" s="16">
        <v>3801</v>
      </c>
      <c r="P233" s="20">
        <f t="shared" ca="1" si="616"/>
        <v>0.74769797421731121</v>
      </c>
      <c r="Q233" s="21">
        <v>1.5</v>
      </c>
      <c r="R233" s="20">
        <f t="shared" ca="1" si="617"/>
        <v>0.3952861638159329</v>
      </c>
      <c r="S233" s="22">
        <f t="shared" ca="1" si="618"/>
        <v>0.59292924572389938</v>
      </c>
      <c r="T233" s="21">
        <f ca="1">F233/29.628</f>
        <v>161.77777777777777</v>
      </c>
      <c r="U233" s="21">
        <f t="shared" ca="1" si="619"/>
        <v>6.7407407407407405</v>
      </c>
      <c r="V233" s="18">
        <f t="shared" ca="1" si="620"/>
        <v>118.41666666666667</v>
      </c>
      <c r="W233" s="76"/>
      <c r="X233" s="8">
        <v>6</v>
      </c>
      <c r="Y233" s="8" t="s">
        <v>42</v>
      </c>
      <c r="Z233" s="8">
        <f t="shared" ref="Z233:AI233" si="651">SUM(D237)</f>
        <v>33</v>
      </c>
      <c r="AA233" s="9">
        <f t="shared" ca="1" si="651"/>
        <v>33</v>
      </c>
      <c r="AB233" s="10">
        <f t="shared" ca="1" si="651"/>
        <v>6129.5009999999902</v>
      </c>
      <c r="AC233" s="9">
        <f t="shared" ca="1" si="651"/>
        <v>2720</v>
      </c>
      <c r="AD233" s="9">
        <f t="shared" ca="1" si="651"/>
        <v>32</v>
      </c>
      <c r="AE233" s="9">
        <f t="shared" ca="1" si="651"/>
        <v>2752</v>
      </c>
      <c r="AF233" s="9">
        <f t="shared" ca="1" si="651"/>
        <v>4283</v>
      </c>
      <c r="AG233" s="9">
        <f t="shared" ca="1" si="651"/>
        <v>42</v>
      </c>
      <c r="AH233" s="9">
        <f t="shared" ca="1" si="651"/>
        <v>4325</v>
      </c>
      <c r="AI233" s="9">
        <f t="shared" ca="1" si="651"/>
        <v>7077</v>
      </c>
      <c r="AJ233" s="11">
        <f t="shared" ca="1" si="632"/>
        <v>185.74245454545425</v>
      </c>
      <c r="AK233" s="8">
        <f t="shared" si="648"/>
        <v>9877</v>
      </c>
      <c r="AL233" s="12">
        <f t="shared" ca="1" si="634"/>
        <v>0.71651311126860384</v>
      </c>
      <c r="AM233" s="13">
        <f t="shared" si="649"/>
        <v>1.5</v>
      </c>
      <c r="AN233" s="12">
        <f t="shared" ca="1" si="636"/>
        <v>0.76972007998693659</v>
      </c>
      <c r="AO233" s="14">
        <f t="shared" ca="1" si="637"/>
        <v>1.1545801199804049</v>
      </c>
      <c r="AP233" s="13">
        <f t="shared" ref="AP233:AQ233" ca="1" si="652">SUM(T237)</f>
        <v>234.35293442936302</v>
      </c>
      <c r="AQ233" s="13">
        <f t="shared" ca="1" si="652"/>
        <v>7.1016040736170609</v>
      </c>
      <c r="AR233" s="9">
        <f t="shared" ca="1" si="639"/>
        <v>214.45454545454547</v>
      </c>
      <c r="AS233" s="76"/>
      <c r="AT233" s="76"/>
    </row>
    <row r="234" spans="1:46" ht="15.75" customHeight="1" x14ac:dyDescent="0.25">
      <c r="A234" s="70"/>
      <c r="B234" s="16">
        <v>13</v>
      </c>
      <c r="C234" s="16" t="s">
        <v>43</v>
      </c>
      <c r="D234" s="17">
        <v>30</v>
      </c>
      <c r="E234" s="18">
        <f ca="1">IFERROR(__xludf.DUMMYFUNCTION("COUNT(IMPORTRANGE(""https://docs.google.com/spreadsheets/d/1AxBmuQEdOYAeRnZ4C8vO6kuTNp7X_SGhpLXuY0n4ln4/edit"",""9!d2:d31""))"),30)</f>
        <v>30</v>
      </c>
      <c r="F234" s="23">
        <f ca="1">IFERROR(__xludf.DUMMYFUNCTION("SUM(IMPORTRANGE(""https://docs.google.com/spreadsheets/d/1AxBmuQEdOYAeRnZ4C8vO6kuTNp7X_SGhpLXuY0n4ln4/edit"",""9!Q2:Q31""))"),6140.57599999999)</f>
        <v>6140.57599999999</v>
      </c>
      <c r="G234" s="18">
        <f ca="1">IFERROR(__xludf.DUMMYFUNCTION("IMPORTRANGE(""https://docs.google.com/spreadsheets/d/1AxBmuQEdOYAeRnZ4C8vO6kuTNp7X_SGhpLXuY0n4ln4/edit"",""9!e38"")"),1829)</f>
        <v>1829</v>
      </c>
      <c r="H234" s="18">
        <f ca="1">IFERROR(__xludf.DUMMYFUNCTION("IMPORTRANGE(""https://docs.google.com/spreadsheets/d/1AxBmuQEdOYAeRnZ4C8vO6kuTNp7X_SGhpLXuY0n4ln4/edit"",""9!e39"")"),0)</f>
        <v>0</v>
      </c>
      <c r="I234" s="18">
        <f t="shared" ca="1" si="612"/>
        <v>1829</v>
      </c>
      <c r="J234" s="18">
        <f ca="1">IFERROR(__xludf.DUMMYFUNCTION("IMPORTRANGE(""https://docs.google.com/spreadsheets/d/1AxBmuQEdOYAeRnZ4C8vO6kuTNp7X_SGhpLXuY0n4ln4/edit"",""9!e42"")"),2493)</f>
        <v>2493</v>
      </c>
      <c r="K234" s="18">
        <f ca="1">IFERROR(__xludf.DUMMYFUNCTION("IMPORTRANGE(""https://docs.google.com/spreadsheets/d/1AxBmuQEdOYAeRnZ4C8vO6kuTNp7X_SGhpLXuY0n4ln4/edit"",""9!e43"")"),0)</f>
        <v>0</v>
      </c>
      <c r="L234" s="18">
        <f t="shared" ca="1" si="642"/>
        <v>2493</v>
      </c>
      <c r="M234" s="18">
        <f t="shared" ca="1" si="614"/>
        <v>4322</v>
      </c>
      <c r="N234" s="19">
        <f t="shared" ca="1" si="615"/>
        <v>204.68586666666633</v>
      </c>
      <c r="O234" s="16">
        <v>8345</v>
      </c>
      <c r="P234" s="20">
        <f t="shared" ca="1" si="616"/>
        <v>0.5179149191132415</v>
      </c>
      <c r="Q234" s="21">
        <v>1.5</v>
      </c>
      <c r="R234" s="20">
        <f t="shared" ca="1" si="617"/>
        <v>0.46922851102784785</v>
      </c>
      <c r="S234" s="22">
        <f t="shared" ca="1" si="618"/>
        <v>0.7038427665417718</v>
      </c>
      <c r="T234" s="21">
        <f ca="1">F234/41.205</f>
        <v>149.02502123528674</v>
      </c>
      <c r="U234" s="21">
        <f t="shared" ca="1" si="619"/>
        <v>4.9675007078428912</v>
      </c>
      <c r="V234" s="18">
        <f t="shared" ca="1" si="620"/>
        <v>144.06666666666666</v>
      </c>
      <c r="W234" s="76"/>
      <c r="X234" s="24" t="s">
        <v>33</v>
      </c>
      <c r="Y234" s="24">
        <v>6</v>
      </c>
      <c r="Z234" s="24">
        <f t="shared" ref="Z234:AI234" si="653">SUM(Z228:Z233)</f>
        <v>226</v>
      </c>
      <c r="AA234" s="25">
        <f t="shared" ca="1" si="653"/>
        <v>222</v>
      </c>
      <c r="AB234" s="27">
        <f t="shared" ca="1" si="653"/>
        <v>43497.970999999874</v>
      </c>
      <c r="AC234" s="25">
        <f t="shared" ca="1" si="653"/>
        <v>15470</v>
      </c>
      <c r="AD234" s="25">
        <f t="shared" ca="1" si="653"/>
        <v>203</v>
      </c>
      <c r="AE234" s="25">
        <f t="shared" ca="1" si="653"/>
        <v>15673</v>
      </c>
      <c r="AF234" s="25">
        <f t="shared" ca="1" si="653"/>
        <v>20356</v>
      </c>
      <c r="AG234" s="25">
        <f t="shared" ca="1" si="653"/>
        <v>530</v>
      </c>
      <c r="AH234" s="25">
        <f t="shared" ca="1" si="653"/>
        <v>20886</v>
      </c>
      <c r="AI234" s="25">
        <f t="shared" ca="1" si="653"/>
        <v>36559</v>
      </c>
      <c r="AJ234" s="27">
        <f t="shared" ca="1" si="632"/>
        <v>195.93680630630573</v>
      </c>
      <c r="AK234" s="24">
        <f>SUM(AK228:AK233)</f>
        <v>53273</v>
      </c>
      <c r="AL234" s="28">
        <f t="shared" ca="1" si="634"/>
        <v>0.68625757888611494</v>
      </c>
      <c r="AM234" s="29">
        <v>1.5</v>
      </c>
      <c r="AN234" s="28">
        <f t="shared" ca="1" si="636"/>
        <v>0.5603173230003472</v>
      </c>
      <c r="AO234" s="30">
        <f t="shared" ca="1" si="637"/>
        <v>0.84047598450052086</v>
      </c>
      <c r="AP234" s="29">
        <f ca="1">SUM(AP228:AP233)</f>
        <v>1428.2982070725393</v>
      </c>
      <c r="AQ234" s="29">
        <f ca="1">AP234/AA234</f>
        <v>6.433775707533961</v>
      </c>
      <c r="AR234" s="25">
        <f t="shared" ca="1" si="639"/>
        <v>164.68018018018017</v>
      </c>
      <c r="AS234" s="76"/>
      <c r="AT234" s="76"/>
    </row>
    <row r="235" spans="1:46" ht="15.75" customHeight="1" x14ac:dyDescent="0.25">
      <c r="A235" s="70"/>
      <c r="B235" s="16">
        <v>14</v>
      </c>
      <c r="C235" s="16" t="s">
        <v>27</v>
      </c>
      <c r="D235" s="17">
        <v>30</v>
      </c>
      <c r="E235" s="18">
        <f ca="1">IFERROR(__xludf.DUMMYFUNCTION("COUNT(IMPORTRANGE(""https://docs.google.com/spreadsheets/d/1LsL4JuXvBtfJ-TVi4NFml9lV_pmd61b789A_nbO-QrA/edit"",""9!d2:d31""))"),29)</f>
        <v>29</v>
      </c>
      <c r="F235" s="23">
        <f ca="1">IFERROR(__xludf.DUMMYFUNCTION("SUM(IMPORTRANGE(""https://docs.google.com/spreadsheets/d/1LsL4JuXvBtfJ-TVi4NFml9lV_pmd61b789A_nbO-QrA/edit"",""9!Q2:Q31""))"),5367.751)</f>
        <v>5367.7510000000002</v>
      </c>
      <c r="G235" s="18">
        <f ca="1">IFERROR(__xludf.DUMMYFUNCTION("IMPORTRANGE(""https://docs.google.com/spreadsheets/d/1LsL4JuXvBtfJ-TVi4NFml9lV_pmd61b789A_nbO-QrA/edit"",""9!e38"")"),2030)</f>
        <v>2030</v>
      </c>
      <c r="H235" s="18">
        <f ca="1">IFERROR(__xludf.DUMMYFUNCTION("IMPORTRANGE(""https://docs.google.com/spreadsheets/d/1LsL4JuXvBtfJ-TVi4NFml9lV_pmd61b789A_nbO-QrA/edit"",""9!e39"")"),85)</f>
        <v>85</v>
      </c>
      <c r="I235" s="18">
        <f t="shared" ca="1" si="612"/>
        <v>2115</v>
      </c>
      <c r="J235" s="18">
        <f ca="1">IFERROR(__xludf.DUMMYFUNCTION("IMPORTRANGE(""https://docs.google.com/spreadsheets/d/1LsL4JuXvBtfJ-TVi4NFml9lV_pmd61b789A_nbO-QrA/edit"",""9!e42"")"),2682)</f>
        <v>2682</v>
      </c>
      <c r="K235" s="18">
        <f ca="1">IFERROR(__xludf.DUMMYFUNCTION("IMPORTRANGE(""https://docs.google.com/spreadsheets/d/1LsL4JuXvBtfJ-TVi4NFml9lV_pmd61b789A_nbO-QrA/edit"",""9!e43"")"),86)</f>
        <v>86</v>
      </c>
      <c r="L235" s="18">
        <f t="shared" ca="1" si="642"/>
        <v>2768</v>
      </c>
      <c r="M235" s="18">
        <f t="shared" ca="1" si="614"/>
        <v>4883</v>
      </c>
      <c r="N235" s="19">
        <f t="shared" ca="1" si="615"/>
        <v>185.09486206896551</v>
      </c>
      <c r="O235" s="16">
        <v>8101</v>
      </c>
      <c r="P235" s="20">
        <f t="shared" ca="1" si="616"/>
        <v>0.60276509072953954</v>
      </c>
      <c r="Q235" s="21">
        <v>1.5</v>
      </c>
      <c r="R235" s="20">
        <f t="shared" ca="1" si="617"/>
        <v>0.60646131561119976</v>
      </c>
      <c r="S235" s="22">
        <f t="shared" ca="1" si="618"/>
        <v>0.90969197341679964</v>
      </c>
      <c r="T235" s="21">
        <f ca="1">F235/19.985</f>
        <v>268.58899174380787</v>
      </c>
      <c r="U235" s="21">
        <f t="shared" ca="1" si="619"/>
        <v>9.2616893704761338</v>
      </c>
      <c r="V235" s="18">
        <f t="shared" ca="1" si="620"/>
        <v>168.37931034482759</v>
      </c>
      <c r="W235" s="76"/>
      <c r="X235" s="97" t="s">
        <v>44</v>
      </c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9"/>
      <c r="AS235" s="76"/>
      <c r="AT235" s="76"/>
    </row>
    <row r="236" spans="1:46" ht="15.75" customHeight="1" x14ac:dyDescent="0.25">
      <c r="A236" s="70"/>
      <c r="B236" s="16">
        <v>15</v>
      </c>
      <c r="C236" s="16" t="s">
        <v>40</v>
      </c>
      <c r="D236" s="17">
        <v>30</v>
      </c>
      <c r="E236" s="18">
        <f ca="1">IFERROR(__xludf.DUMMYFUNCTION("COUNT(IMPORTRANGE(""https://docs.google.com/spreadsheets/d/1Krav0MVlY0vbUNsFRDnb_kR72_tyuGnWBYbGjNZrl18/edit"",""9!d2:d31""))"),30)</f>
        <v>30</v>
      </c>
      <c r="F236" s="23">
        <f ca="1">IFERROR(__xludf.DUMMYFUNCTION("SUM(IMPORTRANGE(""https://docs.google.com/spreadsheets/d/1Krav0MVlY0vbUNsFRDnb_kR72_tyuGnWBYbGjNZrl18/edit"",""9!Q2:Q31""))"),5872.81299999999)</f>
        <v>5872.8129999999901</v>
      </c>
      <c r="G236" s="18">
        <f ca="1">IFERROR(__xludf.DUMMYFUNCTION("IMPORTRANGE(""https://docs.google.com/spreadsheets/d/1Krav0MVlY0vbUNsFRDnb_kR72_tyuGnWBYbGjNZrl18/edit"",""9!e38"")"),3299)</f>
        <v>3299</v>
      </c>
      <c r="H236" s="18">
        <f ca="1">IFERROR(__xludf.DUMMYFUNCTION("IMPORTRANGE(""https://docs.google.com/spreadsheets/d/1Krav0MVlY0vbUNsFRDnb_kR72_tyuGnWBYbGjNZrl18/edit"",""9!e39"")"),50)</f>
        <v>50</v>
      </c>
      <c r="I236" s="18">
        <f t="shared" ca="1" si="612"/>
        <v>3349</v>
      </c>
      <c r="J236" s="18">
        <f ca="1">IFERROR(__xludf.DUMMYFUNCTION("IMPORTRANGE(""https://docs.google.com/spreadsheets/d/1Krav0MVlY0vbUNsFRDnb_kR72_tyuGnWBYbGjNZrl18/edit"",""9!e42"")"),3664)</f>
        <v>3664</v>
      </c>
      <c r="K236" s="18">
        <f ca="1">IFERROR(__xludf.DUMMYFUNCTION("IMPORTRANGE(""https://docs.google.com/spreadsheets/d/1Krav0MVlY0vbUNsFRDnb_kR72_tyuGnWBYbGjNZrl18/edit"",""9!e43"")"),149)</f>
        <v>149</v>
      </c>
      <c r="L236" s="18">
        <f t="shared" ca="1" si="642"/>
        <v>3813</v>
      </c>
      <c r="M236" s="18">
        <f t="shared" ca="1" si="614"/>
        <v>7162</v>
      </c>
      <c r="N236" s="19">
        <f t="shared" ca="1" si="615"/>
        <v>195.760433333333</v>
      </c>
      <c r="O236" s="16">
        <v>8239</v>
      </c>
      <c r="P236" s="20">
        <f t="shared" ca="1" si="616"/>
        <v>0.86928025245782259</v>
      </c>
      <c r="Q236" s="21">
        <v>1.5</v>
      </c>
      <c r="R236" s="20">
        <f t="shared" ca="1" si="617"/>
        <v>0.81301186785049595</v>
      </c>
      <c r="S236" s="22">
        <f t="shared" ca="1" si="618"/>
        <v>1.219517801775744</v>
      </c>
      <c r="T236" s="21">
        <f ca="1">F236/28.443</f>
        <v>206.4765671694262</v>
      </c>
      <c r="U236" s="21">
        <f t="shared" ca="1" si="619"/>
        <v>6.8825522389808738</v>
      </c>
      <c r="V236" s="18">
        <f t="shared" ca="1" si="620"/>
        <v>238.73333333333332</v>
      </c>
      <c r="W236" s="76"/>
      <c r="X236" s="1" t="s">
        <v>2</v>
      </c>
      <c r="Y236" s="1" t="s">
        <v>3</v>
      </c>
      <c r="Z236" s="1" t="s">
        <v>4</v>
      </c>
      <c r="AA236" s="1" t="s">
        <v>5</v>
      </c>
      <c r="AB236" s="2" t="s">
        <v>6</v>
      </c>
      <c r="AC236" s="1" t="s">
        <v>7</v>
      </c>
      <c r="AD236" s="1" t="s">
        <v>8</v>
      </c>
      <c r="AE236" s="1" t="s">
        <v>9</v>
      </c>
      <c r="AF236" s="1" t="s">
        <v>10</v>
      </c>
      <c r="AG236" s="1" t="s">
        <v>11</v>
      </c>
      <c r="AH236" s="1" t="s">
        <v>12</v>
      </c>
      <c r="AI236" s="1" t="s">
        <v>13</v>
      </c>
      <c r="AJ236" s="2" t="s">
        <v>14</v>
      </c>
      <c r="AK236" s="1" t="s">
        <v>15</v>
      </c>
      <c r="AL236" s="1" t="s">
        <v>16</v>
      </c>
      <c r="AM236" s="3" t="s">
        <v>17</v>
      </c>
      <c r="AN236" s="4" t="s">
        <v>18</v>
      </c>
      <c r="AO236" s="5" t="s">
        <v>19</v>
      </c>
      <c r="AP236" s="6" t="s">
        <v>20</v>
      </c>
      <c r="AQ236" s="6" t="s">
        <v>21</v>
      </c>
      <c r="AR236" s="7" t="s">
        <v>22</v>
      </c>
      <c r="AS236" s="76"/>
      <c r="AT236" s="76"/>
    </row>
    <row r="237" spans="1:46" ht="15.75" customHeight="1" x14ac:dyDescent="0.25">
      <c r="A237" s="70"/>
      <c r="B237" s="16">
        <v>16</v>
      </c>
      <c r="C237" s="16" t="s">
        <v>42</v>
      </c>
      <c r="D237" s="17">
        <v>33</v>
      </c>
      <c r="E237" s="18">
        <f ca="1">IFERROR(__xludf.DUMMYFUNCTION("COUNT(IMPORTRANGE(""https://docs.google.com/spreadsheets/d/1uXtm-E8PG0CetlFmSpTX3RK0LNEMnpR-mxbET9AGD6w/edit"",""9!d2:d34""))"),33)</f>
        <v>33</v>
      </c>
      <c r="F237" s="23">
        <f ca="1">IFERROR(__xludf.DUMMYFUNCTION("SUM(IMPORTRANGE(""https://docs.google.com/spreadsheets/d/1uXtm-E8PG0CetlFmSpTX3RK0LNEMnpR-mxbET9AGD6w/edit"",""9!Q2:Q34""))"),6129.50099999999)</f>
        <v>6129.5009999999902</v>
      </c>
      <c r="G237" s="18">
        <f ca="1">IFERROR(__xludf.DUMMYFUNCTION("IMPORTRANGE(""https://docs.google.com/spreadsheets/d/1uXtm-E8PG0CetlFmSpTX3RK0LNEMnpR-mxbET9AGD6w/edit"",""9!e41"")"),2720)</f>
        <v>2720</v>
      </c>
      <c r="H237" s="18">
        <f ca="1">IFERROR(__xludf.DUMMYFUNCTION("IMPORTRANGE(""https://docs.google.com/spreadsheets/d/1uXtm-E8PG0CetlFmSpTX3RK0LNEMnpR-mxbET9AGD6w/edit"",""9!e42"")"),32)</f>
        <v>32</v>
      </c>
      <c r="I237" s="18">
        <f t="shared" ca="1" si="612"/>
        <v>2752</v>
      </c>
      <c r="J237" s="18">
        <f ca="1">IFERROR(__xludf.DUMMYFUNCTION("IMPORTRANGE(""https://docs.google.com/spreadsheets/d/1uXtm-E8PG0CetlFmSpTX3RK0LNEMnpR-mxbET9AGD6w/edit"",""9!e45"")"),4283)</f>
        <v>4283</v>
      </c>
      <c r="K237" s="18">
        <f ca="1">IFERROR(__xludf.DUMMYFUNCTION("IMPORTRANGE(""https://docs.google.com/spreadsheets/d/1uXtm-E8PG0CetlFmSpTX3RK0LNEMnpR-mxbET9AGD6w/edit"",""9!e46"")"),42)</f>
        <v>42</v>
      </c>
      <c r="L237" s="18">
        <f t="shared" ca="1" si="642"/>
        <v>4325</v>
      </c>
      <c r="M237" s="18">
        <f t="shared" ca="1" si="614"/>
        <v>7077</v>
      </c>
      <c r="N237" s="19">
        <f t="shared" ca="1" si="615"/>
        <v>185.74245454545425</v>
      </c>
      <c r="O237" s="16">
        <v>9877</v>
      </c>
      <c r="P237" s="20">
        <f t="shared" ca="1" si="616"/>
        <v>0.71651311126860384</v>
      </c>
      <c r="Q237" s="21">
        <v>1.5</v>
      </c>
      <c r="R237" s="20">
        <f t="shared" ca="1" si="617"/>
        <v>0.76972007998693659</v>
      </c>
      <c r="S237" s="22">
        <f t="shared" ca="1" si="618"/>
        <v>1.1545801199804049</v>
      </c>
      <c r="T237" s="21">
        <f ca="1">F237/26.155</f>
        <v>234.35293442936302</v>
      </c>
      <c r="U237" s="21">
        <f t="shared" ca="1" si="619"/>
        <v>7.1016040736170609</v>
      </c>
      <c r="V237" s="18">
        <f t="shared" ca="1" si="620"/>
        <v>214.45454545454547</v>
      </c>
      <c r="W237" s="76"/>
      <c r="X237" s="8">
        <v>1</v>
      </c>
      <c r="Y237" s="8" t="s">
        <v>26</v>
      </c>
      <c r="Z237" s="8">
        <f t="shared" ref="Z237:AI237" si="654">SUM(D222)</f>
        <v>20</v>
      </c>
      <c r="AA237" s="9">
        <f t="shared" ca="1" si="654"/>
        <v>20</v>
      </c>
      <c r="AB237" s="11">
        <f t="shared" ca="1" si="654"/>
        <v>3885.3779999999902</v>
      </c>
      <c r="AC237" s="9">
        <f t="shared" ca="1" si="654"/>
        <v>1983</v>
      </c>
      <c r="AD237" s="9">
        <f t="shared" ca="1" si="654"/>
        <v>0</v>
      </c>
      <c r="AE237" s="9">
        <f t="shared" ca="1" si="654"/>
        <v>1983</v>
      </c>
      <c r="AF237" s="9">
        <f t="shared" ca="1" si="654"/>
        <v>2588</v>
      </c>
      <c r="AG237" s="9">
        <f t="shared" ca="1" si="654"/>
        <v>175</v>
      </c>
      <c r="AH237" s="9">
        <f t="shared" ca="1" si="654"/>
        <v>2763</v>
      </c>
      <c r="AI237" s="9">
        <f t="shared" ca="1" si="654"/>
        <v>4746</v>
      </c>
      <c r="AJ237" s="11">
        <f t="shared" ref="AJ237:AJ243" ca="1" si="655">AB237/AA237</f>
        <v>194.26889999999952</v>
      </c>
      <c r="AK237" s="8">
        <f>SUM(O222)</f>
        <v>5161</v>
      </c>
      <c r="AL237" s="12">
        <f t="shared" ref="AL237:AL243" ca="1" si="656">AI237/AK237</f>
        <v>0.91958922689401279</v>
      </c>
      <c r="AM237" s="13">
        <f>SUM(Q222)</f>
        <v>1.5</v>
      </c>
      <c r="AN237" s="12">
        <f t="shared" ref="AN237:AN243" ca="1" si="657">AO237/AM237</f>
        <v>0.81433518180213305</v>
      </c>
      <c r="AO237" s="14">
        <f t="shared" ref="AO237:AO243" ca="1" si="658">AI237/AB237</f>
        <v>1.2215027727031995</v>
      </c>
      <c r="AP237" s="13">
        <f t="shared" ref="AP237:AQ237" ca="1" si="659">SUM(T222)</f>
        <v>269.53714880332922</v>
      </c>
      <c r="AQ237" s="13">
        <f t="shared" ca="1" si="659"/>
        <v>13.47685744016646</v>
      </c>
      <c r="AR237" s="9">
        <f t="shared" ref="AR237:AR243" ca="1" si="660">AI237/AA237</f>
        <v>237.3</v>
      </c>
      <c r="AS237" s="76"/>
      <c r="AT237" s="76"/>
    </row>
    <row r="238" spans="1:46" ht="15.75" customHeight="1" x14ac:dyDescent="0.25">
      <c r="A238" s="70"/>
      <c r="B238" s="16">
        <v>17</v>
      </c>
      <c r="C238" s="16" t="s">
        <v>29</v>
      </c>
      <c r="D238" s="17">
        <v>30</v>
      </c>
      <c r="E238" s="18">
        <f ca="1">IFERROR(__xludf.DUMMYFUNCTION("COUNT(IMPORTRANGE(""https://docs.google.com/spreadsheets/d/12xcKI0lSnAsjEsxfm9K8Qx0B_89Gzsh816mowItkQao/edit"",""9!d2:d31""))"),28)</f>
        <v>28</v>
      </c>
      <c r="F238" s="23">
        <f ca="1">IFERROR(__xludf.DUMMYFUNCTION("SUM(IMPORTRANGE(""https://docs.google.com/spreadsheets/d/12xcKI0lSnAsjEsxfm9K8Qx0B_89Gzsh816mowItkQao/edit"",""9!Q2:Q31""))"),5520.056)</f>
        <v>5520.0559999999996</v>
      </c>
      <c r="G238" s="18">
        <f ca="1">IFERROR(__xludf.DUMMYFUNCTION("IMPORTRANGE(""https://docs.google.com/spreadsheets/d/12xcKI0lSnAsjEsxfm9K8Qx0B_89Gzsh816mowItkQao/edit"",""9!e38"")"),2384)</f>
        <v>2384</v>
      </c>
      <c r="H238" s="18">
        <f ca="1">IFERROR(__xludf.DUMMYFUNCTION("IMPORTRANGE(""https://docs.google.com/spreadsheets/d/12xcKI0lSnAsjEsxfm9K8Qx0B_89Gzsh816mowItkQao/edit"",""9!e39"")"),0)</f>
        <v>0</v>
      </c>
      <c r="I238" s="18">
        <f t="shared" ca="1" si="612"/>
        <v>2384</v>
      </c>
      <c r="J238" s="18">
        <f ca="1">IFERROR(__xludf.DUMMYFUNCTION("IMPORTRANGE(""https://docs.google.com/spreadsheets/d/12xcKI0lSnAsjEsxfm9K8Qx0B_89Gzsh816mowItkQao/edit"",""9!e42"")"),3054)</f>
        <v>3054</v>
      </c>
      <c r="K238" s="18">
        <f ca="1">IFERROR(__xludf.DUMMYFUNCTION("IMPORTRANGE(""https://docs.google.com/spreadsheets/d/12xcKI0lSnAsjEsxfm9K8Qx0B_89Gzsh816mowItkQao/edit"",""9!e43"")"),0)</f>
        <v>0</v>
      </c>
      <c r="L238" s="18">
        <f t="shared" ca="1" si="642"/>
        <v>3054</v>
      </c>
      <c r="M238" s="18">
        <f t="shared" ca="1" si="614"/>
        <v>5438</v>
      </c>
      <c r="N238" s="19">
        <f t="shared" ca="1" si="615"/>
        <v>197.14485714285712</v>
      </c>
      <c r="O238" s="16">
        <v>9201</v>
      </c>
      <c r="P238" s="20">
        <f t="shared" ca="1" si="616"/>
        <v>0.59102271492229108</v>
      </c>
      <c r="Q238" s="21">
        <v>1.5</v>
      </c>
      <c r="R238" s="20">
        <f t="shared" ca="1" si="617"/>
        <v>0.65675662227581266</v>
      </c>
      <c r="S238" s="22">
        <f t="shared" ca="1" si="618"/>
        <v>0.98513493341371905</v>
      </c>
      <c r="T238" s="21">
        <f ca="1">F238/26.038</f>
        <v>211.99999999999997</v>
      </c>
      <c r="U238" s="21">
        <f t="shared" ca="1" si="619"/>
        <v>7.5714285714285703</v>
      </c>
      <c r="V238" s="18">
        <f t="shared" ca="1" si="620"/>
        <v>194.21428571428572</v>
      </c>
      <c r="W238" s="76"/>
      <c r="X238" s="8">
        <v>2</v>
      </c>
      <c r="Y238" s="8" t="s">
        <v>32</v>
      </c>
      <c r="Z238" s="8">
        <f t="shared" ref="Z238:AI238" si="661">SUM(D225)</f>
        <v>42</v>
      </c>
      <c r="AA238" s="9">
        <f t="shared" ca="1" si="661"/>
        <v>42</v>
      </c>
      <c r="AB238" s="10">
        <f t="shared" ca="1" si="661"/>
        <v>8366.1069999999909</v>
      </c>
      <c r="AC238" s="8">
        <f t="shared" ca="1" si="661"/>
        <v>4491</v>
      </c>
      <c r="AD238" s="8">
        <f t="shared" ca="1" si="661"/>
        <v>30</v>
      </c>
      <c r="AE238" s="9">
        <f t="shared" ca="1" si="661"/>
        <v>4521</v>
      </c>
      <c r="AF238" s="8">
        <f t="shared" ca="1" si="661"/>
        <v>5058</v>
      </c>
      <c r="AG238" s="8">
        <f t="shared" ca="1" si="661"/>
        <v>120</v>
      </c>
      <c r="AH238" s="9">
        <f t="shared" ca="1" si="661"/>
        <v>5178</v>
      </c>
      <c r="AI238" s="9">
        <f t="shared" ca="1" si="661"/>
        <v>9699</v>
      </c>
      <c r="AJ238" s="11">
        <f t="shared" ca="1" si="655"/>
        <v>199.19302380952359</v>
      </c>
      <c r="AK238" s="8">
        <f>SUM(O225)</f>
        <v>13817</v>
      </c>
      <c r="AL238" s="12">
        <f t="shared" ca="1" si="656"/>
        <v>0.70196135195773324</v>
      </c>
      <c r="AM238" s="13">
        <f>SUM(Q225)</f>
        <v>1.5</v>
      </c>
      <c r="AN238" s="12">
        <f t="shared" ca="1" si="657"/>
        <v>0.77288038510623958</v>
      </c>
      <c r="AO238" s="14">
        <f t="shared" ca="1" si="658"/>
        <v>1.1593205776593594</v>
      </c>
      <c r="AP238" s="13">
        <f t="shared" ref="AP238:AQ238" ca="1" si="662">SUM(T225)</f>
        <v>333.45717246602061</v>
      </c>
      <c r="AQ238" s="13">
        <f t="shared" ca="1" si="662"/>
        <v>7.939456487286205</v>
      </c>
      <c r="AR238" s="9">
        <f t="shared" ca="1" si="660"/>
        <v>230.92857142857142</v>
      </c>
      <c r="AS238" s="76"/>
      <c r="AT238" s="76"/>
    </row>
    <row r="239" spans="1:46" ht="15.75" customHeight="1" x14ac:dyDescent="0.25">
      <c r="A239" s="70"/>
      <c r="B239" s="16">
        <v>18</v>
      </c>
      <c r="C239" s="16" t="s">
        <v>31</v>
      </c>
      <c r="D239" s="17">
        <v>15</v>
      </c>
      <c r="E239" s="18">
        <f ca="1">IFERROR(__xludf.DUMMYFUNCTION("COUNT(IMPORTRANGE(""https://docs.google.com/spreadsheets/d/1fgCFOFzOla4Qim6_-zG-lbYhLCItqv_kZiAHoErRgcM/edit"",""9!d2:d16""))"),13)</f>
        <v>13</v>
      </c>
      <c r="F239" s="19">
        <f ca="1">IFERROR(__xludf.DUMMYFUNCTION("SUM(IMPORTRANGE(""https://docs.google.com/spreadsheets/d/1fgCFOFzOla4Qim6_-zG-lbYhLCItqv_kZiAHoErRgcM/edit"",""9!Q2:Q16""))"),2607.89999999999)</f>
        <v>2607.8999999999901</v>
      </c>
      <c r="G239" s="18">
        <f ca="1">IFERROR(__xludf.DUMMYFUNCTION("IMPORTRANGE(""https://docs.google.com/spreadsheets/d/1fgCFOFzOla4Qim6_-zG-lbYhLCItqv_kZiAHoErRgcM/edit"",""9!e23"")"),841)</f>
        <v>841</v>
      </c>
      <c r="H239" s="18">
        <f ca="1">IFERROR(__xludf.DUMMYFUNCTION("IMPORTRANGE(""https://docs.google.com/spreadsheets/d/1fgCFOFzOla4Qim6_-zG-lbYhLCItqv_kZiAHoErRgcM/edit"",""9!e24"")"),15)</f>
        <v>15</v>
      </c>
      <c r="I239" s="18">
        <f t="shared" ca="1" si="612"/>
        <v>856</v>
      </c>
      <c r="J239" s="18">
        <f ca="1">IFERROR(__xludf.DUMMYFUNCTION("IMPORTRANGE(""https://docs.google.com/spreadsheets/d/1fgCFOFzOla4Qim6_-zG-lbYhLCItqv_kZiAHoErRgcM/edit"",""9!e27"")"),999)</f>
        <v>999</v>
      </c>
      <c r="K239" s="18">
        <f ca="1">IFERROR(__xludf.DUMMYFUNCTION("IMPORTRANGE(""https://docs.google.com/spreadsheets/d/1fgCFOFzOla4Qim6_-zG-lbYhLCItqv_kZiAHoErRgcM/edit"",""9!e28"")"),0)</f>
        <v>0</v>
      </c>
      <c r="L239" s="18">
        <f t="shared" ca="1" si="642"/>
        <v>999</v>
      </c>
      <c r="M239" s="18">
        <f t="shared" ca="1" si="614"/>
        <v>1855</v>
      </c>
      <c r="N239" s="19">
        <f t="shared" ca="1" si="615"/>
        <v>200.60769230769154</v>
      </c>
      <c r="O239" s="16">
        <v>2717</v>
      </c>
      <c r="P239" s="20">
        <f t="shared" ca="1" si="616"/>
        <v>0.68273831431726173</v>
      </c>
      <c r="Q239" s="21">
        <v>1.5</v>
      </c>
      <c r="R239" s="20">
        <f t="shared" ca="1" si="617"/>
        <v>0.47420018661247415</v>
      </c>
      <c r="S239" s="22">
        <f t="shared" ca="1" si="618"/>
        <v>0.71130027991871125</v>
      </c>
      <c r="T239" s="21">
        <f ca="1">F239/43.465</f>
        <v>59.999999999999766</v>
      </c>
      <c r="U239" s="21">
        <f t="shared" ca="1" si="619"/>
        <v>4.6153846153845972</v>
      </c>
      <c r="V239" s="18">
        <f t="shared" ca="1" si="620"/>
        <v>142.69230769230768</v>
      </c>
      <c r="W239" s="76"/>
      <c r="X239" s="8">
        <v>3</v>
      </c>
      <c r="Y239" s="8" t="s">
        <v>36</v>
      </c>
      <c r="Z239" s="8">
        <f t="shared" ref="Z239:AI239" si="663">SUM(D230)</f>
        <v>24</v>
      </c>
      <c r="AA239" s="9">
        <f t="shared" ca="1" si="663"/>
        <v>24</v>
      </c>
      <c r="AB239" s="10">
        <f t="shared" ca="1" si="663"/>
        <v>4707.7799999999897</v>
      </c>
      <c r="AC239" s="9">
        <f t="shared" ca="1" si="663"/>
        <v>1280</v>
      </c>
      <c r="AD239" s="9">
        <f t="shared" ca="1" si="663"/>
        <v>0</v>
      </c>
      <c r="AE239" s="9">
        <f t="shared" ca="1" si="663"/>
        <v>1280</v>
      </c>
      <c r="AF239" s="9">
        <f t="shared" ca="1" si="663"/>
        <v>2131</v>
      </c>
      <c r="AG239" s="9">
        <f t="shared" ca="1" si="663"/>
        <v>0</v>
      </c>
      <c r="AH239" s="9">
        <f t="shared" ca="1" si="663"/>
        <v>2131</v>
      </c>
      <c r="AI239" s="9">
        <f t="shared" ca="1" si="663"/>
        <v>3411</v>
      </c>
      <c r="AJ239" s="11">
        <f t="shared" ca="1" si="655"/>
        <v>196.15749999999957</v>
      </c>
      <c r="AK239" s="8">
        <f t="shared" ref="AK239:AK242" si="664">SUM(O230)</f>
        <v>4796</v>
      </c>
      <c r="AL239" s="12">
        <f t="shared" ca="1" si="656"/>
        <v>0.71121768140116759</v>
      </c>
      <c r="AM239" s="13">
        <f t="shared" ref="AM239:AM242" si="665">SUM(Q230)</f>
        <v>1.5</v>
      </c>
      <c r="AN239" s="12">
        <f t="shared" ca="1" si="657"/>
        <v>0.48303021806456653</v>
      </c>
      <c r="AO239" s="14">
        <f t="shared" ca="1" si="658"/>
        <v>0.72454532709684982</v>
      </c>
      <c r="AP239" s="13">
        <f t="shared" ref="AP239:AQ239" ca="1" si="666">SUM(T230)</f>
        <v>125.82936868551852</v>
      </c>
      <c r="AQ239" s="13">
        <f t="shared" ca="1" si="666"/>
        <v>5.2428903618966052</v>
      </c>
      <c r="AR239" s="9">
        <f t="shared" ca="1" si="660"/>
        <v>142.125</v>
      </c>
      <c r="AS239" s="76"/>
      <c r="AT239" s="76"/>
    </row>
    <row r="240" spans="1:46" ht="15.75" customHeight="1" x14ac:dyDescent="0.2">
      <c r="A240" s="70"/>
      <c r="B240" s="98" t="s">
        <v>33</v>
      </c>
      <c r="C240" s="98">
        <v>18</v>
      </c>
      <c r="D240" s="98">
        <f t="shared" ref="D240:M240" si="667">SUM(D222:D239)</f>
        <v>580</v>
      </c>
      <c r="E240" s="74">
        <f t="shared" ca="1" si="667"/>
        <v>565</v>
      </c>
      <c r="F240" s="99">
        <f t="shared" ca="1" si="667"/>
        <v>110041.85999999981</v>
      </c>
      <c r="G240" s="74">
        <f t="shared" ca="1" si="667"/>
        <v>37784</v>
      </c>
      <c r="H240" s="74">
        <f t="shared" ca="1" si="667"/>
        <v>850</v>
      </c>
      <c r="I240" s="74">
        <f t="shared" ca="1" si="667"/>
        <v>38634</v>
      </c>
      <c r="J240" s="74">
        <f t="shared" ca="1" si="667"/>
        <v>49582</v>
      </c>
      <c r="K240" s="74">
        <f t="shared" ca="1" si="667"/>
        <v>1406</v>
      </c>
      <c r="L240" s="74">
        <f t="shared" ca="1" si="667"/>
        <v>50988</v>
      </c>
      <c r="M240" s="74">
        <f t="shared" ca="1" si="667"/>
        <v>89622</v>
      </c>
      <c r="N240" s="99">
        <f t="shared" ca="1" si="615"/>
        <v>194.76435398230055</v>
      </c>
      <c r="O240" s="98">
        <f>SUM(O222:O239)</f>
        <v>126399</v>
      </c>
      <c r="P240" s="69">
        <f t="shared" ca="1" si="616"/>
        <v>0.709040419623573</v>
      </c>
      <c r="Q240" s="72">
        <v>1.5</v>
      </c>
      <c r="R240" s="69">
        <f t="shared" ca="1" si="617"/>
        <v>0.54295701653897976</v>
      </c>
      <c r="S240" s="73">
        <f t="shared" ca="1" si="618"/>
        <v>0.8144355248084697</v>
      </c>
      <c r="T240" s="72">
        <f ca="1">SUM(T222:T239)</f>
        <v>4067.0535297654365</v>
      </c>
      <c r="U240" s="72">
        <f t="shared" ca="1" si="619"/>
        <v>7.1983248314432506</v>
      </c>
      <c r="V240" s="74">
        <f t="shared" ca="1" si="620"/>
        <v>158.62300884955752</v>
      </c>
      <c r="W240" s="76"/>
      <c r="X240" s="8">
        <v>4</v>
      </c>
      <c r="Y240" s="8" t="s">
        <v>37</v>
      </c>
      <c r="Z240" s="8">
        <f t="shared" ref="Z240:AI240" si="668">SUM(D231)</f>
        <v>30</v>
      </c>
      <c r="AA240" s="9">
        <f t="shared" ca="1" si="668"/>
        <v>29</v>
      </c>
      <c r="AB240" s="10">
        <f t="shared" ca="1" si="668"/>
        <v>5688.2279999999901</v>
      </c>
      <c r="AC240" s="9">
        <f t="shared" ca="1" si="668"/>
        <v>1958</v>
      </c>
      <c r="AD240" s="9">
        <f t="shared" ca="1" si="668"/>
        <v>0</v>
      </c>
      <c r="AE240" s="9">
        <f t="shared" ca="1" si="668"/>
        <v>1958</v>
      </c>
      <c r="AF240" s="9">
        <f t="shared" ca="1" si="668"/>
        <v>2554</v>
      </c>
      <c r="AG240" s="9">
        <f t="shared" ca="1" si="668"/>
        <v>0</v>
      </c>
      <c r="AH240" s="9">
        <f t="shared" ca="1" si="668"/>
        <v>2554</v>
      </c>
      <c r="AI240" s="9">
        <f t="shared" ca="1" si="668"/>
        <v>4512</v>
      </c>
      <c r="AJ240" s="11">
        <f t="shared" ca="1" si="655"/>
        <v>196.14579310344794</v>
      </c>
      <c r="AK240" s="8">
        <f t="shared" si="664"/>
        <v>5887</v>
      </c>
      <c r="AL240" s="12">
        <f t="shared" ca="1" si="656"/>
        <v>0.76643451673178187</v>
      </c>
      <c r="AM240" s="13">
        <f t="shared" si="665"/>
        <v>1.5</v>
      </c>
      <c r="AN240" s="12">
        <f t="shared" ca="1" si="657"/>
        <v>0.52881143301569578</v>
      </c>
      <c r="AO240" s="14">
        <f t="shared" ca="1" si="658"/>
        <v>0.79321714952354372</v>
      </c>
      <c r="AP240" s="13">
        <f t="shared" ref="AP240:AQ240" ca="1" si="669">SUM(T231)</f>
        <v>229.4380445304933</v>
      </c>
      <c r="AQ240" s="13">
        <f t="shared" ca="1" si="669"/>
        <v>7.9116567079480449</v>
      </c>
      <c r="AR240" s="9">
        <f t="shared" ca="1" si="660"/>
        <v>155.58620689655172</v>
      </c>
      <c r="AS240" s="76"/>
      <c r="AT240" s="76"/>
    </row>
    <row r="241" spans="1:46" ht="15.75" customHeight="1" x14ac:dyDescent="0.2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6"/>
      <c r="X241" s="8">
        <v>5</v>
      </c>
      <c r="Y241" s="8" t="s">
        <v>39</v>
      </c>
      <c r="Z241" s="8">
        <f t="shared" ref="Z241:AI241" si="670">SUM(D232)</f>
        <v>28</v>
      </c>
      <c r="AA241" s="9">
        <f t="shared" ca="1" si="670"/>
        <v>28</v>
      </c>
      <c r="AB241" s="10">
        <f t="shared" ca="1" si="670"/>
        <v>5136.933</v>
      </c>
      <c r="AC241" s="9">
        <f t="shared" ca="1" si="670"/>
        <v>1138</v>
      </c>
      <c r="AD241" s="9">
        <f t="shared" ca="1" si="670"/>
        <v>0</v>
      </c>
      <c r="AE241" s="9">
        <f t="shared" ca="1" si="670"/>
        <v>1138</v>
      </c>
      <c r="AF241" s="9">
        <f t="shared" ca="1" si="670"/>
        <v>1906</v>
      </c>
      <c r="AG241" s="9">
        <f t="shared" ca="1" si="670"/>
        <v>0</v>
      </c>
      <c r="AH241" s="9">
        <f t="shared" ca="1" si="670"/>
        <v>1906</v>
      </c>
      <c r="AI241" s="9">
        <f t="shared" ca="1" si="670"/>
        <v>3044</v>
      </c>
      <c r="AJ241" s="11">
        <f t="shared" ca="1" si="655"/>
        <v>183.46189285714286</v>
      </c>
      <c r="AK241" s="8">
        <f t="shared" si="664"/>
        <v>3569</v>
      </c>
      <c r="AL241" s="12">
        <f t="shared" ca="1" si="656"/>
        <v>0.85289997198094702</v>
      </c>
      <c r="AM241" s="13">
        <f t="shared" si="665"/>
        <v>1.5</v>
      </c>
      <c r="AN241" s="12">
        <f t="shared" ca="1" si="657"/>
        <v>0.39504765457001939</v>
      </c>
      <c r="AO241" s="14">
        <f t="shared" ca="1" si="658"/>
        <v>0.59257148185502906</v>
      </c>
      <c r="AP241" s="13">
        <f t="shared" ref="AP241:AQ241" ca="1" si="671">SUM(T232)</f>
        <v>239.33900200344777</v>
      </c>
      <c r="AQ241" s="13">
        <f t="shared" ca="1" si="671"/>
        <v>8.5478215001231348</v>
      </c>
      <c r="AR241" s="9">
        <f t="shared" ca="1" si="660"/>
        <v>108.71428571428571</v>
      </c>
      <c r="AS241" s="76"/>
      <c r="AT241" s="76"/>
    </row>
    <row r="242" spans="1:46" ht="15.75" customHeight="1" x14ac:dyDescent="0.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6"/>
      <c r="X242" s="8">
        <v>6</v>
      </c>
      <c r="Y242" s="8" t="s">
        <v>41</v>
      </c>
      <c r="Z242" s="8">
        <f t="shared" ref="Z242:AI242" si="672">SUM(D233)</f>
        <v>24</v>
      </c>
      <c r="AA242" s="9">
        <f t="shared" ca="1" si="672"/>
        <v>24</v>
      </c>
      <c r="AB242" s="10">
        <f t="shared" ca="1" si="672"/>
        <v>4793.152</v>
      </c>
      <c r="AC242" s="9">
        <f t="shared" ca="1" si="672"/>
        <v>1246</v>
      </c>
      <c r="AD242" s="9">
        <f t="shared" ca="1" si="672"/>
        <v>0</v>
      </c>
      <c r="AE242" s="9">
        <f t="shared" ca="1" si="672"/>
        <v>1246</v>
      </c>
      <c r="AF242" s="9">
        <f t="shared" ca="1" si="672"/>
        <v>1596</v>
      </c>
      <c r="AG242" s="9">
        <f t="shared" ca="1" si="672"/>
        <v>0</v>
      </c>
      <c r="AH242" s="9">
        <f t="shared" ca="1" si="672"/>
        <v>1596</v>
      </c>
      <c r="AI242" s="9">
        <f t="shared" ca="1" si="672"/>
        <v>2842</v>
      </c>
      <c r="AJ242" s="11">
        <f t="shared" ca="1" si="655"/>
        <v>199.71466666666666</v>
      </c>
      <c r="AK242" s="8">
        <f t="shared" si="664"/>
        <v>3801</v>
      </c>
      <c r="AL242" s="12">
        <f t="shared" ca="1" si="656"/>
        <v>0.74769797421731121</v>
      </c>
      <c r="AM242" s="13">
        <f t="shared" si="665"/>
        <v>1.5</v>
      </c>
      <c r="AN242" s="12">
        <f t="shared" ca="1" si="657"/>
        <v>0.3952861638159329</v>
      </c>
      <c r="AO242" s="14">
        <f t="shared" ca="1" si="658"/>
        <v>0.59292924572389938</v>
      </c>
      <c r="AP242" s="13">
        <f t="shared" ref="AP242:AQ242" ca="1" si="673">SUM(T233)</f>
        <v>161.77777777777777</v>
      </c>
      <c r="AQ242" s="13">
        <f t="shared" ca="1" si="673"/>
        <v>6.7407407407407405</v>
      </c>
      <c r="AR242" s="9">
        <f t="shared" ca="1" si="660"/>
        <v>118.41666666666667</v>
      </c>
      <c r="AS242" s="76"/>
      <c r="AT242" s="76"/>
    </row>
    <row r="243" spans="1:46" ht="15.75" customHeight="1" x14ac:dyDescent="0.25">
      <c r="A243" s="110" t="s">
        <v>45</v>
      </c>
      <c r="B243" s="76"/>
      <c r="C243" s="76"/>
      <c r="D243" s="75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24" t="s">
        <v>33</v>
      </c>
      <c r="Y243" s="24">
        <v>6</v>
      </c>
      <c r="Z243" s="24">
        <f t="shared" ref="Z243:AI243" si="674">SUM(Z237:Z242)</f>
        <v>168</v>
      </c>
      <c r="AA243" s="25">
        <f t="shared" ca="1" si="674"/>
        <v>167</v>
      </c>
      <c r="AB243" s="27">
        <f t="shared" ca="1" si="674"/>
        <v>32577.577999999958</v>
      </c>
      <c r="AC243" s="25">
        <f t="shared" ca="1" si="674"/>
        <v>12096</v>
      </c>
      <c r="AD243" s="25">
        <f t="shared" ca="1" si="674"/>
        <v>30</v>
      </c>
      <c r="AE243" s="25">
        <f t="shared" ca="1" si="674"/>
        <v>12126</v>
      </c>
      <c r="AF243" s="25">
        <f t="shared" ca="1" si="674"/>
        <v>15833</v>
      </c>
      <c r="AG243" s="25">
        <f t="shared" ca="1" si="674"/>
        <v>295</v>
      </c>
      <c r="AH243" s="25">
        <f t="shared" ca="1" si="674"/>
        <v>16128</v>
      </c>
      <c r="AI243" s="25">
        <f t="shared" ca="1" si="674"/>
        <v>28254</v>
      </c>
      <c r="AJ243" s="27">
        <f t="shared" ca="1" si="655"/>
        <v>195.0753173652692</v>
      </c>
      <c r="AK243" s="24">
        <f>SUM(AK237:AK242)</f>
        <v>37031</v>
      </c>
      <c r="AL243" s="28">
        <f t="shared" ca="1" si="656"/>
        <v>0.76298236612567849</v>
      </c>
      <c r="AM243" s="29">
        <v>1.5</v>
      </c>
      <c r="AN243" s="28">
        <f t="shared" ca="1" si="657"/>
        <v>0.57818908452924356</v>
      </c>
      <c r="AO243" s="30">
        <f t="shared" ca="1" si="658"/>
        <v>0.86728362679386528</v>
      </c>
      <c r="AP243" s="29">
        <f ca="1">SUM(AP237:AP242)</f>
        <v>1359.3785142665872</v>
      </c>
      <c r="AQ243" s="29">
        <f ca="1">AP243/AA243</f>
        <v>8.1399911033927381</v>
      </c>
      <c r="AR243" s="25">
        <f t="shared" ca="1" si="660"/>
        <v>169.18562874251498</v>
      </c>
      <c r="AS243" s="76"/>
      <c r="AT243" s="76"/>
    </row>
    <row r="244" spans="1:46" ht="15.75" customHeight="1" x14ac:dyDescent="0.2">
      <c r="A244" s="110" t="s">
        <v>45</v>
      </c>
      <c r="B244" s="76"/>
      <c r="C244" s="76"/>
      <c r="D244" s="75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7" t="s">
        <v>1</v>
      </c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9"/>
      <c r="AS244" s="76"/>
      <c r="AT244" s="76"/>
    </row>
    <row r="245" spans="1:46" ht="15.75" customHeight="1" x14ac:dyDescent="0.2">
      <c r="A245" s="109">
        <v>46213</v>
      </c>
      <c r="B245" s="80" t="s">
        <v>2</v>
      </c>
      <c r="C245" s="80" t="s">
        <v>3</v>
      </c>
      <c r="D245" s="80" t="s">
        <v>4</v>
      </c>
      <c r="E245" s="80" t="s">
        <v>5</v>
      </c>
      <c r="F245" s="81" t="s">
        <v>6</v>
      </c>
      <c r="G245" s="80" t="s">
        <v>7</v>
      </c>
      <c r="H245" s="80" t="s">
        <v>8</v>
      </c>
      <c r="I245" s="80" t="s">
        <v>9</v>
      </c>
      <c r="J245" s="80" t="s">
        <v>10</v>
      </c>
      <c r="K245" s="80" t="s">
        <v>11</v>
      </c>
      <c r="L245" s="80" t="s">
        <v>12</v>
      </c>
      <c r="M245" s="80" t="s">
        <v>13</v>
      </c>
      <c r="N245" s="81" t="s">
        <v>14</v>
      </c>
      <c r="O245" s="80" t="s">
        <v>15</v>
      </c>
      <c r="P245" s="80" t="s">
        <v>16</v>
      </c>
      <c r="Q245" s="80" t="s">
        <v>17</v>
      </c>
      <c r="R245" s="80" t="s">
        <v>18</v>
      </c>
      <c r="S245" s="106" t="s">
        <v>19</v>
      </c>
      <c r="T245" s="107" t="s">
        <v>20</v>
      </c>
      <c r="U245" s="107" t="s">
        <v>21</v>
      </c>
      <c r="V245" s="105" t="s">
        <v>22</v>
      </c>
      <c r="W245" s="76"/>
      <c r="X245" s="1" t="s">
        <v>2</v>
      </c>
      <c r="Y245" s="1" t="s">
        <v>3</v>
      </c>
      <c r="Z245" s="1" t="s">
        <v>4</v>
      </c>
      <c r="AA245" s="1" t="s">
        <v>5</v>
      </c>
      <c r="AB245" s="2" t="s">
        <v>6</v>
      </c>
      <c r="AC245" s="1" t="s">
        <v>7</v>
      </c>
      <c r="AD245" s="1" t="s">
        <v>8</v>
      </c>
      <c r="AE245" s="1" t="s">
        <v>9</v>
      </c>
      <c r="AF245" s="1" t="s">
        <v>10</v>
      </c>
      <c r="AG245" s="1" t="s">
        <v>11</v>
      </c>
      <c r="AH245" s="1" t="s">
        <v>12</v>
      </c>
      <c r="AI245" s="1" t="s">
        <v>13</v>
      </c>
      <c r="AJ245" s="2" t="s">
        <v>14</v>
      </c>
      <c r="AK245" s="1" t="s">
        <v>15</v>
      </c>
      <c r="AL245" s="1" t="s">
        <v>16</v>
      </c>
      <c r="AM245" s="3" t="s">
        <v>17</v>
      </c>
      <c r="AN245" s="4" t="s">
        <v>18</v>
      </c>
      <c r="AO245" s="5" t="s">
        <v>19</v>
      </c>
      <c r="AP245" s="6" t="s">
        <v>20</v>
      </c>
      <c r="AQ245" s="6" t="s">
        <v>21</v>
      </c>
      <c r="AR245" s="7" t="s">
        <v>22</v>
      </c>
      <c r="AS245" s="76"/>
      <c r="AT245" s="76"/>
    </row>
    <row r="246" spans="1:46" ht="15.75" customHeight="1" x14ac:dyDescent="0.2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6"/>
      <c r="X246" s="8">
        <v>1</v>
      </c>
      <c r="Y246" s="8" t="s">
        <v>23</v>
      </c>
      <c r="Z246" s="8">
        <f t="shared" ref="Z246:AI246" si="675">SUM(D254)</f>
        <v>35</v>
      </c>
      <c r="AA246" s="9">
        <f t="shared" ca="1" si="675"/>
        <v>34</v>
      </c>
      <c r="AB246" s="10">
        <f t="shared" ca="1" si="675"/>
        <v>6714.2599999999902</v>
      </c>
      <c r="AC246" s="9">
        <f t="shared" ca="1" si="675"/>
        <v>1684</v>
      </c>
      <c r="AD246" s="9">
        <f t="shared" ca="1" si="675"/>
        <v>0</v>
      </c>
      <c r="AE246" s="9">
        <f t="shared" ca="1" si="675"/>
        <v>1684</v>
      </c>
      <c r="AF246" s="9">
        <f t="shared" ca="1" si="675"/>
        <v>3070</v>
      </c>
      <c r="AG246" s="9">
        <f t="shared" ca="1" si="675"/>
        <v>0</v>
      </c>
      <c r="AH246" s="9">
        <f t="shared" ca="1" si="675"/>
        <v>3070</v>
      </c>
      <c r="AI246" s="9">
        <f t="shared" ca="1" si="675"/>
        <v>4754</v>
      </c>
      <c r="AJ246" s="11">
        <f t="shared" ref="AJ246:AJ248" ca="1" si="676">AB246/AA246</f>
        <v>197.47823529411735</v>
      </c>
      <c r="AK246" s="8">
        <f>SUM(O254)</f>
        <v>6853</v>
      </c>
      <c r="AL246" s="12">
        <f t="shared" ref="AL246:AL252" ca="1" si="677">AI246/AK246</f>
        <v>0.69371078359842409</v>
      </c>
      <c r="AM246" s="13">
        <f t="shared" ref="AM246:AM248" si="678">SUM(Q254)</f>
        <v>1.5</v>
      </c>
      <c r="AN246" s="12">
        <f t="shared" ref="AN246:AN252" ca="1" si="679">AO246/AM246</f>
        <v>0.47203017656947122</v>
      </c>
      <c r="AO246" s="14">
        <f t="shared" ref="AO246:AO252" ca="1" si="680">AI246/AB246</f>
        <v>0.70804526485420682</v>
      </c>
      <c r="AP246" s="13">
        <f t="shared" ref="AP246:AQ246" ca="1" si="681">SUM(T254)</f>
        <v>198.99999999999969</v>
      </c>
      <c r="AQ246" s="13">
        <f t="shared" ca="1" si="681"/>
        <v>5.852941176470579</v>
      </c>
      <c r="AR246" s="9">
        <f t="shared" ref="AR246:AR252" ca="1" si="682">AI246/AA246</f>
        <v>139.8235294117647</v>
      </c>
      <c r="AS246" s="76"/>
      <c r="AT246" s="76"/>
    </row>
    <row r="247" spans="1:46" ht="15.75" customHeight="1" x14ac:dyDescent="0.2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6"/>
      <c r="X247" s="8">
        <v>2</v>
      </c>
      <c r="Y247" s="8" t="s">
        <v>24</v>
      </c>
      <c r="Z247" s="8">
        <f t="shared" ref="Z247:AI247" si="683">SUM(D255)</f>
        <v>44</v>
      </c>
      <c r="AA247" s="9">
        <f t="shared" ca="1" si="683"/>
        <v>43</v>
      </c>
      <c r="AB247" s="10">
        <f t="shared" ca="1" si="683"/>
        <v>8290.1069999999909</v>
      </c>
      <c r="AC247" s="9">
        <f t="shared" ca="1" si="683"/>
        <v>1127</v>
      </c>
      <c r="AD247" s="9">
        <f t="shared" ca="1" si="683"/>
        <v>0</v>
      </c>
      <c r="AE247" s="9">
        <f t="shared" ca="1" si="683"/>
        <v>1127</v>
      </c>
      <c r="AF247" s="9">
        <f t="shared" ca="1" si="683"/>
        <v>1185</v>
      </c>
      <c r="AG247" s="9">
        <f t="shared" ca="1" si="683"/>
        <v>0</v>
      </c>
      <c r="AH247" s="9">
        <f t="shared" ca="1" si="683"/>
        <v>1185</v>
      </c>
      <c r="AI247" s="9">
        <f t="shared" ca="1" si="683"/>
        <v>2312</v>
      </c>
      <c r="AJ247" s="11">
        <f t="shared" ca="1" si="676"/>
        <v>192.79318604651141</v>
      </c>
      <c r="AK247" s="8">
        <v>1580</v>
      </c>
      <c r="AL247" s="15">
        <f t="shared" ca="1" si="677"/>
        <v>1.4632911392405064</v>
      </c>
      <c r="AM247" s="13">
        <f t="shared" si="678"/>
        <v>1.5</v>
      </c>
      <c r="AN247" s="12">
        <f t="shared" ca="1" si="679"/>
        <v>0.18592441971295848</v>
      </c>
      <c r="AO247" s="14">
        <f t="shared" ca="1" si="680"/>
        <v>0.27888662956943772</v>
      </c>
      <c r="AP247" s="13">
        <f t="shared" ref="AP247:AQ247" ca="1" si="684">SUM(T255)</f>
        <v>309.27465025181834</v>
      </c>
      <c r="AQ247" s="13">
        <f t="shared" ca="1" si="684"/>
        <v>7.1924337267864731</v>
      </c>
      <c r="AR247" s="9">
        <f t="shared" ca="1" si="682"/>
        <v>53.767441860465119</v>
      </c>
      <c r="AS247" s="76"/>
      <c r="AT247" s="76"/>
    </row>
    <row r="248" spans="1:46" ht="15.75" customHeight="1" x14ac:dyDescent="0.2">
      <c r="A248" s="70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6"/>
      <c r="X248" s="8">
        <v>3</v>
      </c>
      <c r="Y248" s="8" t="s">
        <v>25</v>
      </c>
      <c r="Z248" s="8">
        <f t="shared" ref="Z248:AI248" si="685">SUM(D256)</f>
        <v>32</v>
      </c>
      <c r="AA248" s="9">
        <f t="shared" ca="1" si="685"/>
        <v>31</v>
      </c>
      <c r="AB248" s="10">
        <f t="shared" ca="1" si="685"/>
        <v>5749.8320000000003</v>
      </c>
      <c r="AC248" s="9">
        <f t="shared" ca="1" si="685"/>
        <v>2365</v>
      </c>
      <c r="AD248" s="9">
        <f t="shared" ca="1" si="685"/>
        <v>316</v>
      </c>
      <c r="AE248" s="9">
        <f t="shared" ca="1" si="685"/>
        <v>2681</v>
      </c>
      <c r="AF248" s="9">
        <f t="shared" ca="1" si="685"/>
        <v>2754</v>
      </c>
      <c r="AG248" s="9">
        <f t="shared" ca="1" si="685"/>
        <v>384</v>
      </c>
      <c r="AH248" s="9">
        <f t="shared" ca="1" si="685"/>
        <v>3138</v>
      </c>
      <c r="AI248" s="9">
        <f t="shared" ca="1" si="685"/>
        <v>5819</v>
      </c>
      <c r="AJ248" s="11">
        <f t="shared" ca="1" si="676"/>
        <v>185.47845161290323</v>
      </c>
      <c r="AK248" s="8">
        <f>SUM(O256)</f>
        <v>6622</v>
      </c>
      <c r="AL248" s="12">
        <f t="shared" ca="1" si="677"/>
        <v>0.87873754152823924</v>
      </c>
      <c r="AM248" s="13">
        <f t="shared" si="678"/>
        <v>1.5</v>
      </c>
      <c r="AN248" s="12">
        <f t="shared" ca="1" si="679"/>
        <v>0.67468637924261665</v>
      </c>
      <c r="AO248" s="14">
        <f t="shared" ca="1" si="680"/>
        <v>1.0120295688639249</v>
      </c>
      <c r="AP248" s="13">
        <f t="shared" ref="AP248:AQ248" ca="1" si="686">SUM(T256)</f>
        <v>241.18422818791947</v>
      </c>
      <c r="AQ248" s="13">
        <f t="shared" ca="1" si="686"/>
        <v>7.7801363931586929</v>
      </c>
      <c r="AR248" s="9">
        <f t="shared" ca="1" si="682"/>
        <v>187.70967741935485</v>
      </c>
      <c r="AS248" s="76"/>
      <c r="AT248" s="76"/>
    </row>
    <row r="249" spans="1:46" ht="15.75" customHeight="1" x14ac:dyDescent="0.25">
      <c r="A249" s="70"/>
      <c r="B249" s="16">
        <v>1</v>
      </c>
      <c r="C249" s="16" t="s">
        <v>26</v>
      </c>
      <c r="D249" s="17">
        <v>20</v>
      </c>
      <c r="E249" s="18">
        <f ca="1">IFERROR(__xludf.DUMMYFUNCTION("COUNT(IMPORTRANGE(""https://docs.google.com/spreadsheets/d/1z0o91thOT38lgejTE_Bd2p3v_9VCDdQRkUsMIVqpQCk/edit"",""10!d2:d21""))"),20)</f>
        <v>20</v>
      </c>
      <c r="F249" s="19">
        <f ca="1">IFERROR(__xludf.DUMMYFUNCTION("SUM(IMPORTRANGE(""https://docs.google.com/spreadsheets/d/1z0o91thOT38lgejTE_Bd2p3v_9VCDdQRkUsMIVqpQCk/edit"",""10!Q2:Q21""))"),3964.89)</f>
        <v>3964.89</v>
      </c>
      <c r="G249" s="18">
        <f ca="1">IFERROR(__xludf.DUMMYFUNCTION("IMPORTRANGE(""https://docs.google.com/spreadsheets/d/1z0o91thOT38lgejTE_Bd2p3v_9VCDdQRkUsMIVqpQCk/edit"",""10!e28"")"),2306)</f>
        <v>2306</v>
      </c>
      <c r="H249" s="18">
        <f ca="1">IFERROR(__xludf.DUMMYFUNCTION("IMPORTRANGE(""https://docs.google.com/spreadsheets/d/1z0o91thOT38lgejTE_Bd2p3v_9VCDdQRkUsMIVqpQCk/edit"",""10!e29"")"),0)</f>
        <v>0</v>
      </c>
      <c r="I249" s="18">
        <f t="shared" ref="I249:I266" ca="1" si="687">SUM(G249:H249)</f>
        <v>2306</v>
      </c>
      <c r="J249" s="18">
        <f ca="1">IFERROR(__xludf.DUMMYFUNCTION("IMPORTRANGE(""https://docs.google.com/spreadsheets/d/1z0o91thOT38lgejTE_Bd2p3v_9VCDdQRkUsMIVqpQCk/edit"",""10!e32"")"),2437)</f>
        <v>2437</v>
      </c>
      <c r="K249" s="18">
        <f ca="1">IFERROR(__xludf.DUMMYFUNCTION("IMPORTRANGE(""https://docs.google.com/spreadsheets/d/1z0o91thOT38lgejTE_Bd2p3v_9VCDdQRkUsMIVqpQCk/edit"",""10!e33"")"),165)</f>
        <v>165</v>
      </c>
      <c r="L249" s="18">
        <f t="shared" ref="L249:L255" ca="1" si="688">SUM(J249:K249)</f>
        <v>2602</v>
      </c>
      <c r="M249" s="18">
        <f t="shared" ref="M249:M266" ca="1" si="689">SUM(I249+L249)</f>
        <v>4908</v>
      </c>
      <c r="N249" s="19">
        <f t="shared" ref="N249:N267" ca="1" si="690">F249/E249</f>
        <v>198.24449999999999</v>
      </c>
      <c r="O249" s="16">
        <v>5161</v>
      </c>
      <c r="P249" s="20">
        <f t="shared" ref="P249:P267" ca="1" si="691">M249/O249</f>
        <v>0.95097849254020539</v>
      </c>
      <c r="Q249" s="21">
        <v>1.5</v>
      </c>
      <c r="R249" s="20">
        <f t="shared" ref="R249:R267" ca="1" si="692">S249/Q249</f>
        <v>0.82524357548380911</v>
      </c>
      <c r="S249" s="22">
        <f t="shared" ref="S249:S267" ca="1" si="693">M249/F249</f>
        <v>1.2378653632257137</v>
      </c>
      <c r="T249" s="21">
        <f ca="1">F249/14.415</f>
        <v>275.0530697190427</v>
      </c>
      <c r="U249" s="21">
        <f t="shared" ref="U249:U267" ca="1" si="694">T249/E249</f>
        <v>13.752653485952134</v>
      </c>
      <c r="V249" s="18">
        <f t="shared" ref="V249:V267" ca="1" si="695">M249/E249</f>
        <v>245.4</v>
      </c>
      <c r="W249" s="76"/>
      <c r="X249" s="8">
        <v>4</v>
      </c>
      <c r="Y249" s="8" t="s">
        <v>27</v>
      </c>
      <c r="Z249" s="8">
        <f t="shared" ref="Z249:AK249" si="696">SUM(D262)</f>
        <v>30</v>
      </c>
      <c r="AA249" s="9">
        <f t="shared" ca="1" si="696"/>
        <v>28</v>
      </c>
      <c r="AB249" s="10">
        <f t="shared" ca="1" si="696"/>
        <v>5231.9629999999997</v>
      </c>
      <c r="AC249" s="9">
        <f t="shared" ca="1" si="696"/>
        <v>1919</v>
      </c>
      <c r="AD249" s="9">
        <f t="shared" ca="1" si="696"/>
        <v>0</v>
      </c>
      <c r="AE249" s="9">
        <f t="shared" ca="1" si="696"/>
        <v>1919</v>
      </c>
      <c r="AF249" s="9">
        <f t="shared" ca="1" si="696"/>
        <v>2643</v>
      </c>
      <c r="AG249" s="9">
        <f t="shared" ca="1" si="696"/>
        <v>0</v>
      </c>
      <c r="AH249" s="9">
        <f t="shared" ca="1" si="696"/>
        <v>2643</v>
      </c>
      <c r="AI249" s="9">
        <f t="shared" ca="1" si="696"/>
        <v>4562</v>
      </c>
      <c r="AJ249" s="11">
        <f t="shared" ca="1" si="696"/>
        <v>186.85582142857143</v>
      </c>
      <c r="AK249" s="8">
        <f t="shared" si="696"/>
        <v>8101</v>
      </c>
      <c r="AL249" s="12">
        <f t="shared" ca="1" si="677"/>
        <v>0.56314035304283416</v>
      </c>
      <c r="AM249" s="13">
        <f>SUM(Q262)</f>
        <v>1.5</v>
      </c>
      <c r="AN249" s="12">
        <f t="shared" ca="1" si="679"/>
        <v>0.58129870821589014</v>
      </c>
      <c r="AO249" s="14">
        <f t="shared" ca="1" si="680"/>
        <v>0.87194806232383526</v>
      </c>
      <c r="AP249" s="13">
        <f t="shared" ref="AP249:AQ249" ca="1" si="697">SUM(T262)</f>
        <v>261.79449587190391</v>
      </c>
      <c r="AQ249" s="13">
        <f t="shared" ca="1" si="697"/>
        <v>9.3498034239965673</v>
      </c>
      <c r="AR249" s="9">
        <f t="shared" ca="1" si="682"/>
        <v>162.92857142857142</v>
      </c>
      <c r="AS249" s="76"/>
      <c r="AT249" s="76"/>
    </row>
    <row r="250" spans="1:46" ht="15.75" customHeight="1" x14ac:dyDescent="0.25">
      <c r="A250" s="70"/>
      <c r="B250" s="16">
        <v>2</v>
      </c>
      <c r="C250" s="16" t="s">
        <v>28</v>
      </c>
      <c r="D250" s="17">
        <v>33</v>
      </c>
      <c r="E250" s="18">
        <f ca="1">IFERROR(__xludf.DUMMYFUNCTION("COUNT(IMPORTRANGE(""https://docs.google.com/spreadsheets/d/10a85iNN0y9GF6ngQfF1JXGAzFk-T7ywH4-TZtQcOTaE/edit"",""10!d2:d34""))"),32)</f>
        <v>32</v>
      </c>
      <c r="F250" s="19">
        <f ca="1">IFERROR(__xludf.DUMMYFUNCTION("SUM(IMPORTRANGE(""https://docs.google.com/spreadsheets/d/10a85iNN0y9GF6ngQfF1JXGAzFk-T7ywH4-TZtQcOTaE/edit"",""10!Q2:Q34""))"),6374.348)</f>
        <v>6374.348</v>
      </c>
      <c r="G250" s="18">
        <f ca="1">IFERROR(__xludf.DUMMYFUNCTION("IMPORTRANGE(""https://docs.google.com/spreadsheets/d/10a85iNN0y9GF6ngQfF1JXGAzFk-T7ywH4-TZtQcOTaE/edit"",""10!e41"")"),2114)</f>
        <v>2114</v>
      </c>
      <c r="H250" s="18">
        <f ca="1">IFERROR(__xludf.DUMMYFUNCTION("IMPORTRANGE(""https://docs.google.com/spreadsheets/d/10a85iNN0y9GF6ngQfF1JXGAzFk-T7ywH4-TZtQcOTaE/edit"",""10!e42"")"),245)</f>
        <v>245</v>
      </c>
      <c r="I250" s="18">
        <f t="shared" ca="1" si="687"/>
        <v>2359</v>
      </c>
      <c r="J250" s="18">
        <f ca="1">IFERROR(__xludf.DUMMYFUNCTION("IMPORTRANGE(""https://docs.google.com/spreadsheets/d/10a85iNN0y9GF6ngQfF1JXGAzFk-T7ywH4-TZtQcOTaE/edit"",""10!e45"")"),2453)</f>
        <v>2453</v>
      </c>
      <c r="K250" s="18">
        <f ca="1">IFERROR(__xludf.DUMMYFUNCTION("IMPORTRANGE(""https://docs.google.com/spreadsheets/d/10a85iNN0y9GF6ngQfF1JXGAzFk-T7ywH4-TZtQcOTaE/edit"",""10!e46"")"),156)</f>
        <v>156</v>
      </c>
      <c r="L250" s="18">
        <f t="shared" ca="1" si="688"/>
        <v>2609</v>
      </c>
      <c r="M250" s="18">
        <f t="shared" ca="1" si="689"/>
        <v>4968</v>
      </c>
      <c r="N250" s="19">
        <f t="shared" ca="1" si="690"/>
        <v>199.198375</v>
      </c>
      <c r="O250" s="16">
        <v>7315</v>
      </c>
      <c r="P250" s="20">
        <f t="shared" ca="1" si="691"/>
        <v>0.67915242652084762</v>
      </c>
      <c r="Q250" s="21">
        <v>1.5</v>
      </c>
      <c r="R250" s="20">
        <f t="shared" ca="1" si="692"/>
        <v>0.51958255181549551</v>
      </c>
      <c r="S250" s="22">
        <f t="shared" ca="1" si="693"/>
        <v>0.77937382772324326</v>
      </c>
      <c r="T250" s="21">
        <f ca="1">F250/30.897</f>
        <v>206.30960934718581</v>
      </c>
      <c r="U250" s="21">
        <f t="shared" ca="1" si="694"/>
        <v>6.4471752920995566</v>
      </c>
      <c r="V250" s="18">
        <f t="shared" ca="1" si="695"/>
        <v>155.25</v>
      </c>
      <c r="W250" s="76"/>
      <c r="X250" s="8">
        <v>5</v>
      </c>
      <c r="Y250" s="8" t="s">
        <v>29</v>
      </c>
      <c r="Z250" s="8">
        <f t="shared" ref="Z250:AI250" si="698">SUM(D265)</f>
        <v>30</v>
      </c>
      <c r="AA250" s="9">
        <f t="shared" ca="1" si="698"/>
        <v>27</v>
      </c>
      <c r="AB250" s="10">
        <f t="shared" ca="1" si="698"/>
        <v>5181.5619999999999</v>
      </c>
      <c r="AC250" s="9">
        <f t="shared" ca="1" si="698"/>
        <v>2513</v>
      </c>
      <c r="AD250" s="9">
        <f t="shared" ca="1" si="698"/>
        <v>0</v>
      </c>
      <c r="AE250" s="9">
        <f t="shared" ca="1" si="698"/>
        <v>2513</v>
      </c>
      <c r="AF250" s="9">
        <f t="shared" ca="1" si="698"/>
        <v>3568</v>
      </c>
      <c r="AG250" s="9">
        <f t="shared" ca="1" si="698"/>
        <v>0</v>
      </c>
      <c r="AH250" s="9">
        <f t="shared" ca="1" si="698"/>
        <v>3568</v>
      </c>
      <c r="AI250" s="9">
        <f t="shared" ca="1" si="698"/>
        <v>6081</v>
      </c>
      <c r="AJ250" s="11">
        <f t="shared" ref="AJ250:AJ252" ca="1" si="699">AB250/AA250</f>
        <v>191.90970370370371</v>
      </c>
      <c r="AK250" s="8">
        <f t="shared" ref="AK250:AK251" si="700">SUM(O265)</f>
        <v>9201</v>
      </c>
      <c r="AL250" s="12">
        <f t="shared" ca="1" si="677"/>
        <v>0.66090642321486792</v>
      </c>
      <c r="AM250" s="13">
        <f t="shared" ref="AM250:AM251" si="701">SUM(Q265)</f>
        <v>1.5</v>
      </c>
      <c r="AN250" s="12">
        <f t="shared" ca="1" si="679"/>
        <v>0.78238955743461147</v>
      </c>
      <c r="AO250" s="14">
        <f t="shared" ca="1" si="680"/>
        <v>1.1735843361519172</v>
      </c>
      <c r="AP250" s="13">
        <f t="shared" ref="AP250:AQ250" ca="1" si="702">SUM(T265)</f>
        <v>199</v>
      </c>
      <c r="AQ250" s="13">
        <f t="shared" ca="1" si="702"/>
        <v>7.3703703703703702</v>
      </c>
      <c r="AR250" s="9">
        <f t="shared" ca="1" si="682"/>
        <v>225.22222222222223</v>
      </c>
      <c r="AS250" s="76"/>
      <c r="AT250" s="76"/>
    </row>
    <row r="251" spans="1:46" ht="15.75" customHeight="1" x14ac:dyDescent="0.25">
      <c r="A251" s="70"/>
      <c r="B251" s="16">
        <v>3</v>
      </c>
      <c r="C251" s="16" t="s">
        <v>30</v>
      </c>
      <c r="D251" s="17">
        <v>60</v>
      </c>
      <c r="E251" s="18">
        <f ca="1">IFERROR(__xludf.DUMMYFUNCTION("COUNT(IMPORTRANGE(""https://docs.google.com/spreadsheets/d/1WojVzHhpzodJL1e5UDHeu3A3u5MTSZwvxHu0BrwvL9w/edit"",""10!d2:d61""))"),58)</f>
        <v>58</v>
      </c>
      <c r="F251" s="23">
        <f ca="1">IFERROR(__xludf.DUMMYFUNCTION("SUM(IMPORTRANGE(""https://docs.google.com/spreadsheets/d/1WojVzHhpzodJL1e5UDHeu3A3u5MTSZwvxHu0BrwvL9w/edit"",""10!Q2:Q61""))"),11392.9499999999)</f>
        <v>11392.949999999901</v>
      </c>
      <c r="G251" s="18">
        <f ca="1">IFERROR(__xludf.DUMMYFUNCTION("IMPORTRANGE(""https://docs.google.com/spreadsheets/d/1WojVzHhpzodJL1e5UDHeu3A3u5MTSZwvxHu0BrwvL9w/edit"",""10!e68"")"),3444)</f>
        <v>3444</v>
      </c>
      <c r="H251" s="18">
        <f ca="1">IFERROR(__xludf.DUMMYFUNCTION("IMPORTRANGE(""https://docs.google.com/spreadsheets/d/1WojVzHhpzodJL1e5UDHeu3A3u5MTSZwvxHu0BrwvL9w/edit"",""10!e69"")"),0)</f>
        <v>0</v>
      </c>
      <c r="I251" s="18">
        <f t="shared" ca="1" si="687"/>
        <v>3444</v>
      </c>
      <c r="J251" s="18">
        <f ca="1">IFERROR(__xludf.DUMMYFUNCTION("IMPORTRANGE(""https://docs.google.com/spreadsheets/d/1WojVzHhpzodJL1e5UDHeu3A3u5MTSZwvxHu0BrwvL9w/edit"",""10!e72"")"),4435)</f>
        <v>4435</v>
      </c>
      <c r="K251" s="18">
        <f ca="1">IFERROR(__xludf.DUMMYFUNCTION("IMPORTRANGE(""https://docs.google.com/spreadsheets/d/1WojVzHhpzodJL1e5UDHeu3A3u5MTSZwvxHu0BrwvL9w/edit"",""10!e73"")"),0)</f>
        <v>0</v>
      </c>
      <c r="L251" s="18">
        <f t="shared" ca="1" si="688"/>
        <v>4435</v>
      </c>
      <c r="M251" s="18">
        <f t="shared" ca="1" si="689"/>
        <v>7879</v>
      </c>
      <c r="N251" s="19">
        <f t="shared" ca="1" si="690"/>
        <v>196.43017241379138</v>
      </c>
      <c r="O251" s="16">
        <v>11164</v>
      </c>
      <c r="P251" s="20">
        <f t="shared" ca="1" si="691"/>
        <v>0.7057506270154067</v>
      </c>
      <c r="Q251" s="21">
        <v>1.5</v>
      </c>
      <c r="R251" s="20">
        <f t="shared" ca="1" si="692"/>
        <v>0.46104535407130837</v>
      </c>
      <c r="S251" s="22">
        <f t="shared" ca="1" si="693"/>
        <v>0.69156803110696252</v>
      </c>
      <c r="T251" s="21">
        <f ca="1">F251/29.603</f>
        <v>384.85795358578184</v>
      </c>
      <c r="U251" s="21">
        <f t="shared" ca="1" si="694"/>
        <v>6.6354819583755491</v>
      </c>
      <c r="V251" s="18">
        <f t="shared" ca="1" si="695"/>
        <v>135.84482758620689</v>
      </c>
      <c r="W251" s="76"/>
      <c r="X251" s="8">
        <v>6</v>
      </c>
      <c r="Y251" s="8" t="s">
        <v>31</v>
      </c>
      <c r="Z251" s="8">
        <f t="shared" ref="Z251:AI251" si="703">SUM(D266)</f>
        <v>15</v>
      </c>
      <c r="AA251" s="9">
        <f t="shared" ca="1" si="703"/>
        <v>15</v>
      </c>
      <c r="AB251" s="11">
        <f t="shared" ca="1" si="703"/>
        <v>2912.1549999999902</v>
      </c>
      <c r="AC251" s="9">
        <f t="shared" ca="1" si="703"/>
        <v>940</v>
      </c>
      <c r="AD251" s="9">
        <f t="shared" ca="1" si="703"/>
        <v>9</v>
      </c>
      <c r="AE251" s="9">
        <f t="shared" ca="1" si="703"/>
        <v>949</v>
      </c>
      <c r="AF251" s="9">
        <f t="shared" ca="1" si="703"/>
        <v>1053</v>
      </c>
      <c r="AG251" s="9">
        <f t="shared" ca="1" si="703"/>
        <v>0</v>
      </c>
      <c r="AH251" s="9">
        <f t="shared" ca="1" si="703"/>
        <v>1053</v>
      </c>
      <c r="AI251" s="9">
        <f t="shared" ca="1" si="703"/>
        <v>2002</v>
      </c>
      <c r="AJ251" s="11">
        <f t="shared" ca="1" si="699"/>
        <v>194.14366666666601</v>
      </c>
      <c r="AK251" s="8">
        <f t="shared" si="700"/>
        <v>2717</v>
      </c>
      <c r="AL251" s="12">
        <f t="shared" ca="1" si="677"/>
        <v>0.73684210526315785</v>
      </c>
      <c r="AM251" s="13">
        <f t="shared" si="701"/>
        <v>1.5</v>
      </c>
      <c r="AN251" s="12">
        <f t="shared" ca="1" si="679"/>
        <v>0.45830893845508608</v>
      </c>
      <c r="AO251" s="14">
        <f t="shared" ca="1" si="680"/>
        <v>0.68746340768262915</v>
      </c>
      <c r="AP251" s="13">
        <f t="shared" ref="AP251:AQ251" ca="1" si="704">SUM(T266)</f>
        <v>66.999999999999773</v>
      </c>
      <c r="AQ251" s="13">
        <f t="shared" ca="1" si="704"/>
        <v>4.4666666666666517</v>
      </c>
      <c r="AR251" s="9">
        <f t="shared" ca="1" si="682"/>
        <v>133.46666666666667</v>
      </c>
      <c r="AS251" s="76"/>
      <c r="AT251" s="76"/>
    </row>
    <row r="252" spans="1:46" ht="15.75" customHeight="1" x14ac:dyDescent="0.25">
      <c r="A252" s="70"/>
      <c r="B252" s="16">
        <v>4</v>
      </c>
      <c r="C252" s="16" t="s">
        <v>32</v>
      </c>
      <c r="D252" s="17">
        <v>42</v>
      </c>
      <c r="E252" s="18">
        <f ca="1">IFERROR(__xludf.DUMMYFUNCTION("COUNT(IMPORTRANGE(""https://docs.google.com/spreadsheets/d/1vmCj5YcMSPHj1m64syDndQ6cqVL3yolcU03Y8KHmvdc/edit"",""10!d2:d43""))"),42)</f>
        <v>42</v>
      </c>
      <c r="F252" s="23">
        <f ca="1">IFERROR(__xludf.DUMMYFUNCTION("SUM(IMPORTRANGE(""https://docs.google.com/spreadsheets/d/1vmCj5YcMSPHj1m64syDndQ6cqVL3yolcU03Y8KHmvdc/edit"",""10!Q2:Q43""))"),8128.83599999999)</f>
        <v>8128.8359999999902</v>
      </c>
      <c r="G252" s="16">
        <f ca="1">IFERROR(__xludf.DUMMYFUNCTION("IMPORTRANGE(""https://docs.google.com/spreadsheets/d/1vmCj5YcMSPHj1m64syDndQ6cqVL3yolcU03Y8KHmvdc/edit"",""10!e50"")"),4348)</f>
        <v>4348</v>
      </c>
      <c r="H252" s="16">
        <f ca="1">IFERROR(__xludf.DUMMYFUNCTION("IMPORTRANGE(""https://docs.google.com/spreadsheets/d/1vmCj5YcMSPHj1m64syDndQ6cqVL3yolcU03Y8KHmvdc/edit"",""10!e51"")"),97)</f>
        <v>97</v>
      </c>
      <c r="I252" s="18">
        <f t="shared" ca="1" si="687"/>
        <v>4445</v>
      </c>
      <c r="J252" s="16">
        <f ca="1">IFERROR(__xludf.DUMMYFUNCTION("IMPORTRANGE(""https://docs.google.com/spreadsheets/d/1vmCj5YcMSPHj1m64syDndQ6cqVL3yolcU03Y8KHmvdc/edit"",""10!e54"")"),4712)</f>
        <v>4712</v>
      </c>
      <c r="K252" s="16">
        <f ca="1">IFERROR(__xludf.DUMMYFUNCTION("IMPORTRANGE(""https://docs.google.com/spreadsheets/d/1vmCj5YcMSPHj1m64syDndQ6cqVL3yolcU03Y8KHmvdc/edit"",""10!e55"")"),150)</f>
        <v>150</v>
      </c>
      <c r="L252" s="18">
        <f t="shared" ca="1" si="688"/>
        <v>4862</v>
      </c>
      <c r="M252" s="18">
        <f t="shared" ca="1" si="689"/>
        <v>9307</v>
      </c>
      <c r="N252" s="19">
        <f t="shared" ca="1" si="690"/>
        <v>193.54371428571406</v>
      </c>
      <c r="O252" s="16">
        <v>13817</v>
      </c>
      <c r="P252" s="20">
        <f t="shared" ca="1" si="691"/>
        <v>0.67359050445103863</v>
      </c>
      <c r="Q252" s="21">
        <v>1.5</v>
      </c>
      <c r="R252" s="20">
        <f t="shared" ca="1" si="692"/>
        <v>0.76329091479600208</v>
      </c>
      <c r="S252" s="22">
        <f t="shared" ca="1" si="693"/>
        <v>1.1449363721940031</v>
      </c>
      <c r="T252" s="21">
        <f ca="1">F252/25.089</f>
        <v>323.9999999999996</v>
      </c>
      <c r="U252" s="21">
        <f t="shared" ca="1" si="694"/>
        <v>7.7142857142857046</v>
      </c>
      <c r="V252" s="18">
        <f t="shared" ca="1" si="695"/>
        <v>221.5952380952381</v>
      </c>
      <c r="W252" s="76"/>
      <c r="X252" s="24" t="s">
        <v>33</v>
      </c>
      <c r="Y252" s="24">
        <v>6</v>
      </c>
      <c r="Z252" s="24">
        <f t="shared" ref="Z252:AI252" si="705">SUM(Z246:Z251)</f>
        <v>186</v>
      </c>
      <c r="AA252" s="25">
        <f t="shared" ca="1" si="705"/>
        <v>178</v>
      </c>
      <c r="AB252" s="26">
        <f t="shared" ca="1" si="705"/>
        <v>34079.878999999972</v>
      </c>
      <c r="AC252" s="25">
        <f t="shared" ca="1" si="705"/>
        <v>10548</v>
      </c>
      <c r="AD252" s="25">
        <f t="shared" ca="1" si="705"/>
        <v>325</v>
      </c>
      <c r="AE252" s="25">
        <f t="shared" ca="1" si="705"/>
        <v>10873</v>
      </c>
      <c r="AF252" s="25">
        <f t="shared" ca="1" si="705"/>
        <v>14273</v>
      </c>
      <c r="AG252" s="25">
        <f t="shared" ca="1" si="705"/>
        <v>384</v>
      </c>
      <c r="AH252" s="25">
        <f t="shared" ca="1" si="705"/>
        <v>14657</v>
      </c>
      <c r="AI252" s="25">
        <f t="shared" ca="1" si="705"/>
        <v>25530</v>
      </c>
      <c r="AJ252" s="27">
        <f t="shared" ca="1" si="699"/>
        <v>191.4599943820223</v>
      </c>
      <c r="AK252" s="24">
        <f>SUM(AK246:AK251)</f>
        <v>35074</v>
      </c>
      <c r="AL252" s="28">
        <f t="shared" ca="1" si="677"/>
        <v>0.7278896048354907</v>
      </c>
      <c r="AM252" s="29">
        <v>1.5</v>
      </c>
      <c r="AN252" s="28">
        <f t="shared" ca="1" si="679"/>
        <v>0.49941491869733495</v>
      </c>
      <c r="AO252" s="30">
        <f t="shared" ca="1" si="680"/>
        <v>0.74912237804600246</v>
      </c>
      <c r="AP252" s="29">
        <f ca="1">SUM(AP246:AP251)</f>
        <v>1277.2533743116412</v>
      </c>
      <c r="AQ252" s="29">
        <f ca="1">AP252/AA252</f>
        <v>7.1755807545597818</v>
      </c>
      <c r="AR252" s="25">
        <f t="shared" ca="1" si="682"/>
        <v>143.42696629213484</v>
      </c>
      <c r="AS252" s="76"/>
      <c r="AT252" s="76"/>
    </row>
    <row r="253" spans="1:46" ht="15.75" customHeight="1" x14ac:dyDescent="0.25">
      <c r="A253" s="70"/>
      <c r="B253" s="16">
        <v>5</v>
      </c>
      <c r="C253" s="16" t="s">
        <v>34</v>
      </c>
      <c r="D253" s="17">
        <v>40</v>
      </c>
      <c r="E253" s="18">
        <f ca="1">IFERROR(__xludf.DUMMYFUNCTION("COUNT(IMPORTRANGE(""https://docs.google.com/spreadsheets/d/14_Y-fpuq1wcec3DlT_1PBYekOC0YblQMrWVfO12YO3k/edit"",""10!d2:d41""))"),38)</f>
        <v>38</v>
      </c>
      <c r="F253" s="23">
        <f ca="1">IFERROR(__xludf.DUMMYFUNCTION("SUM(IMPORTRANGE(""https://docs.google.com/spreadsheets/d/14_Y-fpuq1wcec3DlT_1PBYekOC0YblQMrWVfO12YO3k/edit"",""10!Q2:Q41""))"),7341.873)</f>
        <v>7341.8729999999996</v>
      </c>
      <c r="G253" s="18">
        <f ca="1">IFERROR(__xludf.DUMMYFUNCTION("IMPORTRANGE(""https://docs.google.com/spreadsheets/d/14_Y-fpuq1wcec3DlT_1PBYekOC0YblQMrWVfO12YO3k/edit"",""10!e48"")"),2561)</f>
        <v>2561</v>
      </c>
      <c r="H253" s="18">
        <f ca="1">IFERROR(__xludf.DUMMYFUNCTION("IMPORTRANGE(""https://docs.google.com/spreadsheets/d/14_Y-fpuq1wcec3DlT_1PBYekOC0YblQMrWVfO12YO3k/edit"",""10!e49"")"),0)</f>
        <v>0</v>
      </c>
      <c r="I253" s="18">
        <f t="shared" ca="1" si="687"/>
        <v>2561</v>
      </c>
      <c r="J253" s="18">
        <f ca="1">IFERROR(__xludf.DUMMYFUNCTION("IMPORTRANGE(""https://docs.google.com/spreadsheets/d/14_Y-fpuq1wcec3DlT_1PBYekOC0YblQMrWVfO12YO3k/edit"",""10!e52"")"),3141)</f>
        <v>3141</v>
      </c>
      <c r="K253" s="18">
        <f ca="1">IFERROR(__xludf.DUMMYFUNCTION("IMPORTRANGE(""https://docs.google.com/spreadsheets/d/14_Y-fpuq1wcec3DlT_1PBYekOC0YblQMrWVfO12YO3k/edit"",""10!e53"")"),0)</f>
        <v>0</v>
      </c>
      <c r="L253" s="18">
        <f t="shared" ca="1" si="688"/>
        <v>3141</v>
      </c>
      <c r="M253" s="18">
        <f t="shared" ca="1" si="689"/>
        <v>5702</v>
      </c>
      <c r="N253" s="19">
        <f t="shared" ca="1" si="690"/>
        <v>193.20718421052629</v>
      </c>
      <c r="O253" s="16">
        <v>9354</v>
      </c>
      <c r="P253" s="20">
        <f t="shared" ca="1" si="691"/>
        <v>0.60957878982253577</v>
      </c>
      <c r="Q253" s="21">
        <v>1.5</v>
      </c>
      <c r="R253" s="20">
        <f t="shared" ca="1" si="692"/>
        <v>0.5177607040238007</v>
      </c>
      <c r="S253" s="22">
        <f t="shared" ca="1" si="693"/>
        <v>0.77664105603570099</v>
      </c>
      <c r="T253" s="21">
        <f ca="1">F253/30.713</f>
        <v>239.04773223065149</v>
      </c>
      <c r="U253" s="21">
        <f t="shared" ca="1" si="694"/>
        <v>6.2907297955434602</v>
      </c>
      <c r="V253" s="18">
        <f t="shared" ca="1" si="695"/>
        <v>150.05263157894737</v>
      </c>
      <c r="W253" s="76"/>
      <c r="X253" s="100" t="s">
        <v>35</v>
      </c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9"/>
      <c r="AS253" s="76"/>
      <c r="AT253" s="76"/>
    </row>
    <row r="254" spans="1:46" ht="15.75" customHeight="1" x14ac:dyDescent="0.25">
      <c r="A254" s="70"/>
      <c r="B254" s="16">
        <v>6</v>
      </c>
      <c r="C254" s="16" t="s">
        <v>23</v>
      </c>
      <c r="D254" s="17">
        <v>35</v>
      </c>
      <c r="E254" s="18">
        <f ca="1">IFERROR(__xludf.DUMMYFUNCTION("COUNT(IMPORTRANGE(""https://docs.google.com/spreadsheets/d/1lJqjdj05V4LOXuBOiTdE65GV4ZITyx1cMLcDdcuoUnE/edit"",""10!d2:d36""))"),34)</f>
        <v>34</v>
      </c>
      <c r="F254" s="23">
        <f ca="1">IFERROR(__xludf.DUMMYFUNCTION("SUM(IMPORTRANGE(""https://docs.google.com/spreadsheets/d/1lJqjdj05V4LOXuBOiTdE65GV4ZITyx1cMLcDdcuoUnE/edit"",""10!Q2:Q36""))"),6714.25999999999)</f>
        <v>6714.2599999999902</v>
      </c>
      <c r="G254" s="18">
        <f ca="1">IFERROR(__xludf.DUMMYFUNCTION("IMPORTRANGE(""https://docs.google.com/spreadsheets/d/1lJqjdj05V4LOXuBOiTdE65GV4ZITyx1cMLcDdcuoUnE/edit"",""10!e43"")"),1684)</f>
        <v>1684</v>
      </c>
      <c r="H254" s="18">
        <f ca="1">IFERROR(__xludf.DUMMYFUNCTION("IMPORTRANGE(""https://docs.google.com/spreadsheets/d/1lJqjdj05V4LOXuBOiTdE65GV4ZITyx1cMLcDdcuoUnE/edit"",""10!e44"")"),0)</f>
        <v>0</v>
      </c>
      <c r="I254" s="18">
        <f t="shared" ca="1" si="687"/>
        <v>1684</v>
      </c>
      <c r="J254" s="18">
        <f ca="1">IFERROR(__xludf.DUMMYFUNCTION("IMPORTRANGE(""https://docs.google.com/spreadsheets/d/1lJqjdj05V4LOXuBOiTdE65GV4ZITyx1cMLcDdcuoUnE/edit"",""10!e47"")"),3070)</f>
        <v>3070</v>
      </c>
      <c r="K254" s="18">
        <f ca="1">IFERROR(__xludf.DUMMYFUNCTION("IMPORTRANGE(""https://docs.google.com/spreadsheets/d/1lJqjdj05V4LOXuBOiTdE65GV4ZITyx1cMLcDdcuoUnE/edit"",""10!e48"")"),0)</f>
        <v>0</v>
      </c>
      <c r="L254" s="18">
        <f t="shared" ca="1" si="688"/>
        <v>3070</v>
      </c>
      <c r="M254" s="18">
        <f t="shared" ca="1" si="689"/>
        <v>4754</v>
      </c>
      <c r="N254" s="19">
        <f t="shared" ca="1" si="690"/>
        <v>197.47823529411735</v>
      </c>
      <c r="O254" s="16">
        <v>6853</v>
      </c>
      <c r="P254" s="20">
        <f t="shared" ca="1" si="691"/>
        <v>0.69371078359842409</v>
      </c>
      <c r="Q254" s="21">
        <v>1.5</v>
      </c>
      <c r="R254" s="20">
        <f t="shared" ca="1" si="692"/>
        <v>0.47203017656947122</v>
      </c>
      <c r="S254" s="22">
        <f t="shared" ca="1" si="693"/>
        <v>0.70804526485420682</v>
      </c>
      <c r="T254" s="21">
        <f ca="1">F254/33.74</f>
        <v>198.99999999999969</v>
      </c>
      <c r="U254" s="21">
        <f t="shared" ca="1" si="694"/>
        <v>5.852941176470579</v>
      </c>
      <c r="V254" s="18">
        <f t="shared" ca="1" si="695"/>
        <v>139.8235294117647</v>
      </c>
      <c r="W254" s="76"/>
      <c r="X254" s="1" t="s">
        <v>2</v>
      </c>
      <c r="Y254" s="1" t="s">
        <v>3</v>
      </c>
      <c r="Z254" s="1" t="s">
        <v>4</v>
      </c>
      <c r="AA254" s="1" t="s">
        <v>5</v>
      </c>
      <c r="AB254" s="2" t="s">
        <v>6</v>
      </c>
      <c r="AC254" s="1" t="s">
        <v>7</v>
      </c>
      <c r="AD254" s="1" t="s">
        <v>8</v>
      </c>
      <c r="AE254" s="1" t="s">
        <v>9</v>
      </c>
      <c r="AF254" s="1" t="s">
        <v>10</v>
      </c>
      <c r="AG254" s="1" t="s">
        <v>11</v>
      </c>
      <c r="AH254" s="1" t="s">
        <v>12</v>
      </c>
      <c r="AI254" s="1" t="s">
        <v>13</v>
      </c>
      <c r="AJ254" s="2" t="s">
        <v>14</v>
      </c>
      <c r="AK254" s="1" t="s">
        <v>15</v>
      </c>
      <c r="AL254" s="1" t="s">
        <v>16</v>
      </c>
      <c r="AM254" s="3" t="s">
        <v>17</v>
      </c>
      <c r="AN254" s="4" t="s">
        <v>18</v>
      </c>
      <c r="AO254" s="5" t="s">
        <v>19</v>
      </c>
      <c r="AP254" s="6" t="s">
        <v>20</v>
      </c>
      <c r="AQ254" s="6" t="s">
        <v>21</v>
      </c>
      <c r="AR254" s="7" t="s">
        <v>22</v>
      </c>
      <c r="AS254" s="76"/>
      <c r="AT254" s="76"/>
    </row>
    <row r="255" spans="1:46" ht="15.75" customHeight="1" x14ac:dyDescent="0.25">
      <c r="A255" s="70"/>
      <c r="B255" s="16">
        <v>7</v>
      </c>
      <c r="C255" s="16" t="s">
        <v>24</v>
      </c>
      <c r="D255" s="17">
        <v>44</v>
      </c>
      <c r="E255" s="31">
        <f ca="1">IFERROR(__xludf.DUMMYFUNCTION("COUNT(IMPORTRANGE(""https://docs.google.com/spreadsheets/d/1_7EEO26q9Yq-XhNFiy7I6Zh4Yg6uGjTs9y0UqNvPKcQ/edit"",""10!d2:d45""))"),43)</f>
        <v>43</v>
      </c>
      <c r="F255" s="32">
        <f ca="1">IFERROR(__xludf.DUMMYFUNCTION("SUM(IMPORTRANGE(""https://docs.google.com/spreadsheets/d/1_7EEO26q9Yq-XhNFiy7I6Zh4Yg6uGjTs9y0UqNvPKcQ/edit"",""10!Q2:Q45""))"),8290.10699999999)</f>
        <v>8290.1069999999909</v>
      </c>
      <c r="G255" s="31">
        <f ca="1">IFERROR(__xludf.DUMMYFUNCTION("IMPORTRANGE(""https://docs.google.com/spreadsheets/d/1_7EEO26q9Yq-XhNFiy7I6Zh4Yg6uGjTs9y0UqNvPKcQ/edit"",""10!e53"")"),1127)</f>
        <v>1127</v>
      </c>
      <c r="H255" s="31">
        <f ca="1">IFERROR(__xludf.DUMMYFUNCTION("IMPORTRANGE(""https://docs.google.com/spreadsheets/d/1_7EEO26q9Yq-XhNFiy7I6Zh4Yg6uGjTs9y0UqNvPKcQ/edit"",""10!e54"")"),0)</f>
        <v>0</v>
      </c>
      <c r="I255" s="31">
        <f t="shared" ca="1" si="687"/>
        <v>1127</v>
      </c>
      <c r="J255" s="31">
        <f ca="1">IFERROR(__xludf.DUMMYFUNCTION("IMPORTRANGE(""https://docs.google.com/spreadsheets/d/1_7EEO26q9Yq-XhNFiy7I6Zh4Yg6uGjTs9y0UqNvPKcQ/edit"",""10!e57"")"),1185)</f>
        <v>1185</v>
      </c>
      <c r="K255" s="31">
        <f ca="1">IFERROR(__xludf.DUMMYFUNCTION("IMPORTRANGE(""https://docs.google.com/spreadsheets/d/1_7EEO26q9Yq-XhNFiy7I6Zh4Yg6uGjTs9y0UqNvPKcQ/edit"",""10!e58"")"),0)</f>
        <v>0</v>
      </c>
      <c r="L255" s="18">
        <f t="shared" ca="1" si="688"/>
        <v>1185</v>
      </c>
      <c r="M255" s="18">
        <f t="shared" ca="1" si="689"/>
        <v>2312</v>
      </c>
      <c r="N255" s="19">
        <f t="shared" ca="1" si="690"/>
        <v>192.79318604651141</v>
      </c>
      <c r="O255" s="16">
        <v>1580</v>
      </c>
      <c r="P255" s="33">
        <f t="shared" ca="1" si="691"/>
        <v>1.4632911392405064</v>
      </c>
      <c r="Q255" s="21">
        <v>1.5</v>
      </c>
      <c r="R255" s="20">
        <f t="shared" ca="1" si="692"/>
        <v>0.18592441971295848</v>
      </c>
      <c r="S255" s="22">
        <f t="shared" ca="1" si="693"/>
        <v>0.27888662956943772</v>
      </c>
      <c r="T255" s="21">
        <f ca="1">F255/26.805</f>
        <v>309.27465025181834</v>
      </c>
      <c r="U255" s="21">
        <f t="shared" ca="1" si="694"/>
        <v>7.1924337267864731</v>
      </c>
      <c r="V255" s="18">
        <f t="shared" ca="1" si="695"/>
        <v>53.767441860465119</v>
      </c>
      <c r="W255" s="76"/>
      <c r="X255" s="8">
        <v>1</v>
      </c>
      <c r="Y255" s="8" t="s">
        <v>28</v>
      </c>
      <c r="Z255" s="8">
        <f t="shared" ref="Z255:AI255" si="706">SUM(D250)</f>
        <v>33</v>
      </c>
      <c r="AA255" s="9">
        <f t="shared" ca="1" si="706"/>
        <v>32</v>
      </c>
      <c r="AB255" s="11">
        <f t="shared" ca="1" si="706"/>
        <v>6374.348</v>
      </c>
      <c r="AC255" s="9">
        <f t="shared" ca="1" si="706"/>
        <v>2114</v>
      </c>
      <c r="AD255" s="9">
        <f t="shared" ca="1" si="706"/>
        <v>245</v>
      </c>
      <c r="AE255" s="9">
        <f t="shared" ca="1" si="706"/>
        <v>2359</v>
      </c>
      <c r="AF255" s="9">
        <f t="shared" ca="1" si="706"/>
        <v>2453</v>
      </c>
      <c r="AG255" s="9">
        <f t="shared" ca="1" si="706"/>
        <v>156</v>
      </c>
      <c r="AH255" s="9">
        <f t="shared" ca="1" si="706"/>
        <v>2609</v>
      </c>
      <c r="AI255" s="9">
        <f t="shared" ca="1" si="706"/>
        <v>4968</v>
      </c>
      <c r="AJ255" s="11">
        <f t="shared" ref="AJ255:AJ261" ca="1" si="707">AB255/AA255</f>
        <v>199.198375</v>
      </c>
      <c r="AK255" s="8">
        <f t="shared" ref="AK255:AK256" si="708">SUM(O250)</f>
        <v>7315</v>
      </c>
      <c r="AL255" s="12">
        <f t="shared" ref="AL255:AL261" ca="1" si="709">AI255/AK255</f>
        <v>0.67915242652084762</v>
      </c>
      <c r="AM255" s="13">
        <f t="shared" ref="AM255:AM256" si="710">SUM(Q250)</f>
        <v>1.5</v>
      </c>
      <c r="AN255" s="12">
        <f t="shared" ref="AN255:AN261" ca="1" si="711">AO255/AM255</f>
        <v>0.51958255181549551</v>
      </c>
      <c r="AO255" s="14">
        <f t="shared" ref="AO255:AO261" ca="1" si="712">AI255/AB255</f>
        <v>0.77937382772324326</v>
      </c>
      <c r="AP255" s="13">
        <f t="shared" ref="AP255:AQ255" ca="1" si="713">SUM(T250)</f>
        <v>206.30960934718581</v>
      </c>
      <c r="AQ255" s="13">
        <f t="shared" ca="1" si="713"/>
        <v>6.4471752920995566</v>
      </c>
      <c r="AR255" s="9">
        <f t="shared" ref="AR255:AR261" ca="1" si="714">AI255/AA255</f>
        <v>155.25</v>
      </c>
      <c r="AS255" s="76"/>
      <c r="AT255" s="76"/>
    </row>
    <row r="256" spans="1:46" ht="15.75" customHeight="1" x14ac:dyDescent="0.25">
      <c r="A256" s="70"/>
      <c r="B256" s="16">
        <v>8</v>
      </c>
      <c r="C256" s="16" t="s">
        <v>25</v>
      </c>
      <c r="D256" s="34">
        <v>32</v>
      </c>
      <c r="E256" s="18">
        <f ca="1">IFERROR(__xludf.DUMMYFUNCTION("COUNT(IMPORTRANGE(""https://docs.google.com/spreadsheets/d/1vLOLpiE-XsbnCnwWPcoi87PlUSXfqIAAQn3kvqHfO6s/edit"",""10!d2:D33""))"),31)</f>
        <v>31</v>
      </c>
      <c r="F256" s="23">
        <f ca="1">IFERROR(__xludf.DUMMYFUNCTION("SUM(IMPORTRANGE(""https://docs.google.com/spreadsheets/d/1vLOLpiE-XsbnCnwWPcoi87PlUSXfqIAAQn3kvqHfO6s/edit"",""10!Q2:Q33""))"),5749.832)</f>
        <v>5749.8320000000003</v>
      </c>
      <c r="G256" s="18">
        <f ca="1">IFERROR(__xludf.DUMMYFUNCTION("IMPORTRANGE(""https://docs.google.com/spreadsheets/d/1vLOLpiE-XsbnCnwWPcoi87PlUSXfqIAAQn3kvqHfO6s/edit"",""10!e40"")"),2365)</f>
        <v>2365</v>
      </c>
      <c r="H256" s="18">
        <f ca="1">IFERROR(__xludf.DUMMYFUNCTION("IMPORTRANGE(""https://docs.google.com/spreadsheets/d/1vLOLpiE-XsbnCnwWPcoi87PlUSXfqIAAQn3kvqHfO6s/edit"",""10!e41"")"),316)</f>
        <v>316</v>
      </c>
      <c r="I256" s="18">
        <f t="shared" ca="1" si="687"/>
        <v>2681</v>
      </c>
      <c r="J256" s="18">
        <f ca="1">IFERROR(__xludf.DUMMYFUNCTION("IMPORTRANGE(""https://docs.google.com/spreadsheets/d/1vLOLpiE-XsbnCnwWPcoi87PlUSXfqIAAQn3kvqHfO6s/edit"",""10!e44"")"),2754)</f>
        <v>2754</v>
      </c>
      <c r="K256" s="18">
        <f ca="1">IFERROR(__xludf.DUMMYFUNCTION("IMPORTRANGE(""https://docs.google.com/spreadsheets/d/1vLOLpiE-XsbnCnwWPcoi87PlUSXfqIAAQn3kvqHfO6s/edit"",""10!e45"")"),384)</f>
        <v>384</v>
      </c>
      <c r="L256" s="18">
        <f ca="1">J256+K256</f>
        <v>3138</v>
      </c>
      <c r="M256" s="18">
        <f t="shared" ca="1" si="689"/>
        <v>5819</v>
      </c>
      <c r="N256" s="19">
        <f t="shared" ca="1" si="690"/>
        <v>185.47845161290323</v>
      </c>
      <c r="O256" s="16">
        <v>6622</v>
      </c>
      <c r="P256" s="20">
        <f t="shared" ca="1" si="691"/>
        <v>0.87873754152823924</v>
      </c>
      <c r="Q256" s="21">
        <v>1.5</v>
      </c>
      <c r="R256" s="20">
        <f t="shared" ca="1" si="692"/>
        <v>0.67468637924261665</v>
      </c>
      <c r="S256" s="22">
        <f t="shared" ca="1" si="693"/>
        <v>1.0120295688639249</v>
      </c>
      <c r="T256" s="21">
        <f ca="1">F256/23.84</f>
        <v>241.18422818791947</v>
      </c>
      <c r="U256" s="21">
        <f t="shared" ca="1" si="694"/>
        <v>7.7801363931586929</v>
      </c>
      <c r="V256" s="18">
        <f t="shared" ca="1" si="695"/>
        <v>187.70967741935485</v>
      </c>
      <c r="W256" s="76"/>
      <c r="X256" s="8">
        <v>2</v>
      </c>
      <c r="Y256" s="8" t="s">
        <v>30</v>
      </c>
      <c r="Z256" s="8">
        <f t="shared" ref="Z256:AI256" si="715">SUM(D251)</f>
        <v>60</v>
      </c>
      <c r="AA256" s="9">
        <f t="shared" ca="1" si="715"/>
        <v>58</v>
      </c>
      <c r="AB256" s="10">
        <f t="shared" ca="1" si="715"/>
        <v>11392.949999999901</v>
      </c>
      <c r="AC256" s="9">
        <f t="shared" ca="1" si="715"/>
        <v>3444</v>
      </c>
      <c r="AD256" s="9">
        <f t="shared" ca="1" si="715"/>
        <v>0</v>
      </c>
      <c r="AE256" s="9">
        <f t="shared" ca="1" si="715"/>
        <v>3444</v>
      </c>
      <c r="AF256" s="9">
        <f t="shared" ca="1" si="715"/>
        <v>4435</v>
      </c>
      <c r="AG256" s="9">
        <f t="shared" ca="1" si="715"/>
        <v>0</v>
      </c>
      <c r="AH256" s="9">
        <f t="shared" ca="1" si="715"/>
        <v>4435</v>
      </c>
      <c r="AI256" s="9">
        <f t="shared" ca="1" si="715"/>
        <v>7879</v>
      </c>
      <c r="AJ256" s="11">
        <f t="shared" ca="1" si="707"/>
        <v>196.43017241379138</v>
      </c>
      <c r="AK256" s="8">
        <f t="shared" si="708"/>
        <v>11164</v>
      </c>
      <c r="AL256" s="12">
        <f t="shared" ca="1" si="709"/>
        <v>0.7057506270154067</v>
      </c>
      <c r="AM256" s="13">
        <f t="shared" si="710"/>
        <v>1.5</v>
      </c>
      <c r="AN256" s="12">
        <f t="shared" ca="1" si="711"/>
        <v>0.46104535407130837</v>
      </c>
      <c r="AO256" s="14">
        <f t="shared" ca="1" si="712"/>
        <v>0.69156803110696252</v>
      </c>
      <c r="AP256" s="13">
        <f t="shared" ref="AP256:AQ256" ca="1" si="716">SUM(T251)</f>
        <v>384.85795358578184</v>
      </c>
      <c r="AQ256" s="13">
        <f t="shared" ca="1" si="716"/>
        <v>6.6354819583755491</v>
      </c>
      <c r="AR256" s="9">
        <f t="shared" ca="1" si="714"/>
        <v>135.84482758620689</v>
      </c>
      <c r="AS256" s="76"/>
      <c r="AT256" s="76"/>
    </row>
    <row r="257" spans="1:46" ht="15.75" customHeight="1" x14ac:dyDescent="0.25">
      <c r="A257" s="70"/>
      <c r="B257" s="16">
        <v>9</v>
      </c>
      <c r="C257" s="16" t="s">
        <v>36</v>
      </c>
      <c r="D257" s="34">
        <v>24</v>
      </c>
      <c r="E257" s="18">
        <f ca="1">IFERROR(__xludf.DUMMYFUNCTION("COUNT(IMPORTRANGE(""https://docs.google.com/spreadsheets/d/1WJJVq25XDtGjt-J2JPxeKs3jIvDZtkIREC0lFPXwf74/edit"",""10!d2:d31""))"),24)</f>
        <v>24</v>
      </c>
      <c r="F257" s="23">
        <f ca="1">IFERROR(__xludf.DUMMYFUNCTION("SUM(IMPORTRANGE(""https://docs.google.com/spreadsheets/d/1WJJVq25XDtGjt-J2JPxeKs3jIvDZtkIREC0lFPXwf74/edit"",""10!Q2:Q31""))"),4595.538)</f>
        <v>4595.5379999999996</v>
      </c>
      <c r="G257" s="18">
        <f ca="1">IFERROR(__xludf.DUMMYFUNCTION("IMPORTRANGE(""https://docs.google.com/spreadsheets/d/1WJJVq25XDtGjt-J2JPxeKs3jIvDZtkIREC0lFPXwf74/edit"",""10!e38"")"),1307)</f>
        <v>1307</v>
      </c>
      <c r="H257" s="18">
        <f ca="1">IFERROR(__xludf.DUMMYFUNCTION("IMPORTRANGE(""https://docs.google.com/spreadsheets/d/1WJJVq25XDtGjt-J2JPxeKs3jIvDZtkIREC0lFPXwf74/edit"",""10!e39"")"),0)</f>
        <v>0</v>
      </c>
      <c r="I257" s="18">
        <f t="shared" ca="1" si="687"/>
        <v>1307</v>
      </c>
      <c r="J257" s="18">
        <f ca="1">IFERROR(__xludf.DUMMYFUNCTION("IMPORTRANGE(""https://docs.google.com/spreadsheets/d/1WJJVq25XDtGjt-J2JPxeKs3jIvDZtkIREC0lFPXwf74/edit"",""10!e42"")"),1921)</f>
        <v>1921</v>
      </c>
      <c r="K257" s="18">
        <f ca="1">IFERROR(__xludf.DUMMYFUNCTION("IMPORTRANGE(""https://docs.google.com/spreadsheets/d/1WJJVq25XDtGjt-J2JPxeKs3jIvDZtkIREC0lFPXwf74/edit"",""10!e43"")"),0)</f>
        <v>0</v>
      </c>
      <c r="L257" s="18">
        <f t="shared" ref="L257:L266" ca="1" si="717">SUM(J257:K257)</f>
        <v>1921</v>
      </c>
      <c r="M257" s="18">
        <f t="shared" ca="1" si="689"/>
        <v>3228</v>
      </c>
      <c r="N257" s="19">
        <f t="shared" ca="1" si="690"/>
        <v>191.48074999999997</v>
      </c>
      <c r="O257" s="16">
        <v>4796</v>
      </c>
      <c r="P257" s="20">
        <f t="shared" ca="1" si="691"/>
        <v>0.67306088407005837</v>
      </c>
      <c r="Q257" s="21">
        <v>1.5</v>
      </c>
      <c r="R257" s="20">
        <f t="shared" ca="1" si="692"/>
        <v>0.46828031886582161</v>
      </c>
      <c r="S257" s="22">
        <f t="shared" ca="1" si="693"/>
        <v>0.70242047829873244</v>
      </c>
      <c r="T257" s="21">
        <f ca="1">F257/37.414</f>
        <v>122.82936868551877</v>
      </c>
      <c r="U257" s="21">
        <f t="shared" ca="1" si="694"/>
        <v>5.1178903618966158</v>
      </c>
      <c r="V257" s="18">
        <f t="shared" ca="1" si="695"/>
        <v>134.5</v>
      </c>
      <c r="W257" s="76"/>
      <c r="X257" s="8">
        <v>3</v>
      </c>
      <c r="Y257" s="8" t="s">
        <v>34</v>
      </c>
      <c r="Z257" s="8">
        <f t="shared" ref="Z257:AI257" si="718">SUM(D253)</f>
        <v>40</v>
      </c>
      <c r="AA257" s="9">
        <f t="shared" ca="1" si="718"/>
        <v>38</v>
      </c>
      <c r="AB257" s="10">
        <f t="shared" ca="1" si="718"/>
        <v>7341.8729999999996</v>
      </c>
      <c r="AC257" s="9">
        <f t="shared" ca="1" si="718"/>
        <v>2561</v>
      </c>
      <c r="AD257" s="9">
        <f t="shared" ca="1" si="718"/>
        <v>0</v>
      </c>
      <c r="AE257" s="9">
        <f t="shared" ca="1" si="718"/>
        <v>2561</v>
      </c>
      <c r="AF257" s="9">
        <f t="shared" ca="1" si="718"/>
        <v>3141</v>
      </c>
      <c r="AG257" s="9">
        <f t="shared" ca="1" si="718"/>
        <v>0</v>
      </c>
      <c r="AH257" s="9">
        <f t="shared" ca="1" si="718"/>
        <v>3141</v>
      </c>
      <c r="AI257" s="9">
        <f t="shared" ca="1" si="718"/>
        <v>5702</v>
      </c>
      <c r="AJ257" s="11">
        <f t="shared" ca="1" si="707"/>
        <v>193.20718421052629</v>
      </c>
      <c r="AK257" s="8">
        <f>SUM(O253)</f>
        <v>9354</v>
      </c>
      <c r="AL257" s="12">
        <f t="shared" ca="1" si="709"/>
        <v>0.60957878982253577</v>
      </c>
      <c r="AM257" s="13">
        <f>SUM(Q253)</f>
        <v>1.5</v>
      </c>
      <c r="AN257" s="12">
        <f t="shared" ca="1" si="711"/>
        <v>0.5177607040238007</v>
      </c>
      <c r="AO257" s="14">
        <f t="shared" ca="1" si="712"/>
        <v>0.77664105603570099</v>
      </c>
      <c r="AP257" s="13">
        <f t="shared" ref="AP257:AQ257" ca="1" si="719">SUM(T253)</f>
        <v>239.04773223065149</v>
      </c>
      <c r="AQ257" s="13">
        <f t="shared" ca="1" si="719"/>
        <v>6.2907297955434602</v>
      </c>
      <c r="AR257" s="9">
        <f t="shared" ca="1" si="714"/>
        <v>150.05263157894737</v>
      </c>
      <c r="AS257" s="76"/>
      <c r="AT257" s="76"/>
    </row>
    <row r="258" spans="1:46" ht="15.75" customHeight="1" x14ac:dyDescent="0.25">
      <c r="A258" s="70"/>
      <c r="B258" s="16">
        <v>10</v>
      </c>
      <c r="C258" s="16" t="s">
        <v>37</v>
      </c>
      <c r="D258" s="17">
        <v>30</v>
      </c>
      <c r="E258" s="18">
        <f ca="1">IFERROR(__xludf.DUMMYFUNCTION("COUNT(IMPORTRANGE(""https://docs.google.com/spreadsheets/d/1rJyYfywRpWJW0zvDJHLOJtqUQqffoCGaqTVxxTDgV0k/edit"",""10!d2:d31""))"),28)</f>
        <v>28</v>
      </c>
      <c r="F258" s="23">
        <f ca="1">IFERROR(__xludf.DUMMYFUNCTION("SUM(IMPORTRANGE(""https://docs.google.com/spreadsheets/d/1rJyYfywRpWJW0zvDJHLOJtqUQqffoCGaqTVxxTDgV0k/edit"",""10!Q2:Q31""))"),5600.36999999999)</f>
        <v>5600.3699999999899</v>
      </c>
      <c r="G258" s="18">
        <f ca="1">IFERROR(__xludf.DUMMYFUNCTION("(IMPORTRANGE(""https://docs.google.com/spreadsheets/d/1rJyYfywRpWJW0zvDJHLOJtqUQqffoCGaqTVxxTDgV0k/edit"",""10!e38""))"),1870)</f>
        <v>1870</v>
      </c>
      <c r="H258" s="18">
        <f ca="1">IFERROR(__xludf.DUMMYFUNCTION("(IMPORTRANGE(""https://docs.google.com/spreadsheets/d/1rJyYfywRpWJW0zvDJHLOJtqUQqffoCGaqTVxxTDgV0k/edit"",""10!e39""))"),0)</f>
        <v>0</v>
      </c>
      <c r="I258" s="18">
        <f t="shared" ca="1" si="687"/>
        <v>1870</v>
      </c>
      <c r="J258" s="18">
        <f ca="1">IFERROR(__xludf.DUMMYFUNCTION("(IMPORTRANGE(""https://docs.google.com/spreadsheets/d/1rJyYfywRpWJW0zvDJHLOJtqUQqffoCGaqTVxxTDgV0k/edit"",""10!e42""))"),2755)</f>
        <v>2755</v>
      </c>
      <c r="K258" s="18">
        <f ca="1">IFERROR(__xludf.DUMMYFUNCTION("(IMPORTRANGE(""https://docs.google.com/spreadsheets/d/1rJyYfywRpWJW0zvDJHLOJtqUQqffoCGaqTVxxTDgV0k/edit"",""10!e43""))"),0)</f>
        <v>0</v>
      </c>
      <c r="L258" s="18">
        <f t="shared" ca="1" si="717"/>
        <v>2755</v>
      </c>
      <c r="M258" s="18">
        <f t="shared" ca="1" si="689"/>
        <v>4625</v>
      </c>
      <c r="N258" s="19">
        <f t="shared" ca="1" si="690"/>
        <v>200.01321428571393</v>
      </c>
      <c r="O258" s="16">
        <v>5887</v>
      </c>
      <c r="P258" s="20">
        <f t="shared" ca="1" si="691"/>
        <v>0.7856293528112791</v>
      </c>
      <c r="Q258" s="21">
        <v>1.5</v>
      </c>
      <c r="R258" s="20">
        <f t="shared" ca="1" si="692"/>
        <v>0.5505588618847217</v>
      </c>
      <c r="S258" s="22">
        <f t="shared" ca="1" si="693"/>
        <v>0.82583829282708254</v>
      </c>
      <c r="T258" s="21">
        <f ca="1">F258/24.792</f>
        <v>225.89424007744392</v>
      </c>
      <c r="U258" s="21">
        <f t="shared" ca="1" si="694"/>
        <v>8.0676514313372838</v>
      </c>
      <c r="V258" s="18">
        <f t="shared" ca="1" si="695"/>
        <v>165.17857142857142</v>
      </c>
      <c r="W258" s="76"/>
      <c r="X258" s="8">
        <v>4</v>
      </c>
      <c r="Y258" s="8" t="s">
        <v>38</v>
      </c>
      <c r="Z258" s="8">
        <f t="shared" ref="Z258:AI258" si="720">SUM(D261)</f>
        <v>30</v>
      </c>
      <c r="AA258" s="9">
        <f t="shared" ca="1" si="720"/>
        <v>30</v>
      </c>
      <c r="AB258" s="10">
        <f t="shared" ca="1" si="720"/>
        <v>6346.6009999999897</v>
      </c>
      <c r="AC258" s="9">
        <f t="shared" ca="1" si="720"/>
        <v>1949</v>
      </c>
      <c r="AD258" s="9">
        <f t="shared" ca="1" si="720"/>
        <v>0</v>
      </c>
      <c r="AE258" s="9">
        <f t="shared" ca="1" si="720"/>
        <v>1949</v>
      </c>
      <c r="AF258" s="9">
        <f t="shared" ca="1" si="720"/>
        <v>3177</v>
      </c>
      <c r="AG258" s="9">
        <f t="shared" ca="1" si="720"/>
        <v>336</v>
      </c>
      <c r="AH258" s="9">
        <f t="shared" ca="1" si="720"/>
        <v>3513</v>
      </c>
      <c r="AI258" s="9">
        <f t="shared" ca="1" si="720"/>
        <v>5462</v>
      </c>
      <c r="AJ258" s="11">
        <f t="shared" ca="1" si="707"/>
        <v>211.55336666666634</v>
      </c>
      <c r="AK258" s="8">
        <v>7324</v>
      </c>
      <c r="AL258" s="12">
        <f t="shared" ca="1" si="709"/>
        <v>0.74576734025122882</v>
      </c>
      <c r="AM258" s="13">
        <f>SUM(Q261)</f>
        <v>1.5</v>
      </c>
      <c r="AN258" s="12">
        <f t="shared" ca="1" si="711"/>
        <v>0.57374543213498674</v>
      </c>
      <c r="AO258" s="14">
        <f t="shared" ca="1" si="712"/>
        <v>0.86061814820248017</v>
      </c>
      <c r="AP258" s="13">
        <f t="shared" ref="AP258:AQ258" ca="1" si="721">SUM(T261)</f>
        <v>154.02502123528674</v>
      </c>
      <c r="AQ258" s="13">
        <f t="shared" ca="1" si="721"/>
        <v>5.1341673745095582</v>
      </c>
      <c r="AR258" s="9">
        <f t="shared" ca="1" si="714"/>
        <v>182.06666666666666</v>
      </c>
      <c r="AS258" s="76"/>
      <c r="AT258" s="76"/>
    </row>
    <row r="259" spans="1:46" ht="15.75" customHeight="1" x14ac:dyDescent="0.25">
      <c r="A259" s="70"/>
      <c r="B259" s="16">
        <v>12</v>
      </c>
      <c r="C259" s="16" t="s">
        <v>39</v>
      </c>
      <c r="D259" s="17">
        <v>28</v>
      </c>
      <c r="E259" s="18">
        <f ca="1">IFERROR(__xludf.DUMMYFUNCTION("COUNT(IMPORTRANGE(""https://docs.google.com/spreadsheets/d/1uaTn2DZCfr7O1PvovOd0wElzVz8kpl_iPfnrkNPp0Is/edit"",""10!d2:d29""))"),28)</f>
        <v>28</v>
      </c>
      <c r="F259" s="23">
        <f ca="1">IFERROR(__xludf.DUMMYFUNCTION("SUM(IMPORTRANGE(""https://docs.google.com/spreadsheets/d/1uaTn2DZCfr7O1PvovOd0wElzVz8kpl_iPfnrkNPp0Is/edit"",""10!Q2:Q29""))"),4772.06199999999)</f>
        <v>4772.0619999999899</v>
      </c>
      <c r="G259" s="18">
        <f ca="1">IFERROR(__xludf.DUMMYFUNCTION("IMPORTRANGE(""https://docs.google.com/spreadsheets/d/1uaTn2DZCfr7O1PvovOd0wElzVz8kpl_iPfnrkNPp0Is/edit"",""10!e36"")"),1146)</f>
        <v>1146</v>
      </c>
      <c r="H259" s="18">
        <f ca="1">IFERROR(__xludf.DUMMYFUNCTION("(IMPORTRANGE(""https://docs.google.com/spreadsheets/d/1uaTn2DZCfr7O1PvovOd0wElzVz8kpl_iPfnrkNPp0Is/edit"",""10!e37""))"),0)</f>
        <v>0</v>
      </c>
      <c r="I259" s="18">
        <f t="shared" ca="1" si="687"/>
        <v>1146</v>
      </c>
      <c r="J259" s="18">
        <f ca="1">IFERROR(__xludf.DUMMYFUNCTION("IMPORTRANGE(""https://docs.google.com/spreadsheets/d/1uaTn2DZCfr7O1PvovOd0wElzVz8kpl_iPfnrkNPp0Is/edit"",""10!e40"")"),1543)</f>
        <v>1543</v>
      </c>
      <c r="K259" s="18">
        <f ca="1">IFERROR(__xludf.DUMMYFUNCTION("IMPORTRANGE(""https://docs.google.com/spreadsheets/d/1uaTn2DZCfr7O1PvovOd0wElzVz8kpl_iPfnrkNPp0Is/edit"",""10!e41"")"),0)</f>
        <v>0</v>
      </c>
      <c r="L259" s="18">
        <f t="shared" ca="1" si="717"/>
        <v>1543</v>
      </c>
      <c r="M259" s="18">
        <f t="shared" ca="1" si="689"/>
        <v>2689</v>
      </c>
      <c r="N259" s="19">
        <f t="shared" ca="1" si="690"/>
        <v>170.43078571428535</v>
      </c>
      <c r="O259" s="16">
        <v>3569</v>
      </c>
      <c r="P259" s="20">
        <f t="shared" ca="1" si="691"/>
        <v>0.75343233398711118</v>
      </c>
      <c r="Q259" s="21">
        <v>1.5</v>
      </c>
      <c r="R259" s="20">
        <f t="shared" ca="1" si="692"/>
        <v>0.3756587124531639</v>
      </c>
      <c r="S259" s="22">
        <f t="shared" ca="1" si="693"/>
        <v>0.56348806867974588</v>
      </c>
      <c r="T259" s="21">
        <f ca="1">F259/21.463</f>
        <v>222.33900200344732</v>
      </c>
      <c r="U259" s="21">
        <f t="shared" ca="1" si="694"/>
        <v>7.9406786429802612</v>
      </c>
      <c r="V259" s="18">
        <f t="shared" ca="1" si="695"/>
        <v>96.035714285714292</v>
      </c>
      <c r="W259" s="76"/>
      <c r="X259" s="8">
        <v>5</v>
      </c>
      <c r="Y259" s="8" t="s">
        <v>40</v>
      </c>
      <c r="Z259" s="8">
        <f t="shared" ref="Z259:AI259" si="722">SUM(D263)</f>
        <v>30</v>
      </c>
      <c r="AA259" s="9">
        <f t="shared" ca="1" si="722"/>
        <v>29</v>
      </c>
      <c r="AB259" s="10">
        <f t="shared" ca="1" si="722"/>
        <v>5517.94199999999</v>
      </c>
      <c r="AC259" s="9">
        <f t="shared" ca="1" si="722"/>
        <v>3203</v>
      </c>
      <c r="AD259" s="9">
        <f t="shared" ca="1" si="722"/>
        <v>0</v>
      </c>
      <c r="AE259" s="9">
        <f t="shared" ca="1" si="722"/>
        <v>3203</v>
      </c>
      <c r="AF259" s="9">
        <f t="shared" ca="1" si="722"/>
        <v>3833</v>
      </c>
      <c r="AG259" s="9">
        <f t="shared" ca="1" si="722"/>
        <v>0</v>
      </c>
      <c r="AH259" s="9">
        <f t="shared" ca="1" si="722"/>
        <v>3833</v>
      </c>
      <c r="AI259" s="9">
        <f t="shared" ca="1" si="722"/>
        <v>7036</v>
      </c>
      <c r="AJ259" s="11">
        <f t="shared" ca="1" si="707"/>
        <v>190.27386206896517</v>
      </c>
      <c r="AK259" s="8">
        <f t="shared" ref="AK259:AK260" si="723">SUM(O263)</f>
        <v>8239</v>
      </c>
      <c r="AL259" s="12">
        <f t="shared" ca="1" si="709"/>
        <v>0.85398713436096618</v>
      </c>
      <c r="AM259" s="13">
        <f t="shared" ref="AM259:AM260" si="724">SUM(Q263)</f>
        <v>1.5</v>
      </c>
      <c r="AN259" s="12">
        <f t="shared" ca="1" si="711"/>
        <v>0.85007538438546026</v>
      </c>
      <c r="AO259" s="14">
        <f t="shared" ca="1" si="712"/>
        <v>1.2751130765781904</v>
      </c>
      <c r="AP259" s="13">
        <f t="shared" ref="AP259:AQ259" ca="1" si="725">SUM(T263)</f>
        <v>193.99999999999963</v>
      </c>
      <c r="AQ259" s="13">
        <f t="shared" ca="1" si="725"/>
        <v>6.6896551724137803</v>
      </c>
      <c r="AR259" s="9">
        <f t="shared" ca="1" si="714"/>
        <v>242.62068965517241</v>
      </c>
      <c r="AS259" s="76"/>
      <c r="AT259" s="76"/>
    </row>
    <row r="260" spans="1:46" ht="15.75" customHeight="1" x14ac:dyDescent="0.25">
      <c r="A260" s="70"/>
      <c r="B260" s="16">
        <v>12</v>
      </c>
      <c r="C260" s="16" t="s">
        <v>41</v>
      </c>
      <c r="D260" s="17">
        <v>24</v>
      </c>
      <c r="E260" s="18">
        <f ca="1">IFERROR(__xludf.DUMMYFUNCTION("COUNT(IMPORTRANGE(""https://docs.google.com/spreadsheets/d/1oYscvfOJW7GMkxt8QcupWuzb3ohaYePd3Mt2V2ufHok/edit"",""10!d2:d25""))"),24)</f>
        <v>24</v>
      </c>
      <c r="F260" s="23">
        <f ca="1">IFERROR(__xludf.DUMMYFUNCTION("SUM(IMPORTRANGE(""https://docs.google.com/spreadsheets/d/1oYscvfOJW7GMkxt8QcupWuzb3ohaYePd3Mt2V2ufHok/edit"",""10!Q2:Q25""))"),4793.152)</f>
        <v>4793.152</v>
      </c>
      <c r="G260" s="18">
        <f ca="1">IFERROR(__xludf.DUMMYFUNCTION("IMPORTRANGE(""https://docs.google.com/spreadsheets/d/1oYscvfOJW7GMkxt8QcupWuzb3ohaYePd3Mt2V2ufHok/edit"",""10!e32"")"),1262)</f>
        <v>1262</v>
      </c>
      <c r="H260" s="18">
        <f ca="1">IFERROR(__xludf.DUMMYFUNCTION("IMPORTRANGE(""https://docs.google.com/spreadsheets/d/1oYscvfOJW7GMkxt8QcupWuzb3ohaYePd3Mt2V2ufHok/edit"",""10!e33"")"),0)</f>
        <v>0</v>
      </c>
      <c r="I260" s="18">
        <f t="shared" ca="1" si="687"/>
        <v>1262</v>
      </c>
      <c r="J260" s="18">
        <f ca="1">IFERROR(__xludf.DUMMYFUNCTION("IMPORTRANGE(""https://docs.google.com/spreadsheets/d/1oYscvfOJW7GMkxt8QcupWuzb3ohaYePd3Mt2V2ufHok/edit"",""10!e36"")"),1759)</f>
        <v>1759</v>
      </c>
      <c r="K260" s="18">
        <f ca="1">IFERROR(__xludf.DUMMYFUNCTION("IMPORTRANGE(""https://docs.google.com/spreadsheets/d/1oYscvfOJW7GMkxt8QcupWuzb3ohaYePd3Mt2V2ufHok/edit"",""10!e37"")"),0)</f>
        <v>0</v>
      </c>
      <c r="L260" s="18">
        <f t="shared" ca="1" si="717"/>
        <v>1759</v>
      </c>
      <c r="M260" s="18">
        <f t="shared" ca="1" si="689"/>
        <v>3021</v>
      </c>
      <c r="N260" s="19">
        <f t="shared" ca="1" si="690"/>
        <v>199.71466666666666</v>
      </c>
      <c r="O260" s="16">
        <v>3801</v>
      </c>
      <c r="P260" s="20">
        <f t="shared" ca="1" si="691"/>
        <v>0.79479084451460147</v>
      </c>
      <c r="Q260" s="21">
        <v>1.5</v>
      </c>
      <c r="R260" s="20">
        <f t="shared" ca="1" si="692"/>
        <v>0.42018279411961063</v>
      </c>
      <c r="S260" s="22">
        <f t="shared" ca="1" si="693"/>
        <v>0.63027419117941597</v>
      </c>
      <c r="T260" s="21">
        <f ca="1">F260/29.628</f>
        <v>161.77777777777777</v>
      </c>
      <c r="U260" s="21">
        <f t="shared" ca="1" si="694"/>
        <v>6.7407407407407405</v>
      </c>
      <c r="V260" s="18">
        <f t="shared" ca="1" si="695"/>
        <v>125.875</v>
      </c>
      <c r="W260" s="76"/>
      <c r="X260" s="8">
        <v>6</v>
      </c>
      <c r="Y260" s="8" t="s">
        <v>42</v>
      </c>
      <c r="Z260" s="8">
        <f t="shared" ref="Z260:AI260" si="726">SUM(D264)</f>
        <v>33</v>
      </c>
      <c r="AA260" s="9">
        <f t="shared" ca="1" si="726"/>
        <v>33</v>
      </c>
      <c r="AB260" s="10">
        <f t="shared" ca="1" si="726"/>
        <v>6432.5919999999896</v>
      </c>
      <c r="AC260" s="9">
        <f t="shared" ca="1" si="726"/>
        <v>2912</v>
      </c>
      <c r="AD260" s="9">
        <f t="shared" ca="1" si="726"/>
        <v>0</v>
      </c>
      <c r="AE260" s="9">
        <f t="shared" ca="1" si="726"/>
        <v>2912</v>
      </c>
      <c r="AF260" s="9">
        <f t="shared" ca="1" si="726"/>
        <v>4379</v>
      </c>
      <c r="AG260" s="9">
        <f t="shared" ca="1" si="726"/>
        <v>0</v>
      </c>
      <c r="AH260" s="9">
        <f t="shared" ca="1" si="726"/>
        <v>4379</v>
      </c>
      <c r="AI260" s="9">
        <f t="shared" ca="1" si="726"/>
        <v>7291</v>
      </c>
      <c r="AJ260" s="11">
        <f t="shared" ca="1" si="707"/>
        <v>194.92703030302999</v>
      </c>
      <c r="AK260" s="8">
        <f t="shared" si="723"/>
        <v>9877</v>
      </c>
      <c r="AL260" s="12">
        <f t="shared" ca="1" si="709"/>
        <v>0.73817960919307479</v>
      </c>
      <c r="AM260" s="13">
        <f t="shared" si="724"/>
        <v>1.5</v>
      </c>
      <c r="AN260" s="12">
        <f t="shared" ca="1" si="711"/>
        <v>0.75563111521244852</v>
      </c>
      <c r="AO260" s="14">
        <f t="shared" ca="1" si="712"/>
        <v>1.1334466728186727</v>
      </c>
      <c r="AP260" s="13">
        <f t="shared" ref="AP260:AQ260" ca="1" si="727">SUM(T264)</f>
        <v>245.94119671190936</v>
      </c>
      <c r="AQ260" s="13">
        <f t="shared" ca="1" si="727"/>
        <v>7.4527635367245262</v>
      </c>
      <c r="AR260" s="9">
        <f t="shared" ca="1" si="714"/>
        <v>220.93939393939394</v>
      </c>
      <c r="AS260" s="76"/>
      <c r="AT260" s="76"/>
    </row>
    <row r="261" spans="1:46" ht="15.75" customHeight="1" x14ac:dyDescent="0.25">
      <c r="A261" s="70"/>
      <c r="B261" s="16">
        <v>13</v>
      </c>
      <c r="C261" s="16" t="s">
        <v>43</v>
      </c>
      <c r="D261" s="17">
        <v>30</v>
      </c>
      <c r="E261" s="18">
        <f ca="1">IFERROR(__xludf.DUMMYFUNCTION("COUNT(IMPORTRANGE(""https://docs.google.com/spreadsheets/d/1AxBmuQEdOYAeRnZ4C8vO6kuTNp7X_SGhpLXuY0n4ln4/edit"",""10!d2:d31""))"),30)</f>
        <v>30</v>
      </c>
      <c r="F261" s="23">
        <f ca="1">IFERROR(__xludf.DUMMYFUNCTION("SUM(IMPORTRANGE(""https://docs.google.com/spreadsheets/d/1AxBmuQEdOYAeRnZ4C8vO6kuTNp7X_SGhpLXuY0n4ln4/edit"",""10!Q2:Q31""))"),6346.60099999999)</f>
        <v>6346.6009999999897</v>
      </c>
      <c r="G261" s="18">
        <f ca="1">IFERROR(__xludf.DUMMYFUNCTION("IMPORTRANGE(""https://docs.google.com/spreadsheets/d/1AxBmuQEdOYAeRnZ4C8vO6kuTNp7X_SGhpLXuY0n4ln4/edit"",""10!e38"")"),1949)</f>
        <v>1949</v>
      </c>
      <c r="H261" s="18">
        <f ca="1">IFERROR(__xludf.DUMMYFUNCTION("IMPORTRANGE(""https://docs.google.com/spreadsheets/d/1AxBmuQEdOYAeRnZ4C8vO6kuTNp7X_SGhpLXuY0n4ln4/edit"",""10!e39"")"),0)</f>
        <v>0</v>
      </c>
      <c r="I261" s="18">
        <f t="shared" ca="1" si="687"/>
        <v>1949</v>
      </c>
      <c r="J261" s="18">
        <f ca="1">IFERROR(__xludf.DUMMYFUNCTION("IMPORTRANGE(""https://docs.google.com/spreadsheets/d/1AxBmuQEdOYAeRnZ4C8vO6kuTNp7X_SGhpLXuY0n4ln4/edit"",""10!e42"")"),3177)</f>
        <v>3177</v>
      </c>
      <c r="K261" s="18">
        <f ca="1">IFERROR(__xludf.DUMMYFUNCTION("IMPORTRANGE(""https://docs.google.com/spreadsheets/d/1AxBmuQEdOYAeRnZ4C8vO6kuTNp7X_SGhpLXuY0n4ln4/edit"",""10!e43"")"),336)</f>
        <v>336</v>
      </c>
      <c r="L261" s="18">
        <f t="shared" ca="1" si="717"/>
        <v>3513</v>
      </c>
      <c r="M261" s="18">
        <f t="shared" ca="1" si="689"/>
        <v>5462</v>
      </c>
      <c r="N261" s="19">
        <f t="shared" ca="1" si="690"/>
        <v>211.55336666666634</v>
      </c>
      <c r="O261" s="16">
        <v>8345</v>
      </c>
      <c r="P261" s="20">
        <f t="shared" ca="1" si="691"/>
        <v>0.65452366686638708</v>
      </c>
      <c r="Q261" s="21">
        <v>1.5</v>
      </c>
      <c r="R261" s="20">
        <f t="shared" ca="1" si="692"/>
        <v>0.57374543213498674</v>
      </c>
      <c r="S261" s="22">
        <f t="shared" ca="1" si="693"/>
        <v>0.86061814820248017</v>
      </c>
      <c r="T261" s="21">
        <f ca="1">F261/41.205</f>
        <v>154.02502123528674</v>
      </c>
      <c r="U261" s="21">
        <f t="shared" ca="1" si="694"/>
        <v>5.1341673745095582</v>
      </c>
      <c r="V261" s="18">
        <f t="shared" ca="1" si="695"/>
        <v>182.06666666666666</v>
      </c>
      <c r="W261" s="76"/>
      <c r="X261" s="24" t="s">
        <v>33</v>
      </c>
      <c r="Y261" s="24">
        <v>6</v>
      </c>
      <c r="Z261" s="24">
        <f t="shared" ref="Z261:AI261" si="728">SUM(Z255:Z260)</f>
        <v>226</v>
      </c>
      <c r="AA261" s="25">
        <f t="shared" ca="1" si="728"/>
        <v>220</v>
      </c>
      <c r="AB261" s="27">
        <f t="shared" ca="1" si="728"/>
        <v>43406.305999999866</v>
      </c>
      <c r="AC261" s="25">
        <f t="shared" ca="1" si="728"/>
        <v>16183</v>
      </c>
      <c r="AD261" s="25">
        <f t="shared" ca="1" si="728"/>
        <v>245</v>
      </c>
      <c r="AE261" s="25">
        <f t="shared" ca="1" si="728"/>
        <v>16428</v>
      </c>
      <c r="AF261" s="25">
        <f t="shared" ca="1" si="728"/>
        <v>21418</v>
      </c>
      <c r="AG261" s="25">
        <f t="shared" ca="1" si="728"/>
        <v>492</v>
      </c>
      <c r="AH261" s="25">
        <f t="shared" ca="1" si="728"/>
        <v>21910</v>
      </c>
      <c r="AI261" s="25">
        <f t="shared" ca="1" si="728"/>
        <v>38338</v>
      </c>
      <c r="AJ261" s="27">
        <f t="shared" ca="1" si="707"/>
        <v>197.30139090909029</v>
      </c>
      <c r="AK261" s="24">
        <f>SUM(AK255:AK260)</f>
        <v>53273</v>
      </c>
      <c r="AL261" s="28">
        <f t="shared" ca="1" si="709"/>
        <v>0.71965160587915078</v>
      </c>
      <c r="AM261" s="29">
        <v>1.5</v>
      </c>
      <c r="AN261" s="28">
        <f t="shared" ca="1" si="711"/>
        <v>0.58882381437081388</v>
      </c>
      <c r="AO261" s="30">
        <f t="shared" ca="1" si="712"/>
        <v>0.88323572155622088</v>
      </c>
      <c r="AP261" s="29">
        <f ca="1">SUM(AP255:AP260)</f>
        <v>1424.1815131108151</v>
      </c>
      <c r="AQ261" s="29">
        <f ca="1">AP261/AA261</f>
        <v>6.4735523323218871</v>
      </c>
      <c r="AR261" s="25">
        <f t="shared" ca="1" si="714"/>
        <v>174.26363636363635</v>
      </c>
      <c r="AS261" s="76"/>
      <c r="AT261" s="76"/>
    </row>
    <row r="262" spans="1:46" ht="15.75" customHeight="1" x14ac:dyDescent="0.25">
      <c r="A262" s="70"/>
      <c r="B262" s="16">
        <v>14</v>
      </c>
      <c r="C262" s="16" t="s">
        <v>27</v>
      </c>
      <c r="D262" s="17">
        <v>30</v>
      </c>
      <c r="E262" s="18">
        <f ca="1">IFERROR(__xludf.DUMMYFUNCTION("COUNT(IMPORTRANGE(""https://docs.google.com/spreadsheets/d/1LsL4JuXvBtfJ-TVi4NFml9lV_pmd61b789A_nbO-QrA/edit"",""10!d2:d31""))"),28)</f>
        <v>28</v>
      </c>
      <c r="F262" s="23">
        <f ca="1">IFERROR(__xludf.DUMMYFUNCTION("SUM(IMPORTRANGE(""https://docs.google.com/spreadsheets/d/1LsL4JuXvBtfJ-TVi4NFml9lV_pmd61b789A_nbO-QrA/edit"",""10!Q2:Q31""))"),5231.963)</f>
        <v>5231.9629999999997</v>
      </c>
      <c r="G262" s="18">
        <f ca="1">IFERROR(__xludf.DUMMYFUNCTION("IMPORTRANGE(""https://docs.google.com/spreadsheets/d/1LsL4JuXvBtfJ-TVi4NFml9lV_pmd61b789A_nbO-QrA/edit"",""10!e38"")"),1919)</f>
        <v>1919</v>
      </c>
      <c r="H262" s="18">
        <f ca="1">IFERROR(__xludf.DUMMYFUNCTION("IMPORTRANGE(""https://docs.google.com/spreadsheets/d/1LsL4JuXvBtfJ-TVi4NFml9lV_pmd61b789A_nbO-QrA/edit"",""10!e39"")"),0)</f>
        <v>0</v>
      </c>
      <c r="I262" s="18">
        <f t="shared" ca="1" si="687"/>
        <v>1919</v>
      </c>
      <c r="J262" s="18">
        <f ca="1">IFERROR(__xludf.DUMMYFUNCTION("IMPORTRANGE(""https://docs.google.com/spreadsheets/d/1LsL4JuXvBtfJ-TVi4NFml9lV_pmd61b789A_nbO-QrA/edit"",""10!e42"")"),2643)</f>
        <v>2643</v>
      </c>
      <c r="K262" s="18">
        <f ca="1">IFERROR(__xludf.DUMMYFUNCTION("IMPORTRANGE(""https://docs.google.com/spreadsheets/d/1LsL4JuXvBtfJ-TVi4NFml9lV_pmd61b789A_nbO-QrA/edit"",""10!e43"")"),0)</f>
        <v>0</v>
      </c>
      <c r="L262" s="18">
        <f t="shared" ca="1" si="717"/>
        <v>2643</v>
      </c>
      <c r="M262" s="18">
        <f t="shared" ca="1" si="689"/>
        <v>4562</v>
      </c>
      <c r="N262" s="19">
        <f t="shared" ca="1" si="690"/>
        <v>186.85582142857143</v>
      </c>
      <c r="O262" s="16">
        <v>8101</v>
      </c>
      <c r="P262" s="20">
        <f t="shared" ca="1" si="691"/>
        <v>0.56314035304283416</v>
      </c>
      <c r="Q262" s="21">
        <v>1.5</v>
      </c>
      <c r="R262" s="20">
        <f t="shared" ca="1" si="692"/>
        <v>0.58129870821589014</v>
      </c>
      <c r="S262" s="22">
        <f t="shared" ca="1" si="693"/>
        <v>0.87194806232383526</v>
      </c>
      <c r="T262" s="21">
        <f ca="1">F262/19.985</f>
        <v>261.79449587190391</v>
      </c>
      <c r="U262" s="21">
        <f t="shared" ca="1" si="694"/>
        <v>9.3498034239965673</v>
      </c>
      <c r="V262" s="18">
        <f t="shared" ca="1" si="695"/>
        <v>162.92857142857142</v>
      </c>
      <c r="W262" s="76"/>
      <c r="X262" s="97" t="s">
        <v>44</v>
      </c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9"/>
      <c r="AS262" s="76"/>
      <c r="AT262" s="76"/>
    </row>
    <row r="263" spans="1:46" ht="15.75" customHeight="1" x14ac:dyDescent="0.25">
      <c r="A263" s="70"/>
      <c r="B263" s="16">
        <v>15</v>
      </c>
      <c r="C263" s="16" t="s">
        <v>40</v>
      </c>
      <c r="D263" s="17">
        <v>30</v>
      </c>
      <c r="E263" s="18">
        <f ca="1">IFERROR(__xludf.DUMMYFUNCTION("COUNT(IMPORTRANGE(""https://docs.google.com/spreadsheets/d/1Krav0MVlY0vbUNsFRDnb_kR72_tyuGnWBYbGjNZrl18/edit"",""10!d2:d31""))"),29)</f>
        <v>29</v>
      </c>
      <c r="F263" s="23">
        <f ca="1">IFERROR(__xludf.DUMMYFUNCTION("SUM(IMPORTRANGE(""https://docs.google.com/spreadsheets/d/1Krav0MVlY0vbUNsFRDnb_kR72_tyuGnWBYbGjNZrl18/edit"",""10!Q2:Q31""))"),5517.94199999999)</f>
        <v>5517.94199999999</v>
      </c>
      <c r="G263" s="18">
        <f ca="1">IFERROR(__xludf.DUMMYFUNCTION("IMPORTRANGE(""https://docs.google.com/spreadsheets/d/1Krav0MVlY0vbUNsFRDnb_kR72_tyuGnWBYbGjNZrl18/edit"",""10!e38"")"),3203)</f>
        <v>3203</v>
      </c>
      <c r="H263" s="18">
        <f ca="1">IFERROR(__xludf.DUMMYFUNCTION("IMPORTRANGE(""https://docs.google.com/spreadsheets/d/1Krav0MVlY0vbUNsFRDnb_kR72_tyuGnWBYbGjNZrl18/edit"",""10!e39"")"),0)</f>
        <v>0</v>
      </c>
      <c r="I263" s="18">
        <f t="shared" ca="1" si="687"/>
        <v>3203</v>
      </c>
      <c r="J263" s="18">
        <f ca="1">IFERROR(__xludf.DUMMYFUNCTION("IMPORTRANGE(""https://docs.google.com/spreadsheets/d/1Krav0MVlY0vbUNsFRDnb_kR72_tyuGnWBYbGjNZrl18/edit"",""10!e42"")"),3833)</f>
        <v>3833</v>
      </c>
      <c r="K263" s="18">
        <f ca="1">IFERROR(__xludf.DUMMYFUNCTION("IMPORTRANGE(""https://docs.google.com/spreadsheets/d/1Krav0MVlY0vbUNsFRDnb_kR72_tyuGnWBYbGjNZrl18/edit"",""10!e43"")"),0)</f>
        <v>0</v>
      </c>
      <c r="L263" s="18">
        <f t="shared" ca="1" si="717"/>
        <v>3833</v>
      </c>
      <c r="M263" s="18">
        <f t="shared" ca="1" si="689"/>
        <v>7036</v>
      </c>
      <c r="N263" s="19">
        <f t="shared" ca="1" si="690"/>
        <v>190.27386206896517</v>
      </c>
      <c r="O263" s="16">
        <v>8239</v>
      </c>
      <c r="P263" s="20">
        <f t="shared" ca="1" si="691"/>
        <v>0.85398713436096618</v>
      </c>
      <c r="Q263" s="21">
        <v>1.5</v>
      </c>
      <c r="R263" s="20">
        <f t="shared" ca="1" si="692"/>
        <v>0.85007538438546026</v>
      </c>
      <c r="S263" s="22">
        <f t="shared" ca="1" si="693"/>
        <v>1.2751130765781904</v>
      </c>
      <c r="T263" s="21">
        <f ca="1">F263/28.443</f>
        <v>193.99999999999963</v>
      </c>
      <c r="U263" s="21">
        <f t="shared" ca="1" si="694"/>
        <v>6.6896551724137803</v>
      </c>
      <c r="V263" s="18">
        <f t="shared" ca="1" si="695"/>
        <v>242.62068965517241</v>
      </c>
      <c r="W263" s="76"/>
      <c r="X263" s="1" t="s">
        <v>2</v>
      </c>
      <c r="Y263" s="1" t="s">
        <v>3</v>
      </c>
      <c r="Z263" s="1" t="s">
        <v>4</v>
      </c>
      <c r="AA263" s="1" t="s">
        <v>5</v>
      </c>
      <c r="AB263" s="2" t="s">
        <v>6</v>
      </c>
      <c r="AC263" s="1" t="s">
        <v>7</v>
      </c>
      <c r="AD263" s="1" t="s">
        <v>8</v>
      </c>
      <c r="AE263" s="1" t="s">
        <v>9</v>
      </c>
      <c r="AF263" s="1" t="s">
        <v>10</v>
      </c>
      <c r="AG263" s="1" t="s">
        <v>11</v>
      </c>
      <c r="AH263" s="1" t="s">
        <v>12</v>
      </c>
      <c r="AI263" s="1" t="s">
        <v>13</v>
      </c>
      <c r="AJ263" s="2" t="s">
        <v>14</v>
      </c>
      <c r="AK263" s="1" t="s">
        <v>15</v>
      </c>
      <c r="AL263" s="1" t="s">
        <v>16</v>
      </c>
      <c r="AM263" s="3" t="s">
        <v>17</v>
      </c>
      <c r="AN263" s="4" t="s">
        <v>18</v>
      </c>
      <c r="AO263" s="5" t="s">
        <v>19</v>
      </c>
      <c r="AP263" s="6" t="s">
        <v>20</v>
      </c>
      <c r="AQ263" s="6" t="s">
        <v>21</v>
      </c>
      <c r="AR263" s="7" t="s">
        <v>22</v>
      </c>
      <c r="AS263" s="76"/>
      <c r="AT263" s="76"/>
    </row>
    <row r="264" spans="1:46" ht="15.75" customHeight="1" x14ac:dyDescent="0.25">
      <c r="A264" s="70"/>
      <c r="B264" s="16">
        <v>16</v>
      </c>
      <c r="C264" s="16" t="s">
        <v>42</v>
      </c>
      <c r="D264" s="17">
        <v>33</v>
      </c>
      <c r="E264" s="18">
        <f ca="1">IFERROR(__xludf.DUMMYFUNCTION("COUNT(IMPORTRANGE(""https://docs.google.com/spreadsheets/d/1uXtm-E8PG0CetlFmSpTX3RK0LNEMnpR-mxbET9AGD6w/edit"",""10!d2:d34""))"),33)</f>
        <v>33</v>
      </c>
      <c r="F264" s="23">
        <f ca="1">IFERROR(__xludf.DUMMYFUNCTION("SUM(IMPORTRANGE(""https://docs.google.com/spreadsheets/d/1uXtm-E8PG0CetlFmSpTX3RK0LNEMnpR-mxbET9AGD6w/edit"",""10!Q2:Q34""))"),6432.59199999999)</f>
        <v>6432.5919999999896</v>
      </c>
      <c r="G264" s="18">
        <f ca="1">IFERROR(__xludf.DUMMYFUNCTION("IMPORTRANGE(""https://docs.google.com/spreadsheets/d/1uXtm-E8PG0CetlFmSpTX3RK0LNEMnpR-mxbET9AGD6w/edit"",""10!e41"")"),2912)</f>
        <v>2912</v>
      </c>
      <c r="H264" s="18">
        <f ca="1">IFERROR(__xludf.DUMMYFUNCTION("IMPORTRANGE(""https://docs.google.com/spreadsheets/d/1uXtm-E8PG0CetlFmSpTX3RK0LNEMnpR-mxbET9AGD6w/edit"",""10!e42"")"),0)</f>
        <v>0</v>
      </c>
      <c r="I264" s="18">
        <f t="shared" ca="1" si="687"/>
        <v>2912</v>
      </c>
      <c r="J264" s="18">
        <f ca="1">IFERROR(__xludf.DUMMYFUNCTION("IMPORTRANGE(""https://docs.google.com/spreadsheets/d/1uXtm-E8PG0CetlFmSpTX3RK0LNEMnpR-mxbET9AGD6w/edit"",""10!e45"")"),4379)</f>
        <v>4379</v>
      </c>
      <c r="K264" s="18">
        <f ca="1">IFERROR(__xludf.DUMMYFUNCTION("IMPORTRANGE(""https://docs.google.com/spreadsheets/d/1uXtm-E8PG0CetlFmSpTX3RK0LNEMnpR-mxbET9AGD6w/edit"",""10!e46"")"),0)</f>
        <v>0</v>
      </c>
      <c r="L264" s="18">
        <f t="shared" ca="1" si="717"/>
        <v>4379</v>
      </c>
      <c r="M264" s="18">
        <f t="shared" ca="1" si="689"/>
        <v>7291</v>
      </c>
      <c r="N264" s="19">
        <f t="shared" ca="1" si="690"/>
        <v>194.92703030302999</v>
      </c>
      <c r="O264" s="16">
        <v>9877</v>
      </c>
      <c r="P264" s="20">
        <f t="shared" ca="1" si="691"/>
        <v>0.73817960919307479</v>
      </c>
      <c r="Q264" s="21">
        <v>1.5</v>
      </c>
      <c r="R264" s="20">
        <f t="shared" ca="1" si="692"/>
        <v>0.75563111521244852</v>
      </c>
      <c r="S264" s="22">
        <f t="shared" ca="1" si="693"/>
        <v>1.1334466728186727</v>
      </c>
      <c r="T264" s="21">
        <f ca="1">F264/26.155</f>
        <v>245.94119671190936</v>
      </c>
      <c r="U264" s="21">
        <f t="shared" ca="1" si="694"/>
        <v>7.4527635367245262</v>
      </c>
      <c r="V264" s="18">
        <f t="shared" ca="1" si="695"/>
        <v>220.93939393939394</v>
      </c>
      <c r="W264" s="76"/>
      <c r="X264" s="8">
        <v>1</v>
      </c>
      <c r="Y264" s="8" t="s">
        <v>26</v>
      </c>
      <c r="Z264" s="8">
        <f t="shared" ref="Z264:AI264" si="729">SUM(D249)</f>
        <v>20</v>
      </c>
      <c r="AA264" s="9">
        <f t="shared" ca="1" si="729"/>
        <v>20</v>
      </c>
      <c r="AB264" s="11">
        <f t="shared" ca="1" si="729"/>
        <v>3964.89</v>
      </c>
      <c r="AC264" s="9">
        <f t="shared" ca="1" si="729"/>
        <v>2306</v>
      </c>
      <c r="AD264" s="9">
        <f t="shared" ca="1" si="729"/>
        <v>0</v>
      </c>
      <c r="AE264" s="9">
        <f t="shared" ca="1" si="729"/>
        <v>2306</v>
      </c>
      <c r="AF264" s="9">
        <f t="shared" ca="1" si="729"/>
        <v>2437</v>
      </c>
      <c r="AG264" s="9">
        <f t="shared" ca="1" si="729"/>
        <v>165</v>
      </c>
      <c r="AH264" s="9">
        <f t="shared" ca="1" si="729"/>
        <v>2602</v>
      </c>
      <c r="AI264" s="9">
        <f t="shared" ca="1" si="729"/>
        <v>4908</v>
      </c>
      <c r="AJ264" s="11">
        <f t="shared" ref="AJ264:AJ270" ca="1" si="730">AB264/AA264</f>
        <v>198.24449999999999</v>
      </c>
      <c r="AK264" s="8">
        <f>SUM(O249)</f>
        <v>5161</v>
      </c>
      <c r="AL264" s="12">
        <f t="shared" ref="AL264:AL270" ca="1" si="731">AI264/AK264</f>
        <v>0.95097849254020539</v>
      </c>
      <c r="AM264" s="13">
        <f>SUM(Q249)</f>
        <v>1.5</v>
      </c>
      <c r="AN264" s="12">
        <f t="shared" ref="AN264:AN270" ca="1" si="732">AO264/AM264</f>
        <v>0.82524357548380911</v>
      </c>
      <c r="AO264" s="14">
        <f t="shared" ref="AO264:AO270" ca="1" si="733">AI264/AB264</f>
        <v>1.2378653632257137</v>
      </c>
      <c r="AP264" s="13">
        <f t="shared" ref="AP264:AQ264" ca="1" si="734">SUM(T249)</f>
        <v>275.0530697190427</v>
      </c>
      <c r="AQ264" s="13">
        <f t="shared" ca="1" si="734"/>
        <v>13.752653485952134</v>
      </c>
      <c r="AR264" s="9">
        <f t="shared" ref="AR264:AR270" ca="1" si="735">AI264/AA264</f>
        <v>245.4</v>
      </c>
      <c r="AS264" s="76"/>
      <c r="AT264" s="76"/>
    </row>
    <row r="265" spans="1:46" ht="15.75" customHeight="1" x14ac:dyDescent="0.25">
      <c r="A265" s="70"/>
      <c r="B265" s="16">
        <v>17</v>
      </c>
      <c r="C265" s="16" t="s">
        <v>29</v>
      </c>
      <c r="D265" s="17">
        <v>30</v>
      </c>
      <c r="E265" s="18">
        <f ca="1">IFERROR(__xludf.DUMMYFUNCTION("COUNT(IMPORTRANGE(""https://docs.google.com/spreadsheets/d/12xcKI0lSnAsjEsxfm9K8Qx0B_89Gzsh816mowItkQao/edit"",""10!d2:d31""))"),27)</f>
        <v>27</v>
      </c>
      <c r="F265" s="23">
        <f ca="1">IFERROR(__xludf.DUMMYFUNCTION("SUM(IMPORTRANGE(""https://docs.google.com/spreadsheets/d/12xcKI0lSnAsjEsxfm9K8Qx0B_89Gzsh816mowItkQao/edit"",""10!Q2:Q31""))"),5181.562)</f>
        <v>5181.5619999999999</v>
      </c>
      <c r="G265" s="18">
        <f ca="1">IFERROR(__xludf.DUMMYFUNCTION("IMPORTRANGE(""https://docs.google.com/spreadsheets/d/12xcKI0lSnAsjEsxfm9K8Qx0B_89Gzsh816mowItkQao/edit"",""10!e38"")"),2513)</f>
        <v>2513</v>
      </c>
      <c r="H265" s="18">
        <f ca="1">IFERROR(__xludf.DUMMYFUNCTION("IMPORTRANGE(""https://docs.google.com/spreadsheets/d/12xcKI0lSnAsjEsxfm9K8Qx0B_89Gzsh816mowItkQao/edit"",""10!e39"")"),0)</f>
        <v>0</v>
      </c>
      <c r="I265" s="18">
        <f t="shared" ca="1" si="687"/>
        <v>2513</v>
      </c>
      <c r="J265" s="18">
        <f ca="1">IFERROR(__xludf.DUMMYFUNCTION("IMPORTRANGE(""https://docs.google.com/spreadsheets/d/12xcKI0lSnAsjEsxfm9K8Qx0B_89Gzsh816mowItkQao/edit"",""10!e42"")"),3568)</f>
        <v>3568</v>
      </c>
      <c r="K265" s="18">
        <f ca="1">IFERROR(__xludf.DUMMYFUNCTION("IMPORTRANGE(""https://docs.google.com/spreadsheets/d/12xcKI0lSnAsjEsxfm9K8Qx0B_89Gzsh816mowItkQao/edit"",""10!e43"")"),0)</f>
        <v>0</v>
      </c>
      <c r="L265" s="18">
        <f t="shared" ca="1" si="717"/>
        <v>3568</v>
      </c>
      <c r="M265" s="18">
        <f t="shared" ca="1" si="689"/>
        <v>6081</v>
      </c>
      <c r="N265" s="19">
        <f t="shared" ca="1" si="690"/>
        <v>191.90970370370371</v>
      </c>
      <c r="O265" s="16">
        <v>9201</v>
      </c>
      <c r="P265" s="20">
        <f t="shared" ca="1" si="691"/>
        <v>0.66090642321486792</v>
      </c>
      <c r="Q265" s="21">
        <v>1.5</v>
      </c>
      <c r="R265" s="20">
        <f t="shared" ca="1" si="692"/>
        <v>0.78238955743461147</v>
      </c>
      <c r="S265" s="22">
        <f t="shared" ca="1" si="693"/>
        <v>1.1735843361519172</v>
      </c>
      <c r="T265" s="21">
        <f ca="1">F265/26.038</f>
        <v>199</v>
      </c>
      <c r="U265" s="21">
        <f t="shared" ca="1" si="694"/>
        <v>7.3703703703703702</v>
      </c>
      <c r="V265" s="18">
        <f t="shared" ca="1" si="695"/>
        <v>225.22222222222223</v>
      </c>
      <c r="W265" s="76"/>
      <c r="X265" s="8">
        <v>2</v>
      </c>
      <c r="Y265" s="8" t="s">
        <v>32</v>
      </c>
      <c r="Z265" s="8">
        <f t="shared" ref="Z265:AI265" si="736">SUM(D252)</f>
        <v>42</v>
      </c>
      <c r="AA265" s="9">
        <f t="shared" ca="1" si="736"/>
        <v>42</v>
      </c>
      <c r="AB265" s="10">
        <f t="shared" ca="1" si="736"/>
        <v>8128.8359999999902</v>
      </c>
      <c r="AC265" s="8">
        <f t="shared" ca="1" si="736"/>
        <v>4348</v>
      </c>
      <c r="AD265" s="8">
        <f t="shared" ca="1" si="736"/>
        <v>97</v>
      </c>
      <c r="AE265" s="9">
        <f t="shared" ca="1" si="736"/>
        <v>4445</v>
      </c>
      <c r="AF265" s="8">
        <f t="shared" ca="1" si="736"/>
        <v>4712</v>
      </c>
      <c r="AG265" s="8">
        <f t="shared" ca="1" si="736"/>
        <v>150</v>
      </c>
      <c r="AH265" s="9">
        <f t="shared" ca="1" si="736"/>
        <v>4862</v>
      </c>
      <c r="AI265" s="9">
        <f t="shared" ca="1" si="736"/>
        <v>9307</v>
      </c>
      <c r="AJ265" s="11">
        <f t="shared" ca="1" si="730"/>
        <v>193.54371428571406</v>
      </c>
      <c r="AK265" s="8">
        <f>SUM(O252)</f>
        <v>13817</v>
      </c>
      <c r="AL265" s="12">
        <f t="shared" ca="1" si="731"/>
        <v>0.67359050445103863</v>
      </c>
      <c r="AM265" s="13">
        <f>SUM(Q252)</f>
        <v>1.5</v>
      </c>
      <c r="AN265" s="12">
        <f t="shared" ca="1" si="732"/>
        <v>0.76329091479600208</v>
      </c>
      <c r="AO265" s="14">
        <f t="shared" ca="1" si="733"/>
        <v>1.1449363721940031</v>
      </c>
      <c r="AP265" s="13">
        <f t="shared" ref="AP265:AQ265" ca="1" si="737">SUM(T252)</f>
        <v>323.9999999999996</v>
      </c>
      <c r="AQ265" s="13">
        <f t="shared" ca="1" si="737"/>
        <v>7.7142857142857046</v>
      </c>
      <c r="AR265" s="9">
        <f t="shared" ca="1" si="735"/>
        <v>221.5952380952381</v>
      </c>
      <c r="AS265" s="76"/>
      <c r="AT265" s="76"/>
    </row>
    <row r="266" spans="1:46" ht="15.75" customHeight="1" x14ac:dyDescent="0.25">
      <c r="A266" s="70"/>
      <c r="B266" s="16">
        <v>18</v>
      </c>
      <c r="C266" s="16" t="s">
        <v>31</v>
      </c>
      <c r="D266" s="17">
        <v>15</v>
      </c>
      <c r="E266" s="18">
        <f ca="1">IFERROR(__xludf.DUMMYFUNCTION("COUNT(IMPORTRANGE(""https://docs.google.com/spreadsheets/d/1fgCFOFzOla4Qim6_-zG-lbYhLCItqv_kZiAHoErRgcM/edit"",""10!d2:d16""))"),15)</f>
        <v>15</v>
      </c>
      <c r="F266" s="19">
        <f ca="1">IFERROR(__xludf.DUMMYFUNCTION("SUM(IMPORTRANGE(""https://docs.google.com/spreadsheets/d/1fgCFOFzOla4Qim6_-zG-lbYhLCItqv_kZiAHoErRgcM/edit"",""10!Q2:Q16""))"),2912.15499999999)</f>
        <v>2912.1549999999902</v>
      </c>
      <c r="G266" s="18">
        <f ca="1">IFERROR(__xludf.DUMMYFUNCTION("IMPORTRANGE(""https://docs.google.com/spreadsheets/d/1fgCFOFzOla4Qim6_-zG-lbYhLCItqv_kZiAHoErRgcM/edit"",""10!e23"")"),940)</f>
        <v>940</v>
      </c>
      <c r="H266" s="18">
        <f ca="1">IFERROR(__xludf.DUMMYFUNCTION("IMPORTRANGE(""https://docs.google.com/spreadsheets/d/1fgCFOFzOla4Qim6_-zG-lbYhLCItqv_kZiAHoErRgcM/edit"",""10!e24"")"),9)</f>
        <v>9</v>
      </c>
      <c r="I266" s="18">
        <f t="shared" ca="1" si="687"/>
        <v>949</v>
      </c>
      <c r="J266" s="18">
        <f ca="1">IFERROR(__xludf.DUMMYFUNCTION("IMPORTRANGE(""https://docs.google.com/spreadsheets/d/1fgCFOFzOla4Qim6_-zG-lbYhLCItqv_kZiAHoErRgcM/edit"",""10!e27"")"),1053)</f>
        <v>1053</v>
      </c>
      <c r="K266" s="18">
        <f ca="1">IFERROR(__xludf.DUMMYFUNCTION("IMPORTRANGE(""https://docs.google.com/spreadsheets/d/1fgCFOFzOla4Qim6_-zG-lbYhLCItqv_kZiAHoErRgcM/edit"",""10!e28"")"),0)</f>
        <v>0</v>
      </c>
      <c r="L266" s="18">
        <f t="shared" ca="1" si="717"/>
        <v>1053</v>
      </c>
      <c r="M266" s="18">
        <f t="shared" ca="1" si="689"/>
        <v>2002</v>
      </c>
      <c r="N266" s="19">
        <f t="shared" ca="1" si="690"/>
        <v>194.14366666666601</v>
      </c>
      <c r="O266" s="16">
        <v>2717</v>
      </c>
      <c r="P266" s="20">
        <f t="shared" ca="1" si="691"/>
        <v>0.73684210526315785</v>
      </c>
      <c r="Q266" s="21">
        <v>1.5</v>
      </c>
      <c r="R266" s="20">
        <f t="shared" ca="1" si="692"/>
        <v>0.45830893845508608</v>
      </c>
      <c r="S266" s="22">
        <f t="shared" ca="1" si="693"/>
        <v>0.68746340768262915</v>
      </c>
      <c r="T266" s="21">
        <f ca="1">F266/43.465</f>
        <v>66.999999999999773</v>
      </c>
      <c r="U266" s="21">
        <f t="shared" ca="1" si="694"/>
        <v>4.4666666666666517</v>
      </c>
      <c r="V266" s="18">
        <f t="shared" ca="1" si="695"/>
        <v>133.46666666666667</v>
      </c>
      <c r="W266" s="76"/>
      <c r="X266" s="8">
        <v>3</v>
      </c>
      <c r="Y266" s="8" t="s">
        <v>36</v>
      </c>
      <c r="Z266" s="8">
        <f t="shared" ref="Z266:AI266" si="738">SUM(D257)</f>
        <v>24</v>
      </c>
      <c r="AA266" s="9">
        <f t="shared" ca="1" si="738"/>
        <v>24</v>
      </c>
      <c r="AB266" s="10">
        <f t="shared" ca="1" si="738"/>
        <v>4595.5379999999996</v>
      </c>
      <c r="AC266" s="9">
        <f t="shared" ca="1" si="738"/>
        <v>1307</v>
      </c>
      <c r="AD266" s="9">
        <f t="shared" ca="1" si="738"/>
        <v>0</v>
      </c>
      <c r="AE266" s="9">
        <f t="shared" ca="1" si="738"/>
        <v>1307</v>
      </c>
      <c r="AF266" s="9">
        <f t="shared" ca="1" si="738"/>
        <v>1921</v>
      </c>
      <c r="AG266" s="9">
        <f t="shared" ca="1" si="738"/>
        <v>0</v>
      </c>
      <c r="AH266" s="9">
        <f t="shared" ca="1" si="738"/>
        <v>1921</v>
      </c>
      <c r="AI266" s="9">
        <f t="shared" ca="1" si="738"/>
        <v>3228</v>
      </c>
      <c r="AJ266" s="11">
        <f t="shared" ca="1" si="730"/>
        <v>191.48074999999997</v>
      </c>
      <c r="AK266" s="8">
        <f t="shared" ref="AK266:AK269" si="739">SUM(O257)</f>
        <v>4796</v>
      </c>
      <c r="AL266" s="12">
        <f t="shared" ca="1" si="731"/>
        <v>0.67306088407005837</v>
      </c>
      <c r="AM266" s="13">
        <f t="shared" ref="AM266:AM269" si="740">SUM(Q257)</f>
        <v>1.5</v>
      </c>
      <c r="AN266" s="12">
        <f t="shared" ca="1" si="732"/>
        <v>0.46828031886582161</v>
      </c>
      <c r="AO266" s="14">
        <f t="shared" ca="1" si="733"/>
        <v>0.70242047829873244</v>
      </c>
      <c r="AP266" s="13">
        <f t="shared" ref="AP266:AQ266" ca="1" si="741">SUM(T257)</f>
        <v>122.82936868551877</v>
      </c>
      <c r="AQ266" s="13">
        <f t="shared" ca="1" si="741"/>
        <v>5.1178903618966158</v>
      </c>
      <c r="AR266" s="9">
        <f t="shared" ca="1" si="735"/>
        <v>134.5</v>
      </c>
      <c r="AS266" s="76"/>
      <c r="AT266" s="76"/>
    </row>
    <row r="267" spans="1:46" ht="15.75" customHeight="1" x14ac:dyDescent="0.2">
      <c r="A267" s="70"/>
      <c r="B267" s="98" t="s">
        <v>33</v>
      </c>
      <c r="C267" s="98">
        <v>18</v>
      </c>
      <c r="D267" s="98">
        <f t="shared" ref="D267:M267" si="742">SUM(D249:D266)</f>
        <v>580</v>
      </c>
      <c r="E267" s="74">
        <f t="shared" ca="1" si="742"/>
        <v>564</v>
      </c>
      <c r="F267" s="99">
        <f t="shared" ca="1" si="742"/>
        <v>109341.03299999982</v>
      </c>
      <c r="G267" s="74">
        <f t="shared" ca="1" si="742"/>
        <v>38970</v>
      </c>
      <c r="H267" s="74">
        <f t="shared" ca="1" si="742"/>
        <v>667</v>
      </c>
      <c r="I267" s="74">
        <f t="shared" ca="1" si="742"/>
        <v>39637</v>
      </c>
      <c r="J267" s="74">
        <f t="shared" ca="1" si="742"/>
        <v>50818</v>
      </c>
      <c r="K267" s="74">
        <f t="shared" ca="1" si="742"/>
        <v>1191</v>
      </c>
      <c r="L267" s="74">
        <f t="shared" ca="1" si="742"/>
        <v>52009</v>
      </c>
      <c r="M267" s="74">
        <f t="shared" ca="1" si="742"/>
        <v>91646</v>
      </c>
      <c r="N267" s="99">
        <f t="shared" ca="1" si="690"/>
        <v>193.86707978723373</v>
      </c>
      <c r="O267" s="98">
        <f>SUM(O249:O266)</f>
        <v>126399</v>
      </c>
      <c r="P267" s="69">
        <f t="shared" ca="1" si="691"/>
        <v>0.72505320453484601</v>
      </c>
      <c r="Q267" s="72">
        <v>1.5</v>
      </c>
      <c r="R267" s="69">
        <f t="shared" ca="1" si="692"/>
        <v>0.55877772193110187</v>
      </c>
      <c r="S267" s="73">
        <f t="shared" ca="1" si="693"/>
        <v>0.8381665828966528</v>
      </c>
      <c r="T267" s="72">
        <f ca="1">SUM(T249:T266)</f>
        <v>4033.3283456856861</v>
      </c>
      <c r="U267" s="72">
        <f t="shared" ca="1" si="694"/>
        <v>7.1512913930597275</v>
      </c>
      <c r="V267" s="74">
        <f t="shared" ca="1" si="695"/>
        <v>162.49290780141843</v>
      </c>
      <c r="W267" s="76"/>
      <c r="X267" s="8">
        <v>4</v>
      </c>
      <c r="Y267" s="8" t="s">
        <v>37</v>
      </c>
      <c r="Z267" s="8">
        <f t="shared" ref="Z267:AI267" si="743">SUM(D258)</f>
        <v>30</v>
      </c>
      <c r="AA267" s="9">
        <f t="shared" ca="1" si="743"/>
        <v>28</v>
      </c>
      <c r="AB267" s="10">
        <f t="shared" ca="1" si="743"/>
        <v>5600.3699999999899</v>
      </c>
      <c r="AC267" s="9">
        <f t="shared" ca="1" si="743"/>
        <v>1870</v>
      </c>
      <c r="AD267" s="9">
        <f t="shared" ca="1" si="743"/>
        <v>0</v>
      </c>
      <c r="AE267" s="9">
        <f t="shared" ca="1" si="743"/>
        <v>1870</v>
      </c>
      <c r="AF267" s="9">
        <f t="shared" ca="1" si="743"/>
        <v>2755</v>
      </c>
      <c r="AG267" s="9">
        <f t="shared" ca="1" si="743"/>
        <v>0</v>
      </c>
      <c r="AH267" s="9">
        <f t="shared" ca="1" si="743"/>
        <v>2755</v>
      </c>
      <c r="AI267" s="9">
        <f t="shared" ca="1" si="743"/>
        <v>4625</v>
      </c>
      <c r="AJ267" s="11">
        <f t="shared" ca="1" si="730"/>
        <v>200.01321428571393</v>
      </c>
      <c r="AK267" s="8">
        <f t="shared" si="739"/>
        <v>5887</v>
      </c>
      <c r="AL267" s="12">
        <f t="shared" ca="1" si="731"/>
        <v>0.7856293528112791</v>
      </c>
      <c r="AM267" s="13">
        <f t="shared" si="740"/>
        <v>1.5</v>
      </c>
      <c r="AN267" s="12">
        <f t="shared" ca="1" si="732"/>
        <v>0.5505588618847217</v>
      </c>
      <c r="AO267" s="14">
        <f t="shared" ca="1" si="733"/>
        <v>0.82583829282708254</v>
      </c>
      <c r="AP267" s="13">
        <f t="shared" ref="AP267:AQ267" ca="1" si="744">SUM(T258)</f>
        <v>225.89424007744392</v>
      </c>
      <c r="AQ267" s="13">
        <f t="shared" ca="1" si="744"/>
        <v>8.0676514313372838</v>
      </c>
      <c r="AR267" s="9">
        <f t="shared" ca="1" si="735"/>
        <v>165.17857142857142</v>
      </c>
      <c r="AS267" s="76"/>
      <c r="AT267" s="76"/>
    </row>
    <row r="268" spans="1:46" ht="15.75" customHeight="1" x14ac:dyDescent="0.2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6"/>
      <c r="X268" s="8">
        <v>5</v>
      </c>
      <c r="Y268" s="8" t="s">
        <v>39</v>
      </c>
      <c r="Z268" s="8">
        <f t="shared" ref="Z268:AI268" si="745">SUM(D259)</f>
        <v>28</v>
      </c>
      <c r="AA268" s="9">
        <f t="shared" ca="1" si="745"/>
        <v>28</v>
      </c>
      <c r="AB268" s="10">
        <f t="shared" ca="1" si="745"/>
        <v>4772.0619999999899</v>
      </c>
      <c r="AC268" s="9">
        <f t="shared" ca="1" si="745"/>
        <v>1146</v>
      </c>
      <c r="AD268" s="9">
        <f t="shared" ca="1" si="745"/>
        <v>0</v>
      </c>
      <c r="AE268" s="9">
        <f t="shared" ca="1" si="745"/>
        <v>1146</v>
      </c>
      <c r="AF268" s="9">
        <f t="shared" ca="1" si="745"/>
        <v>1543</v>
      </c>
      <c r="AG268" s="9">
        <f t="shared" ca="1" si="745"/>
        <v>0</v>
      </c>
      <c r="AH268" s="9">
        <f t="shared" ca="1" si="745"/>
        <v>1543</v>
      </c>
      <c r="AI268" s="9">
        <f t="shared" ca="1" si="745"/>
        <v>2689</v>
      </c>
      <c r="AJ268" s="11">
        <f t="shared" ca="1" si="730"/>
        <v>170.43078571428535</v>
      </c>
      <c r="AK268" s="8">
        <f t="shared" si="739"/>
        <v>3569</v>
      </c>
      <c r="AL268" s="12">
        <f t="shared" ca="1" si="731"/>
        <v>0.75343233398711118</v>
      </c>
      <c r="AM268" s="13">
        <f t="shared" si="740"/>
        <v>1.5</v>
      </c>
      <c r="AN268" s="12">
        <f t="shared" ca="1" si="732"/>
        <v>0.3756587124531639</v>
      </c>
      <c r="AO268" s="14">
        <f t="shared" ca="1" si="733"/>
        <v>0.56348806867974588</v>
      </c>
      <c r="AP268" s="13">
        <f t="shared" ref="AP268:AQ268" ca="1" si="746">SUM(T259)</f>
        <v>222.33900200344732</v>
      </c>
      <c r="AQ268" s="13">
        <f t="shared" ca="1" si="746"/>
        <v>7.9406786429802612</v>
      </c>
      <c r="AR268" s="9">
        <f t="shared" ca="1" si="735"/>
        <v>96.035714285714292</v>
      </c>
      <c r="AS268" s="76"/>
      <c r="AT268" s="76"/>
    </row>
    <row r="269" spans="1:46" ht="15.75" customHeight="1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6"/>
      <c r="X269" s="8">
        <v>6</v>
      </c>
      <c r="Y269" s="8" t="s">
        <v>41</v>
      </c>
      <c r="Z269" s="8">
        <f t="shared" ref="Z269:AI269" si="747">SUM(D260)</f>
        <v>24</v>
      </c>
      <c r="AA269" s="9">
        <f t="shared" ca="1" si="747"/>
        <v>24</v>
      </c>
      <c r="AB269" s="10">
        <f t="shared" ca="1" si="747"/>
        <v>4793.152</v>
      </c>
      <c r="AC269" s="9">
        <f t="shared" ca="1" si="747"/>
        <v>1262</v>
      </c>
      <c r="AD269" s="9">
        <f t="shared" ca="1" si="747"/>
        <v>0</v>
      </c>
      <c r="AE269" s="9">
        <f t="shared" ca="1" si="747"/>
        <v>1262</v>
      </c>
      <c r="AF269" s="9">
        <f t="shared" ca="1" si="747"/>
        <v>1759</v>
      </c>
      <c r="AG269" s="9">
        <f t="shared" ca="1" si="747"/>
        <v>0</v>
      </c>
      <c r="AH269" s="9">
        <f t="shared" ca="1" si="747"/>
        <v>1759</v>
      </c>
      <c r="AI269" s="9">
        <f t="shared" ca="1" si="747"/>
        <v>3021</v>
      </c>
      <c r="AJ269" s="11">
        <f t="shared" ca="1" si="730"/>
        <v>199.71466666666666</v>
      </c>
      <c r="AK269" s="8">
        <f t="shared" si="739"/>
        <v>3801</v>
      </c>
      <c r="AL269" s="12">
        <f t="shared" ca="1" si="731"/>
        <v>0.79479084451460147</v>
      </c>
      <c r="AM269" s="13">
        <f t="shared" si="740"/>
        <v>1.5</v>
      </c>
      <c r="AN269" s="12">
        <f t="shared" ca="1" si="732"/>
        <v>0.42018279411961063</v>
      </c>
      <c r="AO269" s="14">
        <f t="shared" ca="1" si="733"/>
        <v>0.63027419117941597</v>
      </c>
      <c r="AP269" s="13">
        <f t="shared" ref="AP269:AQ269" ca="1" si="748">SUM(T260)</f>
        <v>161.77777777777777</v>
      </c>
      <c r="AQ269" s="13">
        <f t="shared" ca="1" si="748"/>
        <v>6.7407407407407405</v>
      </c>
      <c r="AR269" s="9">
        <f t="shared" ca="1" si="735"/>
        <v>125.875</v>
      </c>
      <c r="AS269" s="76"/>
      <c r="AT269" s="76"/>
    </row>
    <row r="270" spans="1:46" ht="15.75" customHeight="1" x14ac:dyDescent="0.25">
      <c r="A270" s="110" t="s">
        <v>45</v>
      </c>
      <c r="B270" s="76"/>
      <c r="C270" s="76"/>
      <c r="D270" s="75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24" t="s">
        <v>33</v>
      </c>
      <c r="Y270" s="24">
        <v>6</v>
      </c>
      <c r="Z270" s="24">
        <f t="shared" ref="Z270:AI270" si="749">SUM(Z264:Z269)</f>
        <v>168</v>
      </c>
      <c r="AA270" s="25">
        <f t="shared" ca="1" si="749"/>
        <v>166</v>
      </c>
      <c r="AB270" s="27">
        <f t="shared" ca="1" si="749"/>
        <v>31854.847999999969</v>
      </c>
      <c r="AC270" s="25">
        <f t="shared" ca="1" si="749"/>
        <v>12239</v>
      </c>
      <c r="AD270" s="25">
        <f t="shared" ca="1" si="749"/>
        <v>97</v>
      </c>
      <c r="AE270" s="25">
        <f t="shared" ca="1" si="749"/>
        <v>12336</v>
      </c>
      <c r="AF270" s="25">
        <f t="shared" ca="1" si="749"/>
        <v>15127</v>
      </c>
      <c r="AG270" s="25">
        <f t="shared" ca="1" si="749"/>
        <v>315</v>
      </c>
      <c r="AH270" s="25">
        <f t="shared" ca="1" si="749"/>
        <v>15442</v>
      </c>
      <c r="AI270" s="25">
        <f t="shared" ca="1" si="749"/>
        <v>27778</v>
      </c>
      <c r="AJ270" s="27">
        <f t="shared" ca="1" si="730"/>
        <v>191.89667469879498</v>
      </c>
      <c r="AK270" s="24">
        <f>SUM(AK264:AK269)</f>
        <v>37031</v>
      </c>
      <c r="AL270" s="28">
        <f t="shared" ca="1" si="731"/>
        <v>0.75012827090815803</v>
      </c>
      <c r="AM270" s="29">
        <v>1.5</v>
      </c>
      <c r="AN270" s="28">
        <f t="shared" ca="1" si="732"/>
        <v>0.58134531568528236</v>
      </c>
      <c r="AO270" s="30">
        <f t="shared" ca="1" si="733"/>
        <v>0.87201797352792354</v>
      </c>
      <c r="AP270" s="29">
        <f ca="1">SUM(AP264:AP269)</f>
        <v>1331.8934582632301</v>
      </c>
      <c r="AQ270" s="29">
        <f ca="1">AP270/AA270</f>
        <v>8.0234545678507843</v>
      </c>
      <c r="AR270" s="25">
        <f t="shared" ca="1" si="735"/>
        <v>167.33734939759037</v>
      </c>
      <c r="AS270" s="76"/>
      <c r="AT270" s="76"/>
    </row>
    <row r="271" spans="1:46" ht="15.75" customHeight="1" x14ac:dyDescent="0.2">
      <c r="A271" s="110" t="s">
        <v>45</v>
      </c>
      <c r="B271" s="76"/>
      <c r="C271" s="76"/>
      <c r="D271" s="75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7" t="s">
        <v>1</v>
      </c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9"/>
      <c r="AS271" s="76"/>
      <c r="AT271" s="76"/>
    </row>
    <row r="272" spans="1:46" ht="15.75" customHeight="1" x14ac:dyDescent="0.2">
      <c r="A272" s="113">
        <v>46214</v>
      </c>
      <c r="B272" s="80" t="s">
        <v>2</v>
      </c>
      <c r="C272" s="80" t="s">
        <v>3</v>
      </c>
      <c r="D272" s="80" t="s">
        <v>4</v>
      </c>
      <c r="E272" s="80" t="s">
        <v>5</v>
      </c>
      <c r="F272" s="81" t="s">
        <v>6</v>
      </c>
      <c r="G272" s="80" t="s">
        <v>7</v>
      </c>
      <c r="H272" s="80" t="s">
        <v>8</v>
      </c>
      <c r="I272" s="80" t="s">
        <v>9</v>
      </c>
      <c r="J272" s="80" t="s">
        <v>10</v>
      </c>
      <c r="K272" s="80" t="s">
        <v>11</v>
      </c>
      <c r="L272" s="80" t="s">
        <v>12</v>
      </c>
      <c r="M272" s="80" t="s">
        <v>13</v>
      </c>
      <c r="N272" s="81" t="s">
        <v>14</v>
      </c>
      <c r="O272" s="80" t="s">
        <v>15</v>
      </c>
      <c r="P272" s="80" t="s">
        <v>16</v>
      </c>
      <c r="Q272" s="80" t="s">
        <v>17</v>
      </c>
      <c r="R272" s="80" t="s">
        <v>18</v>
      </c>
      <c r="S272" s="106" t="s">
        <v>19</v>
      </c>
      <c r="T272" s="107" t="s">
        <v>20</v>
      </c>
      <c r="U272" s="107" t="s">
        <v>21</v>
      </c>
      <c r="V272" s="105" t="s">
        <v>22</v>
      </c>
      <c r="W272" s="76"/>
      <c r="X272" s="1" t="s">
        <v>2</v>
      </c>
      <c r="Y272" s="1" t="s">
        <v>3</v>
      </c>
      <c r="Z272" s="1" t="s">
        <v>4</v>
      </c>
      <c r="AA272" s="1" t="s">
        <v>5</v>
      </c>
      <c r="AB272" s="2" t="s">
        <v>6</v>
      </c>
      <c r="AC272" s="1" t="s">
        <v>7</v>
      </c>
      <c r="AD272" s="1" t="s">
        <v>8</v>
      </c>
      <c r="AE272" s="1" t="s">
        <v>9</v>
      </c>
      <c r="AF272" s="1" t="s">
        <v>10</v>
      </c>
      <c r="AG272" s="1" t="s">
        <v>11</v>
      </c>
      <c r="AH272" s="1" t="s">
        <v>12</v>
      </c>
      <c r="AI272" s="1" t="s">
        <v>13</v>
      </c>
      <c r="AJ272" s="2" t="s">
        <v>14</v>
      </c>
      <c r="AK272" s="1" t="s">
        <v>15</v>
      </c>
      <c r="AL272" s="1" t="s">
        <v>16</v>
      </c>
      <c r="AM272" s="3" t="s">
        <v>17</v>
      </c>
      <c r="AN272" s="4" t="s">
        <v>18</v>
      </c>
      <c r="AO272" s="5" t="s">
        <v>19</v>
      </c>
      <c r="AP272" s="6" t="s">
        <v>20</v>
      </c>
      <c r="AQ272" s="6" t="s">
        <v>21</v>
      </c>
      <c r="AR272" s="7" t="s">
        <v>22</v>
      </c>
      <c r="AS272" s="76"/>
      <c r="AT272" s="76"/>
    </row>
    <row r="273" spans="1:46" ht="15.75" customHeight="1" x14ac:dyDescent="0.2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6"/>
      <c r="X273" s="8">
        <v>1</v>
      </c>
      <c r="Y273" s="8" t="s">
        <v>23</v>
      </c>
      <c r="Z273" s="8">
        <f t="shared" ref="Z273:AI273" si="750">SUM(D281)</f>
        <v>28</v>
      </c>
      <c r="AA273" s="9">
        <f t="shared" ca="1" si="750"/>
        <v>27</v>
      </c>
      <c r="AB273" s="10">
        <f t="shared" ca="1" si="750"/>
        <v>5297.1799999999903</v>
      </c>
      <c r="AC273" s="9">
        <f t="shared" ca="1" si="750"/>
        <v>1344</v>
      </c>
      <c r="AD273" s="9">
        <f t="shared" ca="1" si="750"/>
        <v>0</v>
      </c>
      <c r="AE273" s="9">
        <f t="shared" ca="1" si="750"/>
        <v>1344</v>
      </c>
      <c r="AF273" s="9">
        <f t="shared" ca="1" si="750"/>
        <v>2497</v>
      </c>
      <c r="AG273" s="9">
        <f t="shared" ca="1" si="750"/>
        <v>0</v>
      </c>
      <c r="AH273" s="9">
        <f t="shared" ca="1" si="750"/>
        <v>2497</v>
      </c>
      <c r="AI273" s="9">
        <f t="shared" ca="1" si="750"/>
        <v>3841</v>
      </c>
      <c r="AJ273" s="11">
        <f t="shared" ref="AJ273:AJ275" ca="1" si="751">AB273/AA273</f>
        <v>196.19185185185148</v>
      </c>
      <c r="AK273" s="8">
        <f>SUM(O281)</f>
        <v>6853</v>
      </c>
      <c r="AL273" s="12">
        <f t="shared" ref="AL273:AL279" ca="1" si="752">AI273/AK273</f>
        <v>0.56048445936086388</v>
      </c>
      <c r="AM273" s="13">
        <f t="shared" ref="AM273:AM275" si="753">SUM(Q281)</f>
        <v>1.5</v>
      </c>
      <c r="AN273" s="12">
        <f t="shared" ref="AN273:AN279" ca="1" si="754">AO273/AM273</f>
        <v>0.48340186036092248</v>
      </c>
      <c r="AO273" s="14">
        <f t="shared" ref="AO273:AO279" ca="1" si="755">AI273/AB273</f>
        <v>0.72510279054138371</v>
      </c>
      <c r="AP273" s="13">
        <f t="shared" ref="AP273:AQ273" ca="1" si="756">SUM(T281)</f>
        <v>156.99999999999972</v>
      </c>
      <c r="AQ273" s="13">
        <f t="shared" ca="1" si="756"/>
        <v>5.8148148148148042</v>
      </c>
      <c r="AR273" s="9">
        <f t="shared" ref="AR273:AR279" ca="1" si="757">AI273/AA273</f>
        <v>142.25925925925927</v>
      </c>
      <c r="AS273" s="76"/>
      <c r="AT273" s="76"/>
    </row>
    <row r="274" spans="1:46" ht="15.75" customHeight="1" x14ac:dyDescent="0.2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6"/>
      <c r="X274" s="8">
        <v>2</v>
      </c>
      <c r="Y274" s="8" t="s">
        <v>24</v>
      </c>
      <c r="Z274" s="8">
        <f t="shared" ref="Z274:AI274" si="758">SUM(D282)</f>
        <v>37</v>
      </c>
      <c r="AA274" s="9">
        <f t="shared" ca="1" si="758"/>
        <v>37</v>
      </c>
      <c r="AB274" s="10">
        <f t="shared" ca="1" si="758"/>
        <v>6647.2369999999901</v>
      </c>
      <c r="AC274" s="9">
        <f t="shared" ca="1" si="758"/>
        <v>817</v>
      </c>
      <c r="AD274" s="9">
        <f t="shared" ca="1" si="758"/>
        <v>0</v>
      </c>
      <c r="AE274" s="9">
        <f t="shared" ca="1" si="758"/>
        <v>817</v>
      </c>
      <c r="AF274" s="9">
        <f t="shared" ca="1" si="758"/>
        <v>928</v>
      </c>
      <c r="AG274" s="9">
        <f t="shared" ca="1" si="758"/>
        <v>0</v>
      </c>
      <c r="AH274" s="9">
        <f t="shared" ca="1" si="758"/>
        <v>928</v>
      </c>
      <c r="AI274" s="9">
        <f t="shared" ca="1" si="758"/>
        <v>1745</v>
      </c>
      <c r="AJ274" s="11">
        <f t="shared" ca="1" si="751"/>
        <v>179.65505405405378</v>
      </c>
      <c r="AK274" s="8">
        <v>1580</v>
      </c>
      <c r="AL274" s="15">
        <f t="shared" ca="1" si="752"/>
        <v>1.1044303797468353</v>
      </c>
      <c r="AM274" s="13">
        <f t="shared" si="753"/>
        <v>1.5</v>
      </c>
      <c r="AN274" s="12">
        <f t="shared" ca="1" si="754"/>
        <v>0.17501005806372408</v>
      </c>
      <c r="AO274" s="14">
        <f t="shared" ca="1" si="755"/>
        <v>0.26251508709558613</v>
      </c>
      <c r="AP274" s="13">
        <f t="shared" ref="AP274:AQ274" ca="1" si="759">SUM(T282)</f>
        <v>247.98496549151241</v>
      </c>
      <c r="AQ274" s="13">
        <f t="shared" ca="1" si="759"/>
        <v>6.7022963646354707</v>
      </c>
      <c r="AR274" s="9">
        <f t="shared" ca="1" si="757"/>
        <v>47.162162162162161</v>
      </c>
      <c r="AS274" s="76"/>
      <c r="AT274" s="76"/>
    </row>
    <row r="275" spans="1:46" ht="15.75" customHeight="1" x14ac:dyDescent="0.2">
      <c r="A275" s="70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6"/>
      <c r="X275" s="8">
        <v>3</v>
      </c>
      <c r="Y275" s="8" t="s">
        <v>25</v>
      </c>
      <c r="Z275" s="8">
        <f t="shared" ref="Z275:AI275" si="760">SUM(D283)</f>
        <v>27</v>
      </c>
      <c r="AA275" s="9">
        <f t="shared" ca="1" si="760"/>
        <v>26</v>
      </c>
      <c r="AB275" s="10">
        <f t="shared" ca="1" si="760"/>
        <v>4860.7359999999899</v>
      </c>
      <c r="AC275" s="9">
        <f t="shared" ca="1" si="760"/>
        <v>2198</v>
      </c>
      <c r="AD275" s="9">
        <f t="shared" ca="1" si="760"/>
        <v>372</v>
      </c>
      <c r="AE275" s="9">
        <f t="shared" ca="1" si="760"/>
        <v>2570</v>
      </c>
      <c r="AF275" s="9">
        <f t="shared" ca="1" si="760"/>
        <v>2116</v>
      </c>
      <c r="AG275" s="9">
        <f t="shared" ca="1" si="760"/>
        <v>388</v>
      </c>
      <c r="AH275" s="9">
        <f t="shared" ca="1" si="760"/>
        <v>2504</v>
      </c>
      <c r="AI275" s="9">
        <f t="shared" ca="1" si="760"/>
        <v>5074</v>
      </c>
      <c r="AJ275" s="11">
        <f t="shared" ca="1" si="751"/>
        <v>186.95138461538423</v>
      </c>
      <c r="AK275" s="8">
        <f>SUM(O283)</f>
        <v>6622</v>
      </c>
      <c r="AL275" s="12">
        <f t="shared" ca="1" si="752"/>
        <v>0.76623376623376627</v>
      </c>
      <c r="AM275" s="13">
        <f t="shared" si="753"/>
        <v>1.5</v>
      </c>
      <c r="AN275" s="12">
        <f t="shared" ca="1" si="754"/>
        <v>0.69591655804114305</v>
      </c>
      <c r="AO275" s="14">
        <f t="shared" ca="1" si="755"/>
        <v>1.0438748370617146</v>
      </c>
      <c r="AP275" s="13">
        <f t="shared" ref="AP275:AQ275" ca="1" si="761">SUM(T283)</f>
        <v>203.88993288590561</v>
      </c>
      <c r="AQ275" s="13">
        <f t="shared" ca="1" si="761"/>
        <v>7.8419204956117543</v>
      </c>
      <c r="AR275" s="9">
        <f t="shared" ca="1" si="757"/>
        <v>195.15384615384616</v>
      </c>
      <c r="AS275" s="76"/>
      <c r="AT275" s="76"/>
    </row>
    <row r="276" spans="1:46" ht="15.75" customHeight="1" x14ac:dyDescent="0.25">
      <c r="A276" s="70"/>
      <c r="B276" s="16">
        <v>1</v>
      </c>
      <c r="C276" s="16" t="s">
        <v>26</v>
      </c>
      <c r="D276" s="17">
        <v>16</v>
      </c>
      <c r="E276" s="18">
        <f ca="1">IFERROR(__xludf.DUMMYFUNCTION("COUNT(IMPORTRANGE(""https://docs.google.com/spreadsheets/d/1z0o91thOT38lgejTE_Bd2p3v_9VCDdQRkUsMIVqpQCk/edit"",""11!d2:d21""))"),16)</f>
        <v>16</v>
      </c>
      <c r="F276" s="19">
        <f ca="1">IFERROR(__xludf.DUMMYFUNCTION("SUM(IMPORTRANGE(""https://docs.google.com/spreadsheets/d/1z0o91thOT38lgejTE_Bd2p3v_9VCDdQRkUsMIVqpQCk/edit"",""11!Q2:Q21""))"),3042.024)</f>
        <v>3042.0239999999999</v>
      </c>
      <c r="G276" s="18">
        <f ca="1">IFERROR(__xludf.DUMMYFUNCTION("IMPORTRANGE(""https://docs.google.com/spreadsheets/d/1z0o91thOT38lgejTE_Bd2p3v_9VCDdQRkUsMIVqpQCk/edit"",""11!e28"")"),1506)</f>
        <v>1506</v>
      </c>
      <c r="H276" s="18">
        <f ca="1">IFERROR(__xludf.DUMMYFUNCTION("IMPORTRANGE(""https://docs.google.com/spreadsheets/d/1z0o91thOT38lgejTE_Bd2p3v_9VCDdQRkUsMIVqpQCk/edit"",""11!e29"")"),0)</f>
        <v>0</v>
      </c>
      <c r="I276" s="18">
        <f t="shared" ref="I276:I293" ca="1" si="762">SUM(G276:H276)</f>
        <v>1506</v>
      </c>
      <c r="J276" s="18">
        <f ca="1">IFERROR(__xludf.DUMMYFUNCTION("IMPORTRANGE(""https://docs.google.com/spreadsheets/d/1z0o91thOT38lgejTE_Bd2p3v_9VCDdQRkUsMIVqpQCk/edit"",""11!e32"")"),2374)</f>
        <v>2374</v>
      </c>
      <c r="K276" s="18">
        <f ca="1">IFERROR(__xludf.DUMMYFUNCTION("IMPORTRANGE(""https://docs.google.com/spreadsheets/d/1z0o91thOT38lgejTE_Bd2p3v_9VCDdQRkUsMIVqpQCk/edit"",""11!e33"")"),0)</f>
        <v>0</v>
      </c>
      <c r="L276" s="18">
        <f t="shared" ref="L276:L282" ca="1" si="763">SUM(J276:K276)</f>
        <v>2374</v>
      </c>
      <c r="M276" s="18">
        <f t="shared" ref="M276:M293" ca="1" si="764">SUM(I276+L276)</f>
        <v>3880</v>
      </c>
      <c r="N276" s="19">
        <f t="shared" ref="N276:N294" ca="1" si="765">F276/E276</f>
        <v>190.12649999999999</v>
      </c>
      <c r="O276" s="16">
        <v>5161</v>
      </c>
      <c r="P276" s="20">
        <f t="shared" ref="P276:P294" ca="1" si="766">M276/O276</f>
        <v>0.7517922883162178</v>
      </c>
      <c r="Q276" s="21">
        <v>1.5</v>
      </c>
      <c r="R276" s="20">
        <f t="shared" ref="R276:R294" ca="1" si="767">S276/Q276</f>
        <v>0.85031106482613772</v>
      </c>
      <c r="S276" s="22">
        <f t="shared" ref="S276:S294" ca="1" si="768">M276/F276</f>
        <v>1.2754665972392065</v>
      </c>
      <c r="T276" s="21">
        <f ca="1">F276/14.415</f>
        <v>211.0318418314256</v>
      </c>
      <c r="U276" s="21">
        <f t="shared" ref="U276:U294" ca="1" si="769">T276/E276</f>
        <v>13.1894901144641</v>
      </c>
      <c r="V276" s="18">
        <f t="shared" ref="V276:V294" ca="1" si="770">M276/E276</f>
        <v>242.5</v>
      </c>
      <c r="W276" s="76"/>
      <c r="X276" s="8">
        <v>4</v>
      </c>
      <c r="Y276" s="8" t="s">
        <v>27</v>
      </c>
      <c r="Z276" s="8">
        <f t="shared" ref="Z276:AK276" si="771">SUM(D289)</f>
        <v>24</v>
      </c>
      <c r="AA276" s="9">
        <f t="shared" ca="1" si="771"/>
        <v>21</v>
      </c>
      <c r="AB276" s="10">
        <f t="shared" ca="1" si="771"/>
        <v>4086.7949999999901</v>
      </c>
      <c r="AC276" s="9">
        <f t="shared" ca="1" si="771"/>
        <v>1582</v>
      </c>
      <c r="AD276" s="9">
        <f t="shared" ca="1" si="771"/>
        <v>0</v>
      </c>
      <c r="AE276" s="9">
        <f t="shared" ca="1" si="771"/>
        <v>1582</v>
      </c>
      <c r="AF276" s="9">
        <f t="shared" ca="1" si="771"/>
        <v>2548</v>
      </c>
      <c r="AG276" s="9">
        <f t="shared" ca="1" si="771"/>
        <v>0</v>
      </c>
      <c r="AH276" s="9">
        <f t="shared" ca="1" si="771"/>
        <v>2548</v>
      </c>
      <c r="AI276" s="9">
        <f t="shared" ca="1" si="771"/>
        <v>4130</v>
      </c>
      <c r="AJ276" s="11">
        <f t="shared" ca="1" si="771"/>
        <v>194.60928571428525</v>
      </c>
      <c r="AK276" s="8">
        <f t="shared" si="771"/>
        <v>8101</v>
      </c>
      <c r="AL276" s="12">
        <f t="shared" ca="1" si="752"/>
        <v>0.50981360325885694</v>
      </c>
      <c r="AM276" s="13">
        <f>SUM(Q289)</f>
        <v>1.5</v>
      </c>
      <c r="AN276" s="12">
        <f t="shared" ca="1" si="754"/>
        <v>0.67371456932225371</v>
      </c>
      <c r="AO276" s="14">
        <f t="shared" ca="1" si="755"/>
        <v>1.0105718539833806</v>
      </c>
      <c r="AP276" s="13">
        <f t="shared" ref="AP276:AQ276" ca="1" si="772">SUM(T289)</f>
        <v>204.49311983987943</v>
      </c>
      <c r="AQ276" s="13">
        <f t="shared" ca="1" si="772"/>
        <v>9.7377676114228304</v>
      </c>
      <c r="AR276" s="9">
        <f t="shared" ca="1" si="757"/>
        <v>196.66666666666666</v>
      </c>
      <c r="AS276" s="76"/>
      <c r="AT276" s="76"/>
    </row>
    <row r="277" spans="1:46" ht="15.75" customHeight="1" x14ac:dyDescent="0.25">
      <c r="A277" s="70"/>
      <c r="B277" s="16">
        <v>2</v>
      </c>
      <c r="C277" s="16" t="s">
        <v>28</v>
      </c>
      <c r="D277" s="17">
        <v>26</v>
      </c>
      <c r="E277" s="18">
        <f ca="1">IFERROR(__xludf.DUMMYFUNCTION("COUNT(IMPORTRANGE(""https://docs.google.com/spreadsheets/d/10a85iNN0y9GF6ngQfF1JXGAzFk-T7ywH4-TZtQcOTaE/edit"",""11!d2:d34""))"),26)</f>
        <v>26</v>
      </c>
      <c r="F277" s="19">
        <f ca="1">IFERROR(__xludf.DUMMYFUNCTION("SUM(IMPORTRANGE(""https://docs.google.com/spreadsheets/d/10a85iNN0y9GF6ngQfF1JXGAzFk-T7ywH4-TZtQcOTaE/edit"",""11!Q2:Q34""))"),4938.81399999999)</f>
        <v>4938.8139999999903</v>
      </c>
      <c r="G277" s="18">
        <f ca="1">IFERROR(__xludf.DUMMYFUNCTION("IMPORTRANGE(""https://docs.google.com/spreadsheets/d/10a85iNN0y9GF6ngQfF1JXGAzFk-T7ywH4-TZtQcOTaE/edit"",""11!e41"")"),1817)</f>
        <v>1817</v>
      </c>
      <c r="H277" s="18">
        <f ca="1">IFERROR(__xludf.DUMMYFUNCTION("IMPORTRANGE(""https://docs.google.com/spreadsheets/d/10a85iNN0y9GF6ngQfF1JXGAzFk-T7ywH4-TZtQcOTaE/edit"",""11!e42"")"),39)</f>
        <v>39</v>
      </c>
      <c r="I277" s="18">
        <f t="shared" ca="1" si="762"/>
        <v>1856</v>
      </c>
      <c r="J277" s="18">
        <f ca="1">IFERROR(__xludf.DUMMYFUNCTION("IMPORTRANGE(""https://docs.google.com/spreadsheets/d/10a85iNN0y9GF6ngQfF1JXGAzFk-T7ywH4-TZtQcOTaE/edit"",""11!e45"")"),2150)</f>
        <v>2150</v>
      </c>
      <c r="K277" s="18">
        <f ca="1">IFERROR(__xludf.DUMMYFUNCTION("IMPORTRANGE(""https://docs.google.com/spreadsheets/d/10a85iNN0y9GF6ngQfF1JXGAzFk-T7ywH4-TZtQcOTaE/edit"",""11!e46"")"),51)</f>
        <v>51</v>
      </c>
      <c r="L277" s="18">
        <f t="shared" ca="1" si="763"/>
        <v>2201</v>
      </c>
      <c r="M277" s="18">
        <f t="shared" ca="1" si="764"/>
        <v>4057</v>
      </c>
      <c r="N277" s="19">
        <f t="shared" ca="1" si="765"/>
        <v>189.95438461538424</v>
      </c>
      <c r="O277" s="16">
        <v>7315</v>
      </c>
      <c r="P277" s="20">
        <f t="shared" ca="1" si="766"/>
        <v>0.55461380724538623</v>
      </c>
      <c r="Q277" s="21">
        <v>1.5</v>
      </c>
      <c r="R277" s="20">
        <f t="shared" ca="1" si="767"/>
        <v>0.54763485052619354</v>
      </c>
      <c r="S277" s="22">
        <f t="shared" ca="1" si="768"/>
        <v>0.82145227578929025</v>
      </c>
      <c r="T277" s="21">
        <f ca="1">F277/30.897</f>
        <v>159.84768747774834</v>
      </c>
      <c r="U277" s="21">
        <f t="shared" ca="1" si="769"/>
        <v>6.1479879799133972</v>
      </c>
      <c r="V277" s="18">
        <f t="shared" ca="1" si="770"/>
        <v>156.03846153846155</v>
      </c>
      <c r="W277" s="76"/>
      <c r="X277" s="8">
        <v>5</v>
      </c>
      <c r="Y277" s="8" t="s">
        <v>29</v>
      </c>
      <c r="Z277" s="8">
        <f t="shared" ref="Z277:AI277" si="773">SUM(D292)</f>
        <v>24</v>
      </c>
      <c r="AA277" s="9">
        <f t="shared" ca="1" si="773"/>
        <v>23</v>
      </c>
      <c r="AB277" s="10">
        <f t="shared" ca="1" si="773"/>
        <v>4452.4979999999996</v>
      </c>
      <c r="AC277" s="9">
        <f t="shared" ca="1" si="773"/>
        <v>2243</v>
      </c>
      <c r="AD277" s="9">
        <f t="shared" ca="1" si="773"/>
        <v>0</v>
      </c>
      <c r="AE277" s="9">
        <f t="shared" ca="1" si="773"/>
        <v>2243</v>
      </c>
      <c r="AF277" s="9">
        <f t="shared" ca="1" si="773"/>
        <v>2856</v>
      </c>
      <c r="AG277" s="9">
        <f t="shared" ca="1" si="773"/>
        <v>0</v>
      </c>
      <c r="AH277" s="9">
        <f t="shared" ca="1" si="773"/>
        <v>2856</v>
      </c>
      <c r="AI277" s="9">
        <f t="shared" ca="1" si="773"/>
        <v>5099</v>
      </c>
      <c r="AJ277" s="11">
        <f t="shared" ref="AJ277:AJ279" ca="1" si="774">AB277/AA277</f>
        <v>193.58686956521737</v>
      </c>
      <c r="AK277" s="8">
        <f t="shared" ref="AK277:AK278" si="775">SUM(O292)</f>
        <v>9201</v>
      </c>
      <c r="AL277" s="12">
        <f t="shared" ca="1" si="752"/>
        <v>0.5541788935985219</v>
      </c>
      <c r="AM277" s="13">
        <f t="shared" ref="AM277:AM278" si="776">SUM(Q292)</f>
        <v>1.5</v>
      </c>
      <c r="AN277" s="12">
        <f t="shared" ca="1" si="754"/>
        <v>0.76346656041919247</v>
      </c>
      <c r="AO277" s="14">
        <f t="shared" ca="1" si="755"/>
        <v>1.1451998406287887</v>
      </c>
      <c r="AP277" s="13">
        <f t="shared" ref="AP277:AQ277" ca="1" si="777">SUM(T292)</f>
        <v>170.99999999999997</v>
      </c>
      <c r="AQ277" s="13">
        <f t="shared" ca="1" si="777"/>
        <v>7.4347826086956506</v>
      </c>
      <c r="AR277" s="9">
        <f t="shared" ca="1" si="757"/>
        <v>221.69565217391303</v>
      </c>
      <c r="AS277" s="76"/>
      <c r="AT277" s="76"/>
    </row>
    <row r="278" spans="1:46" ht="15.75" customHeight="1" x14ac:dyDescent="0.25">
      <c r="A278" s="70"/>
      <c r="B278" s="16">
        <v>3</v>
      </c>
      <c r="C278" s="16" t="s">
        <v>30</v>
      </c>
      <c r="D278" s="17">
        <v>48</v>
      </c>
      <c r="E278" s="18">
        <f ca="1">IFERROR(__xludf.DUMMYFUNCTION("COUNT(IMPORTRANGE(""https://docs.google.com/spreadsheets/d/1WojVzHhpzodJL1e5UDHeu3A3u5MTSZwvxHu0BrwvL9w/edit"",""11!d2:d61""))"),44)</f>
        <v>44</v>
      </c>
      <c r="F278" s="23">
        <f ca="1">IFERROR(__xludf.DUMMYFUNCTION("SUM(IMPORTRANGE(""https://docs.google.com/spreadsheets/d/1WojVzHhpzodJL1e5UDHeu3A3u5MTSZwvxHu0BrwvL9w/edit"",""11!Q2:Q61""))"),8377.64899999999)</f>
        <v>8377.6489999999903</v>
      </c>
      <c r="G278" s="18">
        <f ca="1">IFERROR(__xludf.DUMMYFUNCTION("IMPORTRANGE(""https://docs.google.com/spreadsheets/d/1WojVzHhpzodJL1e5UDHeu3A3u5MTSZwvxHu0BrwvL9w/edit"",""11!e68"")"),2443)</f>
        <v>2443</v>
      </c>
      <c r="H278" s="18">
        <f ca="1">IFERROR(__xludf.DUMMYFUNCTION("IMPORTRANGE(""https://docs.google.com/spreadsheets/d/1WojVzHhpzodJL1e5UDHeu3A3u5MTSZwvxHu0BrwvL9w/edit"",""11!e69"")"),0)</f>
        <v>0</v>
      </c>
      <c r="I278" s="18">
        <f t="shared" ca="1" si="762"/>
        <v>2443</v>
      </c>
      <c r="J278" s="18">
        <f ca="1">IFERROR(__xludf.DUMMYFUNCTION("IMPORTRANGE(""https://docs.google.com/spreadsheets/d/1WojVzHhpzodJL1e5UDHeu3A3u5MTSZwvxHu0BrwvL9w/edit"",""11!e72"")"),4258)</f>
        <v>4258</v>
      </c>
      <c r="K278" s="18">
        <f ca="1">IFERROR(__xludf.DUMMYFUNCTION("IMPORTRANGE(""https://docs.google.com/spreadsheets/d/1WojVzHhpzodJL1e5UDHeu3A3u5MTSZwvxHu0BrwvL9w/edit"",""11!e73"")"),0)</f>
        <v>0</v>
      </c>
      <c r="L278" s="18">
        <f t="shared" ca="1" si="763"/>
        <v>4258</v>
      </c>
      <c r="M278" s="18">
        <f t="shared" ca="1" si="764"/>
        <v>6701</v>
      </c>
      <c r="N278" s="19">
        <f t="shared" ca="1" si="765"/>
        <v>190.40111363636342</v>
      </c>
      <c r="O278" s="16">
        <v>11164</v>
      </c>
      <c r="P278" s="20">
        <f t="shared" ca="1" si="766"/>
        <v>0.60023289143676106</v>
      </c>
      <c r="Q278" s="21">
        <v>1.5</v>
      </c>
      <c r="R278" s="20">
        <f t="shared" ca="1" si="767"/>
        <v>0.53324427095636717</v>
      </c>
      <c r="S278" s="22">
        <f t="shared" ca="1" si="768"/>
        <v>0.79986640643455076</v>
      </c>
      <c r="T278" s="21">
        <f ca="1">F278/29.603</f>
        <v>282.99999999999966</v>
      </c>
      <c r="U278" s="21">
        <f t="shared" ca="1" si="769"/>
        <v>6.4318181818181737</v>
      </c>
      <c r="V278" s="18">
        <f t="shared" ca="1" si="770"/>
        <v>152.29545454545453</v>
      </c>
      <c r="W278" s="76"/>
      <c r="X278" s="8">
        <v>6</v>
      </c>
      <c r="Y278" s="8" t="s">
        <v>31</v>
      </c>
      <c r="Z278" s="8">
        <f t="shared" ref="Z278:AI278" si="778">SUM(D293)</f>
        <v>12</v>
      </c>
      <c r="AA278" s="9">
        <f t="shared" ca="1" si="778"/>
        <v>12</v>
      </c>
      <c r="AB278" s="11">
        <f t="shared" ca="1" si="778"/>
        <v>2303.645</v>
      </c>
      <c r="AC278" s="9">
        <f t="shared" ca="1" si="778"/>
        <v>648</v>
      </c>
      <c r="AD278" s="9">
        <f t="shared" ca="1" si="778"/>
        <v>9</v>
      </c>
      <c r="AE278" s="9">
        <f t="shared" ca="1" si="778"/>
        <v>657</v>
      </c>
      <c r="AF278" s="9">
        <f t="shared" ca="1" si="778"/>
        <v>838</v>
      </c>
      <c r="AG278" s="9">
        <f t="shared" ca="1" si="778"/>
        <v>0</v>
      </c>
      <c r="AH278" s="9">
        <f t="shared" ca="1" si="778"/>
        <v>838</v>
      </c>
      <c r="AI278" s="9">
        <f t="shared" ca="1" si="778"/>
        <v>1495</v>
      </c>
      <c r="AJ278" s="11">
        <f t="shared" ca="1" si="774"/>
        <v>191.97041666666667</v>
      </c>
      <c r="AK278" s="8">
        <f t="shared" si="775"/>
        <v>2717</v>
      </c>
      <c r="AL278" s="12">
        <f t="shared" ca="1" si="752"/>
        <v>0.55023923444976075</v>
      </c>
      <c r="AM278" s="13">
        <f t="shared" si="776"/>
        <v>1.5</v>
      </c>
      <c r="AN278" s="12">
        <f t="shared" ca="1" si="754"/>
        <v>0.4326476808130883</v>
      </c>
      <c r="AO278" s="14">
        <f t="shared" ca="1" si="755"/>
        <v>0.64897152121963242</v>
      </c>
      <c r="AP278" s="13">
        <f t="shared" ref="AP278:AQ278" ca="1" si="779">SUM(T293)</f>
        <v>52.999999999999993</v>
      </c>
      <c r="AQ278" s="13">
        <f t="shared" ca="1" si="779"/>
        <v>4.4166666666666661</v>
      </c>
      <c r="AR278" s="9">
        <f t="shared" ca="1" si="757"/>
        <v>124.58333333333333</v>
      </c>
      <c r="AS278" s="76"/>
      <c r="AT278" s="76"/>
    </row>
    <row r="279" spans="1:46" ht="15.75" customHeight="1" x14ac:dyDescent="0.25">
      <c r="A279" s="70"/>
      <c r="B279" s="16">
        <v>4</v>
      </c>
      <c r="C279" s="16" t="s">
        <v>32</v>
      </c>
      <c r="D279" s="17">
        <v>33</v>
      </c>
      <c r="E279" s="18">
        <f ca="1">IFERROR(__xludf.DUMMYFUNCTION("COUNT(IMPORTRANGE(""https://docs.google.com/spreadsheets/d/1vmCj5YcMSPHj1m64syDndQ6cqVL3yolcU03Y8KHmvdc/edit"",""11!d2:d43""))"),33)</f>
        <v>33</v>
      </c>
      <c r="F279" s="23">
        <f ca="1">IFERROR(__xludf.DUMMYFUNCTION("SUM(IMPORTRANGE(""https://docs.google.com/spreadsheets/d/1vmCj5YcMSPHj1m64syDndQ6cqVL3yolcU03Y8KHmvdc/edit"",""11!Q2:Q43""))"),6126.01399999999)</f>
        <v>6126.0139999999901</v>
      </c>
      <c r="G279" s="16">
        <f ca="1">IFERROR(__xludf.DUMMYFUNCTION("IMPORTRANGE(""https://docs.google.com/spreadsheets/d/1vmCj5YcMSPHj1m64syDndQ6cqVL3yolcU03Y8KHmvdc/edit"",""11!e50"")"),3675)</f>
        <v>3675</v>
      </c>
      <c r="H279" s="16">
        <f ca="1">IFERROR(__xludf.DUMMYFUNCTION("IMPORTRANGE(""https://docs.google.com/spreadsheets/d/1vmCj5YcMSPHj1m64syDndQ6cqVL3yolcU03Y8KHmvdc/edit"",""11!e51"")"),143)</f>
        <v>143</v>
      </c>
      <c r="I279" s="18">
        <f t="shared" ca="1" si="762"/>
        <v>3818</v>
      </c>
      <c r="J279" s="16">
        <f ca="1">IFERROR(__xludf.DUMMYFUNCTION("IMPORTRANGE(""https://docs.google.com/spreadsheets/d/1vmCj5YcMSPHj1m64syDndQ6cqVL3yolcU03Y8KHmvdc/edit"",""11!e54"")"),4297)</f>
        <v>4297</v>
      </c>
      <c r="K279" s="16">
        <f ca="1">IFERROR(__xludf.DUMMYFUNCTION("IMPORTRANGE(""https://docs.google.com/spreadsheets/d/1vmCj5YcMSPHj1m64syDndQ6cqVL3yolcU03Y8KHmvdc/edit"",""11!e55"")"),120)</f>
        <v>120</v>
      </c>
      <c r="L279" s="18">
        <f t="shared" ca="1" si="763"/>
        <v>4417</v>
      </c>
      <c r="M279" s="18">
        <f t="shared" ca="1" si="764"/>
        <v>8235</v>
      </c>
      <c r="N279" s="19">
        <f t="shared" ca="1" si="765"/>
        <v>185.63678787878757</v>
      </c>
      <c r="O279" s="16">
        <v>13817</v>
      </c>
      <c r="P279" s="20">
        <f t="shared" ca="1" si="766"/>
        <v>0.59600492147354711</v>
      </c>
      <c r="Q279" s="21">
        <v>1.5</v>
      </c>
      <c r="R279" s="20">
        <f t="shared" ca="1" si="767"/>
        <v>0.89617816740216538</v>
      </c>
      <c r="S279" s="22">
        <f t="shared" ca="1" si="768"/>
        <v>1.3442672511032481</v>
      </c>
      <c r="T279" s="21">
        <f ca="1">F279/25.089</f>
        <v>244.17131013591575</v>
      </c>
      <c r="U279" s="21">
        <f t="shared" ca="1" si="769"/>
        <v>7.3991306101792649</v>
      </c>
      <c r="V279" s="18">
        <f t="shared" ca="1" si="770"/>
        <v>249.54545454545453</v>
      </c>
      <c r="W279" s="76"/>
      <c r="X279" s="24" t="s">
        <v>33</v>
      </c>
      <c r="Y279" s="24">
        <v>6</v>
      </c>
      <c r="Z279" s="24">
        <f t="shared" ref="Z279:AI279" si="780">SUM(Z273:Z278)</f>
        <v>152</v>
      </c>
      <c r="AA279" s="25">
        <f t="shared" ca="1" si="780"/>
        <v>146</v>
      </c>
      <c r="AB279" s="26">
        <f t="shared" ca="1" si="780"/>
        <v>27648.09099999996</v>
      </c>
      <c r="AC279" s="25">
        <f t="shared" ca="1" si="780"/>
        <v>8832</v>
      </c>
      <c r="AD279" s="25">
        <f t="shared" ca="1" si="780"/>
        <v>381</v>
      </c>
      <c r="AE279" s="25">
        <f t="shared" ca="1" si="780"/>
        <v>9213</v>
      </c>
      <c r="AF279" s="25">
        <f t="shared" ca="1" si="780"/>
        <v>11783</v>
      </c>
      <c r="AG279" s="25">
        <f t="shared" ca="1" si="780"/>
        <v>388</v>
      </c>
      <c r="AH279" s="25">
        <f t="shared" ca="1" si="780"/>
        <v>12171</v>
      </c>
      <c r="AI279" s="25">
        <f t="shared" ca="1" si="780"/>
        <v>21384</v>
      </c>
      <c r="AJ279" s="27">
        <f t="shared" ca="1" si="774"/>
        <v>189.3704863013696</v>
      </c>
      <c r="AK279" s="24">
        <f>SUM(AK273:AK278)</f>
        <v>35074</v>
      </c>
      <c r="AL279" s="28">
        <f t="shared" ca="1" si="752"/>
        <v>0.60968238581285283</v>
      </c>
      <c r="AM279" s="29">
        <v>1.5</v>
      </c>
      <c r="AN279" s="28">
        <f t="shared" ca="1" si="754"/>
        <v>0.51562330288915859</v>
      </c>
      <c r="AO279" s="30">
        <f t="shared" ca="1" si="755"/>
        <v>0.77343495433373788</v>
      </c>
      <c r="AP279" s="29">
        <f ca="1">SUM(AP273:AP278)</f>
        <v>1037.368018217297</v>
      </c>
      <c r="AQ279" s="29">
        <f ca="1">AP279/AA279</f>
        <v>7.1052603987486096</v>
      </c>
      <c r="AR279" s="25">
        <f t="shared" ca="1" si="757"/>
        <v>146.46575342465752</v>
      </c>
      <c r="AS279" s="76"/>
      <c r="AT279" s="76"/>
    </row>
    <row r="280" spans="1:46" ht="15.75" customHeight="1" x14ac:dyDescent="0.25">
      <c r="A280" s="70"/>
      <c r="B280" s="16">
        <v>5</v>
      </c>
      <c r="C280" s="16" t="s">
        <v>34</v>
      </c>
      <c r="D280" s="17">
        <v>32</v>
      </c>
      <c r="E280" s="18">
        <f ca="1">IFERROR(__xludf.DUMMYFUNCTION("COUNT(IMPORTRANGE(""https://docs.google.com/spreadsheets/d/14_Y-fpuq1wcec3DlT_1PBYekOC0YblQMrWVfO12YO3k/edit"",""11!d2:d41""))"),32)</f>
        <v>32</v>
      </c>
      <c r="F280" s="23">
        <f ca="1">IFERROR(__xludf.DUMMYFUNCTION("SUM(IMPORTRANGE(""https://docs.google.com/spreadsheets/d/14_Y-fpuq1wcec3DlT_1PBYekOC0YblQMrWVfO12YO3k/edit"",""11!Q2:Q41""))"),5981.217)</f>
        <v>5981.2169999999996</v>
      </c>
      <c r="G280" s="18">
        <f ca="1">IFERROR(__xludf.DUMMYFUNCTION("IMPORTRANGE(""https://docs.google.com/spreadsheets/d/14_Y-fpuq1wcec3DlT_1PBYekOC0YblQMrWVfO12YO3k/edit"",""11!e48"")"),2110)</f>
        <v>2110</v>
      </c>
      <c r="H280" s="18">
        <f ca="1">IFERROR(__xludf.DUMMYFUNCTION("IMPORTRANGE(""https://docs.google.com/spreadsheets/d/14_Y-fpuq1wcec3DlT_1PBYekOC0YblQMrWVfO12YO3k/edit"",""11!e49"")"),0)</f>
        <v>0</v>
      </c>
      <c r="I280" s="18">
        <f t="shared" ca="1" si="762"/>
        <v>2110</v>
      </c>
      <c r="J280" s="18">
        <f ca="1">IFERROR(__xludf.DUMMYFUNCTION("IMPORTRANGE(""https://docs.google.com/spreadsheets/d/14_Y-fpuq1wcec3DlT_1PBYekOC0YblQMrWVfO12YO3k/edit"",""11!e52"")"),2341)</f>
        <v>2341</v>
      </c>
      <c r="K280" s="18">
        <f ca="1">IFERROR(__xludf.DUMMYFUNCTION("IMPORTRANGE(""https://docs.google.com/spreadsheets/d/14_Y-fpuq1wcec3DlT_1PBYekOC0YblQMrWVfO12YO3k/edit"",""11!e53"")"),0)</f>
        <v>0</v>
      </c>
      <c r="L280" s="18">
        <f t="shared" ca="1" si="763"/>
        <v>2341</v>
      </c>
      <c r="M280" s="18">
        <f t="shared" ca="1" si="764"/>
        <v>4451</v>
      </c>
      <c r="N280" s="19">
        <f t="shared" ca="1" si="765"/>
        <v>186.91303124999999</v>
      </c>
      <c r="O280" s="16">
        <v>9354</v>
      </c>
      <c r="P280" s="20">
        <f t="shared" ca="1" si="766"/>
        <v>0.475839213170836</v>
      </c>
      <c r="Q280" s="21">
        <v>1.5</v>
      </c>
      <c r="R280" s="20">
        <f t="shared" ca="1" si="767"/>
        <v>0.49610862360174085</v>
      </c>
      <c r="S280" s="22">
        <f t="shared" ca="1" si="768"/>
        <v>0.74416293540261125</v>
      </c>
      <c r="T280" s="21">
        <f ca="1">F280/30.713</f>
        <v>194.74544980952689</v>
      </c>
      <c r="U280" s="21">
        <f t="shared" ca="1" si="769"/>
        <v>6.0857953065477153</v>
      </c>
      <c r="V280" s="18">
        <f t="shared" ca="1" si="770"/>
        <v>139.09375</v>
      </c>
      <c r="W280" s="76"/>
      <c r="X280" s="100" t="s">
        <v>35</v>
      </c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9"/>
      <c r="AS280" s="76"/>
      <c r="AT280" s="76"/>
    </row>
    <row r="281" spans="1:46" ht="15.75" customHeight="1" x14ac:dyDescent="0.25">
      <c r="A281" s="70"/>
      <c r="B281" s="16">
        <v>6</v>
      </c>
      <c r="C281" s="16" t="s">
        <v>23</v>
      </c>
      <c r="D281" s="17">
        <v>28</v>
      </c>
      <c r="E281" s="18">
        <f ca="1">IFERROR(__xludf.DUMMYFUNCTION("COUNT(IMPORTRANGE(""https://docs.google.com/spreadsheets/d/1lJqjdj05V4LOXuBOiTdE65GV4ZITyx1cMLcDdcuoUnE/edit"",""11!d2:d36""))"),27)</f>
        <v>27</v>
      </c>
      <c r="F281" s="23">
        <f ca="1">IFERROR(__xludf.DUMMYFUNCTION("SUM(IMPORTRANGE(""https://docs.google.com/spreadsheets/d/1lJqjdj05V4LOXuBOiTdE65GV4ZITyx1cMLcDdcuoUnE/edit"",""11!Q2:Q36""))"),5297.17999999999)</f>
        <v>5297.1799999999903</v>
      </c>
      <c r="G281" s="18">
        <f ca="1">IFERROR(__xludf.DUMMYFUNCTION("IMPORTRANGE(""https://docs.google.com/spreadsheets/d/1lJqjdj05V4LOXuBOiTdE65GV4ZITyx1cMLcDdcuoUnE/edit"",""11!e43"")"),1344)</f>
        <v>1344</v>
      </c>
      <c r="H281" s="18">
        <f ca="1">IFERROR(__xludf.DUMMYFUNCTION("IMPORTRANGE(""https://docs.google.com/spreadsheets/d/1lJqjdj05V4LOXuBOiTdE65GV4ZITyx1cMLcDdcuoUnE/edit"",""11!e44"")"),0)</f>
        <v>0</v>
      </c>
      <c r="I281" s="18">
        <f t="shared" ca="1" si="762"/>
        <v>1344</v>
      </c>
      <c r="J281" s="18">
        <f ca="1">IFERROR(__xludf.DUMMYFUNCTION("IMPORTRANGE(""https://docs.google.com/spreadsheets/d/1lJqjdj05V4LOXuBOiTdE65GV4ZITyx1cMLcDdcuoUnE/edit"",""11!e47"")"),2497)</f>
        <v>2497</v>
      </c>
      <c r="K281" s="18">
        <f ca="1">IFERROR(__xludf.DUMMYFUNCTION("IMPORTRANGE(""https://docs.google.com/spreadsheets/d/1lJqjdj05V4LOXuBOiTdE65GV4ZITyx1cMLcDdcuoUnE/edit"",""11!e48"")"),0)</f>
        <v>0</v>
      </c>
      <c r="L281" s="18">
        <f t="shared" ca="1" si="763"/>
        <v>2497</v>
      </c>
      <c r="M281" s="18">
        <f t="shared" ca="1" si="764"/>
        <v>3841</v>
      </c>
      <c r="N281" s="19">
        <f t="shared" ca="1" si="765"/>
        <v>196.19185185185148</v>
      </c>
      <c r="O281" s="16">
        <v>6853</v>
      </c>
      <c r="P281" s="20">
        <f t="shared" ca="1" si="766"/>
        <v>0.56048445936086388</v>
      </c>
      <c r="Q281" s="21">
        <v>1.5</v>
      </c>
      <c r="R281" s="20">
        <f t="shared" ca="1" si="767"/>
        <v>0.48340186036092248</v>
      </c>
      <c r="S281" s="22">
        <f t="shared" ca="1" si="768"/>
        <v>0.72510279054138371</v>
      </c>
      <c r="T281" s="21">
        <f ca="1">F281/33.74</f>
        <v>156.99999999999972</v>
      </c>
      <c r="U281" s="21">
        <f t="shared" ca="1" si="769"/>
        <v>5.8148148148148042</v>
      </c>
      <c r="V281" s="18">
        <f t="shared" ca="1" si="770"/>
        <v>142.25925925925927</v>
      </c>
      <c r="W281" s="76"/>
      <c r="X281" s="1" t="s">
        <v>2</v>
      </c>
      <c r="Y281" s="1" t="s">
        <v>3</v>
      </c>
      <c r="Z281" s="1" t="s">
        <v>4</v>
      </c>
      <c r="AA281" s="1" t="s">
        <v>5</v>
      </c>
      <c r="AB281" s="2" t="s">
        <v>6</v>
      </c>
      <c r="AC281" s="1" t="s">
        <v>7</v>
      </c>
      <c r="AD281" s="1" t="s">
        <v>8</v>
      </c>
      <c r="AE281" s="1" t="s">
        <v>9</v>
      </c>
      <c r="AF281" s="1" t="s">
        <v>10</v>
      </c>
      <c r="AG281" s="1" t="s">
        <v>11</v>
      </c>
      <c r="AH281" s="1" t="s">
        <v>12</v>
      </c>
      <c r="AI281" s="1" t="s">
        <v>13</v>
      </c>
      <c r="AJ281" s="2" t="s">
        <v>14</v>
      </c>
      <c r="AK281" s="1" t="s">
        <v>15</v>
      </c>
      <c r="AL281" s="1" t="s">
        <v>16</v>
      </c>
      <c r="AM281" s="3" t="s">
        <v>17</v>
      </c>
      <c r="AN281" s="4" t="s">
        <v>18</v>
      </c>
      <c r="AO281" s="5" t="s">
        <v>19</v>
      </c>
      <c r="AP281" s="6" t="s">
        <v>20</v>
      </c>
      <c r="AQ281" s="6" t="s">
        <v>21</v>
      </c>
      <c r="AR281" s="7" t="s">
        <v>22</v>
      </c>
      <c r="AS281" s="76"/>
      <c r="AT281" s="76"/>
    </row>
    <row r="282" spans="1:46" ht="15.75" customHeight="1" x14ac:dyDescent="0.25">
      <c r="A282" s="70"/>
      <c r="B282" s="16">
        <v>7</v>
      </c>
      <c r="C282" s="16" t="s">
        <v>24</v>
      </c>
      <c r="D282" s="17">
        <v>37</v>
      </c>
      <c r="E282" s="31">
        <f ca="1">IFERROR(__xludf.DUMMYFUNCTION("COUNT(IMPORTRANGE(""https://docs.google.com/spreadsheets/d/1_7EEO26q9Yq-XhNFiy7I6Zh4Yg6uGjTs9y0UqNvPKcQ/edit"",""11!d2:d45""))"),37)</f>
        <v>37</v>
      </c>
      <c r="F282" s="32">
        <f ca="1">IFERROR(__xludf.DUMMYFUNCTION("SUM(IMPORTRANGE(""https://docs.google.com/spreadsheets/d/1_7EEO26q9Yq-XhNFiy7I6Zh4Yg6uGjTs9y0UqNvPKcQ/edit"",""11!Q2:Q45""))"),6647.23699999999)</f>
        <v>6647.2369999999901</v>
      </c>
      <c r="G282" s="31">
        <f ca="1">IFERROR(__xludf.DUMMYFUNCTION("IMPORTRANGE(""https://docs.google.com/spreadsheets/d/1_7EEO26q9Yq-XhNFiy7I6Zh4Yg6uGjTs9y0UqNvPKcQ/edit"",""11!e53"")"),817)</f>
        <v>817</v>
      </c>
      <c r="H282" s="31">
        <f ca="1">IFERROR(__xludf.DUMMYFUNCTION("IMPORTRANGE(""https://docs.google.com/spreadsheets/d/1_7EEO26q9Yq-XhNFiy7I6Zh4Yg6uGjTs9y0UqNvPKcQ/edit"",""11!e54"")"),0)</f>
        <v>0</v>
      </c>
      <c r="I282" s="31">
        <f t="shared" ca="1" si="762"/>
        <v>817</v>
      </c>
      <c r="J282" s="31">
        <f ca="1">IFERROR(__xludf.DUMMYFUNCTION("IMPORTRANGE(""https://docs.google.com/spreadsheets/d/1_7EEO26q9Yq-XhNFiy7I6Zh4Yg6uGjTs9y0UqNvPKcQ/edit"",""11!e57"")"),928)</f>
        <v>928</v>
      </c>
      <c r="K282" s="31">
        <f ca="1">IFERROR(__xludf.DUMMYFUNCTION("IMPORTRANGE(""https://docs.google.com/spreadsheets/d/1_7EEO26q9Yq-XhNFiy7I6Zh4Yg6uGjTs9y0UqNvPKcQ/edit"",""11!e58"")"),0)</f>
        <v>0</v>
      </c>
      <c r="L282" s="18">
        <f t="shared" ca="1" si="763"/>
        <v>928</v>
      </c>
      <c r="M282" s="18">
        <f t="shared" ca="1" si="764"/>
        <v>1745</v>
      </c>
      <c r="N282" s="19">
        <f t="shared" ca="1" si="765"/>
        <v>179.65505405405378</v>
      </c>
      <c r="O282" s="16">
        <v>1580</v>
      </c>
      <c r="P282" s="33">
        <f t="shared" ca="1" si="766"/>
        <v>1.1044303797468353</v>
      </c>
      <c r="Q282" s="21">
        <v>1.5</v>
      </c>
      <c r="R282" s="20">
        <f t="shared" ca="1" si="767"/>
        <v>0.17501005806372408</v>
      </c>
      <c r="S282" s="22">
        <f t="shared" ca="1" si="768"/>
        <v>0.26251508709558613</v>
      </c>
      <c r="T282" s="21">
        <f ca="1">F282/26.805</f>
        <v>247.98496549151241</v>
      </c>
      <c r="U282" s="21">
        <f t="shared" ca="1" si="769"/>
        <v>6.7022963646354707</v>
      </c>
      <c r="V282" s="18">
        <f t="shared" ca="1" si="770"/>
        <v>47.162162162162161</v>
      </c>
      <c r="W282" s="76"/>
      <c r="X282" s="8">
        <v>1</v>
      </c>
      <c r="Y282" s="8" t="s">
        <v>28</v>
      </c>
      <c r="Z282" s="8">
        <f t="shared" ref="Z282:AI282" si="781">SUM(D277)</f>
        <v>26</v>
      </c>
      <c r="AA282" s="9">
        <f t="shared" ca="1" si="781"/>
        <v>26</v>
      </c>
      <c r="AB282" s="11">
        <f t="shared" ca="1" si="781"/>
        <v>4938.8139999999903</v>
      </c>
      <c r="AC282" s="9">
        <f t="shared" ca="1" si="781"/>
        <v>1817</v>
      </c>
      <c r="AD282" s="9">
        <f t="shared" ca="1" si="781"/>
        <v>39</v>
      </c>
      <c r="AE282" s="9">
        <f t="shared" ca="1" si="781"/>
        <v>1856</v>
      </c>
      <c r="AF282" s="9">
        <f t="shared" ca="1" si="781"/>
        <v>2150</v>
      </c>
      <c r="AG282" s="9">
        <f t="shared" ca="1" si="781"/>
        <v>51</v>
      </c>
      <c r="AH282" s="9">
        <f t="shared" ca="1" si="781"/>
        <v>2201</v>
      </c>
      <c r="AI282" s="9">
        <f t="shared" ca="1" si="781"/>
        <v>4057</v>
      </c>
      <c r="AJ282" s="11">
        <f t="shared" ref="AJ282:AJ288" ca="1" si="782">AB282/AA282</f>
        <v>189.95438461538424</v>
      </c>
      <c r="AK282" s="8">
        <f t="shared" ref="AK282:AK283" si="783">SUM(O277)</f>
        <v>7315</v>
      </c>
      <c r="AL282" s="12">
        <f t="shared" ref="AL282:AL288" ca="1" si="784">AI282/AK282</f>
        <v>0.55461380724538623</v>
      </c>
      <c r="AM282" s="13">
        <f t="shared" ref="AM282:AM283" si="785">SUM(Q277)</f>
        <v>1.5</v>
      </c>
      <c r="AN282" s="12">
        <f t="shared" ref="AN282:AN288" ca="1" si="786">AO282/AM282</f>
        <v>0.54763485052619354</v>
      </c>
      <c r="AO282" s="14">
        <f t="shared" ref="AO282:AO288" ca="1" si="787">AI282/AB282</f>
        <v>0.82145227578929025</v>
      </c>
      <c r="AP282" s="13">
        <f t="shared" ref="AP282:AQ282" ca="1" si="788">SUM(T277)</f>
        <v>159.84768747774834</v>
      </c>
      <c r="AQ282" s="13">
        <f t="shared" ca="1" si="788"/>
        <v>6.1479879799133972</v>
      </c>
      <c r="AR282" s="9">
        <f t="shared" ref="AR282:AR288" ca="1" si="789">AI282/AA282</f>
        <v>156.03846153846155</v>
      </c>
      <c r="AS282" s="76"/>
      <c r="AT282" s="76"/>
    </row>
    <row r="283" spans="1:46" ht="15.75" customHeight="1" x14ac:dyDescent="0.25">
      <c r="A283" s="70"/>
      <c r="B283" s="16">
        <v>8</v>
      </c>
      <c r="C283" s="16" t="s">
        <v>25</v>
      </c>
      <c r="D283" s="34">
        <v>27</v>
      </c>
      <c r="E283" s="18">
        <f ca="1">IFERROR(__xludf.DUMMYFUNCTION("COUNT(IMPORTRANGE(""https://docs.google.com/spreadsheets/d/1vLOLpiE-XsbnCnwWPcoi87PlUSXfqIAAQn3kvqHfO6s/edit"",""11!d2:D33""))"),26)</f>
        <v>26</v>
      </c>
      <c r="F283" s="23">
        <f ca="1">IFERROR(__xludf.DUMMYFUNCTION("SUM(IMPORTRANGE(""https://docs.google.com/spreadsheets/d/1vLOLpiE-XsbnCnwWPcoi87PlUSXfqIAAQn3kvqHfO6s/edit"",""11!Q2:Q33""))"),4860.73599999999)</f>
        <v>4860.7359999999899</v>
      </c>
      <c r="G283" s="18">
        <f ca="1">IFERROR(__xludf.DUMMYFUNCTION("IMPORTRANGE(""https://docs.google.com/spreadsheets/d/1vLOLpiE-XsbnCnwWPcoi87PlUSXfqIAAQn3kvqHfO6s/edit"",""11!e40"")"),2198)</f>
        <v>2198</v>
      </c>
      <c r="H283" s="18">
        <f ca="1">IFERROR(__xludf.DUMMYFUNCTION("IMPORTRANGE(""https://docs.google.com/spreadsheets/d/1vLOLpiE-XsbnCnwWPcoi87PlUSXfqIAAQn3kvqHfO6s/edit"",""11!e41"")"),372)</f>
        <v>372</v>
      </c>
      <c r="I283" s="18">
        <f t="shared" ca="1" si="762"/>
        <v>2570</v>
      </c>
      <c r="J283" s="18">
        <f ca="1">IFERROR(__xludf.DUMMYFUNCTION("IMPORTRANGE(""https://docs.google.com/spreadsheets/d/1vLOLpiE-XsbnCnwWPcoi87PlUSXfqIAAQn3kvqHfO6s/edit"",""11!e44"")"),2116)</f>
        <v>2116</v>
      </c>
      <c r="K283" s="18">
        <f ca="1">IFERROR(__xludf.DUMMYFUNCTION("IMPORTRANGE(""https://docs.google.com/spreadsheets/d/1vLOLpiE-XsbnCnwWPcoi87PlUSXfqIAAQn3kvqHfO6s/edit"",""11!e45"")"),388)</f>
        <v>388</v>
      </c>
      <c r="L283" s="18">
        <f ca="1">J283+K283</f>
        <v>2504</v>
      </c>
      <c r="M283" s="18">
        <f t="shared" ca="1" si="764"/>
        <v>5074</v>
      </c>
      <c r="N283" s="19">
        <f t="shared" ca="1" si="765"/>
        <v>186.95138461538423</v>
      </c>
      <c r="O283" s="16">
        <v>6622</v>
      </c>
      <c r="P283" s="20">
        <f t="shared" ca="1" si="766"/>
        <v>0.76623376623376627</v>
      </c>
      <c r="Q283" s="21">
        <v>1.5</v>
      </c>
      <c r="R283" s="20">
        <f t="shared" ca="1" si="767"/>
        <v>0.69591655804114305</v>
      </c>
      <c r="S283" s="22">
        <f t="shared" ca="1" si="768"/>
        <v>1.0438748370617146</v>
      </c>
      <c r="T283" s="21">
        <f ca="1">F283/23.84</f>
        <v>203.88993288590561</v>
      </c>
      <c r="U283" s="21">
        <f t="shared" ca="1" si="769"/>
        <v>7.8419204956117543</v>
      </c>
      <c r="V283" s="18">
        <f t="shared" ca="1" si="770"/>
        <v>195.15384615384616</v>
      </c>
      <c r="W283" s="76"/>
      <c r="X283" s="8">
        <v>2</v>
      </c>
      <c r="Y283" s="8" t="s">
        <v>30</v>
      </c>
      <c r="Z283" s="8">
        <f t="shared" ref="Z283:AI283" si="790">SUM(D278)</f>
        <v>48</v>
      </c>
      <c r="AA283" s="9">
        <f t="shared" ca="1" si="790"/>
        <v>44</v>
      </c>
      <c r="AB283" s="10">
        <f t="shared" ca="1" si="790"/>
        <v>8377.6489999999903</v>
      </c>
      <c r="AC283" s="9">
        <f t="shared" ca="1" si="790"/>
        <v>2443</v>
      </c>
      <c r="AD283" s="9">
        <f t="shared" ca="1" si="790"/>
        <v>0</v>
      </c>
      <c r="AE283" s="9">
        <f t="shared" ca="1" si="790"/>
        <v>2443</v>
      </c>
      <c r="AF283" s="9">
        <f t="shared" ca="1" si="790"/>
        <v>4258</v>
      </c>
      <c r="AG283" s="9">
        <f t="shared" ca="1" si="790"/>
        <v>0</v>
      </c>
      <c r="AH283" s="9">
        <f t="shared" ca="1" si="790"/>
        <v>4258</v>
      </c>
      <c r="AI283" s="9">
        <f t="shared" ca="1" si="790"/>
        <v>6701</v>
      </c>
      <c r="AJ283" s="11">
        <f t="shared" ca="1" si="782"/>
        <v>190.40111363636342</v>
      </c>
      <c r="AK283" s="8">
        <f t="shared" si="783"/>
        <v>11164</v>
      </c>
      <c r="AL283" s="12">
        <f t="shared" ca="1" si="784"/>
        <v>0.60023289143676106</v>
      </c>
      <c r="AM283" s="13">
        <f t="shared" si="785"/>
        <v>1.5</v>
      </c>
      <c r="AN283" s="12">
        <f t="shared" ca="1" si="786"/>
        <v>0.53324427095636717</v>
      </c>
      <c r="AO283" s="14">
        <f t="shared" ca="1" si="787"/>
        <v>0.79986640643455076</v>
      </c>
      <c r="AP283" s="13">
        <f t="shared" ref="AP283:AQ283" ca="1" si="791">SUM(T278)</f>
        <v>282.99999999999966</v>
      </c>
      <c r="AQ283" s="13">
        <f t="shared" ca="1" si="791"/>
        <v>6.4318181818181737</v>
      </c>
      <c r="AR283" s="9">
        <f t="shared" ca="1" si="789"/>
        <v>152.29545454545453</v>
      </c>
      <c r="AS283" s="76"/>
      <c r="AT283" s="76"/>
    </row>
    <row r="284" spans="1:46" ht="15.75" customHeight="1" x14ac:dyDescent="0.25">
      <c r="A284" s="70"/>
      <c r="B284" s="16">
        <v>9</v>
      </c>
      <c r="C284" s="16" t="s">
        <v>36</v>
      </c>
      <c r="D284" s="34">
        <v>24</v>
      </c>
      <c r="E284" s="18">
        <f ca="1">IFERROR(__xludf.DUMMYFUNCTION("COUNT(IMPORTRANGE(""https://docs.google.com/spreadsheets/d/1WJJVq25XDtGjt-J2JPxeKs3jIvDZtkIREC0lFPXwf74/edit"",""11!d2:d31""))"),24)</f>
        <v>24</v>
      </c>
      <c r="F284" s="23">
        <f ca="1">IFERROR(__xludf.DUMMYFUNCTION("SUM(IMPORTRANGE(""https://docs.google.com/spreadsheets/d/1WJJVq25XDtGjt-J2JPxeKs3jIvDZtkIREC0lFPXwf74/edit"",""11!Q2:Q31""))"),4608.306)</f>
        <v>4608.3059999999996</v>
      </c>
      <c r="G284" s="18">
        <f ca="1">IFERROR(__xludf.DUMMYFUNCTION("IMPORTRANGE(""https://docs.google.com/spreadsheets/d/1WJJVq25XDtGjt-J2JPxeKs3jIvDZtkIREC0lFPXwf74/edit"",""11!e38"")"),1105)</f>
        <v>1105</v>
      </c>
      <c r="H284" s="18">
        <f ca="1">IFERROR(__xludf.DUMMYFUNCTION("IMPORTRANGE(""https://docs.google.com/spreadsheets/d/1WJJVq25XDtGjt-J2JPxeKs3jIvDZtkIREC0lFPXwf74/edit"",""11!e39"")"),0)</f>
        <v>0</v>
      </c>
      <c r="I284" s="18">
        <f t="shared" ca="1" si="762"/>
        <v>1105</v>
      </c>
      <c r="J284" s="18">
        <f ca="1">IFERROR(__xludf.DUMMYFUNCTION("IMPORTRANGE(""https://docs.google.com/spreadsheets/d/1WJJVq25XDtGjt-J2JPxeKs3jIvDZtkIREC0lFPXwf74/edit"",""11!e42"")"),1650)</f>
        <v>1650</v>
      </c>
      <c r="K284" s="18">
        <f ca="1">IFERROR(__xludf.DUMMYFUNCTION("IMPORTRANGE(""https://docs.google.com/spreadsheets/d/1WJJVq25XDtGjt-J2JPxeKs3jIvDZtkIREC0lFPXwf74/edit"",""11!e43"")"),0)</f>
        <v>0</v>
      </c>
      <c r="L284" s="18">
        <f t="shared" ref="L284:L293" ca="1" si="792">SUM(J284:K284)</f>
        <v>1650</v>
      </c>
      <c r="M284" s="18">
        <f t="shared" ca="1" si="764"/>
        <v>2755</v>
      </c>
      <c r="N284" s="19">
        <f t="shared" ca="1" si="765"/>
        <v>192.01274999999998</v>
      </c>
      <c r="O284" s="16">
        <v>4796</v>
      </c>
      <c r="P284" s="20">
        <f t="shared" ca="1" si="766"/>
        <v>0.57443703085904918</v>
      </c>
      <c r="Q284" s="21">
        <v>1.5</v>
      </c>
      <c r="R284" s="20">
        <f t="shared" ca="1" si="767"/>
        <v>0.39855570933585288</v>
      </c>
      <c r="S284" s="22">
        <f t="shared" ca="1" si="768"/>
        <v>0.59783356400377929</v>
      </c>
      <c r="T284" s="21">
        <f ca="1">F284/37.414</f>
        <v>123.1706313144812</v>
      </c>
      <c r="U284" s="21">
        <f t="shared" ca="1" si="769"/>
        <v>5.1321096381033833</v>
      </c>
      <c r="V284" s="18">
        <f t="shared" ca="1" si="770"/>
        <v>114.79166666666667</v>
      </c>
      <c r="W284" s="76"/>
      <c r="X284" s="8">
        <v>3</v>
      </c>
      <c r="Y284" s="8" t="s">
        <v>34</v>
      </c>
      <c r="Z284" s="8">
        <f t="shared" ref="Z284:AI284" si="793">SUM(D280)</f>
        <v>32</v>
      </c>
      <c r="AA284" s="9">
        <f t="shared" ca="1" si="793"/>
        <v>32</v>
      </c>
      <c r="AB284" s="10">
        <f t="shared" ca="1" si="793"/>
        <v>5981.2169999999996</v>
      </c>
      <c r="AC284" s="9">
        <f t="shared" ca="1" si="793"/>
        <v>2110</v>
      </c>
      <c r="AD284" s="9">
        <f t="shared" ca="1" si="793"/>
        <v>0</v>
      </c>
      <c r="AE284" s="9">
        <f t="shared" ca="1" si="793"/>
        <v>2110</v>
      </c>
      <c r="AF284" s="9">
        <f t="shared" ca="1" si="793"/>
        <v>2341</v>
      </c>
      <c r="AG284" s="9">
        <f t="shared" ca="1" si="793"/>
        <v>0</v>
      </c>
      <c r="AH284" s="9">
        <f t="shared" ca="1" si="793"/>
        <v>2341</v>
      </c>
      <c r="AI284" s="9">
        <f t="shared" ca="1" si="793"/>
        <v>4451</v>
      </c>
      <c r="AJ284" s="11">
        <f t="shared" ca="1" si="782"/>
        <v>186.91303124999999</v>
      </c>
      <c r="AK284" s="8">
        <f>SUM(O280)</f>
        <v>9354</v>
      </c>
      <c r="AL284" s="12">
        <f t="shared" ca="1" si="784"/>
        <v>0.475839213170836</v>
      </c>
      <c r="AM284" s="13">
        <f>SUM(Q280)</f>
        <v>1.5</v>
      </c>
      <c r="AN284" s="12">
        <f t="shared" ca="1" si="786"/>
        <v>0.49610862360174085</v>
      </c>
      <c r="AO284" s="14">
        <f t="shared" ca="1" si="787"/>
        <v>0.74416293540261125</v>
      </c>
      <c r="AP284" s="13">
        <f t="shared" ref="AP284:AQ284" ca="1" si="794">SUM(T280)</f>
        <v>194.74544980952689</v>
      </c>
      <c r="AQ284" s="13">
        <f t="shared" ca="1" si="794"/>
        <v>6.0857953065477153</v>
      </c>
      <c r="AR284" s="9">
        <f t="shared" ca="1" si="789"/>
        <v>139.09375</v>
      </c>
      <c r="AS284" s="76"/>
      <c r="AT284" s="76"/>
    </row>
    <row r="285" spans="1:46" ht="15.75" customHeight="1" x14ac:dyDescent="0.25">
      <c r="A285" s="70"/>
      <c r="B285" s="16">
        <v>10</v>
      </c>
      <c r="C285" s="16" t="s">
        <v>37</v>
      </c>
      <c r="D285" s="17">
        <v>24</v>
      </c>
      <c r="E285" s="18">
        <f ca="1">IFERROR(__xludf.DUMMYFUNCTION("COUNT(IMPORTRANGE(""https://docs.google.com/spreadsheets/d/1rJyYfywRpWJW0zvDJHLOJtqUQqffoCGaqTVxxTDgV0k/edit"",""11!d2:d31""))"),24)</f>
        <v>24</v>
      </c>
      <c r="F285" s="23">
        <f ca="1">IFERROR(__xludf.DUMMYFUNCTION("SUM(IMPORTRANGE(""https://docs.google.com/spreadsheets/d/1rJyYfywRpWJW0zvDJHLOJtqUQqffoCGaqTVxxTDgV0k/edit"",""11!Q2:Q31""))"),4707.85799999999)</f>
        <v>4707.8579999999902</v>
      </c>
      <c r="G285" s="18">
        <f ca="1">IFERROR(__xludf.DUMMYFUNCTION("(IMPORTRANGE(""https://docs.google.com/spreadsheets/d/1rJyYfywRpWJW0zvDJHLOJtqUQqffoCGaqTVxxTDgV0k/edit"",""11!e38""))"),1401)</f>
        <v>1401</v>
      </c>
      <c r="H285" s="18">
        <f ca="1">IFERROR(__xludf.DUMMYFUNCTION("(IMPORTRANGE(""https://docs.google.com/spreadsheets/d/1rJyYfywRpWJW0zvDJHLOJtqUQqffoCGaqTVxxTDgV0k/edit"",""11!e39""))"),0)</f>
        <v>0</v>
      </c>
      <c r="I285" s="18">
        <f t="shared" ca="1" si="762"/>
        <v>1401</v>
      </c>
      <c r="J285" s="18">
        <f ca="1">IFERROR(__xludf.DUMMYFUNCTION("(IMPORTRANGE(""https://docs.google.com/spreadsheets/d/1rJyYfywRpWJW0zvDJHLOJtqUQqffoCGaqTVxxTDgV0k/edit"",""11!e42""))"),2317)</f>
        <v>2317</v>
      </c>
      <c r="K285" s="18">
        <f ca="1">IFERROR(__xludf.DUMMYFUNCTION("(IMPORTRANGE(""https://docs.google.com/spreadsheets/d/1rJyYfywRpWJW0zvDJHLOJtqUQqffoCGaqTVxxTDgV0k/edit"",""11!e43""))"),0)</f>
        <v>0</v>
      </c>
      <c r="L285" s="18">
        <f t="shared" ca="1" si="792"/>
        <v>2317</v>
      </c>
      <c r="M285" s="18">
        <f t="shared" ca="1" si="764"/>
        <v>3718</v>
      </c>
      <c r="N285" s="19">
        <f t="shared" ca="1" si="765"/>
        <v>196.16074999999958</v>
      </c>
      <c r="O285" s="16">
        <v>5887</v>
      </c>
      <c r="P285" s="20">
        <f t="shared" ca="1" si="766"/>
        <v>0.63156106675726176</v>
      </c>
      <c r="Q285" s="21">
        <v>1.5</v>
      </c>
      <c r="R285" s="20">
        <f t="shared" ca="1" si="767"/>
        <v>0.52649563063853499</v>
      </c>
      <c r="S285" s="22">
        <f t="shared" ca="1" si="768"/>
        <v>0.78974344595780244</v>
      </c>
      <c r="T285" s="21">
        <f ca="1">F285/24.792</f>
        <v>189.89424007744392</v>
      </c>
      <c r="U285" s="21">
        <f t="shared" ca="1" si="769"/>
        <v>7.9122600032268302</v>
      </c>
      <c r="V285" s="18">
        <f t="shared" ca="1" si="770"/>
        <v>154.91666666666666</v>
      </c>
      <c r="W285" s="76"/>
      <c r="X285" s="8">
        <v>4</v>
      </c>
      <c r="Y285" s="8" t="s">
        <v>38</v>
      </c>
      <c r="Z285" s="8">
        <f t="shared" ref="Z285:AI285" si="795">SUM(D288)</f>
        <v>24</v>
      </c>
      <c r="AA285" s="9">
        <f t="shared" ca="1" si="795"/>
        <v>23</v>
      </c>
      <c r="AB285" s="10">
        <f t="shared" ca="1" si="795"/>
        <v>4573.7550000000001</v>
      </c>
      <c r="AC285" s="9">
        <f t="shared" ca="1" si="795"/>
        <v>1515</v>
      </c>
      <c r="AD285" s="9">
        <f t="shared" ca="1" si="795"/>
        <v>0</v>
      </c>
      <c r="AE285" s="9">
        <f t="shared" ca="1" si="795"/>
        <v>1515</v>
      </c>
      <c r="AF285" s="9">
        <f t="shared" ca="1" si="795"/>
        <v>2278</v>
      </c>
      <c r="AG285" s="9">
        <f t="shared" ca="1" si="795"/>
        <v>0</v>
      </c>
      <c r="AH285" s="9">
        <f t="shared" ca="1" si="795"/>
        <v>2278</v>
      </c>
      <c r="AI285" s="9">
        <f t="shared" ca="1" si="795"/>
        <v>3793</v>
      </c>
      <c r="AJ285" s="11">
        <f t="shared" ca="1" si="782"/>
        <v>198.85891304347825</v>
      </c>
      <c r="AK285" s="8">
        <v>7324</v>
      </c>
      <c r="AL285" s="12">
        <f t="shared" ca="1" si="784"/>
        <v>0.51788640087383941</v>
      </c>
      <c r="AM285" s="13">
        <f>SUM(Q288)</f>
        <v>1.5</v>
      </c>
      <c r="AN285" s="12">
        <f t="shared" ca="1" si="786"/>
        <v>0.55286447714551101</v>
      </c>
      <c r="AO285" s="14">
        <f t="shared" ca="1" si="787"/>
        <v>0.82929671571826646</v>
      </c>
      <c r="AP285" s="13">
        <f t="shared" ref="AP285:AQ285" ca="1" si="796">SUM(T288)</f>
        <v>111.00000000000001</v>
      </c>
      <c r="AQ285" s="13">
        <f t="shared" ca="1" si="796"/>
        <v>4.8260869565217401</v>
      </c>
      <c r="AR285" s="9">
        <f t="shared" ca="1" si="789"/>
        <v>164.91304347826087</v>
      </c>
      <c r="AS285" s="76"/>
      <c r="AT285" s="76"/>
    </row>
    <row r="286" spans="1:46" ht="15.75" customHeight="1" x14ac:dyDescent="0.25">
      <c r="A286" s="70"/>
      <c r="B286" s="16">
        <v>12</v>
      </c>
      <c r="C286" s="16" t="s">
        <v>39</v>
      </c>
      <c r="D286" s="17">
        <v>22</v>
      </c>
      <c r="E286" s="18">
        <f ca="1">IFERROR(__xludf.DUMMYFUNCTION("COUNT(IMPORTRANGE(""https://docs.google.com/spreadsheets/d/1uaTn2DZCfr7O1PvovOd0wElzVz8kpl_iPfnrkNPp0Is/edit"",""11!d2:d29""))"),22)</f>
        <v>22</v>
      </c>
      <c r="F286" s="23">
        <f ca="1">IFERROR(__xludf.DUMMYFUNCTION("SUM(IMPORTRANGE(""https://docs.google.com/spreadsheets/d/1uaTn2DZCfr7O1PvovOd0wElzVz8kpl_iPfnrkNPp0Is/edit"",""11!Q2:Q29""))"),4147.816)</f>
        <v>4147.8159999999998</v>
      </c>
      <c r="G286" s="18">
        <f ca="1">IFERROR(__xludf.DUMMYFUNCTION("IMPORTRANGE(""https://docs.google.com/spreadsheets/d/1uaTn2DZCfr7O1PvovOd0wElzVz8kpl_iPfnrkNPp0Is/edit"",""11!e36"")"),867)</f>
        <v>867</v>
      </c>
      <c r="H286" s="18">
        <f ca="1">IFERROR(__xludf.DUMMYFUNCTION("(IMPORTRANGE(""https://docs.google.com/spreadsheets/d/1uaTn2DZCfr7O1PvovOd0wElzVz8kpl_iPfnrkNPp0Is/edit"",""11!e37""))"),0)</f>
        <v>0</v>
      </c>
      <c r="I286" s="18">
        <f t="shared" ca="1" si="762"/>
        <v>867</v>
      </c>
      <c r="J286" s="18">
        <f ca="1">IFERROR(__xludf.DUMMYFUNCTION("IMPORTRANGE(""https://docs.google.com/spreadsheets/d/1uaTn2DZCfr7O1PvovOd0wElzVz8kpl_iPfnrkNPp0Is/edit"",""11!e40"")"),1786)</f>
        <v>1786</v>
      </c>
      <c r="K286" s="18">
        <f ca="1">IFERROR(__xludf.DUMMYFUNCTION("IMPORTRANGE(""https://docs.google.com/spreadsheets/d/1uaTn2DZCfr7O1PvovOd0wElzVz8kpl_iPfnrkNPp0Is/edit"",""11!e41"")"),0)</f>
        <v>0</v>
      </c>
      <c r="L286" s="18">
        <f t="shared" ca="1" si="792"/>
        <v>1786</v>
      </c>
      <c r="M286" s="18">
        <f t="shared" ca="1" si="764"/>
        <v>2653</v>
      </c>
      <c r="N286" s="19">
        <f t="shared" ca="1" si="765"/>
        <v>188.53709090909089</v>
      </c>
      <c r="O286" s="16">
        <v>3569</v>
      </c>
      <c r="P286" s="20">
        <f t="shared" ca="1" si="766"/>
        <v>0.74334547492294756</v>
      </c>
      <c r="Q286" s="21">
        <v>1.5</v>
      </c>
      <c r="R286" s="20">
        <f t="shared" ca="1" si="767"/>
        <v>0.42640914318925111</v>
      </c>
      <c r="S286" s="22">
        <f t="shared" ca="1" si="768"/>
        <v>0.63961371478387663</v>
      </c>
      <c r="T286" s="21">
        <f ca="1">F286/21.463</f>
        <v>193.25425150258582</v>
      </c>
      <c r="U286" s="21">
        <f t="shared" ca="1" si="769"/>
        <v>8.7842841592084469</v>
      </c>
      <c r="V286" s="18">
        <f t="shared" ca="1" si="770"/>
        <v>120.59090909090909</v>
      </c>
      <c r="W286" s="76"/>
      <c r="X286" s="8">
        <v>5</v>
      </c>
      <c r="Y286" s="8" t="s">
        <v>40</v>
      </c>
      <c r="Z286" s="8">
        <f t="shared" ref="Z286:AI286" si="797">SUM(D290)</f>
        <v>24</v>
      </c>
      <c r="AA286" s="9">
        <f t="shared" ca="1" si="797"/>
        <v>24</v>
      </c>
      <c r="AB286" s="10">
        <f t="shared" ca="1" si="797"/>
        <v>4351.7790000000005</v>
      </c>
      <c r="AC286" s="9">
        <f t="shared" ca="1" si="797"/>
        <v>2697</v>
      </c>
      <c r="AD286" s="9">
        <f t="shared" ca="1" si="797"/>
        <v>0</v>
      </c>
      <c r="AE286" s="9">
        <f t="shared" ca="1" si="797"/>
        <v>2697</v>
      </c>
      <c r="AF286" s="9">
        <f t="shared" ca="1" si="797"/>
        <v>3115</v>
      </c>
      <c r="AG286" s="9">
        <f t="shared" ca="1" si="797"/>
        <v>0</v>
      </c>
      <c r="AH286" s="9">
        <f t="shared" ca="1" si="797"/>
        <v>3115</v>
      </c>
      <c r="AI286" s="9">
        <f t="shared" ca="1" si="797"/>
        <v>5812</v>
      </c>
      <c r="AJ286" s="11">
        <f t="shared" ca="1" si="782"/>
        <v>181.32412500000001</v>
      </c>
      <c r="AK286" s="8">
        <f t="shared" ref="AK286:AK287" si="798">SUM(O290)</f>
        <v>8239</v>
      </c>
      <c r="AL286" s="12">
        <f t="shared" ca="1" si="784"/>
        <v>0.70542541570578954</v>
      </c>
      <c r="AM286" s="13">
        <f t="shared" ref="AM286:AM287" si="799">SUM(Q290)</f>
        <v>1.5</v>
      </c>
      <c r="AN286" s="12">
        <f t="shared" ca="1" si="786"/>
        <v>0.89036384123979329</v>
      </c>
      <c r="AO286" s="14">
        <f t="shared" ca="1" si="787"/>
        <v>1.33554576185969</v>
      </c>
      <c r="AP286" s="13">
        <f t="shared" ref="AP286:AQ286" ca="1" si="800">SUM(T290)</f>
        <v>153</v>
      </c>
      <c r="AQ286" s="13">
        <f t="shared" ca="1" si="800"/>
        <v>6.375</v>
      </c>
      <c r="AR286" s="9">
        <f t="shared" ca="1" si="789"/>
        <v>242.16666666666666</v>
      </c>
      <c r="AS286" s="76"/>
      <c r="AT286" s="76"/>
    </row>
    <row r="287" spans="1:46" ht="15.75" customHeight="1" x14ac:dyDescent="0.25">
      <c r="A287" s="70"/>
      <c r="B287" s="16">
        <v>12</v>
      </c>
      <c r="C287" s="16" t="s">
        <v>41</v>
      </c>
      <c r="D287" s="17">
        <v>20</v>
      </c>
      <c r="E287" s="18">
        <f ca="1">IFERROR(__xludf.DUMMYFUNCTION("COUNT(IMPORTRANGE(""https://docs.google.com/spreadsheets/d/1oYscvfOJW7GMkxt8QcupWuzb3ohaYePd3Mt2V2ufHok/edit"",""11!d2:d25""))"),20)</f>
        <v>20</v>
      </c>
      <c r="F287" s="23">
        <f ca="1">IFERROR(__xludf.DUMMYFUNCTION("SUM(IMPORTRANGE(""https://docs.google.com/spreadsheets/d/1oYscvfOJW7GMkxt8QcupWuzb3ohaYePd3Mt2V2ufHok/edit"",""11!Q2:Q25""))"),3993.196)</f>
        <v>3993.1959999999999</v>
      </c>
      <c r="G287" s="18">
        <f ca="1">IFERROR(__xludf.DUMMYFUNCTION("IMPORTRANGE(""https://docs.google.com/spreadsheets/d/1oYscvfOJW7GMkxt8QcupWuzb3ohaYePd3Mt2V2ufHok/edit"",""11!e32"")"),930)</f>
        <v>930</v>
      </c>
      <c r="H287" s="18">
        <f ca="1">IFERROR(__xludf.DUMMYFUNCTION("IMPORTRANGE(""https://docs.google.com/spreadsheets/d/1oYscvfOJW7GMkxt8QcupWuzb3ohaYePd3Mt2V2ufHok/edit"",""11!e33"")"),0)</f>
        <v>0</v>
      </c>
      <c r="I287" s="18">
        <f t="shared" ca="1" si="762"/>
        <v>930</v>
      </c>
      <c r="J287" s="18">
        <f ca="1">IFERROR(__xludf.DUMMYFUNCTION("IMPORTRANGE(""https://docs.google.com/spreadsheets/d/1oYscvfOJW7GMkxt8QcupWuzb3ohaYePd3Mt2V2ufHok/edit"",""11!e36"")"),1436)</f>
        <v>1436</v>
      </c>
      <c r="K287" s="18">
        <f ca="1">IFERROR(__xludf.DUMMYFUNCTION("IMPORTRANGE(""https://docs.google.com/spreadsheets/d/1oYscvfOJW7GMkxt8QcupWuzb3ohaYePd3Mt2V2ufHok/edit"",""11!e37"")"),0)</f>
        <v>0</v>
      </c>
      <c r="L287" s="18">
        <f t="shared" ca="1" si="792"/>
        <v>1436</v>
      </c>
      <c r="M287" s="18">
        <f t="shared" ca="1" si="764"/>
        <v>2366</v>
      </c>
      <c r="N287" s="19">
        <f t="shared" ca="1" si="765"/>
        <v>199.65979999999999</v>
      </c>
      <c r="O287" s="16">
        <v>3801</v>
      </c>
      <c r="P287" s="20">
        <f t="shared" ca="1" si="766"/>
        <v>0.62246777163904232</v>
      </c>
      <c r="Q287" s="21">
        <v>1.5</v>
      </c>
      <c r="R287" s="20">
        <f t="shared" ca="1" si="767"/>
        <v>0.39500523724188175</v>
      </c>
      <c r="S287" s="22">
        <f t="shared" ca="1" si="768"/>
        <v>0.59250785586282262</v>
      </c>
      <c r="T287" s="21">
        <f ca="1">F287/29.628</f>
        <v>134.77777777777777</v>
      </c>
      <c r="U287" s="21">
        <f t="shared" ca="1" si="769"/>
        <v>6.7388888888888889</v>
      </c>
      <c r="V287" s="18">
        <f t="shared" ca="1" si="770"/>
        <v>118.3</v>
      </c>
      <c r="W287" s="76"/>
      <c r="X287" s="8">
        <v>6</v>
      </c>
      <c r="Y287" s="8" t="s">
        <v>42</v>
      </c>
      <c r="Z287" s="8">
        <f t="shared" ref="Z287:AI287" si="801">SUM(D291)</f>
        <v>26</v>
      </c>
      <c r="AA287" s="9">
        <f t="shared" ca="1" si="801"/>
        <v>26</v>
      </c>
      <c r="AB287" s="10">
        <f t="shared" ca="1" si="801"/>
        <v>5309.4649999999901</v>
      </c>
      <c r="AC287" s="9">
        <f t="shared" ca="1" si="801"/>
        <v>2437</v>
      </c>
      <c r="AD287" s="9">
        <f t="shared" ca="1" si="801"/>
        <v>0</v>
      </c>
      <c r="AE287" s="9">
        <f t="shared" ca="1" si="801"/>
        <v>2437</v>
      </c>
      <c r="AF287" s="9">
        <f t="shared" ca="1" si="801"/>
        <v>3444</v>
      </c>
      <c r="AG287" s="9">
        <f t="shared" ca="1" si="801"/>
        <v>103</v>
      </c>
      <c r="AH287" s="9">
        <f t="shared" ca="1" si="801"/>
        <v>3547</v>
      </c>
      <c r="AI287" s="9">
        <f t="shared" ca="1" si="801"/>
        <v>5984</v>
      </c>
      <c r="AJ287" s="11">
        <f t="shared" ca="1" si="782"/>
        <v>204.21019230769193</v>
      </c>
      <c r="AK287" s="8">
        <f t="shared" si="798"/>
        <v>9877</v>
      </c>
      <c r="AL287" s="12">
        <f t="shared" ca="1" si="784"/>
        <v>0.60585197934595525</v>
      </c>
      <c r="AM287" s="13">
        <f t="shared" si="799"/>
        <v>1.5</v>
      </c>
      <c r="AN287" s="12">
        <f t="shared" ca="1" si="786"/>
        <v>0.75136258235685538</v>
      </c>
      <c r="AO287" s="14">
        <f t="shared" ca="1" si="787"/>
        <v>1.127043873535283</v>
      </c>
      <c r="AP287" s="13">
        <f t="shared" ref="AP287:AQ287" ca="1" si="802">SUM(T291)</f>
        <v>202.9999999999996</v>
      </c>
      <c r="AQ287" s="13">
        <f t="shared" ca="1" si="802"/>
        <v>7.8076923076922924</v>
      </c>
      <c r="AR287" s="9">
        <f t="shared" ca="1" si="789"/>
        <v>230.15384615384616</v>
      </c>
      <c r="AS287" s="76"/>
      <c r="AT287" s="76"/>
    </row>
    <row r="288" spans="1:46" ht="15.75" customHeight="1" x14ac:dyDescent="0.25">
      <c r="A288" s="70"/>
      <c r="B288" s="16">
        <v>13</v>
      </c>
      <c r="C288" s="16" t="s">
        <v>43</v>
      </c>
      <c r="D288" s="17">
        <v>24</v>
      </c>
      <c r="E288" s="18">
        <f ca="1">IFERROR(__xludf.DUMMYFUNCTION("COUNT(IMPORTRANGE(""https://docs.google.com/spreadsheets/d/1AxBmuQEdOYAeRnZ4C8vO6kuTNp7X_SGhpLXuY0n4ln4/edit"",""11!d2:d31""))"),23)</f>
        <v>23</v>
      </c>
      <c r="F288" s="23">
        <f ca="1">IFERROR(__xludf.DUMMYFUNCTION("SUM(IMPORTRANGE(""https://docs.google.com/spreadsheets/d/1AxBmuQEdOYAeRnZ4C8vO6kuTNp7X_SGhpLXuY0n4ln4/edit"",""11!Q2:Q31""))"),4573.755)</f>
        <v>4573.7550000000001</v>
      </c>
      <c r="G288" s="18">
        <f ca="1">IFERROR(__xludf.DUMMYFUNCTION("IMPORTRANGE(""https://docs.google.com/spreadsheets/d/1AxBmuQEdOYAeRnZ4C8vO6kuTNp7X_SGhpLXuY0n4ln4/edit"",""11!e38"")"),1515)</f>
        <v>1515</v>
      </c>
      <c r="H288" s="18">
        <f ca="1">IFERROR(__xludf.DUMMYFUNCTION("IMPORTRANGE(""https://docs.google.com/spreadsheets/d/1AxBmuQEdOYAeRnZ4C8vO6kuTNp7X_SGhpLXuY0n4ln4/edit"",""11!e39"")"),0)</f>
        <v>0</v>
      </c>
      <c r="I288" s="18">
        <f t="shared" ca="1" si="762"/>
        <v>1515</v>
      </c>
      <c r="J288" s="18">
        <f ca="1">IFERROR(__xludf.DUMMYFUNCTION("IMPORTRANGE(""https://docs.google.com/spreadsheets/d/1AxBmuQEdOYAeRnZ4C8vO6kuTNp7X_SGhpLXuY0n4ln4/edit"",""11!e42"")"),2278)</f>
        <v>2278</v>
      </c>
      <c r="K288" s="18">
        <f ca="1">IFERROR(__xludf.DUMMYFUNCTION("IMPORTRANGE(""https://docs.google.com/spreadsheets/d/1AxBmuQEdOYAeRnZ4C8vO6kuTNp7X_SGhpLXuY0n4ln4/edit"",""11!e43"")"),0)</f>
        <v>0</v>
      </c>
      <c r="L288" s="18">
        <f t="shared" ca="1" si="792"/>
        <v>2278</v>
      </c>
      <c r="M288" s="18">
        <f t="shared" ca="1" si="764"/>
        <v>3793</v>
      </c>
      <c r="N288" s="19">
        <f t="shared" ca="1" si="765"/>
        <v>198.85891304347825</v>
      </c>
      <c r="O288" s="16">
        <v>8345</v>
      </c>
      <c r="P288" s="20">
        <f t="shared" ca="1" si="766"/>
        <v>0.45452366686638707</v>
      </c>
      <c r="Q288" s="21">
        <v>1.5</v>
      </c>
      <c r="R288" s="20">
        <f t="shared" ca="1" si="767"/>
        <v>0.55286447714551101</v>
      </c>
      <c r="S288" s="22">
        <f t="shared" ca="1" si="768"/>
        <v>0.82929671571826646</v>
      </c>
      <c r="T288" s="21">
        <f ca="1">F288/41.205</f>
        <v>111.00000000000001</v>
      </c>
      <c r="U288" s="21">
        <f t="shared" ca="1" si="769"/>
        <v>4.8260869565217401</v>
      </c>
      <c r="V288" s="18">
        <f t="shared" ca="1" si="770"/>
        <v>164.91304347826087</v>
      </c>
      <c r="W288" s="76"/>
      <c r="X288" s="24" t="s">
        <v>33</v>
      </c>
      <c r="Y288" s="24">
        <v>6</v>
      </c>
      <c r="Z288" s="24">
        <f t="shared" ref="Z288:AI288" si="803">SUM(Z282:Z287)</f>
        <v>180</v>
      </c>
      <c r="AA288" s="25">
        <f t="shared" ca="1" si="803"/>
        <v>175</v>
      </c>
      <c r="AB288" s="27">
        <f t="shared" ca="1" si="803"/>
        <v>33532.678999999975</v>
      </c>
      <c r="AC288" s="25">
        <f t="shared" ca="1" si="803"/>
        <v>13019</v>
      </c>
      <c r="AD288" s="25">
        <f t="shared" ca="1" si="803"/>
        <v>39</v>
      </c>
      <c r="AE288" s="25">
        <f t="shared" ca="1" si="803"/>
        <v>13058</v>
      </c>
      <c r="AF288" s="25">
        <f t="shared" ca="1" si="803"/>
        <v>17586</v>
      </c>
      <c r="AG288" s="25">
        <f t="shared" ca="1" si="803"/>
        <v>154</v>
      </c>
      <c r="AH288" s="25">
        <f t="shared" ca="1" si="803"/>
        <v>17740</v>
      </c>
      <c r="AI288" s="25">
        <f t="shared" ca="1" si="803"/>
        <v>30798</v>
      </c>
      <c r="AJ288" s="27">
        <f t="shared" ca="1" si="782"/>
        <v>191.61530857142841</v>
      </c>
      <c r="AK288" s="24">
        <f>SUM(AK282:AK287)</f>
        <v>53273</v>
      </c>
      <c r="AL288" s="28">
        <f t="shared" ca="1" si="784"/>
        <v>0.5781164942841589</v>
      </c>
      <c r="AM288" s="29">
        <v>1.5</v>
      </c>
      <c r="AN288" s="28">
        <f t="shared" ca="1" si="786"/>
        <v>0.6122982300340517</v>
      </c>
      <c r="AO288" s="30">
        <f t="shared" ca="1" si="787"/>
        <v>0.91844734505107761</v>
      </c>
      <c r="AP288" s="29">
        <f ca="1">SUM(AP282:AP287)</f>
        <v>1104.5931372872744</v>
      </c>
      <c r="AQ288" s="29">
        <f ca="1">AP288/AA288</f>
        <v>6.3119607844987113</v>
      </c>
      <c r="AR288" s="25">
        <f t="shared" ca="1" si="789"/>
        <v>175.98857142857142</v>
      </c>
      <c r="AS288" s="76"/>
      <c r="AT288" s="76"/>
    </row>
    <row r="289" spans="1:46" ht="15.75" customHeight="1" x14ac:dyDescent="0.25">
      <c r="A289" s="70"/>
      <c r="B289" s="16">
        <v>14</v>
      </c>
      <c r="C289" s="16" t="s">
        <v>27</v>
      </c>
      <c r="D289" s="17">
        <v>24</v>
      </c>
      <c r="E289" s="18">
        <f ca="1">IFERROR(__xludf.DUMMYFUNCTION("COUNT(IMPORTRANGE(""https://docs.google.com/spreadsheets/d/1LsL4JuXvBtfJ-TVi4NFml9lV_pmd61b789A_nbO-QrA/edit"",""11!d2:d31""))"),21)</f>
        <v>21</v>
      </c>
      <c r="F289" s="23">
        <f ca="1">IFERROR(__xludf.DUMMYFUNCTION("SUM(IMPORTRANGE(""https://docs.google.com/spreadsheets/d/1LsL4JuXvBtfJ-TVi4NFml9lV_pmd61b789A_nbO-QrA/edit"",""11!Q2:Q31""))"),4086.79499999999)</f>
        <v>4086.7949999999901</v>
      </c>
      <c r="G289" s="18">
        <f ca="1">IFERROR(__xludf.DUMMYFUNCTION("IMPORTRANGE(""https://docs.google.com/spreadsheets/d/1LsL4JuXvBtfJ-TVi4NFml9lV_pmd61b789A_nbO-QrA/edit"",""11!e38"")"),1582)</f>
        <v>1582</v>
      </c>
      <c r="H289" s="18">
        <f ca="1">IFERROR(__xludf.DUMMYFUNCTION("IMPORTRANGE(""https://docs.google.com/spreadsheets/d/1LsL4JuXvBtfJ-TVi4NFml9lV_pmd61b789A_nbO-QrA/edit"",""11!e39"")"),0)</f>
        <v>0</v>
      </c>
      <c r="I289" s="18">
        <f t="shared" ca="1" si="762"/>
        <v>1582</v>
      </c>
      <c r="J289" s="18">
        <f ca="1">IFERROR(__xludf.DUMMYFUNCTION("IMPORTRANGE(""https://docs.google.com/spreadsheets/d/1LsL4JuXvBtfJ-TVi4NFml9lV_pmd61b789A_nbO-QrA/edit"",""11!e42"")"),2548)</f>
        <v>2548</v>
      </c>
      <c r="K289" s="18">
        <f ca="1">IFERROR(__xludf.DUMMYFUNCTION("IMPORTRANGE(""https://docs.google.com/spreadsheets/d/1LsL4JuXvBtfJ-TVi4NFml9lV_pmd61b789A_nbO-QrA/edit"",""11!e43"")"),0)</f>
        <v>0</v>
      </c>
      <c r="L289" s="18">
        <f t="shared" ca="1" si="792"/>
        <v>2548</v>
      </c>
      <c r="M289" s="18">
        <f t="shared" ca="1" si="764"/>
        <v>4130</v>
      </c>
      <c r="N289" s="19">
        <f t="shared" ca="1" si="765"/>
        <v>194.60928571428525</v>
      </c>
      <c r="O289" s="16">
        <v>8101</v>
      </c>
      <c r="P289" s="20">
        <f t="shared" ca="1" si="766"/>
        <v>0.50981360325885694</v>
      </c>
      <c r="Q289" s="21">
        <v>1.5</v>
      </c>
      <c r="R289" s="20">
        <f t="shared" ca="1" si="767"/>
        <v>0.67371456932225371</v>
      </c>
      <c r="S289" s="22">
        <f t="shared" ca="1" si="768"/>
        <v>1.0105718539833806</v>
      </c>
      <c r="T289" s="21">
        <f ca="1">F289/19.985</f>
        <v>204.49311983987943</v>
      </c>
      <c r="U289" s="21">
        <f t="shared" ca="1" si="769"/>
        <v>9.7377676114228304</v>
      </c>
      <c r="V289" s="18">
        <f t="shared" ca="1" si="770"/>
        <v>196.66666666666666</v>
      </c>
      <c r="W289" s="76"/>
      <c r="X289" s="97" t="s">
        <v>44</v>
      </c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9"/>
      <c r="AS289" s="76"/>
      <c r="AT289" s="76"/>
    </row>
    <row r="290" spans="1:46" ht="15.75" customHeight="1" x14ac:dyDescent="0.25">
      <c r="A290" s="70"/>
      <c r="B290" s="16">
        <v>15</v>
      </c>
      <c r="C290" s="16" t="s">
        <v>40</v>
      </c>
      <c r="D290" s="17">
        <v>24</v>
      </c>
      <c r="E290" s="18">
        <f ca="1">IFERROR(__xludf.DUMMYFUNCTION("COUNT(IMPORTRANGE(""https://docs.google.com/spreadsheets/d/1Krav0MVlY0vbUNsFRDnb_kR72_tyuGnWBYbGjNZrl18/edit"",""11!d2:d31""))"),24)</f>
        <v>24</v>
      </c>
      <c r="F290" s="23">
        <f ca="1">IFERROR(__xludf.DUMMYFUNCTION("SUM(IMPORTRANGE(""https://docs.google.com/spreadsheets/d/1Krav0MVlY0vbUNsFRDnb_kR72_tyuGnWBYbGjNZrl18/edit"",""11!Q2:Q31""))"),4351.779)</f>
        <v>4351.7790000000005</v>
      </c>
      <c r="G290" s="18">
        <f ca="1">IFERROR(__xludf.DUMMYFUNCTION("IMPORTRANGE(""https://docs.google.com/spreadsheets/d/1Krav0MVlY0vbUNsFRDnb_kR72_tyuGnWBYbGjNZrl18/edit"",""11!e38"")"),2697)</f>
        <v>2697</v>
      </c>
      <c r="H290" s="18">
        <f ca="1">IFERROR(__xludf.DUMMYFUNCTION("IMPORTRANGE(""https://docs.google.com/spreadsheets/d/1Krav0MVlY0vbUNsFRDnb_kR72_tyuGnWBYbGjNZrl18/edit"",""11!e39"")"),0)</f>
        <v>0</v>
      </c>
      <c r="I290" s="18">
        <f t="shared" ca="1" si="762"/>
        <v>2697</v>
      </c>
      <c r="J290" s="18">
        <f ca="1">IFERROR(__xludf.DUMMYFUNCTION("IMPORTRANGE(""https://docs.google.com/spreadsheets/d/1Krav0MVlY0vbUNsFRDnb_kR72_tyuGnWBYbGjNZrl18/edit"",""11!e42"")"),3115)</f>
        <v>3115</v>
      </c>
      <c r="K290" s="18">
        <f ca="1">IFERROR(__xludf.DUMMYFUNCTION("IMPORTRANGE(""https://docs.google.com/spreadsheets/d/1Krav0MVlY0vbUNsFRDnb_kR72_tyuGnWBYbGjNZrl18/edit"",""11!e43"")"),0)</f>
        <v>0</v>
      </c>
      <c r="L290" s="18">
        <f t="shared" ca="1" si="792"/>
        <v>3115</v>
      </c>
      <c r="M290" s="18">
        <f t="shared" ca="1" si="764"/>
        <v>5812</v>
      </c>
      <c r="N290" s="19">
        <f t="shared" ca="1" si="765"/>
        <v>181.32412500000001</v>
      </c>
      <c r="O290" s="16">
        <v>8239</v>
      </c>
      <c r="P290" s="20">
        <f t="shared" ca="1" si="766"/>
        <v>0.70542541570578954</v>
      </c>
      <c r="Q290" s="21">
        <v>1.5</v>
      </c>
      <c r="R290" s="20">
        <f t="shared" ca="1" si="767"/>
        <v>0.89036384123979329</v>
      </c>
      <c r="S290" s="22">
        <f t="shared" ca="1" si="768"/>
        <v>1.33554576185969</v>
      </c>
      <c r="T290" s="21">
        <f ca="1">F290/28.443</f>
        <v>153</v>
      </c>
      <c r="U290" s="21">
        <f t="shared" ca="1" si="769"/>
        <v>6.375</v>
      </c>
      <c r="V290" s="18">
        <f t="shared" ca="1" si="770"/>
        <v>242.16666666666666</v>
      </c>
      <c r="W290" s="76"/>
      <c r="X290" s="1" t="s">
        <v>2</v>
      </c>
      <c r="Y290" s="1" t="s">
        <v>3</v>
      </c>
      <c r="Z290" s="1" t="s">
        <v>4</v>
      </c>
      <c r="AA290" s="1" t="s">
        <v>5</v>
      </c>
      <c r="AB290" s="2" t="s">
        <v>6</v>
      </c>
      <c r="AC290" s="1" t="s">
        <v>7</v>
      </c>
      <c r="AD290" s="1" t="s">
        <v>8</v>
      </c>
      <c r="AE290" s="1" t="s">
        <v>9</v>
      </c>
      <c r="AF290" s="1" t="s">
        <v>10</v>
      </c>
      <c r="AG290" s="1" t="s">
        <v>11</v>
      </c>
      <c r="AH290" s="1" t="s">
        <v>12</v>
      </c>
      <c r="AI290" s="1" t="s">
        <v>13</v>
      </c>
      <c r="AJ290" s="2" t="s">
        <v>14</v>
      </c>
      <c r="AK290" s="1" t="s">
        <v>15</v>
      </c>
      <c r="AL290" s="1" t="s">
        <v>16</v>
      </c>
      <c r="AM290" s="3" t="s">
        <v>17</v>
      </c>
      <c r="AN290" s="4" t="s">
        <v>18</v>
      </c>
      <c r="AO290" s="5" t="s">
        <v>19</v>
      </c>
      <c r="AP290" s="6" t="s">
        <v>20</v>
      </c>
      <c r="AQ290" s="6" t="s">
        <v>21</v>
      </c>
      <c r="AR290" s="7" t="s">
        <v>22</v>
      </c>
      <c r="AS290" s="76"/>
      <c r="AT290" s="76"/>
    </row>
    <row r="291" spans="1:46" ht="15.75" customHeight="1" x14ac:dyDescent="0.25">
      <c r="A291" s="70"/>
      <c r="B291" s="16">
        <v>16</v>
      </c>
      <c r="C291" s="16" t="s">
        <v>42</v>
      </c>
      <c r="D291" s="17">
        <v>26</v>
      </c>
      <c r="E291" s="18">
        <f ca="1">IFERROR(__xludf.DUMMYFUNCTION("COUNT(IMPORTRANGE(""https://docs.google.com/spreadsheets/d/1uXtm-E8PG0CetlFmSpTX3RK0LNEMnpR-mxbET9AGD6w/edit"",""11!d2:d34""))"),26)</f>
        <v>26</v>
      </c>
      <c r="F291" s="23">
        <f ca="1">IFERROR(__xludf.DUMMYFUNCTION("SUM(IMPORTRANGE(""https://docs.google.com/spreadsheets/d/1uXtm-E8PG0CetlFmSpTX3RK0LNEMnpR-mxbET9AGD6w/edit"",""11!Q2:Q34""))"),5309.46499999999)</f>
        <v>5309.4649999999901</v>
      </c>
      <c r="G291" s="18">
        <f ca="1">IFERROR(__xludf.DUMMYFUNCTION("IMPORTRANGE(""https://docs.google.com/spreadsheets/d/1uXtm-E8PG0CetlFmSpTX3RK0LNEMnpR-mxbET9AGD6w/edit"",""11!e41"")"),2437)</f>
        <v>2437</v>
      </c>
      <c r="H291" s="18">
        <f ca="1">IFERROR(__xludf.DUMMYFUNCTION("IMPORTRANGE(""https://docs.google.com/spreadsheets/d/1uXtm-E8PG0CetlFmSpTX3RK0LNEMnpR-mxbET9AGD6w/edit"",""11!e42"")"),0)</f>
        <v>0</v>
      </c>
      <c r="I291" s="18">
        <f t="shared" ca="1" si="762"/>
        <v>2437</v>
      </c>
      <c r="J291" s="18">
        <f ca="1">IFERROR(__xludf.DUMMYFUNCTION("IMPORTRANGE(""https://docs.google.com/spreadsheets/d/1uXtm-E8PG0CetlFmSpTX3RK0LNEMnpR-mxbET9AGD6w/edit"",""11!e45"")"),3444)</f>
        <v>3444</v>
      </c>
      <c r="K291" s="18">
        <f ca="1">IFERROR(__xludf.DUMMYFUNCTION("IMPORTRANGE(""https://docs.google.com/spreadsheets/d/1uXtm-E8PG0CetlFmSpTX3RK0LNEMnpR-mxbET9AGD6w/edit"",""11!e46"")"),103)</f>
        <v>103</v>
      </c>
      <c r="L291" s="18">
        <f t="shared" ca="1" si="792"/>
        <v>3547</v>
      </c>
      <c r="M291" s="18">
        <f t="shared" ca="1" si="764"/>
        <v>5984</v>
      </c>
      <c r="N291" s="19">
        <f t="shared" ca="1" si="765"/>
        <v>204.21019230769193</v>
      </c>
      <c r="O291" s="16">
        <v>9877</v>
      </c>
      <c r="P291" s="20">
        <f t="shared" ca="1" si="766"/>
        <v>0.60585197934595525</v>
      </c>
      <c r="Q291" s="21">
        <v>1.5</v>
      </c>
      <c r="R291" s="20">
        <f t="shared" ca="1" si="767"/>
        <v>0.75136258235685538</v>
      </c>
      <c r="S291" s="22">
        <f t="shared" ca="1" si="768"/>
        <v>1.127043873535283</v>
      </c>
      <c r="T291" s="21">
        <f ca="1">F291/26.155</f>
        <v>202.9999999999996</v>
      </c>
      <c r="U291" s="21">
        <f t="shared" ca="1" si="769"/>
        <v>7.8076923076922924</v>
      </c>
      <c r="V291" s="18">
        <f t="shared" ca="1" si="770"/>
        <v>230.15384615384616</v>
      </c>
      <c r="W291" s="76"/>
      <c r="X291" s="8">
        <v>1</v>
      </c>
      <c r="Y291" s="8" t="s">
        <v>26</v>
      </c>
      <c r="Z291" s="8">
        <f t="shared" ref="Z291:AI291" si="804">SUM(D276)</f>
        <v>16</v>
      </c>
      <c r="AA291" s="9">
        <f t="shared" ca="1" si="804"/>
        <v>16</v>
      </c>
      <c r="AB291" s="11">
        <f t="shared" ca="1" si="804"/>
        <v>3042.0239999999999</v>
      </c>
      <c r="AC291" s="9">
        <f t="shared" ca="1" si="804"/>
        <v>1506</v>
      </c>
      <c r="AD291" s="9">
        <f t="shared" ca="1" si="804"/>
        <v>0</v>
      </c>
      <c r="AE291" s="9">
        <f t="shared" ca="1" si="804"/>
        <v>1506</v>
      </c>
      <c r="AF291" s="9">
        <f t="shared" ca="1" si="804"/>
        <v>2374</v>
      </c>
      <c r="AG291" s="9">
        <f t="shared" ca="1" si="804"/>
        <v>0</v>
      </c>
      <c r="AH291" s="9">
        <f t="shared" ca="1" si="804"/>
        <v>2374</v>
      </c>
      <c r="AI291" s="9">
        <f t="shared" ca="1" si="804"/>
        <v>3880</v>
      </c>
      <c r="AJ291" s="11">
        <f t="shared" ref="AJ291:AJ297" ca="1" si="805">AB291/AA291</f>
        <v>190.12649999999999</v>
      </c>
      <c r="AK291" s="8">
        <f>SUM(O276)</f>
        <v>5161</v>
      </c>
      <c r="AL291" s="12">
        <f t="shared" ref="AL291:AL297" ca="1" si="806">AI291/AK291</f>
        <v>0.7517922883162178</v>
      </c>
      <c r="AM291" s="13">
        <f>SUM(Q276)</f>
        <v>1.5</v>
      </c>
      <c r="AN291" s="12">
        <f t="shared" ref="AN291:AN297" ca="1" si="807">AO291/AM291</f>
        <v>0.85031106482613772</v>
      </c>
      <c r="AO291" s="14">
        <f t="shared" ref="AO291:AO297" ca="1" si="808">AI291/AB291</f>
        <v>1.2754665972392065</v>
      </c>
      <c r="AP291" s="13">
        <f t="shared" ref="AP291:AQ291" ca="1" si="809">SUM(T276)</f>
        <v>211.0318418314256</v>
      </c>
      <c r="AQ291" s="13">
        <f t="shared" ca="1" si="809"/>
        <v>13.1894901144641</v>
      </c>
      <c r="AR291" s="9">
        <f t="shared" ref="AR291:AR297" ca="1" si="810">AI291/AA291</f>
        <v>242.5</v>
      </c>
      <c r="AS291" s="76"/>
      <c r="AT291" s="76"/>
    </row>
    <row r="292" spans="1:46" ht="15.75" customHeight="1" x14ac:dyDescent="0.25">
      <c r="A292" s="70"/>
      <c r="B292" s="16">
        <v>17</v>
      </c>
      <c r="C292" s="16" t="s">
        <v>29</v>
      </c>
      <c r="D292" s="17">
        <v>24</v>
      </c>
      <c r="E292" s="18">
        <f ca="1">IFERROR(__xludf.DUMMYFUNCTION("COUNT(IMPORTRANGE(""https://docs.google.com/spreadsheets/d/12xcKI0lSnAsjEsxfm9K8Qx0B_89Gzsh816mowItkQao/edit"",""11!d2:d31""))"),23)</f>
        <v>23</v>
      </c>
      <c r="F292" s="23">
        <f ca="1">IFERROR(__xludf.DUMMYFUNCTION("SUM(IMPORTRANGE(""https://docs.google.com/spreadsheets/d/12xcKI0lSnAsjEsxfm9K8Qx0B_89Gzsh816mowItkQao/edit"",""11!Q2:Q31""))"),4452.498)</f>
        <v>4452.4979999999996</v>
      </c>
      <c r="G292" s="18">
        <f ca="1">IFERROR(__xludf.DUMMYFUNCTION("IMPORTRANGE(""https://docs.google.com/spreadsheets/d/12xcKI0lSnAsjEsxfm9K8Qx0B_89Gzsh816mowItkQao/edit"",""11!e38"")"),2243)</f>
        <v>2243</v>
      </c>
      <c r="H292" s="18">
        <f ca="1">IFERROR(__xludf.DUMMYFUNCTION("IMPORTRANGE(""https://docs.google.com/spreadsheets/d/12xcKI0lSnAsjEsxfm9K8Qx0B_89Gzsh816mowItkQao/edit"",""11!e39"")"),0)</f>
        <v>0</v>
      </c>
      <c r="I292" s="18">
        <f t="shared" ca="1" si="762"/>
        <v>2243</v>
      </c>
      <c r="J292" s="18">
        <f ca="1">IFERROR(__xludf.DUMMYFUNCTION("IMPORTRANGE(""https://docs.google.com/spreadsheets/d/12xcKI0lSnAsjEsxfm9K8Qx0B_89Gzsh816mowItkQao/edit"",""11!e42"")"),2856)</f>
        <v>2856</v>
      </c>
      <c r="K292" s="18">
        <f ca="1">IFERROR(__xludf.DUMMYFUNCTION("IMPORTRANGE(""https://docs.google.com/spreadsheets/d/12xcKI0lSnAsjEsxfm9K8Qx0B_89Gzsh816mowItkQao/edit"",""11!e43"")"),0)</f>
        <v>0</v>
      </c>
      <c r="L292" s="18">
        <f t="shared" ca="1" si="792"/>
        <v>2856</v>
      </c>
      <c r="M292" s="18">
        <f t="shared" ca="1" si="764"/>
        <v>5099</v>
      </c>
      <c r="N292" s="19">
        <f t="shared" ca="1" si="765"/>
        <v>193.58686956521737</v>
      </c>
      <c r="O292" s="16">
        <v>9201</v>
      </c>
      <c r="P292" s="20">
        <f t="shared" ca="1" si="766"/>
        <v>0.5541788935985219</v>
      </c>
      <c r="Q292" s="21">
        <v>1.5</v>
      </c>
      <c r="R292" s="20">
        <f t="shared" ca="1" si="767"/>
        <v>0.76346656041919247</v>
      </c>
      <c r="S292" s="22">
        <f t="shared" ca="1" si="768"/>
        <v>1.1451998406287887</v>
      </c>
      <c r="T292" s="21">
        <f ca="1">F292/26.038</f>
        <v>170.99999999999997</v>
      </c>
      <c r="U292" s="21">
        <f t="shared" ca="1" si="769"/>
        <v>7.4347826086956506</v>
      </c>
      <c r="V292" s="18">
        <f t="shared" ca="1" si="770"/>
        <v>221.69565217391303</v>
      </c>
      <c r="W292" s="76"/>
      <c r="X292" s="8">
        <v>2</v>
      </c>
      <c r="Y292" s="8" t="s">
        <v>32</v>
      </c>
      <c r="Z292" s="8">
        <f t="shared" ref="Z292:AI292" si="811">SUM(D279)</f>
        <v>33</v>
      </c>
      <c r="AA292" s="9">
        <f t="shared" ca="1" si="811"/>
        <v>33</v>
      </c>
      <c r="AB292" s="10">
        <f t="shared" ca="1" si="811"/>
        <v>6126.0139999999901</v>
      </c>
      <c r="AC292" s="8">
        <f t="shared" ca="1" si="811"/>
        <v>3675</v>
      </c>
      <c r="AD292" s="8">
        <f t="shared" ca="1" si="811"/>
        <v>143</v>
      </c>
      <c r="AE292" s="9">
        <f t="shared" ca="1" si="811"/>
        <v>3818</v>
      </c>
      <c r="AF292" s="8">
        <f t="shared" ca="1" si="811"/>
        <v>4297</v>
      </c>
      <c r="AG292" s="8">
        <f t="shared" ca="1" si="811"/>
        <v>120</v>
      </c>
      <c r="AH292" s="9">
        <f t="shared" ca="1" si="811"/>
        <v>4417</v>
      </c>
      <c r="AI292" s="9">
        <f t="shared" ca="1" si="811"/>
        <v>8235</v>
      </c>
      <c r="AJ292" s="11">
        <f t="shared" ca="1" si="805"/>
        <v>185.63678787878757</v>
      </c>
      <c r="AK292" s="8">
        <f>SUM(O279)</f>
        <v>13817</v>
      </c>
      <c r="AL292" s="12">
        <f t="shared" ca="1" si="806"/>
        <v>0.59600492147354711</v>
      </c>
      <c r="AM292" s="13">
        <f>SUM(Q279)</f>
        <v>1.5</v>
      </c>
      <c r="AN292" s="12">
        <f t="shared" ca="1" si="807"/>
        <v>0.89617816740216538</v>
      </c>
      <c r="AO292" s="14">
        <f t="shared" ca="1" si="808"/>
        <v>1.3442672511032481</v>
      </c>
      <c r="AP292" s="13">
        <f t="shared" ref="AP292:AQ292" ca="1" si="812">SUM(T279)</f>
        <v>244.17131013591575</v>
      </c>
      <c r="AQ292" s="13">
        <f t="shared" ca="1" si="812"/>
        <v>7.3991306101792649</v>
      </c>
      <c r="AR292" s="9">
        <f t="shared" ca="1" si="810"/>
        <v>249.54545454545453</v>
      </c>
      <c r="AS292" s="76"/>
      <c r="AT292" s="76"/>
    </row>
    <row r="293" spans="1:46" ht="15.75" customHeight="1" x14ac:dyDescent="0.25">
      <c r="A293" s="70"/>
      <c r="B293" s="16">
        <v>18</v>
      </c>
      <c r="C293" s="16" t="s">
        <v>31</v>
      </c>
      <c r="D293" s="17">
        <v>12</v>
      </c>
      <c r="E293" s="18">
        <f ca="1">IFERROR(__xludf.DUMMYFUNCTION("COUNT(IMPORTRANGE(""https://docs.google.com/spreadsheets/d/1fgCFOFzOla4Qim6_-zG-lbYhLCItqv_kZiAHoErRgcM/edit"",""11!d2:d16""))"),12)</f>
        <v>12</v>
      </c>
      <c r="F293" s="19">
        <f ca="1">IFERROR(__xludf.DUMMYFUNCTION("SUM(IMPORTRANGE(""https://docs.google.com/spreadsheets/d/1fgCFOFzOla4Qim6_-zG-lbYhLCItqv_kZiAHoErRgcM/edit"",""11!Q2:Q16""))"),2303.645)</f>
        <v>2303.645</v>
      </c>
      <c r="G293" s="18">
        <f ca="1">IFERROR(__xludf.DUMMYFUNCTION("IMPORTRANGE(""https://docs.google.com/spreadsheets/d/1fgCFOFzOla4Qim6_-zG-lbYhLCItqv_kZiAHoErRgcM/edit"",""11!e23"")"),648)</f>
        <v>648</v>
      </c>
      <c r="H293" s="18">
        <f ca="1">IFERROR(__xludf.DUMMYFUNCTION("IMPORTRANGE(""https://docs.google.com/spreadsheets/d/1fgCFOFzOla4Qim6_-zG-lbYhLCItqv_kZiAHoErRgcM/edit"",""11!e24"")"),9)</f>
        <v>9</v>
      </c>
      <c r="I293" s="18">
        <f t="shared" ca="1" si="762"/>
        <v>657</v>
      </c>
      <c r="J293" s="18">
        <f ca="1">IFERROR(__xludf.DUMMYFUNCTION("IMPORTRANGE(""https://docs.google.com/spreadsheets/d/1fgCFOFzOla4Qim6_-zG-lbYhLCItqv_kZiAHoErRgcM/edit"",""11!e27"")"),838)</f>
        <v>838</v>
      </c>
      <c r="K293" s="18">
        <f ca="1">IFERROR(__xludf.DUMMYFUNCTION("IMPORTRANGE(""https://docs.google.com/spreadsheets/d/1fgCFOFzOla4Qim6_-zG-lbYhLCItqv_kZiAHoErRgcM/edit"",""11!e28"")"),0)</f>
        <v>0</v>
      </c>
      <c r="L293" s="18">
        <f t="shared" ca="1" si="792"/>
        <v>838</v>
      </c>
      <c r="M293" s="18">
        <f t="shared" ca="1" si="764"/>
        <v>1495</v>
      </c>
      <c r="N293" s="19">
        <f t="shared" ca="1" si="765"/>
        <v>191.97041666666667</v>
      </c>
      <c r="O293" s="16">
        <v>2717</v>
      </c>
      <c r="P293" s="20">
        <f t="shared" ca="1" si="766"/>
        <v>0.55023923444976075</v>
      </c>
      <c r="Q293" s="21">
        <v>1.5</v>
      </c>
      <c r="R293" s="20">
        <f t="shared" ca="1" si="767"/>
        <v>0.4326476808130883</v>
      </c>
      <c r="S293" s="22">
        <f t="shared" ca="1" si="768"/>
        <v>0.64897152121963242</v>
      </c>
      <c r="T293" s="21">
        <f ca="1">F293/43.465</f>
        <v>52.999999999999993</v>
      </c>
      <c r="U293" s="21">
        <f t="shared" ca="1" si="769"/>
        <v>4.4166666666666661</v>
      </c>
      <c r="V293" s="18">
        <f t="shared" ca="1" si="770"/>
        <v>124.58333333333333</v>
      </c>
      <c r="W293" s="76"/>
      <c r="X293" s="8">
        <v>3</v>
      </c>
      <c r="Y293" s="8" t="s">
        <v>36</v>
      </c>
      <c r="Z293" s="8">
        <f t="shared" ref="Z293:AI293" si="813">SUM(D284)</f>
        <v>24</v>
      </c>
      <c r="AA293" s="9">
        <f t="shared" ca="1" si="813"/>
        <v>24</v>
      </c>
      <c r="AB293" s="10">
        <f t="shared" ca="1" si="813"/>
        <v>4608.3059999999996</v>
      </c>
      <c r="AC293" s="9">
        <f t="shared" ca="1" si="813"/>
        <v>1105</v>
      </c>
      <c r="AD293" s="9">
        <f t="shared" ca="1" si="813"/>
        <v>0</v>
      </c>
      <c r="AE293" s="9">
        <f t="shared" ca="1" si="813"/>
        <v>1105</v>
      </c>
      <c r="AF293" s="9">
        <f t="shared" ca="1" si="813"/>
        <v>1650</v>
      </c>
      <c r="AG293" s="9">
        <f t="shared" ca="1" si="813"/>
        <v>0</v>
      </c>
      <c r="AH293" s="9">
        <f t="shared" ca="1" si="813"/>
        <v>1650</v>
      </c>
      <c r="AI293" s="9">
        <f t="shared" ca="1" si="813"/>
        <v>2755</v>
      </c>
      <c r="AJ293" s="11">
        <f t="shared" ca="1" si="805"/>
        <v>192.01274999999998</v>
      </c>
      <c r="AK293" s="8">
        <f t="shared" ref="AK293:AK296" si="814">SUM(O284)</f>
        <v>4796</v>
      </c>
      <c r="AL293" s="12">
        <f t="shared" ca="1" si="806"/>
        <v>0.57443703085904918</v>
      </c>
      <c r="AM293" s="13">
        <f t="shared" ref="AM293:AM296" si="815">SUM(Q284)</f>
        <v>1.5</v>
      </c>
      <c r="AN293" s="12">
        <f t="shared" ca="1" si="807"/>
        <v>0.39855570933585288</v>
      </c>
      <c r="AO293" s="14">
        <f t="shared" ca="1" si="808"/>
        <v>0.59783356400377929</v>
      </c>
      <c r="AP293" s="13">
        <f t="shared" ref="AP293:AQ293" ca="1" si="816">SUM(T284)</f>
        <v>123.1706313144812</v>
      </c>
      <c r="AQ293" s="13">
        <f t="shared" ca="1" si="816"/>
        <v>5.1321096381033833</v>
      </c>
      <c r="AR293" s="9">
        <f t="shared" ca="1" si="810"/>
        <v>114.79166666666667</v>
      </c>
      <c r="AS293" s="76"/>
      <c r="AT293" s="76"/>
    </row>
    <row r="294" spans="1:46" ht="15.75" customHeight="1" x14ac:dyDescent="0.2">
      <c r="A294" s="70"/>
      <c r="B294" s="98" t="s">
        <v>33</v>
      </c>
      <c r="C294" s="98">
        <v>18</v>
      </c>
      <c r="D294" s="98">
        <f t="shared" ref="D294:M294" si="817">SUM(D276:D293)</f>
        <v>471</v>
      </c>
      <c r="E294" s="74">
        <f t="shared" ca="1" si="817"/>
        <v>460</v>
      </c>
      <c r="F294" s="99">
        <f t="shared" ca="1" si="817"/>
        <v>87805.983999999924</v>
      </c>
      <c r="G294" s="74">
        <f t="shared" ca="1" si="817"/>
        <v>31335</v>
      </c>
      <c r="H294" s="74">
        <f t="shared" ca="1" si="817"/>
        <v>563</v>
      </c>
      <c r="I294" s="74">
        <f t="shared" ca="1" si="817"/>
        <v>31898</v>
      </c>
      <c r="J294" s="74">
        <f t="shared" ca="1" si="817"/>
        <v>43229</v>
      </c>
      <c r="K294" s="74">
        <f t="shared" ca="1" si="817"/>
        <v>662</v>
      </c>
      <c r="L294" s="74">
        <f t="shared" ca="1" si="817"/>
        <v>43891</v>
      </c>
      <c r="M294" s="74">
        <f t="shared" ca="1" si="817"/>
        <v>75789</v>
      </c>
      <c r="N294" s="99">
        <f t="shared" ca="1" si="765"/>
        <v>190.8825739130433</v>
      </c>
      <c r="O294" s="98">
        <f>SUM(O276:O293)</f>
        <v>126399</v>
      </c>
      <c r="P294" s="69">
        <f t="shared" ca="1" si="766"/>
        <v>0.59960126266821734</v>
      </c>
      <c r="Q294" s="72">
        <v>1.5</v>
      </c>
      <c r="R294" s="69">
        <f t="shared" ca="1" si="767"/>
        <v>0.57542775216777986</v>
      </c>
      <c r="S294" s="73">
        <f t="shared" ca="1" si="768"/>
        <v>0.86314162825166985</v>
      </c>
      <c r="T294" s="72">
        <f ca="1">SUM(T276:T293)</f>
        <v>3238.2612081442016</v>
      </c>
      <c r="U294" s="72">
        <f t="shared" ca="1" si="769"/>
        <v>7.0396982785743516</v>
      </c>
      <c r="V294" s="74">
        <f t="shared" ca="1" si="770"/>
        <v>164.75869565217391</v>
      </c>
      <c r="W294" s="76"/>
      <c r="X294" s="8">
        <v>4</v>
      </c>
      <c r="Y294" s="8" t="s">
        <v>37</v>
      </c>
      <c r="Z294" s="8">
        <f t="shared" ref="Z294:AI294" si="818">SUM(D285)</f>
        <v>24</v>
      </c>
      <c r="AA294" s="9">
        <f t="shared" ca="1" si="818"/>
        <v>24</v>
      </c>
      <c r="AB294" s="10">
        <f t="shared" ca="1" si="818"/>
        <v>4707.8579999999902</v>
      </c>
      <c r="AC294" s="9">
        <f t="shared" ca="1" si="818"/>
        <v>1401</v>
      </c>
      <c r="AD294" s="9">
        <f t="shared" ca="1" si="818"/>
        <v>0</v>
      </c>
      <c r="AE294" s="9">
        <f t="shared" ca="1" si="818"/>
        <v>1401</v>
      </c>
      <c r="AF294" s="9">
        <f t="shared" ca="1" si="818"/>
        <v>2317</v>
      </c>
      <c r="AG294" s="9">
        <f t="shared" ca="1" si="818"/>
        <v>0</v>
      </c>
      <c r="AH294" s="9">
        <f t="shared" ca="1" si="818"/>
        <v>2317</v>
      </c>
      <c r="AI294" s="9">
        <f t="shared" ca="1" si="818"/>
        <v>3718</v>
      </c>
      <c r="AJ294" s="11">
        <f t="shared" ca="1" si="805"/>
        <v>196.16074999999958</v>
      </c>
      <c r="AK294" s="8">
        <f t="shared" si="814"/>
        <v>5887</v>
      </c>
      <c r="AL294" s="12">
        <f t="shared" ca="1" si="806"/>
        <v>0.63156106675726176</v>
      </c>
      <c r="AM294" s="13">
        <f t="shared" si="815"/>
        <v>1.5</v>
      </c>
      <c r="AN294" s="12">
        <f t="shared" ca="1" si="807"/>
        <v>0.52649563063853499</v>
      </c>
      <c r="AO294" s="14">
        <f t="shared" ca="1" si="808"/>
        <v>0.78974344595780244</v>
      </c>
      <c r="AP294" s="13">
        <f t="shared" ref="AP294:AQ294" ca="1" si="819">SUM(T285)</f>
        <v>189.89424007744392</v>
      </c>
      <c r="AQ294" s="13">
        <f t="shared" ca="1" si="819"/>
        <v>7.9122600032268302</v>
      </c>
      <c r="AR294" s="9">
        <f t="shared" ca="1" si="810"/>
        <v>154.91666666666666</v>
      </c>
      <c r="AS294" s="76"/>
      <c r="AT294" s="76"/>
    </row>
    <row r="295" spans="1:46" ht="15.75" customHeight="1" x14ac:dyDescent="0.2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6"/>
      <c r="X295" s="8">
        <v>5</v>
      </c>
      <c r="Y295" s="8" t="s">
        <v>39</v>
      </c>
      <c r="Z295" s="8">
        <f t="shared" ref="Z295:AI295" si="820">SUM(D286)</f>
        <v>22</v>
      </c>
      <c r="AA295" s="9">
        <f t="shared" ca="1" si="820"/>
        <v>22</v>
      </c>
      <c r="AB295" s="10">
        <f t="shared" ca="1" si="820"/>
        <v>4147.8159999999998</v>
      </c>
      <c r="AC295" s="9">
        <f t="shared" ca="1" si="820"/>
        <v>867</v>
      </c>
      <c r="AD295" s="9">
        <f t="shared" ca="1" si="820"/>
        <v>0</v>
      </c>
      <c r="AE295" s="9">
        <f t="shared" ca="1" si="820"/>
        <v>867</v>
      </c>
      <c r="AF295" s="9">
        <f t="shared" ca="1" si="820"/>
        <v>1786</v>
      </c>
      <c r="AG295" s="9">
        <f t="shared" ca="1" si="820"/>
        <v>0</v>
      </c>
      <c r="AH295" s="9">
        <f t="shared" ca="1" si="820"/>
        <v>1786</v>
      </c>
      <c r="AI295" s="9">
        <f t="shared" ca="1" si="820"/>
        <v>2653</v>
      </c>
      <c r="AJ295" s="11">
        <f t="shared" ca="1" si="805"/>
        <v>188.53709090909089</v>
      </c>
      <c r="AK295" s="8">
        <f t="shared" si="814"/>
        <v>3569</v>
      </c>
      <c r="AL295" s="12">
        <f t="shared" ca="1" si="806"/>
        <v>0.74334547492294756</v>
      </c>
      <c r="AM295" s="13">
        <f t="shared" si="815"/>
        <v>1.5</v>
      </c>
      <c r="AN295" s="12">
        <f t="shared" ca="1" si="807"/>
        <v>0.42640914318925111</v>
      </c>
      <c r="AO295" s="14">
        <f t="shared" ca="1" si="808"/>
        <v>0.63961371478387663</v>
      </c>
      <c r="AP295" s="13">
        <f t="shared" ref="AP295:AQ295" ca="1" si="821">SUM(T286)</f>
        <v>193.25425150258582</v>
      </c>
      <c r="AQ295" s="13">
        <f t="shared" ca="1" si="821"/>
        <v>8.7842841592084469</v>
      </c>
      <c r="AR295" s="9">
        <f t="shared" ca="1" si="810"/>
        <v>120.59090909090909</v>
      </c>
      <c r="AS295" s="76"/>
      <c r="AT295" s="76"/>
    </row>
    <row r="296" spans="1:46" ht="15.75" customHeight="1" x14ac:dyDescent="0.2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6"/>
      <c r="X296" s="8">
        <v>6</v>
      </c>
      <c r="Y296" s="8" t="s">
        <v>41</v>
      </c>
      <c r="Z296" s="8">
        <f t="shared" ref="Z296:AI296" si="822">SUM(D287)</f>
        <v>20</v>
      </c>
      <c r="AA296" s="9">
        <f t="shared" ca="1" si="822"/>
        <v>20</v>
      </c>
      <c r="AB296" s="10">
        <f t="shared" ca="1" si="822"/>
        <v>3993.1959999999999</v>
      </c>
      <c r="AC296" s="9">
        <f t="shared" ca="1" si="822"/>
        <v>930</v>
      </c>
      <c r="AD296" s="9">
        <f t="shared" ca="1" si="822"/>
        <v>0</v>
      </c>
      <c r="AE296" s="9">
        <f t="shared" ca="1" si="822"/>
        <v>930</v>
      </c>
      <c r="AF296" s="9">
        <f t="shared" ca="1" si="822"/>
        <v>1436</v>
      </c>
      <c r="AG296" s="9">
        <f t="shared" ca="1" si="822"/>
        <v>0</v>
      </c>
      <c r="AH296" s="9">
        <f t="shared" ca="1" si="822"/>
        <v>1436</v>
      </c>
      <c r="AI296" s="9">
        <f t="shared" ca="1" si="822"/>
        <v>2366</v>
      </c>
      <c r="AJ296" s="11">
        <f t="shared" ca="1" si="805"/>
        <v>199.65979999999999</v>
      </c>
      <c r="AK296" s="8">
        <f t="shared" si="814"/>
        <v>3801</v>
      </c>
      <c r="AL296" s="12">
        <f t="shared" ca="1" si="806"/>
        <v>0.62246777163904232</v>
      </c>
      <c r="AM296" s="13">
        <f t="shared" si="815"/>
        <v>1.5</v>
      </c>
      <c r="AN296" s="12">
        <f t="shared" ca="1" si="807"/>
        <v>0.39500523724188175</v>
      </c>
      <c r="AO296" s="14">
        <f t="shared" ca="1" si="808"/>
        <v>0.59250785586282262</v>
      </c>
      <c r="AP296" s="13">
        <f t="shared" ref="AP296:AQ296" ca="1" si="823">SUM(T287)</f>
        <v>134.77777777777777</v>
      </c>
      <c r="AQ296" s="13">
        <f t="shared" ca="1" si="823"/>
        <v>6.7388888888888889</v>
      </c>
      <c r="AR296" s="9">
        <f t="shared" ca="1" si="810"/>
        <v>118.3</v>
      </c>
      <c r="AS296" s="76"/>
      <c r="AT296" s="76"/>
    </row>
    <row r="297" spans="1:46" ht="15.75" customHeight="1" x14ac:dyDescent="0.25">
      <c r="A297" s="110" t="s">
        <v>45</v>
      </c>
      <c r="B297" s="76"/>
      <c r="C297" s="76"/>
      <c r="D297" s="75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24" t="s">
        <v>33</v>
      </c>
      <c r="Y297" s="24">
        <v>6</v>
      </c>
      <c r="Z297" s="24">
        <f t="shared" ref="Z297:AI297" si="824">SUM(Z291:Z296)</f>
        <v>139</v>
      </c>
      <c r="AA297" s="25">
        <f t="shared" ca="1" si="824"/>
        <v>139</v>
      </c>
      <c r="AB297" s="27">
        <f t="shared" ca="1" si="824"/>
        <v>26625.213999999978</v>
      </c>
      <c r="AC297" s="25">
        <f t="shared" ca="1" si="824"/>
        <v>9484</v>
      </c>
      <c r="AD297" s="25">
        <f t="shared" ca="1" si="824"/>
        <v>143</v>
      </c>
      <c r="AE297" s="25">
        <f t="shared" ca="1" si="824"/>
        <v>9627</v>
      </c>
      <c r="AF297" s="25">
        <f t="shared" ca="1" si="824"/>
        <v>13860</v>
      </c>
      <c r="AG297" s="25">
        <f t="shared" ca="1" si="824"/>
        <v>120</v>
      </c>
      <c r="AH297" s="25">
        <f t="shared" ca="1" si="824"/>
        <v>13980</v>
      </c>
      <c r="AI297" s="25">
        <f t="shared" ca="1" si="824"/>
        <v>23607</v>
      </c>
      <c r="AJ297" s="27">
        <f t="shared" ca="1" si="805"/>
        <v>191.54830215827323</v>
      </c>
      <c r="AK297" s="24">
        <f>SUM(AK291:AK296)</f>
        <v>37031</v>
      </c>
      <c r="AL297" s="28">
        <f t="shared" ca="1" si="806"/>
        <v>0.63749291134454911</v>
      </c>
      <c r="AM297" s="29">
        <v>1.5</v>
      </c>
      <c r="AN297" s="28">
        <f t="shared" ca="1" si="807"/>
        <v>0.59109384059786385</v>
      </c>
      <c r="AO297" s="30">
        <f t="shared" ca="1" si="808"/>
        <v>0.88664076089679578</v>
      </c>
      <c r="AP297" s="29">
        <f ca="1">SUM(AP291:AP296)</f>
        <v>1096.3000526396299</v>
      </c>
      <c r="AQ297" s="29">
        <f ca="1">AP297/AA297</f>
        <v>7.8870507384146036</v>
      </c>
      <c r="AR297" s="25">
        <f t="shared" ca="1" si="810"/>
        <v>169.83453237410072</v>
      </c>
      <c r="AS297" s="76"/>
      <c r="AT297" s="76"/>
    </row>
    <row r="298" spans="1:46" ht="15.75" customHeight="1" x14ac:dyDescent="0.2">
      <c r="A298" s="110" t="s">
        <v>45</v>
      </c>
      <c r="B298" s="76"/>
      <c r="C298" s="76"/>
      <c r="D298" s="75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7" t="s">
        <v>1</v>
      </c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9"/>
      <c r="AS298" s="76"/>
      <c r="AT298" s="76"/>
    </row>
    <row r="299" spans="1:46" ht="15.75" customHeight="1" x14ac:dyDescent="0.2">
      <c r="A299" s="113">
        <v>46215</v>
      </c>
      <c r="B299" s="80" t="s">
        <v>2</v>
      </c>
      <c r="C299" s="80" t="s">
        <v>3</v>
      </c>
      <c r="D299" s="80" t="s">
        <v>4</v>
      </c>
      <c r="E299" s="80" t="s">
        <v>5</v>
      </c>
      <c r="F299" s="81" t="s">
        <v>6</v>
      </c>
      <c r="G299" s="80" t="s">
        <v>7</v>
      </c>
      <c r="H299" s="80" t="s">
        <v>8</v>
      </c>
      <c r="I299" s="80" t="s">
        <v>9</v>
      </c>
      <c r="J299" s="80" t="s">
        <v>10</v>
      </c>
      <c r="K299" s="80" t="s">
        <v>11</v>
      </c>
      <c r="L299" s="80" t="s">
        <v>12</v>
      </c>
      <c r="M299" s="80" t="s">
        <v>13</v>
      </c>
      <c r="N299" s="81" t="s">
        <v>14</v>
      </c>
      <c r="O299" s="80" t="s">
        <v>15</v>
      </c>
      <c r="P299" s="80" t="s">
        <v>16</v>
      </c>
      <c r="Q299" s="80" t="s">
        <v>17</v>
      </c>
      <c r="R299" s="80" t="s">
        <v>18</v>
      </c>
      <c r="S299" s="106" t="s">
        <v>19</v>
      </c>
      <c r="T299" s="107" t="s">
        <v>20</v>
      </c>
      <c r="U299" s="107" t="s">
        <v>21</v>
      </c>
      <c r="V299" s="105" t="s">
        <v>22</v>
      </c>
      <c r="W299" s="76"/>
      <c r="X299" s="1" t="s">
        <v>2</v>
      </c>
      <c r="Y299" s="1" t="s">
        <v>3</v>
      </c>
      <c r="Z299" s="1" t="s">
        <v>4</v>
      </c>
      <c r="AA299" s="1" t="s">
        <v>5</v>
      </c>
      <c r="AB299" s="2" t="s">
        <v>6</v>
      </c>
      <c r="AC299" s="1" t="s">
        <v>7</v>
      </c>
      <c r="AD299" s="1" t="s">
        <v>8</v>
      </c>
      <c r="AE299" s="1" t="s">
        <v>9</v>
      </c>
      <c r="AF299" s="1" t="s">
        <v>10</v>
      </c>
      <c r="AG299" s="1" t="s">
        <v>11</v>
      </c>
      <c r="AH299" s="1" t="s">
        <v>12</v>
      </c>
      <c r="AI299" s="1" t="s">
        <v>13</v>
      </c>
      <c r="AJ299" s="2" t="s">
        <v>14</v>
      </c>
      <c r="AK299" s="1" t="s">
        <v>15</v>
      </c>
      <c r="AL299" s="1" t="s">
        <v>16</v>
      </c>
      <c r="AM299" s="3" t="s">
        <v>17</v>
      </c>
      <c r="AN299" s="4" t="s">
        <v>18</v>
      </c>
      <c r="AO299" s="5" t="s">
        <v>19</v>
      </c>
      <c r="AP299" s="6" t="s">
        <v>20</v>
      </c>
      <c r="AQ299" s="6" t="s">
        <v>21</v>
      </c>
      <c r="AR299" s="7" t="s">
        <v>22</v>
      </c>
      <c r="AS299" s="76"/>
      <c r="AT299" s="76"/>
    </row>
    <row r="300" spans="1:46" ht="15.75" customHeight="1" x14ac:dyDescent="0.2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6"/>
      <c r="X300" s="8">
        <v>1</v>
      </c>
      <c r="Y300" s="8" t="s">
        <v>23</v>
      </c>
      <c r="Z300" s="8">
        <f t="shared" ref="Z300:AI300" si="825">SUM(D308)</f>
        <v>26</v>
      </c>
      <c r="AA300" s="9">
        <f t="shared" ca="1" si="825"/>
        <v>26</v>
      </c>
      <c r="AB300" s="10">
        <f t="shared" ca="1" si="825"/>
        <v>5027.2599999999902</v>
      </c>
      <c r="AC300" s="9">
        <f t="shared" ca="1" si="825"/>
        <v>910</v>
      </c>
      <c r="AD300" s="9">
        <f t="shared" ca="1" si="825"/>
        <v>0</v>
      </c>
      <c r="AE300" s="9">
        <f t="shared" ca="1" si="825"/>
        <v>910</v>
      </c>
      <c r="AF300" s="9">
        <f t="shared" ca="1" si="825"/>
        <v>2142</v>
      </c>
      <c r="AG300" s="9">
        <f t="shared" ca="1" si="825"/>
        <v>0</v>
      </c>
      <c r="AH300" s="9">
        <f t="shared" ca="1" si="825"/>
        <v>2142</v>
      </c>
      <c r="AI300" s="9">
        <f t="shared" ca="1" si="825"/>
        <v>3052</v>
      </c>
      <c r="AJ300" s="11">
        <f t="shared" ref="AJ300:AJ302" ca="1" si="826">AB300/AA300</f>
        <v>193.35615384615346</v>
      </c>
      <c r="AK300" s="8">
        <f>SUM(O308)</f>
        <v>6853</v>
      </c>
      <c r="AL300" s="12">
        <f t="shared" ref="AL300:AL306" ca="1" si="827">AI300/AK300</f>
        <v>0.44535240040858021</v>
      </c>
      <c r="AM300" s="13">
        <f t="shared" ref="AM300:AM302" si="828">SUM(Q308)</f>
        <v>1.5</v>
      </c>
      <c r="AN300" s="12">
        <f t="shared" ref="AN300:AN306" ca="1" si="829">AO300/AM300</f>
        <v>0.40472676302134181</v>
      </c>
      <c r="AO300" s="14">
        <f t="shared" ref="AO300:AO306" ca="1" si="830">AI300/AB300</f>
        <v>0.60709014453201271</v>
      </c>
      <c r="AP300" s="13">
        <f t="shared" ref="AP300:AQ300" ca="1" si="831">SUM(T308)</f>
        <v>148.99999999999969</v>
      </c>
      <c r="AQ300" s="13">
        <f t="shared" ca="1" si="831"/>
        <v>5.7307692307692184</v>
      </c>
      <c r="AR300" s="9">
        <f t="shared" ref="AR300:AR306" ca="1" si="832">AI300/AA300</f>
        <v>117.38461538461539</v>
      </c>
      <c r="AS300" s="76"/>
      <c r="AT300" s="76"/>
    </row>
    <row r="301" spans="1:46" ht="15.75" customHeight="1" x14ac:dyDescent="0.2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6"/>
      <c r="X301" s="8">
        <v>2</v>
      </c>
      <c r="Y301" s="8" t="s">
        <v>24</v>
      </c>
      <c r="Z301" s="8">
        <f t="shared" ref="Z301:AI301" si="833">SUM(D309)</f>
        <v>35</v>
      </c>
      <c r="AA301" s="9">
        <f t="shared" ca="1" si="833"/>
        <v>35</v>
      </c>
      <c r="AB301" s="10">
        <f t="shared" ca="1" si="833"/>
        <v>6557.5299999999897</v>
      </c>
      <c r="AC301" s="9">
        <f t="shared" ca="1" si="833"/>
        <v>690</v>
      </c>
      <c r="AD301" s="9">
        <f t="shared" ca="1" si="833"/>
        <v>7</v>
      </c>
      <c r="AE301" s="9">
        <f t="shared" ca="1" si="833"/>
        <v>697</v>
      </c>
      <c r="AF301" s="9">
        <f t="shared" ca="1" si="833"/>
        <v>853</v>
      </c>
      <c r="AG301" s="9">
        <f t="shared" ca="1" si="833"/>
        <v>25</v>
      </c>
      <c r="AH301" s="9">
        <f t="shared" ca="1" si="833"/>
        <v>878</v>
      </c>
      <c r="AI301" s="9">
        <f t="shared" ca="1" si="833"/>
        <v>1575</v>
      </c>
      <c r="AJ301" s="11">
        <f t="shared" ca="1" si="826"/>
        <v>187.35799999999972</v>
      </c>
      <c r="AK301" s="8">
        <v>1580</v>
      </c>
      <c r="AL301" s="12">
        <f t="shared" ca="1" si="827"/>
        <v>0.99683544303797467</v>
      </c>
      <c r="AM301" s="13">
        <f t="shared" si="828"/>
        <v>1.5</v>
      </c>
      <c r="AN301" s="12">
        <f t="shared" ca="1" si="829"/>
        <v>0.16012126517149014</v>
      </c>
      <c r="AO301" s="14">
        <f t="shared" ca="1" si="830"/>
        <v>0.2401818977572352</v>
      </c>
      <c r="AP301" s="13">
        <f t="shared" ref="AP301:AQ301" ca="1" si="834">SUM(T309)</f>
        <v>244.63831374743481</v>
      </c>
      <c r="AQ301" s="13">
        <f t="shared" ca="1" si="834"/>
        <v>6.9896661070695663</v>
      </c>
      <c r="AR301" s="9">
        <f t="shared" ca="1" si="832"/>
        <v>45</v>
      </c>
      <c r="AS301" s="76"/>
      <c r="AT301" s="76"/>
    </row>
    <row r="302" spans="1:46" ht="15.75" customHeight="1" x14ac:dyDescent="0.2">
      <c r="A302" s="70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6"/>
      <c r="X302" s="8">
        <v>3</v>
      </c>
      <c r="Y302" s="8" t="s">
        <v>25</v>
      </c>
      <c r="Z302" s="8">
        <f t="shared" ref="Z302:AI302" si="835">SUM(D310)</f>
        <v>26</v>
      </c>
      <c r="AA302" s="9">
        <f t="shared" ca="1" si="835"/>
        <v>24</v>
      </c>
      <c r="AB302" s="10">
        <f t="shared" ca="1" si="835"/>
        <v>4475.7599999999902</v>
      </c>
      <c r="AC302" s="9">
        <f t="shared" ca="1" si="835"/>
        <v>1501</v>
      </c>
      <c r="AD302" s="9">
        <f t="shared" ca="1" si="835"/>
        <v>326</v>
      </c>
      <c r="AE302" s="9">
        <f t="shared" ca="1" si="835"/>
        <v>1827</v>
      </c>
      <c r="AF302" s="9">
        <f t="shared" ca="1" si="835"/>
        <v>2175</v>
      </c>
      <c r="AG302" s="9">
        <f t="shared" ca="1" si="835"/>
        <v>131</v>
      </c>
      <c r="AH302" s="9">
        <f t="shared" ca="1" si="835"/>
        <v>2306</v>
      </c>
      <c r="AI302" s="9">
        <f t="shared" ca="1" si="835"/>
        <v>4133</v>
      </c>
      <c r="AJ302" s="11">
        <f t="shared" ca="1" si="826"/>
        <v>186.48999999999958</v>
      </c>
      <c r="AK302" s="8">
        <f>SUM(O310)</f>
        <v>6622</v>
      </c>
      <c r="AL302" s="12">
        <f t="shared" ca="1" si="827"/>
        <v>0.62413168227121718</v>
      </c>
      <c r="AM302" s="13">
        <f t="shared" si="828"/>
        <v>1.5</v>
      </c>
      <c r="AN302" s="12">
        <f t="shared" ca="1" si="829"/>
        <v>0.61561239506437782</v>
      </c>
      <c r="AO302" s="14">
        <f t="shared" ca="1" si="830"/>
        <v>0.92341859259656667</v>
      </c>
      <c r="AP302" s="13">
        <f t="shared" ref="AP302:AQ302" ca="1" si="836">SUM(T310)</f>
        <v>187.74161073825462</v>
      </c>
      <c r="AQ302" s="13">
        <f t="shared" ca="1" si="836"/>
        <v>7.8225671140939426</v>
      </c>
      <c r="AR302" s="9">
        <f t="shared" ca="1" si="832"/>
        <v>172.20833333333334</v>
      </c>
      <c r="AS302" s="76"/>
      <c r="AT302" s="76"/>
    </row>
    <row r="303" spans="1:46" ht="15.75" customHeight="1" x14ac:dyDescent="0.25">
      <c r="A303" s="70"/>
      <c r="B303" s="16">
        <v>1</v>
      </c>
      <c r="C303" s="16" t="s">
        <v>26</v>
      </c>
      <c r="D303" s="17">
        <v>15</v>
      </c>
      <c r="E303" s="18">
        <f ca="1">IFERROR(__xludf.DUMMYFUNCTION("COUNT(IMPORTRANGE(""https://docs.google.com/spreadsheets/d/1z0o91thOT38lgejTE_Bd2p3v_9VCDdQRkUsMIVqpQCk/edit"",""12!d2:d21""))"),14)</f>
        <v>14</v>
      </c>
      <c r="F303" s="19">
        <f ca="1">IFERROR(__xludf.DUMMYFUNCTION("SUM(IMPORTRANGE(""https://docs.google.com/spreadsheets/d/1z0o91thOT38lgejTE_Bd2p3v_9VCDdQRkUsMIVqpQCk/edit"",""12!Q2:Q21""))"),2587.875)</f>
        <v>2587.875</v>
      </c>
      <c r="G303" s="18">
        <f ca="1">IFERROR(__xludf.DUMMYFUNCTION("IMPORTRANGE(""https://docs.google.com/spreadsheets/d/1z0o91thOT38lgejTE_Bd2p3v_9VCDdQRkUsMIVqpQCk/edit"",""12!e28"")"),1379)</f>
        <v>1379</v>
      </c>
      <c r="H303" s="18">
        <f ca="1">IFERROR(__xludf.DUMMYFUNCTION("IMPORTRANGE(""https://docs.google.com/spreadsheets/d/1z0o91thOT38lgejTE_Bd2p3v_9VCDdQRkUsMIVqpQCk/edit"",""12!e29"")"),0)</f>
        <v>0</v>
      </c>
      <c r="I303" s="18">
        <f t="shared" ref="I303:I320" ca="1" si="837">SUM(G303:H303)</f>
        <v>1379</v>
      </c>
      <c r="J303" s="18">
        <f ca="1">IFERROR(__xludf.DUMMYFUNCTION("IMPORTRANGE(""https://docs.google.com/spreadsheets/d/1z0o91thOT38lgejTE_Bd2p3v_9VCDdQRkUsMIVqpQCk/edit"",""12!e32"")"),2145)</f>
        <v>2145</v>
      </c>
      <c r="K303" s="18">
        <f ca="1">IFERROR(__xludf.DUMMYFUNCTION("IMPORTRANGE(""https://docs.google.com/spreadsheets/d/1z0o91thOT38lgejTE_Bd2p3v_9VCDdQRkUsMIVqpQCk/edit"",""12!e33"")"),0)</f>
        <v>0</v>
      </c>
      <c r="L303" s="18">
        <f t="shared" ref="L303:L309" ca="1" si="838">SUM(J303:K303)</f>
        <v>2145</v>
      </c>
      <c r="M303" s="18">
        <f t="shared" ref="M303:M320" ca="1" si="839">SUM(I303+L303)</f>
        <v>3524</v>
      </c>
      <c r="N303" s="19">
        <f t="shared" ref="N303:N321" ca="1" si="840">F303/E303</f>
        <v>184.84821428571428</v>
      </c>
      <c r="O303" s="16">
        <v>5161</v>
      </c>
      <c r="P303" s="20">
        <f t="shared" ref="P303:P321" ca="1" si="841">M303/O303</f>
        <v>0.68281340825421433</v>
      </c>
      <c r="Q303" s="21">
        <v>1.5</v>
      </c>
      <c r="R303" s="20">
        <f t="shared" ref="R303:R321" ca="1" si="842">S303/Q303</f>
        <v>0.90782334283276178</v>
      </c>
      <c r="S303" s="22">
        <f t="shared" ref="S303:S321" ca="1" si="843">M303/F303</f>
        <v>1.3617350142491427</v>
      </c>
      <c r="T303" s="21">
        <f ca="1">F303/14.415</f>
        <v>179.52653485952135</v>
      </c>
      <c r="U303" s="21">
        <f t="shared" ref="U303:U321" ca="1" si="844">T303/E303</f>
        <v>12.823323918537239</v>
      </c>
      <c r="V303" s="18">
        <f t="shared" ref="V303:V321" ca="1" si="845">M303/E303</f>
        <v>251.71428571428572</v>
      </c>
      <c r="W303" s="76"/>
      <c r="X303" s="8">
        <v>4</v>
      </c>
      <c r="Y303" s="8" t="s">
        <v>27</v>
      </c>
      <c r="Z303" s="8">
        <f t="shared" ref="Z303:AK303" si="846">SUM(D316)</f>
        <v>23</v>
      </c>
      <c r="AA303" s="9">
        <f t="shared" ca="1" si="846"/>
        <v>23</v>
      </c>
      <c r="AB303" s="10">
        <f t="shared" ca="1" si="846"/>
        <v>4192.7429999999904</v>
      </c>
      <c r="AC303" s="9">
        <f t="shared" ca="1" si="846"/>
        <v>1280</v>
      </c>
      <c r="AD303" s="9">
        <f t="shared" ca="1" si="846"/>
        <v>0</v>
      </c>
      <c r="AE303" s="9">
        <f t="shared" ca="1" si="846"/>
        <v>1280</v>
      </c>
      <c r="AF303" s="9">
        <f t="shared" ca="1" si="846"/>
        <v>2525</v>
      </c>
      <c r="AG303" s="9">
        <f t="shared" ca="1" si="846"/>
        <v>0</v>
      </c>
      <c r="AH303" s="9">
        <f t="shared" ca="1" si="846"/>
        <v>2525</v>
      </c>
      <c r="AI303" s="9">
        <f t="shared" ca="1" si="846"/>
        <v>3805</v>
      </c>
      <c r="AJ303" s="11">
        <f t="shared" ca="1" si="846"/>
        <v>182.29317391304306</v>
      </c>
      <c r="AK303" s="8">
        <f t="shared" si="846"/>
        <v>8101</v>
      </c>
      <c r="AL303" s="12">
        <f t="shared" ca="1" si="827"/>
        <v>0.46969509937044807</v>
      </c>
      <c r="AM303" s="13">
        <f>SUM(Q316)</f>
        <v>1.5</v>
      </c>
      <c r="AN303" s="12">
        <f t="shared" ca="1" si="829"/>
        <v>0.60501363109226403</v>
      </c>
      <c r="AO303" s="14">
        <f t="shared" ca="1" si="830"/>
        <v>0.90752044663839604</v>
      </c>
      <c r="AP303" s="13">
        <f t="shared" ref="AP303:AQ303" ca="1" si="847">SUM(T316)</f>
        <v>209.79449587190345</v>
      </c>
      <c r="AQ303" s="13">
        <f t="shared" ca="1" si="847"/>
        <v>9.1214998205175419</v>
      </c>
      <c r="AR303" s="9">
        <f t="shared" ca="1" si="832"/>
        <v>165.43478260869566</v>
      </c>
      <c r="AS303" s="76"/>
      <c r="AT303" s="76"/>
    </row>
    <row r="304" spans="1:46" ht="15.75" customHeight="1" x14ac:dyDescent="0.25">
      <c r="A304" s="70"/>
      <c r="B304" s="16">
        <v>2</v>
      </c>
      <c r="C304" s="16" t="s">
        <v>28</v>
      </c>
      <c r="D304" s="17">
        <v>24</v>
      </c>
      <c r="E304" s="18">
        <f ca="1">IFERROR(__xludf.DUMMYFUNCTION("COUNT(IMPORTRANGE(""https://docs.google.com/spreadsheets/d/10a85iNN0y9GF6ngQfF1JXGAzFk-T7ywH4-TZtQcOTaE/edit"",""12!d2:d34""))"),24)</f>
        <v>24</v>
      </c>
      <c r="F304" s="19">
        <f ca="1">IFERROR(__xludf.DUMMYFUNCTION("SUM(IMPORTRANGE(""https://docs.google.com/spreadsheets/d/10a85iNN0y9GF6ngQfF1JXGAzFk-T7ywH4-TZtQcOTaE/edit"",""12!Q2:Q34""))"),4705.90999999999)</f>
        <v>4705.9099999999899</v>
      </c>
      <c r="G304" s="18">
        <f ca="1">IFERROR(__xludf.DUMMYFUNCTION("IMPORTRANGE(""https://docs.google.com/spreadsheets/d/10a85iNN0y9GF6ngQfF1JXGAzFk-T7ywH4-TZtQcOTaE/edit"",""12!e41"")"),1660)</f>
        <v>1660</v>
      </c>
      <c r="H304" s="18">
        <f ca="1">IFERROR(__xludf.DUMMYFUNCTION("IMPORTRANGE(""https://docs.google.com/spreadsheets/d/10a85iNN0y9GF6ngQfF1JXGAzFk-T7ywH4-TZtQcOTaE/edit"",""12!e42"")"),81)</f>
        <v>81</v>
      </c>
      <c r="I304" s="18">
        <f t="shared" ca="1" si="837"/>
        <v>1741</v>
      </c>
      <c r="J304" s="18">
        <f ca="1">IFERROR(__xludf.DUMMYFUNCTION("IMPORTRANGE(""https://docs.google.com/spreadsheets/d/10a85iNN0y9GF6ngQfF1JXGAzFk-T7ywH4-TZtQcOTaE/edit"",""12!e45"")"),1928)</f>
        <v>1928</v>
      </c>
      <c r="K304" s="18">
        <f ca="1">IFERROR(__xludf.DUMMYFUNCTION("IMPORTRANGE(""https://docs.google.com/spreadsheets/d/10a85iNN0y9GF6ngQfF1JXGAzFk-T7ywH4-TZtQcOTaE/edit"",""12!e46"")"),85)</f>
        <v>85</v>
      </c>
      <c r="L304" s="18">
        <f t="shared" ca="1" si="838"/>
        <v>2013</v>
      </c>
      <c r="M304" s="18">
        <f t="shared" ca="1" si="839"/>
        <v>3754</v>
      </c>
      <c r="N304" s="19">
        <f t="shared" ca="1" si="840"/>
        <v>196.07958333333292</v>
      </c>
      <c r="O304" s="16">
        <v>7315</v>
      </c>
      <c r="P304" s="20">
        <f t="shared" ca="1" si="841"/>
        <v>0.51319207108680798</v>
      </c>
      <c r="Q304" s="21">
        <v>1.5</v>
      </c>
      <c r="R304" s="20">
        <f t="shared" ca="1" si="842"/>
        <v>0.53181354226210698</v>
      </c>
      <c r="S304" s="22">
        <f t="shared" ca="1" si="843"/>
        <v>0.79772031339316052</v>
      </c>
      <c r="T304" s="21">
        <f ca="1">F304/30.897</f>
        <v>152.3096093471855</v>
      </c>
      <c r="U304" s="21">
        <f t="shared" ca="1" si="844"/>
        <v>6.3462337227993961</v>
      </c>
      <c r="V304" s="18">
        <f t="shared" ca="1" si="845"/>
        <v>156.41666666666666</v>
      </c>
      <c r="W304" s="76"/>
      <c r="X304" s="8">
        <v>5</v>
      </c>
      <c r="Y304" s="8" t="s">
        <v>29</v>
      </c>
      <c r="Z304" s="8">
        <f t="shared" ref="Z304:AI304" si="848">SUM(D319)</f>
        <v>23</v>
      </c>
      <c r="AA304" s="9">
        <f t="shared" ca="1" si="848"/>
        <v>22</v>
      </c>
      <c r="AB304" s="10">
        <f t="shared" ca="1" si="848"/>
        <v>4322.308</v>
      </c>
      <c r="AC304" s="9">
        <f t="shared" ca="1" si="848"/>
        <v>1587</v>
      </c>
      <c r="AD304" s="9">
        <f t="shared" ca="1" si="848"/>
        <v>0</v>
      </c>
      <c r="AE304" s="9">
        <f t="shared" ca="1" si="848"/>
        <v>1587</v>
      </c>
      <c r="AF304" s="9">
        <f t="shared" ca="1" si="848"/>
        <v>2585</v>
      </c>
      <c r="AG304" s="9">
        <f t="shared" ca="1" si="848"/>
        <v>0</v>
      </c>
      <c r="AH304" s="9">
        <f t="shared" ca="1" si="848"/>
        <v>2585</v>
      </c>
      <c r="AI304" s="9">
        <f t="shared" ca="1" si="848"/>
        <v>4172</v>
      </c>
      <c r="AJ304" s="11">
        <f t="shared" ref="AJ304:AJ306" ca="1" si="849">AB304/AA304</f>
        <v>196.46854545454545</v>
      </c>
      <c r="AK304" s="8">
        <f t="shared" ref="AK304:AK305" si="850">SUM(O319)</f>
        <v>9201</v>
      </c>
      <c r="AL304" s="12">
        <f t="shared" ca="1" si="827"/>
        <v>0.45342897511140096</v>
      </c>
      <c r="AM304" s="13">
        <f t="shared" ref="AM304:AM305" si="851">SUM(Q319)</f>
        <v>1.5</v>
      </c>
      <c r="AN304" s="12">
        <f t="shared" ca="1" si="829"/>
        <v>0.64348337354333218</v>
      </c>
      <c r="AO304" s="14">
        <f t="shared" ca="1" si="830"/>
        <v>0.96522506031499833</v>
      </c>
      <c r="AP304" s="13">
        <f t="shared" ref="AP304:AQ304" ca="1" si="852">SUM(T319)</f>
        <v>166</v>
      </c>
      <c r="AQ304" s="13">
        <f t="shared" ca="1" si="852"/>
        <v>7.5454545454545459</v>
      </c>
      <c r="AR304" s="9">
        <f t="shared" ca="1" si="832"/>
        <v>189.63636363636363</v>
      </c>
      <c r="AS304" s="76"/>
      <c r="AT304" s="76"/>
    </row>
    <row r="305" spans="1:46" ht="15.75" customHeight="1" x14ac:dyDescent="0.25">
      <c r="A305" s="70"/>
      <c r="B305" s="16">
        <v>3</v>
      </c>
      <c r="C305" s="16" t="s">
        <v>30</v>
      </c>
      <c r="D305" s="17">
        <v>45</v>
      </c>
      <c r="E305" s="18">
        <f ca="1">IFERROR(__xludf.DUMMYFUNCTION("COUNT(IMPORTRANGE(""https://docs.google.com/spreadsheets/d/1WojVzHhpzodJL1e5UDHeu3A3u5MTSZwvxHu0BrwvL9w/edit"",""12!d2:d61""))"),44)</f>
        <v>44</v>
      </c>
      <c r="F305" s="23">
        <f ca="1">IFERROR(__xludf.DUMMYFUNCTION("SUM(IMPORTRANGE(""https://docs.google.com/spreadsheets/d/1WojVzHhpzodJL1e5UDHeu3A3u5MTSZwvxHu0BrwvL9w/edit"",""12!Q2:Q61""))"),8690.58299999999)</f>
        <v>8690.5829999999896</v>
      </c>
      <c r="G305" s="18">
        <f ca="1">IFERROR(__xludf.DUMMYFUNCTION("IMPORTRANGE(""https://docs.google.com/spreadsheets/d/1WojVzHhpzodJL1e5UDHeu3A3u5MTSZwvxHu0BrwvL9w/edit"",""12!e68"")"),2379)</f>
        <v>2379</v>
      </c>
      <c r="H305" s="18">
        <f ca="1">IFERROR(__xludf.DUMMYFUNCTION("IMPORTRANGE(""https://docs.google.com/spreadsheets/d/1WojVzHhpzodJL1e5UDHeu3A3u5MTSZwvxHu0BrwvL9w/edit"",""12!e69"")"),0)</f>
        <v>0</v>
      </c>
      <c r="I305" s="18">
        <f t="shared" ca="1" si="837"/>
        <v>2379</v>
      </c>
      <c r="J305" s="18">
        <f ca="1">IFERROR(__xludf.DUMMYFUNCTION("IMPORTRANGE(""https://docs.google.com/spreadsheets/d/1WojVzHhpzodJL1e5UDHeu3A3u5MTSZwvxHu0BrwvL9w/edit"",""12!e72"")"),4222)</f>
        <v>4222</v>
      </c>
      <c r="K305" s="18">
        <f ca="1">IFERROR(__xludf.DUMMYFUNCTION("IMPORTRANGE(""https://docs.google.com/spreadsheets/d/1WojVzHhpzodJL1e5UDHeu3A3u5MTSZwvxHu0BrwvL9w/edit"",""12!e73"")"),0)</f>
        <v>0</v>
      </c>
      <c r="L305" s="18">
        <f t="shared" ca="1" si="838"/>
        <v>4222</v>
      </c>
      <c r="M305" s="18">
        <f t="shared" ca="1" si="839"/>
        <v>6601</v>
      </c>
      <c r="N305" s="19">
        <f t="shared" ca="1" si="840"/>
        <v>197.51324999999977</v>
      </c>
      <c r="O305" s="16">
        <v>11164</v>
      </c>
      <c r="P305" s="20">
        <f t="shared" ca="1" si="841"/>
        <v>0.59127552848441423</v>
      </c>
      <c r="Q305" s="21">
        <v>1.5</v>
      </c>
      <c r="R305" s="20">
        <f t="shared" ca="1" si="842"/>
        <v>0.50637185867354029</v>
      </c>
      <c r="S305" s="22">
        <f t="shared" ca="1" si="843"/>
        <v>0.75955778801031049</v>
      </c>
      <c r="T305" s="21">
        <f ca="1">F305/29.603</f>
        <v>293.57102320710703</v>
      </c>
      <c r="U305" s="21">
        <f t="shared" ca="1" si="844"/>
        <v>6.6720687092524322</v>
      </c>
      <c r="V305" s="18">
        <f t="shared" ca="1" si="845"/>
        <v>150.02272727272728</v>
      </c>
      <c r="W305" s="76"/>
      <c r="X305" s="8">
        <v>6</v>
      </c>
      <c r="Y305" s="8" t="s">
        <v>31</v>
      </c>
      <c r="Z305" s="8">
        <f t="shared" ref="Z305:AI305" si="853">SUM(D320)</f>
        <v>11</v>
      </c>
      <c r="AA305" s="9">
        <f t="shared" ca="1" si="853"/>
        <v>11</v>
      </c>
      <c r="AB305" s="11">
        <f t="shared" ca="1" si="853"/>
        <v>1979.3789999999999</v>
      </c>
      <c r="AC305" s="9">
        <f t="shared" ca="1" si="853"/>
        <v>417</v>
      </c>
      <c r="AD305" s="9">
        <f t="shared" ca="1" si="853"/>
        <v>24</v>
      </c>
      <c r="AE305" s="9">
        <f t="shared" ca="1" si="853"/>
        <v>441</v>
      </c>
      <c r="AF305" s="9">
        <f t="shared" ca="1" si="853"/>
        <v>679</v>
      </c>
      <c r="AG305" s="9">
        <f t="shared" ca="1" si="853"/>
        <v>0</v>
      </c>
      <c r="AH305" s="9">
        <f t="shared" ca="1" si="853"/>
        <v>679</v>
      </c>
      <c r="AI305" s="9">
        <f t="shared" ca="1" si="853"/>
        <v>1120</v>
      </c>
      <c r="AJ305" s="11">
        <f t="shared" ca="1" si="849"/>
        <v>179.94354545454544</v>
      </c>
      <c r="AK305" s="8">
        <f t="shared" si="850"/>
        <v>2717</v>
      </c>
      <c r="AL305" s="12">
        <f t="shared" ca="1" si="827"/>
        <v>0.41221935958778066</v>
      </c>
      <c r="AM305" s="13">
        <f t="shared" si="851"/>
        <v>1.5</v>
      </c>
      <c r="AN305" s="12">
        <f t="shared" ca="1" si="829"/>
        <v>0.37722268785647756</v>
      </c>
      <c r="AO305" s="14">
        <f t="shared" ca="1" si="830"/>
        <v>0.56583403178471636</v>
      </c>
      <c r="AP305" s="13">
        <f t="shared" ref="AP305:AQ305" ca="1" si="854">SUM(T320)</f>
        <v>45.539606580006897</v>
      </c>
      <c r="AQ305" s="13">
        <f t="shared" ca="1" si="854"/>
        <v>4.1399642345460812</v>
      </c>
      <c r="AR305" s="9">
        <f t="shared" ca="1" si="832"/>
        <v>101.81818181818181</v>
      </c>
      <c r="AS305" s="76"/>
      <c r="AT305" s="76"/>
    </row>
    <row r="306" spans="1:46" ht="15.75" customHeight="1" x14ac:dyDescent="0.25">
      <c r="A306" s="70"/>
      <c r="B306" s="16">
        <v>4</v>
      </c>
      <c r="C306" s="16" t="s">
        <v>32</v>
      </c>
      <c r="D306" s="17">
        <v>32</v>
      </c>
      <c r="E306" s="18">
        <f ca="1">IFERROR(__xludf.DUMMYFUNCTION("COUNT(IMPORTRANGE(""https://docs.google.com/spreadsheets/d/1vmCj5YcMSPHj1m64syDndQ6cqVL3yolcU03Y8KHmvdc/edit"",""12!d2:d43""))"),32)</f>
        <v>32</v>
      </c>
      <c r="F306" s="23">
        <f ca="1">IFERROR(__xludf.DUMMYFUNCTION("SUM(IMPORTRANGE(""https://docs.google.com/spreadsheets/d/1vmCj5YcMSPHj1m64syDndQ6cqVL3yolcU03Y8KHmvdc/edit"",""12!Q2:Q43""))"),6160.42399999999)</f>
        <v>6160.42399999999</v>
      </c>
      <c r="G306" s="16">
        <f ca="1">IFERROR(__xludf.DUMMYFUNCTION("IMPORTRANGE(""https://docs.google.com/spreadsheets/d/1vmCj5YcMSPHj1m64syDndQ6cqVL3yolcU03Y8KHmvdc/edit"",""12!e50"")"),3124)</f>
        <v>3124</v>
      </c>
      <c r="H306" s="16">
        <f ca="1">IFERROR(__xludf.DUMMYFUNCTION("IMPORTRANGE(""https://docs.google.com/spreadsheets/d/1vmCj5YcMSPHj1m64syDndQ6cqVL3yolcU03Y8KHmvdc/edit"",""12!e51"")"),0)</f>
        <v>0</v>
      </c>
      <c r="I306" s="18">
        <f t="shared" ca="1" si="837"/>
        <v>3124</v>
      </c>
      <c r="J306" s="16">
        <f ca="1">IFERROR(__xludf.DUMMYFUNCTION("IMPORTRANGE(""https://docs.google.com/spreadsheets/d/1vmCj5YcMSPHj1m64syDndQ6cqVL3yolcU03Y8KHmvdc/edit"",""12!e54"")"),4153)</f>
        <v>4153</v>
      </c>
      <c r="K306" s="16">
        <f ca="1">IFERROR(__xludf.DUMMYFUNCTION("IMPORTRANGE(""https://docs.google.com/spreadsheets/d/1vmCj5YcMSPHj1m64syDndQ6cqVL3yolcU03Y8KHmvdc/edit"",""12!e55"")"),0)</f>
        <v>0</v>
      </c>
      <c r="L306" s="18">
        <f t="shared" ca="1" si="838"/>
        <v>4153</v>
      </c>
      <c r="M306" s="18">
        <f t="shared" ca="1" si="839"/>
        <v>7277</v>
      </c>
      <c r="N306" s="19">
        <f t="shared" ca="1" si="840"/>
        <v>192.51324999999969</v>
      </c>
      <c r="O306" s="16">
        <v>13817</v>
      </c>
      <c r="P306" s="20">
        <f t="shared" ca="1" si="841"/>
        <v>0.52667004414851271</v>
      </c>
      <c r="Q306" s="21">
        <v>1.5</v>
      </c>
      <c r="R306" s="20">
        <f t="shared" ca="1" si="842"/>
        <v>0.7874999080149907</v>
      </c>
      <c r="S306" s="22">
        <f t="shared" ca="1" si="843"/>
        <v>1.1812498620224861</v>
      </c>
      <c r="T306" s="21">
        <f ca="1">F306/25.089</f>
        <v>245.54282753397865</v>
      </c>
      <c r="U306" s="21">
        <f t="shared" ca="1" si="844"/>
        <v>7.6732133604368329</v>
      </c>
      <c r="V306" s="18">
        <f t="shared" ca="1" si="845"/>
        <v>227.40625</v>
      </c>
      <c r="W306" s="76"/>
      <c r="X306" s="35" t="s">
        <v>33</v>
      </c>
      <c r="Y306" s="24">
        <v>6</v>
      </c>
      <c r="Z306" s="24">
        <f t="shared" ref="Z306:AI306" si="855">SUM(Z300:Z305)</f>
        <v>144</v>
      </c>
      <c r="AA306" s="25">
        <f t="shared" ca="1" si="855"/>
        <v>141</v>
      </c>
      <c r="AB306" s="26">
        <f t="shared" ca="1" si="855"/>
        <v>26554.979999999963</v>
      </c>
      <c r="AC306" s="25">
        <f t="shared" ca="1" si="855"/>
        <v>6385</v>
      </c>
      <c r="AD306" s="25">
        <f t="shared" ca="1" si="855"/>
        <v>357</v>
      </c>
      <c r="AE306" s="25">
        <f t="shared" ca="1" si="855"/>
        <v>6742</v>
      </c>
      <c r="AF306" s="25">
        <f t="shared" ca="1" si="855"/>
        <v>10959</v>
      </c>
      <c r="AG306" s="25">
        <f t="shared" ca="1" si="855"/>
        <v>156</v>
      </c>
      <c r="AH306" s="25">
        <f t="shared" ca="1" si="855"/>
        <v>11115</v>
      </c>
      <c r="AI306" s="25">
        <f t="shared" ca="1" si="855"/>
        <v>17857</v>
      </c>
      <c r="AJ306" s="27">
        <f t="shared" ca="1" si="849"/>
        <v>188.33319148936144</v>
      </c>
      <c r="AK306" s="24">
        <f>SUM(AK300:AK305)</f>
        <v>35074</v>
      </c>
      <c r="AL306" s="28">
        <f t="shared" ca="1" si="827"/>
        <v>0.50912356731482011</v>
      </c>
      <c r="AM306" s="29">
        <v>1.5</v>
      </c>
      <c r="AN306" s="28">
        <f t="shared" ca="1" si="829"/>
        <v>0.44830260337860106</v>
      </c>
      <c r="AO306" s="30">
        <f t="shared" ca="1" si="830"/>
        <v>0.67245390506790159</v>
      </c>
      <c r="AP306" s="29">
        <f ca="1">SUM(AP300:AP305)</f>
        <v>1002.7140269375994</v>
      </c>
      <c r="AQ306" s="29">
        <f ca="1">AP306/AA306</f>
        <v>7.111446999557443</v>
      </c>
      <c r="AR306" s="25">
        <f t="shared" ca="1" si="832"/>
        <v>126.64539007092199</v>
      </c>
      <c r="AS306" s="76"/>
      <c r="AT306" s="76"/>
    </row>
    <row r="307" spans="1:46" ht="15.75" customHeight="1" x14ac:dyDescent="0.25">
      <c r="A307" s="70"/>
      <c r="B307" s="16">
        <v>5</v>
      </c>
      <c r="C307" s="16" t="s">
        <v>34</v>
      </c>
      <c r="D307" s="17">
        <v>30</v>
      </c>
      <c r="E307" s="18">
        <f ca="1">IFERROR(__xludf.DUMMYFUNCTION("COUNT(IMPORTRANGE(""https://docs.google.com/spreadsheets/d/14_Y-fpuq1wcec3DlT_1PBYekOC0YblQMrWVfO12YO3k/edit"",""12!d2:d41""))"),29)</f>
        <v>29</v>
      </c>
      <c r="F307" s="23">
        <f ca="1">IFERROR(__xludf.DUMMYFUNCTION("SUM(IMPORTRANGE(""https://docs.google.com/spreadsheets/d/14_Y-fpuq1wcec3DlT_1PBYekOC0YblQMrWVfO12YO3k/edit"",""12!Q2:Q41""))"),5740.971)</f>
        <v>5740.9709999999995</v>
      </c>
      <c r="G307" s="18">
        <f ca="1">IFERROR(__xludf.DUMMYFUNCTION("IMPORTRANGE(""https://docs.google.com/spreadsheets/d/14_Y-fpuq1wcec3DlT_1PBYekOC0YblQMrWVfO12YO3k/edit"",""12!e48"")"),1806)</f>
        <v>1806</v>
      </c>
      <c r="H307" s="18">
        <f ca="1">IFERROR(__xludf.DUMMYFUNCTION("IMPORTRANGE(""https://docs.google.com/spreadsheets/d/14_Y-fpuq1wcec3DlT_1PBYekOC0YblQMrWVfO12YO3k/edit"",""12!e49"")"),0)</f>
        <v>0</v>
      </c>
      <c r="I307" s="18">
        <f t="shared" ca="1" si="837"/>
        <v>1806</v>
      </c>
      <c r="J307" s="18">
        <f ca="1">IFERROR(__xludf.DUMMYFUNCTION("IMPORTRANGE(""https://docs.google.com/spreadsheets/d/14_Y-fpuq1wcec3DlT_1PBYekOC0YblQMrWVfO12YO3k/edit"",""12!e52"")"),2492)</f>
        <v>2492</v>
      </c>
      <c r="K307" s="18">
        <f ca="1">IFERROR(__xludf.DUMMYFUNCTION("IMPORTRANGE(""https://docs.google.com/spreadsheets/d/14_Y-fpuq1wcec3DlT_1PBYekOC0YblQMrWVfO12YO3k/edit"",""12!e53"")"),0)</f>
        <v>0</v>
      </c>
      <c r="L307" s="18">
        <f t="shared" ca="1" si="838"/>
        <v>2492</v>
      </c>
      <c r="M307" s="18">
        <f t="shared" ca="1" si="839"/>
        <v>4298</v>
      </c>
      <c r="N307" s="19">
        <f t="shared" ca="1" si="840"/>
        <v>197.9645172413793</v>
      </c>
      <c r="O307" s="16">
        <v>9354</v>
      </c>
      <c r="P307" s="20">
        <f t="shared" ca="1" si="841"/>
        <v>0.4594825742997648</v>
      </c>
      <c r="Q307" s="21">
        <v>1.5</v>
      </c>
      <c r="R307" s="20">
        <f t="shared" ca="1" si="842"/>
        <v>0.49910256180240825</v>
      </c>
      <c r="S307" s="22">
        <f t="shared" ca="1" si="843"/>
        <v>0.74865384270361235</v>
      </c>
      <c r="T307" s="21">
        <f ca="1">F307/30.713</f>
        <v>186.92315957412168</v>
      </c>
      <c r="U307" s="21">
        <f t="shared" ca="1" si="844"/>
        <v>6.4456261922110922</v>
      </c>
      <c r="V307" s="18">
        <f t="shared" ca="1" si="845"/>
        <v>148.20689655172413</v>
      </c>
      <c r="W307" s="76"/>
      <c r="X307" s="100" t="s">
        <v>35</v>
      </c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9"/>
      <c r="AS307" s="76"/>
      <c r="AT307" s="76"/>
    </row>
    <row r="308" spans="1:46" ht="15.75" customHeight="1" x14ac:dyDescent="0.25">
      <c r="A308" s="70"/>
      <c r="B308" s="16">
        <v>6</v>
      </c>
      <c r="C308" s="16" t="s">
        <v>23</v>
      </c>
      <c r="D308" s="17">
        <v>26</v>
      </c>
      <c r="E308" s="18">
        <f ca="1">IFERROR(__xludf.DUMMYFUNCTION("COUNT(IMPORTRANGE(""https://docs.google.com/spreadsheets/d/1lJqjdj05V4LOXuBOiTdE65GV4ZITyx1cMLcDdcuoUnE/edit"",""12!d2:d36""))"),26)</f>
        <v>26</v>
      </c>
      <c r="F308" s="23">
        <f ca="1">IFERROR(__xludf.DUMMYFUNCTION("SUM(IMPORTRANGE(""https://docs.google.com/spreadsheets/d/1lJqjdj05V4LOXuBOiTdE65GV4ZITyx1cMLcDdcuoUnE/edit"",""12!Q2:Q36""))"),5027.25999999999)</f>
        <v>5027.2599999999902</v>
      </c>
      <c r="G308" s="18">
        <f ca="1">IFERROR(__xludf.DUMMYFUNCTION("IMPORTRANGE(""https://docs.google.com/spreadsheets/d/1lJqjdj05V4LOXuBOiTdE65GV4ZITyx1cMLcDdcuoUnE/edit"",""12!e43"")"),910)</f>
        <v>910</v>
      </c>
      <c r="H308" s="18">
        <f ca="1">IFERROR(__xludf.DUMMYFUNCTION("IMPORTRANGE(""https://docs.google.com/spreadsheets/d/1lJqjdj05V4LOXuBOiTdE65GV4ZITyx1cMLcDdcuoUnE/edit"",""12!e44"")"),0)</f>
        <v>0</v>
      </c>
      <c r="I308" s="18">
        <f t="shared" ca="1" si="837"/>
        <v>910</v>
      </c>
      <c r="J308" s="18">
        <f ca="1">IFERROR(__xludf.DUMMYFUNCTION("IMPORTRANGE(""https://docs.google.com/spreadsheets/d/1lJqjdj05V4LOXuBOiTdE65GV4ZITyx1cMLcDdcuoUnE/edit"",""12!e47"")"),2142)</f>
        <v>2142</v>
      </c>
      <c r="K308" s="18">
        <f ca="1">IFERROR(__xludf.DUMMYFUNCTION("IMPORTRANGE(""https://docs.google.com/spreadsheets/d/1lJqjdj05V4LOXuBOiTdE65GV4ZITyx1cMLcDdcuoUnE/edit"",""12!e48"")"),0)</f>
        <v>0</v>
      </c>
      <c r="L308" s="18">
        <f t="shared" ca="1" si="838"/>
        <v>2142</v>
      </c>
      <c r="M308" s="18">
        <f t="shared" ca="1" si="839"/>
        <v>3052</v>
      </c>
      <c r="N308" s="19">
        <f t="shared" ca="1" si="840"/>
        <v>193.35615384615346</v>
      </c>
      <c r="O308" s="16">
        <v>6853</v>
      </c>
      <c r="P308" s="20">
        <f t="shared" ca="1" si="841"/>
        <v>0.44535240040858021</v>
      </c>
      <c r="Q308" s="21">
        <v>1.5</v>
      </c>
      <c r="R308" s="20">
        <f t="shared" ca="1" si="842"/>
        <v>0.40472676302134181</v>
      </c>
      <c r="S308" s="22">
        <f t="shared" ca="1" si="843"/>
        <v>0.60709014453201271</v>
      </c>
      <c r="T308" s="21">
        <f ca="1">F308/33.74</f>
        <v>148.99999999999969</v>
      </c>
      <c r="U308" s="21">
        <f t="shared" ca="1" si="844"/>
        <v>5.7307692307692184</v>
      </c>
      <c r="V308" s="18">
        <f t="shared" ca="1" si="845"/>
        <v>117.38461538461539</v>
      </c>
      <c r="W308" s="76"/>
      <c r="X308" s="1" t="s">
        <v>2</v>
      </c>
      <c r="Y308" s="1" t="s">
        <v>3</v>
      </c>
      <c r="Z308" s="1" t="s">
        <v>4</v>
      </c>
      <c r="AA308" s="1" t="s">
        <v>5</v>
      </c>
      <c r="AB308" s="2" t="s">
        <v>6</v>
      </c>
      <c r="AC308" s="1" t="s">
        <v>7</v>
      </c>
      <c r="AD308" s="1" t="s">
        <v>8</v>
      </c>
      <c r="AE308" s="1" t="s">
        <v>9</v>
      </c>
      <c r="AF308" s="1" t="s">
        <v>10</v>
      </c>
      <c r="AG308" s="1" t="s">
        <v>11</v>
      </c>
      <c r="AH308" s="1" t="s">
        <v>12</v>
      </c>
      <c r="AI308" s="1" t="s">
        <v>13</v>
      </c>
      <c r="AJ308" s="2" t="s">
        <v>14</v>
      </c>
      <c r="AK308" s="1" t="s">
        <v>15</v>
      </c>
      <c r="AL308" s="1" t="s">
        <v>16</v>
      </c>
      <c r="AM308" s="3" t="s">
        <v>17</v>
      </c>
      <c r="AN308" s="4" t="s">
        <v>18</v>
      </c>
      <c r="AO308" s="5" t="s">
        <v>19</v>
      </c>
      <c r="AP308" s="6" t="s">
        <v>20</v>
      </c>
      <c r="AQ308" s="6" t="s">
        <v>21</v>
      </c>
      <c r="AR308" s="7" t="s">
        <v>22</v>
      </c>
      <c r="AS308" s="76"/>
      <c r="AT308" s="76"/>
    </row>
    <row r="309" spans="1:46" ht="15.75" customHeight="1" x14ac:dyDescent="0.25">
      <c r="A309" s="70"/>
      <c r="B309" s="16">
        <v>7</v>
      </c>
      <c r="C309" s="16" t="s">
        <v>24</v>
      </c>
      <c r="D309" s="17">
        <v>35</v>
      </c>
      <c r="E309" s="31">
        <f ca="1">IFERROR(__xludf.DUMMYFUNCTION("COUNT(IMPORTRANGE(""https://docs.google.com/spreadsheets/d/1_7EEO26q9Yq-XhNFiy7I6Zh4Yg6uGjTs9y0UqNvPKcQ/edit"",""12!d2:d45""))"),35)</f>
        <v>35</v>
      </c>
      <c r="F309" s="32">
        <f ca="1">IFERROR(__xludf.DUMMYFUNCTION("SUM(IMPORTRANGE(""https://docs.google.com/spreadsheets/d/1_7EEO26q9Yq-XhNFiy7I6Zh4Yg6uGjTs9y0UqNvPKcQ/edit"",""12!Q2:Q45""))"),6557.52999999999)</f>
        <v>6557.5299999999897</v>
      </c>
      <c r="G309" s="31">
        <f ca="1">IFERROR(__xludf.DUMMYFUNCTION("IMPORTRANGE(""https://docs.google.com/spreadsheets/d/1_7EEO26q9Yq-XhNFiy7I6Zh4Yg6uGjTs9y0UqNvPKcQ/edit"",""12!e53"")"),690)</f>
        <v>690</v>
      </c>
      <c r="H309" s="31">
        <f ca="1">IFERROR(__xludf.DUMMYFUNCTION("IMPORTRANGE(""https://docs.google.com/spreadsheets/d/1_7EEO26q9Yq-XhNFiy7I6Zh4Yg6uGjTs9y0UqNvPKcQ/edit"",""12!e54"")"),7)</f>
        <v>7</v>
      </c>
      <c r="I309" s="31">
        <f t="shared" ca="1" si="837"/>
        <v>697</v>
      </c>
      <c r="J309" s="31">
        <f ca="1">IFERROR(__xludf.DUMMYFUNCTION("IMPORTRANGE(""https://docs.google.com/spreadsheets/d/1_7EEO26q9Yq-XhNFiy7I6Zh4Yg6uGjTs9y0UqNvPKcQ/edit"",""12!e57"")"),853)</f>
        <v>853</v>
      </c>
      <c r="K309" s="31">
        <f ca="1">IFERROR(__xludf.DUMMYFUNCTION("IMPORTRANGE(""https://docs.google.com/spreadsheets/d/1_7EEO26q9Yq-XhNFiy7I6Zh4Yg6uGjTs9y0UqNvPKcQ/edit"",""12!e58"")"),25)</f>
        <v>25</v>
      </c>
      <c r="L309" s="18">
        <f t="shared" ca="1" si="838"/>
        <v>878</v>
      </c>
      <c r="M309" s="18">
        <f t="shared" ca="1" si="839"/>
        <v>1575</v>
      </c>
      <c r="N309" s="19">
        <f t="shared" ca="1" si="840"/>
        <v>187.35799999999972</v>
      </c>
      <c r="O309" s="16">
        <v>1580</v>
      </c>
      <c r="P309" s="20">
        <f t="shared" ca="1" si="841"/>
        <v>0.99683544303797467</v>
      </c>
      <c r="Q309" s="21">
        <v>1.5</v>
      </c>
      <c r="R309" s="20">
        <f t="shared" ca="1" si="842"/>
        <v>0.16012126517149014</v>
      </c>
      <c r="S309" s="22">
        <f t="shared" ca="1" si="843"/>
        <v>0.2401818977572352</v>
      </c>
      <c r="T309" s="21">
        <f ca="1">F309/26.805</f>
        <v>244.63831374743481</v>
      </c>
      <c r="U309" s="21">
        <f t="shared" ca="1" si="844"/>
        <v>6.9896661070695663</v>
      </c>
      <c r="V309" s="18">
        <f t="shared" ca="1" si="845"/>
        <v>45</v>
      </c>
      <c r="W309" s="76"/>
      <c r="X309" s="8">
        <v>1</v>
      </c>
      <c r="Y309" s="8" t="s">
        <v>28</v>
      </c>
      <c r="Z309" s="8">
        <f t="shared" ref="Z309:AI309" si="856">SUM(D304)</f>
        <v>24</v>
      </c>
      <c r="AA309" s="9">
        <f t="shared" ca="1" si="856"/>
        <v>24</v>
      </c>
      <c r="AB309" s="11">
        <f t="shared" ca="1" si="856"/>
        <v>4705.9099999999899</v>
      </c>
      <c r="AC309" s="9">
        <f t="shared" ca="1" si="856"/>
        <v>1660</v>
      </c>
      <c r="AD309" s="9">
        <f t="shared" ca="1" si="856"/>
        <v>81</v>
      </c>
      <c r="AE309" s="9">
        <f t="shared" ca="1" si="856"/>
        <v>1741</v>
      </c>
      <c r="AF309" s="9">
        <f t="shared" ca="1" si="856"/>
        <v>1928</v>
      </c>
      <c r="AG309" s="9">
        <f t="shared" ca="1" si="856"/>
        <v>85</v>
      </c>
      <c r="AH309" s="9">
        <f t="shared" ca="1" si="856"/>
        <v>2013</v>
      </c>
      <c r="AI309" s="9">
        <f t="shared" ca="1" si="856"/>
        <v>3754</v>
      </c>
      <c r="AJ309" s="11">
        <f t="shared" ref="AJ309:AJ315" ca="1" si="857">AB309/AA309</f>
        <v>196.07958333333292</v>
      </c>
      <c r="AK309" s="8">
        <f t="shared" ref="AK309:AK310" si="858">SUM(O304)</f>
        <v>7315</v>
      </c>
      <c r="AL309" s="12">
        <f t="shared" ref="AL309:AL315" ca="1" si="859">AI309/AK309</f>
        <v>0.51319207108680798</v>
      </c>
      <c r="AM309" s="13">
        <f t="shared" ref="AM309:AM310" si="860">SUM(Q304)</f>
        <v>1.5</v>
      </c>
      <c r="AN309" s="12">
        <f t="shared" ref="AN309:AN315" ca="1" si="861">AO309/AM309</f>
        <v>0.53181354226210698</v>
      </c>
      <c r="AO309" s="14">
        <f t="shared" ref="AO309:AO315" ca="1" si="862">AI309/AB309</f>
        <v>0.79772031339316052</v>
      </c>
      <c r="AP309" s="13">
        <f t="shared" ref="AP309:AQ309" ca="1" si="863">SUM(T304)</f>
        <v>152.3096093471855</v>
      </c>
      <c r="AQ309" s="13">
        <f t="shared" ca="1" si="863"/>
        <v>6.3462337227993961</v>
      </c>
      <c r="AR309" s="9">
        <f t="shared" ref="AR309:AR315" ca="1" si="864">AI309/AA309</f>
        <v>156.41666666666666</v>
      </c>
      <c r="AS309" s="76"/>
      <c r="AT309" s="76"/>
    </row>
    <row r="310" spans="1:46" ht="15.75" customHeight="1" x14ac:dyDescent="0.25">
      <c r="A310" s="70"/>
      <c r="B310" s="16">
        <v>8</v>
      </c>
      <c r="C310" s="16" t="s">
        <v>25</v>
      </c>
      <c r="D310" s="34">
        <v>26</v>
      </c>
      <c r="E310" s="18">
        <f ca="1">IFERROR(__xludf.DUMMYFUNCTION("COUNT(IMPORTRANGE(""https://docs.google.com/spreadsheets/d/1vLOLpiE-XsbnCnwWPcoi87PlUSXfqIAAQn3kvqHfO6s/edit"",""12!d2:D33""))"),24)</f>
        <v>24</v>
      </c>
      <c r="F310" s="23">
        <f ca="1">IFERROR(__xludf.DUMMYFUNCTION("SUM(IMPORTRANGE(""https://docs.google.com/spreadsheets/d/1vLOLpiE-XsbnCnwWPcoi87PlUSXfqIAAQn3kvqHfO6s/edit"",""12!Q2:Q33""))"),4475.75999999999)</f>
        <v>4475.7599999999902</v>
      </c>
      <c r="G310" s="18">
        <f ca="1">IFERROR(__xludf.DUMMYFUNCTION("IMPORTRANGE(""https://docs.google.com/spreadsheets/d/1vLOLpiE-XsbnCnwWPcoi87PlUSXfqIAAQn3kvqHfO6s/edit"",""12!e40"")"),1501)</f>
        <v>1501</v>
      </c>
      <c r="H310" s="18">
        <f ca="1">IFERROR(__xludf.DUMMYFUNCTION("IMPORTRANGE(""https://docs.google.com/spreadsheets/d/1vLOLpiE-XsbnCnwWPcoi87PlUSXfqIAAQn3kvqHfO6s/edit"",""12!e41"")"),326)</f>
        <v>326</v>
      </c>
      <c r="I310" s="18">
        <f t="shared" ca="1" si="837"/>
        <v>1827</v>
      </c>
      <c r="J310" s="18">
        <f ca="1">IFERROR(__xludf.DUMMYFUNCTION("IMPORTRANGE(""https://docs.google.com/spreadsheets/d/1vLOLpiE-XsbnCnwWPcoi87PlUSXfqIAAQn3kvqHfO6s/edit"",""12!e44"")"),2175)</f>
        <v>2175</v>
      </c>
      <c r="K310" s="18">
        <f ca="1">IFERROR(__xludf.DUMMYFUNCTION("IMPORTRANGE(""https://docs.google.com/spreadsheets/d/1vLOLpiE-XsbnCnwWPcoi87PlUSXfqIAAQn3kvqHfO6s/edit"",""12!e45"")"),131)</f>
        <v>131</v>
      </c>
      <c r="L310" s="18">
        <f ca="1">J310+K310</f>
        <v>2306</v>
      </c>
      <c r="M310" s="18">
        <f t="shared" ca="1" si="839"/>
        <v>4133</v>
      </c>
      <c r="N310" s="19">
        <f t="shared" ca="1" si="840"/>
        <v>186.48999999999958</v>
      </c>
      <c r="O310" s="16">
        <v>6622</v>
      </c>
      <c r="P310" s="20">
        <f t="shared" ca="1" si="841"/>
        <v>0.62413168227121718</v>
      </c>
      <c r="Q310" s="21">
        <v>1.5</v>
      </c>
      <c r="R310" s="20">
        <f t="shared" ca="1" si="842"/>
        <v>0.61561239506437782</v>
      </c>
      <c r="S310" s="22">
        <f t="shared" ca="1" si="843"/>
        <v>0.92341859259656667</v>
      </c>
      <c r="T310" s="21">
        <f ca="1">F310/23.84</f>
        <v>187.74161073825462</v>
      </c>
      <c r="U310" s="21">
        <f t="shared" ca="1" si="844"/>
        <v>7.8225671140939426</v>
      </c>
      <c r="V310" s="18">
        <f t="shared" ca="1" si="845"/>
        <v>172.20833333333334</v>
      </c>
      <c r="W310" s="76"/>
      <c r="X310" s="8">
        <v>2</v>
      </c>
      <c r="Y310" s="8" t="s">
        <v>30</v>
      </c>
      <c r="Z310" s="8">
        <f t="shared" ref="Z310:AI310" si="865">SUM(D305)</f>
        <v>45</v>
      </c>
      <c r="AA310" s="9">
        <f t="shared" ca="1" si="865"/>
        <v>44</v>
      </c>
      <c r="AB310" s="10">
        <f t="shared" ca="1" si="865"/>
        <v>8690.5829999999896</v>
      </c>
      <c r="AC310" s="9">
        <f t="shared" ca="1" si="865"/>
        <v>2379</v>
      </c>
      <c r="AD310" s="9">
        <f t="shared" ca="1" si="865"/>
        <v>0</v>
      </c>
      <c r="AE310" s="9">
        <f t="shared" ca="1" si="865"/>
        <v>2379</v>
      </c>
      <c r="AF310" s="9">
        <f t="shared" ca="1" si="865"/>
        <v>4222</v>
      </c>
      <c r="AG310" s="9">
        <f t="shared" ca="1" si="865"/>
        <v>0</v>
      </c>
      <c r="AH310" s="9">
        <f t="shared" ca="1" si="865"/>
        <v>4222</v>
      </c>
      <c r="AI310" s="9">
        <f t="shared" ca="1" si="865"/>
        <v>6601</v>
      </c>
      <c r="AJ310" s="11">
        <f t="shared" ca="1" si="857"/>
        <v>197.51324999999977</v>
      </c>
      <c r="AK310" s="8">
        <f t="shared" si="858"/>
        <v>11164</v>
      </c>
      <c r="AL310" s="12">
        <f t="shared" ca="1" si="859"/>
        <v>0.59127552848441423</v>
      </c>
      <c r="AM310" s="13">
        <f t="shared" si="860"/>
        <v>1.5</v>
      </c>
      <c r="AN310" s="12">
        <f t="shared" ca="1" si="861"/>
        <v>0.50637185867354029</v>
      </c>
      <c r="AO310" s="14">
        <f t="shared" ca="1" si="862"/>
        <v>0.75955778801031049</v>
      </c>
      <c r="AP310" s="13">
        <f t="shared" ref="AP310:AQ310" ca="1" si="866">SUM(T305)</f>
        <v>293.57102320710703</v>
      </c>
      <c r="AQ310" s="13">
        <f t="shared" ca="1" si="866"/>
        <v>6.6720687092524322</v>
      </c>
      <c r="AR310" s="9">
        <f t="shared" ca="1" si="864"/>
        <v>150.02272727272728</v>
      </c>
      <c r="AS310" s="76"/>
      <c r="AT310" s="76"/>
    </row>
    <row r="311" spans="1:46" ht="15.75" customHeight="1" x14ac:dyDescent="0.25">
      <c r="A311" s="70"/>
      <c r="B311" s="16">
        <v>9</v>
      </c>
      <c r="C311" s="16" t="s">
        <v>36</v>
      </c>
      <c r="D311" s="34">
        <v>24</v>
      </c>
      <c r="E311" s="18">
        <f ca="1">IFERROR(__xludf.DUMMYFUNCTION("COUNT(IMPORTRANGE(""https://docs.google.com/spreadsheets/d/1WJJVq25XDtGjt-J2JPxeKs3jIvDZtkIREC0lFPXwf74/edit"",""12!d2:d31""))"),24)</f>
        <v>24</v>
      </c>
      <c r="F311" s="23">
        <f ca="1">IFERROR(__xludf.DUMMYFUNCTION("SUM(IMPORTRANGE(""https://docs.google.com/spreadsheets/d/1WJJVq25XDtGjt-J2JPxeKs3jIvDZtkIREC0lFPXwf74/edit"",""12!Q2:Q31""))"),4501.205)</f>
        <v>4501.2049999999999</v>
      </c>
      <c r="G311" s="18">
        <f ca="1">IFERROR(__xludf.DUMMYFUNCTION("IMPORTRANGE(""https://docs.google.com/spreadsheets/d/1WJJVq25XDtGjt-J2JPxeKs3jIvDZtkIREC0lFPXwf74/edit"",""12!e38"")"),906)</f>
        <v>906</v>
      </c>
      <c r="H311" s="18">
        <f ca="1">IFERROR(__xludf.DUMMYFUNCTION("IMPORTRANGE(""https://docs.google.com/spreadsheets/d/1WJJVq25XDtGjt-J2JPxeKs3jIvDZtkIREC0lFPXwf74/edit"",""12!e39"")"),0)</f>
        <v>0</v>
      </c>
      <c r="I311" s="18">
        <f t="shared" ca="1" si="837"/>
        <v>906</v>
      </c>
      <c r="J311" s="18">
        <f ca="1">IFERROR(__xludf.DUMMYFUNCTION("IMPORTRANGE(""https://docs.google.com/spreadsheets/d/1WJJVq25XDtGjt-J2JPxeKs3jIvDZtkIREC0lFPXwf74/edit"",""12!e42"")"),1447)</f>
        <v>1447</v>
      </c>
      <c r="K311" s="18">
        <f ca="1">IFERROR(__xludf.DUMMYFUNCTION("IMPORTRANGE(""https://docs.google.com/spreadsheets/d/1WJJVq25XDtGjt-J2JPxeKs3jIvDZtkIREC0lFPXwf74/edit"",""12!e43"")"),0)</f>
        <v>0</v>
      </c>
      <c r="L311" s="18">
        <f t="shared" ref="L311:L320" ca="1" si="867">SUM(J311:K311)</f>
        <v>1447</v>
      </c>
      <c r="M311" s="18">
        <f t="shared" ca="1" si="839"/>
        <v>2353</v>
      </c>
      <c r="N311" s="19">
        <f t="shared" ca="1" si="840"/>
        <v>187.55020833333333</v>
      </c>
      <c r="O311" s="16">
        <v>4796</v>
      </c>
      <c r="P311" s="20">
        <f t="shared" ca="1" si="841"/>
        <v>0.49061718098415347</v>
      </c>
      <c r="Q311" s="21">
        <v>1.5</v>
      </c>
      <c r="R311" s="20">
        <f t="shared" ca="1" si="842"/>
        <v>0.34849927223191718</v>
      </c>
      <c r="S311" s="22">
        <f t="shared" ca="1" si="843"/>
        <v>0.5227489083478758</v>
      </c>
      <c r="T311" s="21">
        <f ca="1">F311/37.414</f>
        <v>120.30803977120863</v>
      </c>
      <c r="U311" s="21">
        <f t="shared" ca="1" si="844"/>
        <v>5.0128349904670264</v>
      </c>
      <c r="V311" s="18">
        <f t="shared" ca="1" si="845"/>
        <v>98.041666666666671</v>
      </c>
      <c r="W311" s="76"/>
      <c r="X311" s="8">
        <v>3</v>
      </c>
      <c r="Y311" s="8" t="s">
        <v>34</v>
      </c>
      <c r="Z311" s="8">
        <f t="shared" ref="Z311:AI311" si="868">SUM(D307)</f>
        <v>30</v>
      </c>
      <c r="AA311" s="9">
        <f t="shared" ca="1" si="868"/>
        <v>29</v>
      </c>
      <c r="AB311" s="10">
        <f t="shared" ca="1" si="868"/>
        <v>5740.9709999999995</v>
      </c>
      <c r="AC311" s="9">
        <f t="shared" ca="1" si="868"/>
        <v>1806</v>
      </c>
      <c r="AD311" s="9">
        <f t="shared" ca="1" si="868"/>
        <v>0</v>
      </c>
      <c r="AE311" s="9">
        <f t="shared" ca="1" si="868"/>
        <v>1806</v>
      </c>
      <c r="AF311" s="9">
        <f t="shared" ca="1" si="868"/>
        <v>2492</v>
      </c>
      <c r="AG311" s="9">
        <f t="shared" ca="1" si="868"/>
        <v>0</v>
      </c>
      <c r="AH311" s="9">
        <f t="shared" ca="1" si="868"/>
        <v>2492</v>
      </c>
      <c r="AI311" s="9">
        <f t="shared" ca="1" si="868"/>
        <v>4298</v>
      </c>
      <c r="AJ311" s="11">
        <f t="shared" ca="1" si="857"/>
        <v>197.9645172413793</v>
      </c>
      <c r="AK311" s="8">
        <f>SUM(O307)</f>
        <v>9354</v>
      </c>
      <c r="AL311" s="12">
        <f t="shared" ca="1" si="859"/>
        <v>0.4594825742997648</v>
      </c>
      <c r="AM311" s="13">
        <f>SUM(Q307)</f>
        <v>1.5</v>
      </c>
      <c r="AN311" s="12">
        <f t="shared" ca="1" si="861"/>
        <v>0.49910256180240825</v>
      </c>
      <c r="AO311" s="14">
        <f t="shared" ca="1" si="862"/>
        <v>0.74865384270361235</v>
      </c>
      <c r="AP311" s="13">
        <f t="shared" ref="AP311:AQ311" ca="1" si="869">SUM(T307)</f>
        <v>186.92315957412168</v>
      </c>
      <c r="AQ311" s="13">
        <f t="shared" ca="1" si="869"/>
        <v>6.4456261922110922</v>
      </c>
      <c r="AR311" s="9">
        <f t="shared" ca="1" si="864"/>
        <v>148.20689655172413</v>
      </c>
      <c r="AS311" s="76"/>
      <c r="AT311" s="76"/>
    </row>
    <row r="312" spans="1:46" ht="15.75" customHeight="1" x14ac:dyDescent="0.25">
      <c r="A312" s="70"/>
      <c r="B312" s="16">
        <v>10</v>
      </c>
      <c r="C312" s="16" t="s">
        <v>37</v>
      </c>
      <c r="D312" s="17">
        <v>23</v>
      </c>
      <c r="E312" s="18">
        <f ca="1">IFERROR(__xludf.DUMMYFUNCTION("COUNT(IMPORTRANGE(""https://docs.google.com/spreadsheets/d/1rJyYfywRpWJW0zvDJHLOJtqUQqffoCGaqTVxxTDgV0k/edit"",""12!d2:d31""))"),20)</f>
        <v>20</v>
      </c>
      <c r="F312" s="23">
        <f ca="1">IFERROR(__xludf.DUMMYFUNCTION("SUM(IMPORTRANGE(""https://docs.google.com/spreadsheets/d/1rJyYfywRpWJW0zvDJHLOJtqUQqffoCGaqTVxxTDgV0k/edit"",""12!Q2:Q31""))"),4000.2)</f>
        <v>4000.2</v>
      </c>
      <c r="G312" s="18">
        <f ca="1">IFERROR(__xludf.DUMMYFUNCTION("(IMPORTRANGE(""https://docs.google.com/spreadsheets/d/1rJyYfywRpWJW0zvDJHLOJtqUQqffoCGaqTVxxTDgV0k/edit"",""12!e38""))"),919)</f>
        <v>919</v>
      </c>
      <c r="H312" s="18">
        <f ca="1">IFERROR(__xludf.DUMMYFUNCTION("(IMPORTRANGE(""https://docs.google.com/spreadsheets/d/1rJyYfywRpWJW0zvDJHLOJtqUQqffoCGaqTVxxTDgV0k/edit"",""12!e39""))"),0)</f>
        <v>0</v>
      </c>
      <c r="I312" s="18">
        <f t="shared" ca="1" si="837"/>
        <v>919</v>
      </c>
      <c r="J312" s="18">
        <f ca="1">IFERROR(__xludf.DUMMYFUNCTION("(IMPORTRANGE(""https://docs.google.com/spreadsheets/d/1rJyYfywRpWJW0zvDJHLOJtqUQqffoCGaqTVxxTDgV0k/edit"",""12!e42""))"),1858)</f>
        <v>1858</v>
      </c>
      <c r="K312" s="18">
        <f ca="1">IFERROR(__xludf.DUMMYFUNCTION("(IMPORTRANGE(""https://docs.google.com/spreadsheets/d/1rJyYfywRpWJW0zvDJHLOJtqUQqffoCGaqTVxxTDgV0k/edit"",""12!e43""))"),0)</f>
        <v>0</v>
      </c>
      <c r="L312" s="18">
        <f t="shared" ca="1" si="867"/>
        <v>1858</v>
      </c>
      <c r="M312" s="18">
        <f t="shared" ca="1" si="839"/>
        <v>2777</v>
      </c>
      <c r="N312" s="19">
        <f t="shared" ca="1" si="840"/>
        <v>200.01</v>
      </c>
      <c r="O312" s="16">
        <v>5887</v>
      </c>
      <c r="P312" s="20">
        <f t="shared" ca="1" si="841"/>
        <v>0.47171734329879395</v>
      </c>
      <c r="Q312" s="21">
        <v>1.5</v>
      </c>
      <c r="R312" s="20">
        <f t="shared" ca="1" si="842"/>
        <v>0.46281019282369212</v>
      </c>
      <c r="S312" s="22">
        <f t="shared" ca="1" si="843"/>
        <v>0.69421528923553821</v>
      </c>
      <c r="T312" s="21">
        <f ca="1">F312/24.792</f>
        <v>161.35043562439495</v>
      </c>
      <c r="U312" s="21">
        <f t="shared" ca="1" si="844"/>
        <v>8.0675217812197477</v>
      </c>
      <c r="V312" s="18">
        <f t="shared" ca="1" si="845"/>
        <v>138.85</v>
      </c>
      <c r="W312" s="76"/>
      <c r="X312" s="8">
        <v>4</v>
      </c>
      <c r="Y312" s="8" t="s">
        <v>38</v>
      </c>
      <c r="Z312" s="8">
        <f t="shared" ref="Z312:AI312" si="870">SUM(D315)</f>
        <v>23</v>
      </c>
      <c r="AA312" s="9">
        <f t="shared" ca="1" si="870"/>
        <v>23</v>
      </c>
      <c r="AB312" s="10">
        <f t="shared" ca="1" si="870"/>
        <v>4387.817</v>
      </c>
      <c r="AC312" s="9">
        <f t="shared" ca="1" si="870"/>
        <v>1172</v>
      </c>
      <c r="AD312" s="9">
        <f t="shared" ca="1" si="870"/>
        <v>0</v>
      </c>
      <c r="AE312" s="9">
        <f t="shared" ca="1" si="870"/>
        <v>1172</v>
      </c>
      <c r="AF312" s="9">
        <f t="shared" ca="1" si="870"/>
        <v>2398</v>
      </c>
      <c r="AG312" s="9">
        <f t="shared" ca="1" si="870"/>
        <v>149</v>
      </c>
      <c r="AH312" s="9">
        <f t="shared" ca="1" si="870"/>
        <v>2547</v>
      </c>
      <c r="AI312" s="9">
        <f t="shared" ca="1" si="870"/>
        <v>3719</v>
      </c>
      <c r="AJ312" s="11">
        <f t="shared" ca="1" si="857"/>
        <v>190.77465217391304</v>
      </c>
      <c r="AK312" s="8">
        <v>7324</v>
      </c>
      <c r="AL312" s="12">
        <f t="shared" ca="1" si="859"/>
        <v>0.50778263244128896</v>
      </c>
      <c r="AM312" s="13">
        <f>SUM(Q315)</f>
        <v>1.5</v>
      </c>
      <c r="AN312" s="12">
        <f t="shared" ca="1" si="861"/>
        <v>0.56504939320243608</v>
      </c>
      <c r="AO312" s="14">
        <f t="shared" ca="1" si="862"/>
        <v>0.84757408980365412</v>
      </c>
      <c r="AP312" s="13">
        <f t="shared" ref="AP312:AQ312" ca="1" si="871">SUM(T315)</f>
        <v>106.48748938235651</v>
      </c>
      <c r="AQ312" s="13">
        <f t="shared" ca="1" si="871"/>
        <v>4.6298908427111529</v>
      </c>
      <c r="AR312" s="9">
        <f t="shared" ca="1" si="864"/>
        <v>161.69565217391303</v>
      </c>
      <c r="AS312" s="76"/>
      <c r="AT312" s="76"/>
    </row>
    <row r="313" spans="1:46" ht="15.75" customHeight="1" x14ac:dyDescent="0.25">
      <c r="A313" s="70"/>
      <c r="B313" s="16">
        <v>12</v>
      </c>
      <c r="C313" s="16" t="s">
        <v>39</v>
      </c>
      <c r="D313" s="17">
        <v>21</v>
      </c>
      <c r="E313" s="18">
        <f ca="1">IFERROR(__xludf.DUMMYFUNCTION("COUNT(IMPORTRANGE(""https://docs.google.com/spreadsheets/d/1uaTn2DZCfr7O1PvovOd0wElzVz8kpl_iPfnrkNPp0Is/edit"",""12!d2:d29""))"),21)</f>
        <v>21</v>
      </c>
      <c r="F313" s="23">
        <f ca="1">IFERROR(__xludf.DUMMYFUNCTION("SUM(IMPORTRANGE(""https://docs.google.com/spreadsheets/d/1uaTn2DZCfr7O1PvovOd0wElzVz8kpl_iPfnrkNPp0Is/edit"",""12!Q2:Q29""))"),3954.64899999999)</f>
        <v>3954.6489999999899</v>
      </c>
      <c r="G313" s="18">
        <f ca="1">IFERROR(__xludf.DUMMYFUNCTION("IMPORTRANGE(""https://docs.google.com/spreadsheets/d/1uaTn2DZCfr7O1PvovOd0wElzVz8kpl_iPfnrkNPp0Is/edit"",""12!e36"")"),730)</f>
        <v>730</v>
      </c>
      <c r="H313" s="18">
        <f ca="1">IFERROR(__xludf.DUMMYFUNCTION("(IMPORTRANGE(""https://docs.google.com/spreadsheets/d/1uaTn2DZCfr7O1PvovOd0wElzVz8kpl_iPfnrkNPp0Is/edit"",""12!e37""))"),0)</f>
        <v>0</v>
      </c>
      <c r="I313" s="18">
        <f t="shared" ca="1" si="837"/>
        <v>730</v>
      </c>
      <c r="J313" s="18">
        <f ca="1">IFERROR(__xludf.DUMMYFUNCTION("IMPORTRANGE(""https://docs.google.com/spreadsheets/d/1uaTn2DZCfr7O1PvovOd0wElzVz8kpl_iPfnrkNPp0Is/edit"",""12!e40"")"),1840)</f>
        <v>1840</v>
      </c>
      <c r="K313" s="18">
        <f ca="1">IFERROR(__xludf.DUMMYFUNCTION("IMPORTRANGE(""https://docs.google.com/spreadsheets/d/1uaTn2DZCfr7O1PvovOd0wElzVz8kpl_iPfnrkNPp0Is/edit"",""12!e41"")"),0)</f>
        <v>0</v>
      </c>
      <c r="L313" s="18">
        <f t="shared" ca="1" si="867"/>
        <v>1840</v>
      </c>
      <c r="M313" s="18">
        <f t="shared" ca="1" si="839"/>
        <v>2570</v>
      </c>
      <c r="N313" s="19">
        <f t="shared" ca="1" si="840"/>
        <v>188.31661904761856</v>
      </c>
      <c r="O313" s="16">
        <v>3569</v>
      </c>
      <c r="P313" s="20">
        <f t="shared" ca="1" si="841"/>
        <v>0.72008966096945926</v>
      </c>
      <c r="Q313" s="21">
        <v>1.5</v>
      </c>
      <c r="R313" s="20">
        <f t="shared" ca="1" si="842"/>
        <v>0.43324536092415222</v>
      </c>
      <c r="S313" s="22">
        <f t="shared" ca="1" si="843"/>
        <v>0.64986804138622833</v>
      </c>
      <c r="T313" s="21">
        <f ca="1">F313/21.463</f>
        <v>184.25425150258536</v>
      </c>
      <c r="U313" s="21">
        <f t="shared" ca="1" si="844"/>
        <v>8.774011976313588</v>
      </c>
      <c r="V313" s="18">
        <f t="shared" ca="1" si="845"/>
        <v>122.38095238095238</v>
      </c>
      <c r="W313" s="76"/>
      <c r="X313" s="8">
        <v>5</v>
      </c>
      <c r="Y313" s="8" t="s">
        <v>40</v>
      </c>
      <c r="Z313" s="8">
        <f t="shared" ref="Z313:AI313" si="872">SUM(D317)</f>
        <v>23</v>
      </c>
      <c r="AA313" s="9">
        <f t="shared" ca="1" si="872"/>
        <v>23</v>
      </c>
      <c r="AB313" s="10">
        <f t="shared" ca="1" si="872"/>
        <v>4380.2219999999998</v>
      </c>
      <c r="AC313" s="9">
        <f t="shared" ca="1" si="872"/>
        <v>2018</v>
      </c>
      <c r="AD313" s="9">
        <f t="shared" ca="1" si="872"/>
        <v>65</v>
      </c>
      <c r="AE313" s="9">
        <f t="shared" ca="1" si="872"/>
        <v>2083</v>
      </c>
      <c r="AF313" s="9">
        <f t="shared" ca="1" si="872"/>
        <v>2686</v>
      </c>
      <c r="AG313" s="9">
        <f t="shared" ca="1" si="872"/>
        <v>125</v>
      </c>
      <c r="AH313" s="9">
        <f t="shared" ca="1" si="872"/>
        <v>2811</v>
      </c>
      <c r="AI313" s="9">
        <f t="shared" ca="1" si="872"/>
        <v>4894</v>
      </c>
      <c r="AJ313" s="11">
        <f t="shared" ca="1" si="857"/>
        <v>190.44443478260868</v>
      </c>
      <c r="AK313" s="8">
        <f t="shared" ref="AK313:AK314" si="873">SUM(O317)</f>
        <v>8239</v>
      </c>
      <c r="AL313" s="12">
        <f t="shared" ca="1" si="859"/>
        <v>0.59400412671440705</v>
      </c>
      <c r="AM313" s="13">
        <f t="shared" ref="AM313:AM314" si="874">SUM(Q317)</f>
        <v>1.5</v>
      </c>
      <c r="AN313" s="12">
        <f t="shared" ca="1" si="861"/>
        <v>0.7448633121030549</v>
      </c>
      <c r="AO313" s="14">
        <f t="shared" ca="1" si="862"/>
        <v>1.1172949681545823</v>
      </c>
      <c r="AP313" s="13">
        <f t="shared" ref="AP313:AQ313" ca="1" si="875">SUM(T317)</f>
        <v>153.99999999999997</v>
      </c>
      <c r="AQ313" s="13">
        <f t="shared" ca="1" si="875"/>
        <v>6.6956521739130421</v>
      </c>
      <c r="AR313" s="9">
        <f t="shared" ca="1" si="864"/>
        <v>212.78260869565219</v>
      </c>
      <c r="AS313" s="76"/>
      <c r="AT313" s="76"/>
    </row>
    <row r="314" spans="1:46" ht="15.75" customHeight="1" x14ac:dyDescent="0.25">
      <c r="A314" s="70"/>
      <c r="B314" s="16">
        <v>12</v>
      </c>
      <c r="C314" s="16" t="s">
        <v>41</v>
      </c>
      <c r="D314" s="17">
        <v>19</v>
      </c>
      <c r="E314" s="18">
        <f ca="1">IFERROR(__xludf.DUMMYFUNCTION("COUNT(IMPORTRANGE(""https://docs.google.com/spreadsheets/d/1oYscvfOJW7GMkxt8QcupWuzb3ohaYePd3Mt2V2ufHok/edit"",""12!d2:d25""))"),19)</f>
        <v>19</v>
      </c>
      <c r="F314" s="23">
        <f ca="1">IFERROR(__xludf.DUMMYFUNCTION("SUM(IMPORTRANGE(""https://docs.google.com/spreadsheets/d/1oYscvfOJW7GMkxt8QcupWuzb3ohaYePd3Mt2V2ufHok/edit"",""12!Q2:Q25""))"),3713.376)</f>
        <v>3713.3760000000002</v>
      </c>
      <c r="G314" s="18">
        <f ca="1">IFERROR(__xludf.DUMMYFUNCTION("IMPORTRANGE(""https://docs.google.com/spreadsheets/d/1oYscvfOJW7GMkxt8QcupWuzb3ohaYePd3Mt2V2ufHok/edit"",""12!e32"")"),687)</f>
        <v>687</v>
      </c>
      <c r="H314" s="18">
        <f ca="1">IFERROR(__xludf.DUMMYFUNCTION("IMPORTRANGE(""https://docs.google.com/spreadsheets/d/1oYscvfOJW7GMkxt8QcupWuzb3ohaYePd3Mt2V2ufHok/edit"",""12!e33"")"),0)</f>
        <v>0</v>
      </c>
      <c r="I314" s="18">
        <f t="shared" ca="1" si="837"/>
        <v>687</v>
      </c>
      <c r="J314" s="18">
        <f ca="1">IFERROR(__xludf.DUMMYFUNCTION("IMPORTRANGE(""https://docs.google.com/spreadsheets/d/1oYscvfOJW7GMkxt8QcupWuzb3ohaYePd3Mt2V2ufHok/edit"",""12!e36"")"),1073)</f>
        <v>1073</v>
      </c>
      <c r="K314" s="18">
        <f ca="1">IFERROR(__xludf.DUMMYFUNCTION("IMPORTRANGE(""https://docs.google.com/spreadsheets/d/1oYscvfOJW7GMkxt8QcupWuzb3ohaYePd3Mt2V2ufHok/edit"",""12!e37"")"),0)</f>
        <v>0</v>
      </c>
      <c r="L314" s="18">
        <f t="shared" ca="1" si="867"/>
        <v>1073</v>
      </c>
      <c r="M314" s="18">
        <f t="shared" ca="1" si="839"/>
        <v>1760</v>
      </c>
      <c r="N314" s="19">
        <f t="shared" ca="1" si="840"/>
        <v>195.44084210526316</v>
      </c>
      <c r="O314" s="16">
        <v>3801</v>
      </c>
      <c r="P314" s="20">
        <f t="shared" ca="1" si="841"/>
        <v>0.4630360431465404</v>
      </c>
      <c r="Q314" s="21">
        <v>1.5</v>
      </c>
      <c r="R314" s="20">
        <f t="shared" ca="1" si="842"/>
        <v>0.31597482542390892</v>
      </c>
      <c r="S314" s="22">
        <f t="shared" ca="1" si="843"/>
        <v>0.47396223813586341</v>
      </c>
      <c r="T314" s="21">
        <f ca="1">F314/29.628</f>
        <v>125.33333333333334</v>
      </c>
      <c r="U314" s="21">
        <f t="shared" ca="1" si="844"/>
        <v>6.5964912280701755</v>
      </c>
      <c r="V314" s="18">
        <f t="shared" ca="1" si="845"/>
        <v>92.631578947368425</v>
      </c>
      <c r="W314" s="76"/>
      <c r="X314" s="8">
        <v>6</v>
      </c>
      <c r="Y314" s="8" t="s">
        <v>42</v>
      </c>
      <c r="Z314" s="8">
        <f t="shared" ref="Z314:AI314" si="876">SUM(D318)</f>
        <v>24</v>
      </c>
      <c r="AA314" s="9">
        <f t="shared" ca="1" si="876"/>
        <v>23</v>
      </c>
      <c r="AB314" s="10">
        <f t="shared" ca="1" si="876"/>
        <v>4681.7449999999899</v>
      </c>
      <c r="AC314" s="9">
        <f t="shared" ca="1" si="876"/>
        <v>1602</v>
      </c>
      <c r="AD314" s="9">
        <f t="shared" ca="1" si="876"/>
        <v>0</v>
      </c>
      <c r="AE314" s="9">
        <f t="shared" ca="1" si="876"/>
        <v>1602</v>
      </c>
      <c r="AF314" s="9">
        <f t="shared" ca="1" si="876"/>
        <v>3551</v>
      </c>
      <c r="AG314" s="9">
        <f t="shared" ca="1" si="876"/>
        <v>45</v>
      </c>
      <c r="AH314" s="9">
        <f t="shared" ca="1" si="876"/>
        <v>3596</v>
      </c>
      <c r="AI314" s="9">
        <f t="shared" ca="1" si="876"/>
        <v>5198</v>
      </c>
      <c r="AJ314" s="11">
        <f t="shared" ca="1" si="857"/>
        <v>203.55413043478217</v>
      </c>
      <c r="AK314" s="8">
        <f t="shared" si="873"/>
        <v>9877</v>
      </c>
      <c r="AL314" s="12">
        <f t="shared" ca="1" si="859"/>
        <v>0.52627315986635614</v>
      </c>
      <c r="AM314" s="13">
        <f t="shared" si="874"/>
        <v>1.5</v>
      </c>
      <c r="AN314" s="12">
        <f t="shared" ca="1" si="861"/>
        <v>0.74017985459125624</v>
      </c>
      <c r="AO314" s="14">
        <f t="shared" ca="1" si="862"/>
        <v>1.1102697818868843</v>
      </c>
      <c r="AP314" s="13">
        <f t="shared" ref="AP314:AQ314" ca="1" si="877">SUM(T318)</f>
        <v>178.9999999999996</v>
      </c>
      <c r="AQ314" s="13">
        <f t="shared" ca="1" si="877"/>
        <v>7.782608695652157</v>
      </c>
      <c r="AR314" s="9">
        <f t="shared" ca="1" si="864"/>
        <v>226</v>
      </c>
      <c r="AS314" s="76"/>
      <c r="AT314" s="76"/>
    </row>
    <row r="315" spans="1:46" ht="15.75" customHeight="1" x14ac:dyDescent="0.25">
      <c r="A315" s="70"/>
      <c r="B315" s="16">
        <v>13</v>
      </c>
      <c r="C315" s="16" t="s">
        <v>43</v>
      </c>
      <c r="D315" s="17">
        <v>23</v>
      </c>
      <c r="E315" s="18">
        <f ca="1">IFERROR(__xludf.DUMMYFUNCTION("COUNT(IMPORTRANGE(""https://docs.google.com/spreadsheets/d/1AxBmuQEdOYAeRnZ4C8vO6kuTNp7X_SGhpLXuY0n4ln4/edit"",""12!d2:d31""))"),23)</f>
        <v>23</v>
      </c>
      <c r="F315" s="23">
        <f ca="1">IFERROR(__xludf.DUMMYFUNCTION("SUM(IMPORTRANGE(""https://docs.google.com/spreadsheets/d/1AxBmuQEdOYAeRnZ4C8vO6kuTNp7X_SGhpLXuY0n4ln4/edit"",""12!Q2:Q31""))"),4387.817)</f>
        <v>4387.817</v>
      </c>
      <c r="G315" s="18">
        <f ca="1">IFERROR(__xludf.DUMMYFUNCTION("IMPORTRANGE(""https://docs.google.com/spreadsheets/d/1AxBmuQEdOYAeRnZ4C8vO6kuTNp7X_SGhpLXuY0n4ln4/edit"",""12!e38"")"),1172)</f>
        <v>1172</v>
      </c>
      <c r="H315" s="18">
        <f ca="1">IFERROR(__xludf.DUMMYFUNCTION("IMPORTRANGE(""https://docs.google.com/spreadsheets/d/1AxBmuQEdOYAeRnZ4C8vO6kuTNp7X_SGhpLXuY0n4ln4/edit"",""12!e39"")"),0)</f>
        <v>0</v>
      </c>
      <c r="I315" s="18">
        <f t="shared" ca="1" si="837"/>
        <v>1172</v>
      </c>
      <c r="J315" s="18">
        <f ca="1">IFERROR(__xludf.DUMMYFUNCTION("IMPORTRANGE(""https://docs.google.com/spreadsheets/d/1AxBmuQEdOYAeRnZ4C8vO6kuTNp7X_SGhpLXuY0n4ln4/edit"",""12!e42"")"),2398)</f>
        <v>2398</v>
      </c>
      <c r="K315" s="18">
        <f ca="1">IFERROR(__xludf.DUMMYFUNCTION("IMPORTRANGE(""https://docs.google.com/spreadsheets/d/1AxBmuQEdOYAeRnZ4C8vO6kuTNp7X_SGhpLXuY0n4ln4/edit"",""12!e43"")"),149)</f>
        <v>149</v>
      </c>
      <c r="L315" s="18">
        <f t="shared" ca="1" si="867"/>
        <v>2547</v>
      </c>
      <c r="M315" s="18">
        <f t="shared" ca="1" si="839"/>
        <v>3719</v>
      </c>
      <c r="N315" s="19">
        <f t="shared" ca="1" si="840"/>
        <v>190.77465217391304</v>
      </c>
      <c r="O315" s="16">
        <v>8345</v>
      </c>
      <c r="P315" s="20">
        <f t="shared" ca="1" si="841"/>
        <v>0.44565608148591973</v>
      </c>
      <c r="Q315" s="21">
        <v>1.5</v>
      </c>
      <c r="R315" s="20">
        <f t="shared" ca="1" si="842"/>
        <v>0.56504939320243608</v>
      </c>
      <c r="S315" s="22">
        <f t="shared" ca="1" si="843"/>
        <v>0.84757408980365412</v>
      </c>
      <c r="T315" s="21">
        <f ca="1">F315/41.205</f>
        <v>106.48748938235651</v>
      </c>
      <c r="U315" s="21">
        <f t="shared" ca="1" si="844"/>
        <v>4.6298908427111529</v>
      </c>
      <c r="V315" s="18">
        <f t="shared" ca="1" si="845"/>
        <v>161.69565217391303</v>
      </c>
      <c r="W315" s="76"/>
      <c r="X315" s="24" t="s">
        <v>33</v>
      </c>
      <c r="Y315" s="24">
        <v>6</v>
      </c>
      <c r="Z315" s="24">
        <f t="shared" ref="Z315:AI315" si="878">SUM(Z309:Z314)</f>
        <v>169</v>
      </c>
      <c r="AA315" s="25">
        <f t="shared" ca="1" si="878"/>
        <v>166</v>
      </c>
      <c r="AB315" s="27">
        <f t="shared" ca="1" si="878"/>
        <v>32587.247999999963</v>
      </c>
      <c r="AC315" s="25">
        <f t="shared" ca="1" si="878"/>
        <v>10637</v>
      </c>
      <c r="AD315" s="25">
        <f t="shared" ca="1" si="878"/>
        <v>146</v>
      </c>
      <c r="AE315" s="25">
        <f t="shared" ca="1" si="878"/>
        <v>10783</v>
      </c>
      <c r="AF315" s="25">
        <f t="shared" ca="1" si="878"/>
        <v>17277</v>
      </c>
      <c r="AG315" s="25">
        <f t="shared" ca="1" si="878"/>
        <v>404</v>
      </c>
      <c r="AH315" s="25">
        <f t="shared" ca="1" si="878"/>
        <v>17681</v>
      </c>
      <c r="AI315" s="25">
        <f t="shared" ca="1" si="878"/>
        <v>28464</v>
      </c>
      <c r="AJ315" s="27">
        <f t="shared" ca="1" si="857"/>
        <v>196.30872289156605</v>
      </c>
      <c r="AK315" s="24">
        <f>SUM(AK309:AK314)</f>
        <v>53273</v>
      </c>
      <c r="AL315" s="28">
        <f t="shared" ca="1" si="859"/>
        <v>0.53430443188857391</v>
      </c>
      <c r="AM315" s="29">
        <v>1.5</v>
      </c>
      <c r="AN315" s="28">
        <f t="shared" ca="1" si="861"/>
        <v>0.5823136706726515</v>
      </c>
      <c r="AO315" s="30">
        <f t="shared" ca="1" si="862"/>
        <v>0.87347050600897724</v>
      </c>
      <c r="AP315" s="29">
        <f ca="1">SUM(AP309:AP314)</f>
        <v>1072.2912815107704</v>
      </c>
      <c r="AQ315" s="29">
        <f ca="1">AP315/AA315</f>
        <v>6.4595860331974126</v>
      </c>
      <c r="AR315" s="25">
        <f t="shared" ca="1" si="864"/>
        <v>171.46987951807228</v>
      </c>
      <c r="AS315" s="76"/>
      <c r="AT315" s="76"/>
    </row>
    <row r="316" spans="1:46" ht="15.75" customHeight="1" x14ac:dyDescent="0.25">
      <c r="A316" s="70"/>
      <c r="B316" s="16">
        <v>14</v>
      </c>
      <c r="C316" s="16" t="s">
        <v>27</v>
      </c>
      <c r="D316" s="17">
        <v>23</v>
      </c>
      <c r="E316" s="18">
        <f ca="1">IFERROR(__xludf.DUMMYFUNCTION("COUNT(IMPORTRANGE(""https://docs.google.com/spreadsheets/d/1LsL4JuXvBtfJ-TVi4NFml9lV_pmd61b789A_nbO-QrA/edit"",""12!d2:d31""))"),23)</f>
        <v>23</v>
      </c>
      <c r="F316" s="23">
        <f ca="1">IFERROR(__xludf.DUMMYFUNCTION("SUM(IMPORTRANGE(""https://docs.google.com/spreadsheets/d/1LsL4JuXvBtfJ-TVi4NFml9lV_pmd61b789A_nbO-QrA/edit"",""12!Q2:Q31""))"),4192.74299999999)</f>
        <v>4192.7429999999904</v>
      </c>
      <c r="G316" s="18">
        <f ca="1">IFERROR(__xludf.DUMMYFUNCTION("IMPORTRANGE(""https://docs.google.com/spreadsheets/d/1LsL4JuXvBtfJ-TVi4NFml9lV_pmd61b789A_nbO-QrA/edit"",""12!e38"")"),1280)</f>
        <v>1280</v>
      </c>
      <c r="H316" s="18">
        <f ca="1">IFERROR(__xludf.DUMMYFUNCTION("IMPORTRANGE(""https://docs.google.com/spreadsheets/d/1LsL4JuXvBtfJ-TVi4NFml9lV_pmd61b789A_nbO-QrA/edit"",""12!e39"")"),0)</f>
        <v>0</v>
      </c>
      <c r="I316" s="18">
        <f t="shared" ca="1" si="837"/>
        <v>1280</v>
      </c>
      <c r="J316" s="18">
        <f ca="1">IFERROR(__xludf.DUMMYFUNCTION("IMPORTRANGE(""https://docs.google.com/spreadsheets/d/1LsL4JuXvBtfJ-TVi4NFml9lV_pmd61b789A_nbO-QrA/edit"",""12!e42"")"),2525)</f>
        <v>2525</v>
      </c>
      <c r="K316" s="18">
        <f ca="1">IFERROR(__xludf.DUMMYFUNCTION("IMPORTRANGE(""https://docs.google.com/spreadsheets/d/1LsL4JuXvBtfJ-TVi4NFml9lV_pmd61b789A_nbO-QrA/edit"",""12!e43"")"),0)</f>
        <v>0</v>
      </c>
      <c r="L316" s="18">
        <f t="shared" ca="1" si="867"/>
        <v>2525</v>
      </c>
      <c r="M316" s="18">
        <f t="shared" ca="1" si="839"/>
        <v>3805</v>
      </c>
      <c r="N316" s="19">
        <f t="shared" ca="1" si="840"/>
        <v>182.29317391304306</v>
      </c>
      <c r="O316" s="16">
        <v>8101</v>
      </c>
      <c r="P316" s="20">
        <f t="shared" ca="1" si="841"/>
        <v>0.46969509937044807</v>
      </c>
      <c r="Q316" s="21">
        <v>1.5</v>
      </c>
      <c r="R316" s="20">
        <f t="shared" ca="1" si="842"/>
        <v>0.60501363109226403</v>
      </c>
      <c r="S316" s="22">
        <f t="shared" ca="1" si="843"/>
        <v>0.90752044663839604</v>
      </c>
      <c r="T316" s="21">
        <f ca="1">F316/19.985</f>
        <v>209.79449587190345</v>
      </c>
      <c r="U316" s="21">
        <f t="shared" ca="1" si="844"/>
        <v>9.1214998205175419</v>
      </c>
      <c r="V316" s="18">
        <f t="shared" ca="1" si="845"/>
        <v>165.43478260869566</v>
      </c>
      <c r="W316" s="76"/>
      <c r="X316" s="97" t="s">
        <v>44</v>
      </c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9"/>
      <c r="AS316" s="76"/>
      <c r="AT316" s="76"/>
    </row>
    <row r="317" spans="1:46" ht="15.75" customHeight="1" x14ac:dyDescent="0.25">
      <c r="A317" s="70"/>
      <c r="B317" s="16">
        <v>15</v>
      </c>
      <c r="C317" s="16" t="s">
        <v>40</v>
      </c>
      <c r="D317" s="17">
        <v>23</v>
      </c>
      <c r="E317" s="18">
        <f ca="1">IFERROR(__xludf.DUMMYFUNCTION("COUNT(IMPORTRANGE(""https://docs.google.com/spreadsheets/d/1Krav0MVlY0vbUNsFRDnb_kR72_tyuGnWBYbGjNZrl18/edit"",""12!d2:d31""))"),23)</f>
        <v>23</v>
      </c>
      <c r="F317" s="23">
        <f ca="1">IFERROR(__xludf.DUMMYFUNCTION("SUM(IMPORTRANGE(""https://docs.google.com/spreadsheets/d/1Krav0MVlY0vbUNsFRDnb_kR72_tyuGnWBYbGjNZrl18/edit"",""12!Q2:Q31""))"),4380.222)</f>
        <v>4380.2219999999998</v>
      </c>
      <c r="G317" s="18">
        <f ca="1">IFERROR(__xludf.DUMMYFUNCTION("IMPORTRANGE(""https://docs.google.com/spreadsheets/d/1Krav0MVlY0vbUNsFRDnb_kR72_tyuGnWBYbGjNZrl18/edit"",""12!e38"")"),2018)</f>
        <v>2018</v>
      </c>
      <c r="H317" s="18">
        <f ca="1">IFERROR(__xludf.DUMMYFUNCTION("IMPORTRANGE(""https://docs.google.com/spreadsheets/d/1Krav0MVlY0vbUNsFRDnb_kR72_tyuGnWBYbGjNZrl18/edit"",""12!e39"")"),65)</f>
        <v>65</v>
      </c>
      <c r="I317" s="18">
        <f t="shared" ca="1" si="837"/>
        <v>2083</v>
      </c>
      <c r="J317" s="18">
        <f ca="1">IFERROR(__xludf.DUMMYFUNCTION("IMPORTRANGE(""https://docs.google.com/spreadsheets/d/1Krav0MVlY0vbUNsFRDnb_kR72_tyuGnWBYbGjNZrl18/edit"",""12!e42"")"),2686)</f>
        <v>2686</v>
      </c>
      <c r="K317" s="18">
        <f ca="1">IFERROR(__xludf.DUMMYFUNCTION("IMPORTRANGE(""https://docs.google.com/spreadsheets/d/1Krav0MVlY0vbUNsFRDnb_kR72_tyuGnWBYbGjNZrl18/edit"",""12!e43"")"),125)</f>
        <v>125</v>
      </c>
      <c r="L317" s="18">
        <f t="shared" ca="1" si="867"/>
        <v>2811</v>
      </c>
      <c r="M317" s="18">
        <f t="shared" ca="1" si="839"/>
        <v>4894</v>
      </c>
      <c r="N317" s="19">
        <f t="shared" ca="1" si="840"/>
        <v>190.44443478260868</v>
      </c>
      <c r="O317" s="16">
        <v>8239</v>
      </c>
      <c r="P317" s="20">
        <f t="shared" ca="1" si="841"/>
        <v>0.59400412671440705</v>
      </c>
      <c r="Q317" s="21">
        <v>1.5</v>
      </c>
      <c r="R317" s="20">
        <f t="shared" ca="1" si="842"/>
        <v>0.7448633121030549</v>
      </c>
      <c r="S317" s="22">
        <f t="shared" ca="1" si="843"/>
        <v>1.1172949681545823</v>
      </c>
      <c r="T317" s="21">
        <f ca="1">F317/28.443</f>
        <v>153.99999999999997</v>
      </c>
      <c r="U317" s="21">
        <f t="shared" ca="1" si="844"/>
        <v>6.6956521739130421</v>
      </c>
      <c r="V317" s="18">
        <f t="shared" ca="1" si="845"/>
        <v>212.78260869565219</v>
      </c>
      <c r="W317" s="76"/>
      <c r="X317" s="1" t="s">
        <v>2</v>
      </c>
      <c r="Y317" s="1" t="s">
        <v>3</v>
      </c>
      <c r="Z317" s="1" t="s">
        <v>4</v>
      </c>
      <c r="AA317" s="1" t="s">
        <v>5</v>
      </c>
      <c r="AB317" s="2" t="s">
        <v>6</v>
      </c>
      <c r="AC317" s="1" t="s">
        <v>7</v>
      </c>
      <c r="AD317" s="1" t="s">
        <v>8</v>
      </c>
      <c r="AE317" s="1" t="s">
        <v>9</v>
      </c>
      <c r="AF317" s="1" t="s">
        <v>10</v>
      </c>
      <c r="AG317" s="1" t="s">
        <v>11</v>
      </c>
      <c r="AH317" s="1" t="s">
        <v>12</v>
      </c>
      <c r="AI317" s="1" t="s">
        <v>13</v>
      </c>
      <c r="AJ317" s="2" t="s">
        <v>14</v>
      </c>
      <c r="AK317" s="1" t="s">
        <v>15</v>
      </c>
      <c r="AL317" s="1" t="s">
        <v>16</v>
      </c>
      <c r="AM317" s="3" t="s">
        <v>17</v>
      </c>
      <c r="AN317" s="4" t="s">
        <v>18</v>
      </c>
      <c r="AO317" s="5" t="s">
        <v>19</v>
      </c>
      <c r="AP317" s="6" t="s">
        <v>20</v>
      </c>
      <c r="AQ317" s="6" t="s">
        <v>21</v>
      </c>
      <c r="AR317" s="7" t="s">
        <v>22</v>
      </c>
      <c r="AS317" s="76"/>
      <c r="AT317" s="76"/>
    </row>
    <row r="318" spans="1:46" ht="15.75" customHeight="1" x14ac:dyDescent="0.25">
      <c r="A318" s="70"/>
      <c r="B318" s="16">
        <v>16</v>
      </c>
      <c r="C318" s="16" t="s">
        <v>42</v>
      </c>
      <c r="D318" s="17">
        <v>24</v>
      </c>
      <c r="E318" s="18">
        <f ca="1">IFERROR(__xludf.DUMMYFUNCTION("COUNT(IMPORTRANGE(""https://docs.google.com/spreadsheets/d/1uXtm-E8PG0CetlFmSpTX3RK0LNEMnpR-mxbET9AGD6w/edit"",""12!d2:d34""))"),23)</f>
        <v>23</v>
      </c>
      <c r="F318" s="23">
        <f ca="1">IFERROR(__xludf.DUMMYFUNCTION("SUM(IMPORTRANGE(""https://docs.google.com/spreadsheets/d/1uXtm-E8PG0CetlFmSpTX3RK0LNEMnpR-mxbET9AGD6w/edit"",""12!Q2:Q34""))"),4681.74499999999)</f>
        <v>4681.7449999999899</v>
      </c>
      <c r="G318" s="18">
        <f ca="1">IFERROR(__xludf.DUMMYFUNCTION("IMPORTRANGE(""https://docs.google.com/spreadsheets/d/1uXtm-E8PG0CetlFmSpTX3RK0LNEMnpR-mxbET9AGD6w/edit"",""12!e41"")"),1602)</f>
        <v>1602</v>
      </c>
      <c r="H318" s="18">
        <f ca="1">IFERROR(__xludf.DUMMYFUNCTION("IMPORTRANGE(""https://docs.google.com/spreadsheets/d/1uXtm-E8PG0CetlFmSpTX3RK0LNEMnpR-mxbET9AGD6w/edit"",""12!e42"")"),0)</f>
        <v>0</v>
      </c>
      <c r="I318" s="18">
        <f t="shared" ca="1" si="837"/>
        <v>1602</v>
      </c>
      <c r="J318" s="18">
        <f ca="1">IFERROR(__xludf.DUMMYFUNCTION("IMPORTRANGE(""https://docs.google.com/spreadsheets/d/1uXtm-E8PG0CetlFmSpTX3RK0LNEMnpR-mxbET9AGD6w/edit"",""12!e45"")"),3551)</f>
        <v>3551</v>
      </c>
      <c r="K318" s="18">
        <f ca="1">IFERROR(__xludf.DUMMYFUNCTION("IMPORTRANGE(""https://docs.google.com/spreadsheets/d/1uXtm-E8PG0CetlFmSpTX3RK0LNEMnpR-mxbET9AGD6w/edit"",""12!e46"")"),45)</f>
        <v>45</v>
      </c>
      <c r="L318" s="18">
        <f t="shared" ca="1" si="867"/>
        <v>3596</v>
      </c>
      <c r="M318" s="18">
        <f t="shared" ca="1" si="839"/>
        <v>5198</v>
      </c>
      <c r="N318" s="19">
        <f t="shared" ca="1" si="840"/>
        <v>203.55413043478217</v>
      </c>
      <c r="O318" s="16">
        <v>9877</v>
      </c>
      <c r="P318" s="20">
        <f t="shared" ca="1" si="841"/>
        <v>0.52627315986635614</v>
      </c>
      <c r="Q318" s="21">
        <v>1.5</v>
      </c>
      <c r="R318" s="20">
        <f t="shared" ca="1" si="842"/>
        <v>0.74017985459125624</v>
      </c>
      <c r="S318" s="22">
        <f t="shared" ca="1" si="843"/>
        <v>1.1102697818868843</v>
      </c>
      <c r="T318" s="21">
        <f ca="1">F318/26.155</f>
        <v>178.9999999999996</v>
      </c>
      <c r="U318" s="21">
        <f t="shared" ca="1" si="844"/>
        <v>7.782608695652157</v>
      </c>
      <c r="V318" s="18">
        <f t="shared" ca="1" si="845"/>
        <v>226</v>
      </c>
      <c r="W318" s="76"/>
      <c r="X318" s="8">
        <v>1</v>
      </c>
      <c r="Y318" s="8" t="s">
        <v>26</v>
      </c>
      <c r="Z318" s="8">
        <f t="shared" ref="Z318:AI318" si="879">SUM(D303)</f>
        <v>15</v>
      </c>
      <c r="AA318" s="9">
        <f t="shared" ca="1" si="879"/>
        <v>14</v>
      </c>
      <c r="AB318" s="11">
        <f t="shared" ca="1" si="879"/>
        <v>2587.875</v>
      </c>
      <c r="AC318" s="9">
        <f t="shared" ca="1" si="879"/>
        <v>1379</v>
      </c>
      <c r="AD318" s="9">
        <f t="shared" ca="1" si="879"/>
        <v>0</v>
      </c>
      <c r="AE318" s="9">
        <f t="shared" ca="1" si="879"/>
        <v>1379</v>
      </c>
      <c r="AF318" s="9">
        <f t="shared" ca="1" si="879"/>
        <v>2145</v>
      </c>
      <c r="AG318" s="9">
        <f t="shared" ca="1" si="879"/>
        <v>0</v>
      </c>
      <c r="AH318" s="9">
        <f t="shared" ca="1" si="879"/>
        <v>2145</v>
      </c>
      <c r="AI318" s="9">
        <f t="shared" ca="1" si="879"/>
        <v>3524</v>
      </c>
      <c r="AJ318" s="11">
        <f t="shared" ref="AJ318:AJ324" ca="1" si="880">AB318/AA318</f>
        <v>184.84821428571428</v>
      </c>
      <c r="AK318" s="8">
        <f>SUM(O303)</f>
        <v>5161</v>
      </c>
      <c r="AL318" s="12">
        <f t="shared" ref="AL318:AL324" ca="1" si="881">AI318/AK318</f>
        <v>0.68281340825421433</v>
      </c>
      <c r="AM318" s="13">
        <f>SUM(Q303)</f>
        <v>1.5</v>
      </c>
      <c r="AN318" s="12">
        <f t="shared" ref="AN318:AN324" ca="1" si="882">AO318/AM318</f>
        <v>0.90782334283276178</v>
      </c>
      <c r="AO318" s="14">
        <f t="shared" ref="AO318:AO324" ca="1" si="883">AI318/AB318</f>
        <v>1.3617350142491427</v>
      </c>
      <c r="AP318" s="13">
        <f t="shared" ref="AP318:AQ318" ca="1" si="884">SUM(T303)</f>
        <v>179.52653485952135</v>
      </c>
      <c r="AQ318" s="13">
        <f t="shared" ca="1" si="884"/>
        <v>12.823323918537239</v>
      </c>
      <c r="AR318" s="9">
        <f t="shared" ref="AR318:AR324" ca="1" si="885">AI318/AA318</f>
        <v>251.71428571428572</v>
      </c>
      <c r="AS318" s="76"/>
      <c r="AT318" s="76"/>
    </row>
    <row r="319" spans="1:46" ht="15.75" customHeight="1" x14ac:dyDescent="0.25">
      <c r="A319" s="70"/>
      <c r="B319" s="16">
        <v>17</v>
      </c>
      <c r="C319" s="16" t="s">
        <v>29</v>
      </c>
      <c r="D319" s="17">
        <v>23</v>
      </c>
      <c r="E319" s="18">
        <f ca="1">IFERROR(__xludf.DUMMYFUNCTION("COUNT(IMPORTRANGE(""https://docs.google.com/spreadsheets/d/12xcKI0lSnAsjEsxfm9K8Qx0B_89Gzsh816mowItkQao/edit"",""12!d2:d31""))"),22)</f>
        <v>22</v>
      </c>
      <c r="F319" s="23">
        <f ca="1">IFERROR(__xludf.DUMMYFUNCTION("SUM(IMPORTRANGE(""https://docs.google.com/spreadsheets/d/12xcKI0lSnAsjEsxfm9K8Qx0B_89Gzsh816mowItkQao/edit"",""12!Q2:Q31""))"),4322.308)</f>
        <v>4322.308</v>
      </c>
      <c r="G319" s="18">
        <f ca="1">IFERROR(__xludf.DUMMYFUNCTION("IMPORTRANGE(""https://docs.google.com/spreadsheets/d/12xcKI0lSnAsjEsxfm9K8Qx0B_89Gzsh816mowItkQao/edit"",""12!e38"")"),1587)</f>
        <v>1587</v>
      </c>
      <c r="H319" s="18">
        <f ca="1">IFERROR(__xludf.DUMMYFUNCTION("IMPORTRANGE(""https://docs.google.com/spreadsheets/d/12xcKI0lSnAsjEsxfm9K8Qx0B_89Gzsh816mowItkQao/edit"",""12!e39"")"),0)</f>
        <v>0</v>
      </c>
      <c r="I319" s="18">
        <f t="shared" ca="1" si="837"/>
        <v>1587</v>
      </c>
      <c r="J319" s="18">
        <f ca="1">IFERROR(__xludf.DUMMYFUNCTION("IMPORTRANGE(""https://docs.google.com/spreadsheets/d/12xcKI0lSnAsjEsxfm9K8Qx0B_89Gzsh816mowItkQao/edit"",""12!e42"")"),2585)</f>
        <v>2585</v>
      </c>
      <c r="K319" s="18">
        <f ca="1">IFERROR(__xludf.DUMMYFUNCTION("IMPORTRANGE(""https://docs.google.com/spreadsheets/d/12xcKI0lSnAsjEsxfm9K8Qx0B_89Gzsh816mowItkQao/edit"",""12!e43"")"),0)</f>
        <v>0</v>
      </c>
      <c r="L319" s="18">
        <f t="shared" ca="1" si="867"/>
        <v>2585</v>
      </c>
      <c r="M319" s="18">
        <f t="shared" ca="1" si="839"/>
        <v>4172</v>
      </c>
      <c r="N319" s="19">
        <f t="shared" ca="1" si="840"/>
        <v>196.46854545454545</v>
      </c>
      <c r="O319" s="16">
        <v>9201</v>
      </c>
      <c r="P319" s="20">
        <f t="shared" ca="1" si="841"/>
        <v>0.45342897511140096</v>
      </c>
      <c r="Q319" s="21">
        <v>1.5</v>
      </c>
      <c r="R319" s="20">
        <f t="shared" ca="1" si="842"/>
        <v>0.64348337354333218</v>
      </c>
      <c r="S319" s="22">
        <f t="shared" ca="1" si="843"/>
        <v>0.96522506031499833</v>
      </c>
      <c r="T319" s="21">
        <f ca="1">F319/26.038</f>
        <v>166</v>
      </c>
      <c r="U319" s="21">
        <f t="shared" ca="1" si="844"/>
        <v>7.5454545454545459</v>
      </c>
      <c r="V319" s="18">
        <f t="shared" ca="1" si="845"/>
        <v>189.63636363636363</v>
      </c>
      <c r="W319" s="76"/>
      <c r="X319" s="8">
        <v>2</v>
      </c>
      <c r="Y319" s="8" t="s">
        <v>32</v>
      </c>
      <c r="Z319" s="8">
        <f t="shared" ref="Z319:AI319" si="886">SUM(D306)</f>
        <v>32</v>
      </c>
      <c r="AA319" s="9">
        <f t="shared" ca="1" si="886"/>
        <v>32</v>
      </c>
      <c r="AB319" s="10">
        <f t="shared" ca="1" si="886"/>
        <v>6160.42399999999</v>
      </c>
      <c r="AC319" s="8">
        <f t="shared" ca="1" si="886"/>
        <v>3124</v>
      </c>
      <c r="AD319" s="8">
        <f t="shared" ca="1" si="886"/>
        <v>0</v>
      </c>
      <c r="AE319" s="9">
        <f t="shared" ca="1" si="886"/>
        <v>3124</v>
      </c>
      <c r="AF319" s="8">
        <f t="shared" ca="1" si="886"/>
        <v>4153</v>
      </c>
      <c r="AG319" s="8">
        <f t="shared" ca="1" si="886"/>
        <v>0</v>
      </c>
      <c r="AH319" s="9">
        <f t="shared" ca="1" si="886"/>
        <v>4153</v>
      </c>
      <c r="AI319" s="9">
        <f t="shared" ca="1" si="886"/>
        <v>7277</v>
      </c>
      <c r="AJ319" s="11">
        <f t="shared" ca="1" si="880"/>
        <v>192.51324999999969</v>
      </c>
      <c r="AK319" s="8">
        <f>SUM(O306)</f>
        <v>13817</v>
      </c>
      <c r="AL319" s="12">
        <f t="shared" ca="1" si="881"/>
        <v>0.52667004414851271</v>
      </c>
      <c r="AM319" s="13">
        <f>SUM(Q306)</f>
        <v>1.5</v>
      </c>
      <c r="AN319" s="12">
        <f t="shared" ca="1" si="882"/>
        <v>0.7874999080149907</v>
      </c>
      <c r="AO319" s="14">
        <f t="shared" ca="1" si="883"/>
        <v>1.1812498620224861</v>
      </c>
      <c r="AP319" s="13">
        <f t="shared" ref="AP319:AQ319" ca="1" si="887">SUM(T306)</f>
        <v>245.54282753397865</v>
      </c>
      <c r="AQ319" s="13">
        <f t="shared" ca="1" si="887"/>
        <v>7.6732133604368329</v>
      </c>
      <c r="AR319" s="9">
        <f t="shared" ca="1" si="885"/>
        <v>227.40625</v>
      </c>
      <c r="AS319" s="76"/>
      <c r="AT319" s="76"/>
    </row>
    <row r="320" spans="1:46" ht="15.75" customHeight="1" x14ac:dyDescent="0.25">
      <c r="A320" s="70"/>
      <c r="B320" s="16">
        <v>18</v>
      </c>
      <c r="C320" s="16" t="s">
        <v>31</v>
      </c>
      <c r="D320" s="17">
        <v>11</v>
      </c>
      <c r="E320" s="18">
        <f ca="1">IFERROR(__xludf.DUMMYFUNCTION("COUNT(IMPORTRANGE(""https://docs.google.com/spreadsheets/d/1fgCFOFzOla4Qim6_-zG-lbYhLCItqv_kZiAHoErRgcM/edit"",""12!d2:d16""))"),11)</f>
        <v>11</v>
      </c>
      <c r="F320" s="19">
        <f ca="1">IFERROR(__xludf.DUMMYFUNCTION("SUM(IMPORTRANGE(""https://docs.google.com/spreadsheets/d/1fgCFOFzOla4Qim6_-zG-lbYhLCItqv_kZiAHoErRgcM/edit"",""12!Q2:Q16""))"),1979.379)</f>
        <v>1979.3789999999999</v>
      </c>
      <c r="G320" s="18">
        <f ca="1">IFERROR(__xludf.DUMMYFUNCTION("IMPORTRANGE(""https://docs.google.com/spreadsheets/d/1fgCFOFzOla4Qim6_-zG-lbYhLCItqv_kZiAHoErRgcM/edit"",""12!e23"")"),417)</f>
        <v>417</v>
      </c>
      <c r="H320" s="18">
        <f ca="1">IFERROR(__xludf.DUMMYFUNCTION("IMPORTRANGE(""https://docs.google.com/spreadsheets/d/1fgCFOFzOla4Qim6_-zG-lbYhLCItqv_kZiAHoErRgcM/edit"",""12!e24"")"),24)</f>
        <v>24</v>
      </c>
      <c r="I320" s="18">
        <f t="shared" ca="1" si="837"/>
        <v>441</v>
      </c>
      <c r="J320" s="18">
        <f ca="1">IFERROR(__xludf.DUMMYFUNCTION("IMPORTRANGE(""https://docs.google.com/spreadsheets/d/1fgCFOFzOla4Qim6_-zG-lbYhLCItqv_kZiAHoErRgcM/edit"",""12!e27"")"),679)</f>
        <v>679</v>
      </c>
      <c r="K320" s="18">
        <f ca="1">IFERROR(__xludf.DUMMYFUNCTION("IMPORTRANGE(""https://docs.google.com/spreadsheets/d/1fgCFOFzOla4Qim6_-zG-lbYhLCItqv_kZiAHoErRgcM/edit"",""12!e28"")"),0)</f>
        <v>0</v>
      </c>
      <c r="L320" s="18">
        <f t="shared" ca="1" si="867"/>
        <v>679</v>
      </c>
      <c r="M320" s="18">
        <f t="shared" ca="1" si="839"/>
        <v>1120</v>
      </c>
      <c r="N320" s="19">
        <f t="shared" ca="1" si="840"/>
        <v>179.94354545454544</v>
      </c>
      <c r="O320" s="16">
        <v>2717</v>
      </c>
      <c r="P320" s="20">
        <f t="shared" ca="1" si="841"/>
        <v>0.41221935958778066</v>
      </c>
      <c r="Q320" s="21">
        <v>1.5</v>
      </c>
      <c r="R320" s="20">
        <f t="shared" ca="1" si="842"/>
        <v>0.37722268785647756</v>
      </c>
      <c r="S320" s="22">
        <f t="shared" ca="1" si="843"/>
        <v>0.56583403178471636</v>
      </c>
      <c r="T320" s="21">
        <f ca="1">F320/43.465</f>
        <v>45.539606580006897</v>
      </c>
      <c r="U320" s="21">
        <f t="shared" ca="1" si="844"/>
        <v>4.1399642345460812</v>
      </c>
      <c r="V320" s="18">
        <f t="shared" ca="1" si="845"/>
        <v>101.81818181818181</v>
      </c>
      <c r="W320" s="76"/>
      <c r="X320" s="8">
        <v>3</v>
      </c>
      <c r="Y320" s="8" t="s">
        <v>36</v>
      </c>
      <c r="Z320" s="8">
        <f t="shared" ref="Z320:AI320" si="888">SUM(D311)</f>
        <v>24</v>
      </c>
      <c r="AA320" s="9">
        <f t="shared" ca="1" si="888"/>
        <v>24</v>
      </c>
      <c r="AB320" s="10">
        <f t="shared" ca="1" si="888"/>
        <v>4501.2049999999999</v>
      </c>
      <c r="AC320" s="9">
        <f t="shared" ca="1" si="888"/>
        <v>906</v>
      </c>
      <c r="AD320" s="9">
        <f t="shared" ca="1" si="888"/>
        <v>0</v>
      </c>
      <c r="AE320" s="9">
        <f t="shared" ca="1" si="888"/>
        <v>906</v>
      </c>
      <c r="AF320" s="9">
        <f t="shared" ca="1" si="888"/>
        <v>1447</v>
      </c>
      <c r="AG320" s="9">
        <f t="shared" ca="1" si="888"/>
        <v>0</v>
      </c>
      <c r="AH320" s="9">
        <f t="shared" ca="1" si="888"/>
        <v>1447</v>
      </c>
      <c r="AI320" s="9">
        <f t="shared" ca="1" si="888"/>
        <v>2353</v>
      </c>
      <c r="AJ320" s="11">
        <f t="shared" ca="1" si="880"/>
        <v>187.55020833333333</v>
      </c>
      <c r="AK320" s="8">
        <f t="shared" ref="AK320:AK323" si="889">SUM(O311)</f>
        <v>4796</v>
      </c>
      <c r="AL320" s="12">
        <f t="shared" ca="1" si="881"/>
        <v>0.49061718098415347</v>
      </c>
      <c r="AM320" s="13">
        <f t="shared" ref="AM320:AM323" si="890">SUM(Q311)</f>
        <v>1.5</v>
      </c>
      <c r="AN320" s="12">
        <f t="shared" ca="1" si="882"/>
        <v>0.34849927223191718</v>
      </c>
      <c r="AO320" s="14">
        <f t="shared" ca="1" si="883"/>
        <v>0.5227489083478758</v>
      </c>
      <c r="AP320" s="13">
        <f t="shared" ref="AP320:AQ320" ca="1" si="891">SUM(T311)</f>
        <v>120.30803977120863</v>
      </c>
      <c r="AQ320" s="13">
        <f t="shared" ca="1" si="891"/>
        <v>5.0128349904670264</v>
      </c>
      <c r="AR320" s="9">
        <f t="shared" ca="1" si="885"/>
        <v>98.041666666666671</v>
      </c>
      <c r="AS320" s="76"/>
      <c r="AT320" s="76"/>
    </row>
    <row r="321" spans="1:46" ht="15.75" customHeight="1" x14ac:dyDescent="0.2">
      <c r="A321" s="70"/>
      <c r="B321" s="98" t="s">
        <v>33</v>
      </c>
      <c r="C321" s="98">
        <v>18</v>
      </c>
      <c r="D321" s="98">
        <f t="shared" ref="D321:M321" si="892">SUM(D303:D320)</f>
        <v>447</v>
      </c>
      <c r="E321" s="74">
        <f t="shared" ca="1" si="892"/>
        <v>437</v>
      </c>
      <c r="F321" s="99">
        <f t="shared" ca="1" si="892"/>
        <v>84059.956999999922</v>
      </c>
      <c r="G321" s="74">
        <f t="shared" ca="1" si="892"/>
        <v>24767</v>
      </c>
      <c r="H321" s="74">
        <f t="shared" ca="1" si="892"/>
        <v>503</v>
      </c>
      <c r="I321" s="74">
        <f t="shared" ca="1" si="892"/>
        <v>25270</v>
      </c>
      <c r="J321" s="74">
        <f t="shared" ca="1" si="892"/>
        <v>40752</v>
      </c>
      <c r="K321" s="74">
        <f t="shared" ca="1" si="892"/>
        <v>560</v>
      </c>
      <c r="L321" s="74">
        <f t="shared" ca="1" si="892"/>
        <v>41312</v>
      </c>
      <c r="M321" s="74">
        <f t="shared" ca="1" si="892"/>
        <v>66582</v>
      </c>
      <c r="N321" s="99">
        <f t="shared" ca="1" si="840"/>
        <v>192.3568810068648</v>
      </c>
      <c r="O321" s="98">
        <f>SUM(O303:O320)</f>
        <v>126399</v>
      </c>
      <c r="P321" s="69">
        <f t="shared" ca="1" si="841"/>
        <v>0.52676049652291557</v>
      </c>
      <c r="Q321" s="72">
        <v>1.5</v>
      </c>
      <c r="R321" s="69">
        <f t="shared" ca="1" si="842"/>
        <v>0.52805166198217346</v>
      </c>
      <c r="S321" s="73">
        <f t="shared" ca="1" si="843"/>
        <v>0.79207749297326024</v>
      </c>
      <c r="T321" s="72">
        <f ca="1">SUM(T303:T320)</f>
        <v>3091.3207310733924</v>
      </c>
      <c r="U321" s="72">
        <f t="shared" ca="1" si="844"/>
        <v>7.0739604830054743</v>
      </c>
      <c r="V321" s="74">
        <f t="shared" ca="1" si="845"/>
        <v>152.36155606407323</v>
      </c>
      <c r="W321" s="76"/>
      <c r="X321" s="8">
        <v>4</v>
      </c>
      <c r="Y321" s="8" t="s">
        <v>37</v>
      </c>
      <c r="Z321" s="8">
        <f t="shared" ref="Z321:AI321" si="893">SUM(D312)</f>
        <v>23</v>
      </c>
      <c r="AA321" s="9">
        <f t="shared" ca="1" si="893"/>
        <v>20</v>
      </c>
      <c r="AB321" s="10">
        <f t="shared" ca="1" si="893"/>
        <v>4000.2</v>
      </c>
      <c r="AC321" s="9">
        <f t="shared" ca="1" si="893"/>
        <v>919</v>
      </c>
      <c r="AD321" s="9">
        <f t="shared" ca="1" si="893"/>
        <v>0</v>
      </c>
      <c r="AE321" s="9">
        <f t="shared" ca="1" si="893"/>
        <v>919</v>
      </c>
      <c r="AF321" s="9">
        <f t="shared" ca="1" si="893"/>
        <v>1858</v>
      </c>
      <c r="AG321" s="9">
        <f t="shared" ca="1" si="893"/>
        <v>0</v>
      </c>
      <c r="AH321" s="9">
        <f t="shared" ca="1" si="893"/>
        <v>1858</v>
      </c>
      <c r="AI321" s="9">
        <f t="shared" ca="1" si="893"/>
        <v>2777</v>
      </c>
      <c r="AJ321" s="11">
        <f t="shared" ca="1" si="880"/>
        <v>200.01</v>
      </c>
      <c r="AK321" s="8">
        <f t="shared" si="889"/>
        <v>5887</v>
      </c>
      <c r="AL321" s="12">
        <f t="shared" ca="1" si="881"/>
        <v>0.47171734329879395</v>
      </c>
      <c r="AM321" s="13">
        <f t="shared" si="890"/>
        <v>1.5</v>
      </c>
      <c r="AN321" s="12">
        <f t="shared" ca="1" si="882"/>
        <v>0.46281019282369212</v>
      </c>
      <c r="AO321" s="14">
        <f t="shared" ca="1" si="883"/>
        <v>0.69421528923553821</v>
      </c>
      <c r="AP321" s="13">
        <f t="shared" ref="AP321:AQ321" ca="1" si="894">SUM(T312)</f>
        <v>161.35043562439495</v>
      </c>
      <c r="AQ321" s="13">
        <f t="shared" ca="1" si="894"/>
        <v>8.0675217812197477</v>
      </c>
      <c r="AR321" s="9">
        <f t="shared" ca="1" si="885"/>
        <v>138.85</v>
      </c>
      <c r="AS321" s="76"/>
      <c r="AT321" s="76"/>
    </row>
    <row r="322" spans="1:46" ht="15.75" customHeight="1" x14ac:dyDescent="0.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6"/>
      <c r="X322" s="8">
        <v>5</v>
      </c>
      <c r="Y322" s="8" t="s">
        <v>39</v>
      </c>
      <c r="Z322" s="8">
        <f t="shared" ref="Z322:AI322" si="895">SUM(D313)</f>
        <v>21</v>
      </c>
      <c r="AA322" s="9">
        <f t="shared" ca="1" si="895"/>
        <v>21</v>
      </c>
      <c r="AB322" s="10">
        <f t="shared" ca="1" si="895"/>
        <v>3954.6489999999899</v>
      </c>
      <c r="AC322" s="9">
        <f t="shared" ca="1" si="895"/>
        <v>730</v>
      </c>
      <c r="AD322" s="9">
        <f t="shared" ca="1" si="895"/>
        <v>0</v>
      </c>
      <c r="AE322" s="9">
        <f t="shared" ca="1" si="895"/>
        <v>730</v>
      </c>
      <c r="AF322" s="9">
        <f t="shared" ca="1" si="895"/>
        <v>1840</v>
      </c>
      <c r="AG322" s="9">
        <f t="shared" ca="1" si="895"/>
        <v>0</v>
      </c>
      <c r="AH322" s="9">
        <f t="shared" ca="1" si="895"/>
        <v>1840</v>
      </c>
      <c r="AI322" s="9">
        <f t="shared" ca="1" si="895"/>
        <v>2570</v>
      </c>
      <c r="AJ322" s="11">
        <f t="shared" ca="1" si="880"/>
        <v>188.31661904761856</v>
      </c>
      <c r="AK322" s="8">
        <f t="shared" si="889"/>
        <v>3569</v>
      </c>
      <c r="AL322" s="12">
        <f t="shared" ca="1" si="881"/>
        <v>0.72008966096945926</v>
      </c>
      <c r="AM322" s="13">
        <f t="shared" si="890"/>
        <v>1.5</v>
      </c>
      <c r="AN322" s="12">
        <f t="shared" ca="1" si="882"/>
        <v>0.43324536092415222</v>
      </c>
      <c r="AO322" s="14">
        <f t="shared" ca="1" si="883"/>
        <v>0.64986804138622833</v>
      </c>
      <c r="AP322" s="13">
        <f t="shared" ref="AP322:AQ322" ca="1" si="896">SUM(T313)</f>
        <v>184.25425150258536</v>
      </c>
      <c r="AQ322" s="13">
        <f t="shared" ca="1" si="896"/>
        <v>8.774011976313588</v>
      </c>
      <c r="AR322" s="9">
        <f t="shared" ca="1" si="885"/>
        <v>122.38095238095238</v>
      </c>
      <c r="AS322" s="76"/>
      <c r="AT322" s="76"/>
    </row>
    <row r="323" spans="1:46" ht="15.75" customHeight="1" x14ac:dyDescent="0.2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6"/>
      <c r="X323" s="8">
        <v>6</v>
      </c>
      <c r="Y323" s="8" t="s">
        <v>41</v>
      </c>
      <c r="Z323" s="8">
        <f t="shared" ref="Z323:AI323" si="897">SUM(D314)</f>
        <v>19</v>
      </c>
      <c r="AA323" s="9">
        <f t="shared" ca="1" si="897"/>
        <v>19</v>
      </c>
      <c r="AB323" s="10">
        <f t="shared" ca="1" si="897"/>
        <v>3713.3760000000002</v>
      </c>
      <c r="AC323" s="9">
        <f t="shared" ca="1" si="897"/>
        <v>687</v>
      </c>
      <c r="AD323" s="9">
        <f t="shared" ca="1" si="897"/>
        <v>0</v>
      </c>
      <c r="AE323" s="9">
        <f t="shared" ca="1" si="897"/>
        <v>687</v>
      </c>
      <c r="AF323" s="9">
        <f t="shared" ca="1" si="897"/>
        <v>1073</v>
      </c>
      <c r="AG323" s="9">
        <f t="shared" ca="1" si="897"/>
        <v>0</v>
      </c>
      <c r="AH323" s="9">
        <f t="shared" ca="1" si="897"/>
        <v>1073</v>
      </c>
      <c r="AI323" s="9">
        <f t="shared" ca="1" si="897"/>
        <v>1760</v>
      </c>
      <c r="AJ323" s="11">
        <f t="shared" ca="1" si="880"/>
        <v>195.44084210526316</v>
      </c>
      <c r="AK323" s="8">
        <f t="shared" si="889"/>
        <v>3801</v>
      </c>
      <c r="AL323" s="12">
        <f t="shared" ca="1" si="881"/>
        <v>0.4630360431465404</v>
      </c>
      <c r="AM323" s="13">
        <f t="shared" si="890"/>
        <v>1.5</v>
      </c>
      <c r="AN323" s="12">
        <f t="shared" ca="1" si="882"/>
        <v>0.31597482542390892</v>
      </c>
      <c r="AO323" s="14">
        <f t="shared" ca="1" si="883"/>
        <v>0.47396223813586341</v>
      </c>
      <c r="AP323" s="13">
        <f t="shared" ref="AP323:AQ323" ca="1" si="898">SUM(T314)</f>
        <v>125.33333333333334</v>
      </c>
      <c r="AQ323" s="13">
        <f t="shared" ca="1" si="898"/>
        <v>6.5964912280701755</v>
      </c>
      <c r="AR323" s="9">
        <f t="shared" ca="1" si="885"/>
        <v>92.631578947368425</v>
      </c>
      <c r="AS323" s="76"/>
      <c r="AT323" s="76"/>
    </row>
    <row r="324" spans="1:46" ht="15.75" customHeight="1" x14ac:dyDescent="0.25">
      <c r="A324" s="110" t="s">
        <v>45</v>
      </c>
      <c r="B324" s="76"/>
      <c r="C324" s="76"/>
      <c r="D324" s="75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24" t="s">
        <v>33</v>
      </c>
      <c r="Y324" s="24">
        <v>6</v>
      </c>
      <c r="Z324" s="24">
        <f t="shared" ref="Z324:AI324" si="899">SUM(Z318:Z323)</f>
        <v>134</v>
      </c>
      <c r="AA324" s="25">
        <f t="shared" ca="1" si="899"/>
        <v>130</v>
      </c>
      <c r="AB324" s="27">
        <f t="shared" ca="1" si="899"/>
        <v>24917.728999999981</v>
      </c>
      <c r="AC324" s="25">
        <f t="shared" ca="1" si="899"/>
        <v>7745</v>
      </c>
      <c r="AD324" s="25">
        <f t="shared" ca="1" si="899"/>
        <v>0</v>
      </c>
      <c r="AE324" s="25">
        <f t="shared" ca="1" si="899"/>
        <v>7745</v>
      </c>
      <c r="AF324" s="25">
        <f t="shared" ca="1" si="899"/>
        <v>12516</v>
      </c>
      <c r="AG324" s="25">
        <f t="shared" ca="1" si="899"/>
        <v>0</v>
      </c>
      <c r="AH324" s="25">
        <f t="shared" ca="1" si="899"/>
        <v>12516</v>
      </c>
      <c r="AI324" s="25">
        <f t="shared" ca="1" si="899"/>
        <v>20261</v>
      </c>
      <c r="AJ324" s="27">
        <f t="shared" ca="1" si="880"/>
        <v>191.67483846153831</v>
      </c>
      <c r="AK324" s="24">
        <f>SUM(AK318:AK323)</f>
        <v>37031</v>
      </c>
      <c r="AL324" s="28">
        <f t="shared" ca="1" si="881"/>
        <v>0.54713618319786128</v>
      </c>
      <c r="AM324" s="29">
        <v>1.5</v>
      </c>
      <c r="AN324" s="28">
        <f t="shared" ca="1" si="882"/>
        <v>0.54207722274101877</v>
      </c>
      <c r="AO324" s="30">
        <f t="shared" ca="1" si="883"/>
        <v>0.81311583411152821</v>
      </c>
      <c r="AP324" s="29">
        <f ca="1">SUM(AP318:AP323)</f>
        <v>1016.3154226250224</v>
      </c>
      <c r="AQ324" s="29">
        <f ca="1">AP324/AA324</f>
        <v>7.8178109432694027</v>
      </c>
      <c r="AR324" s="25">
        <f t="shared" ca="1" si="885"/>
        <v>155.85384615384615</v>
      </c>
      <c r="AS324" s="76"/>
      <c r="AT324" s="76"/>
    </row>
    <row r="325" spans="1:46" ht="15.75" customHeight="1" x14ac:dyDescent="0.2">
      <c r="A325" s="110" t="s">
        <v>45</v>
      </c>
      <c r="B325" s="76"/>
      <c r="C325" s="76"/>
      <c r="D325" s="75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7" t="s">
        <v>1</v>
      </c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9"/>
      <c r="AS325" s="76"/>
      <c r="AT325" s="76"/>
    </row>
    <row r="326" spans="1:46" ht="15.75" customHeight="1" x14ac:dyDescent="0.2">
      <c r="A326" s="109">
        <v>46216</v>
      </c>
      <c r="B326" s="80" t="s">
        <v>2</v>
      </c>
      <c r="C326" s="80" t="s">
        <v>3</v>
      </c>
      <c r="D326" s="80" t="s">
        <v>4</v>
      </c>
      <c r="E326" s="80" t="s">
        <v>5</v>
      </c>
      <c r="F326" s="81" t="s">
        <v>6</v>
      </c>
      <c r="G326" s="80" t="s">
        <v>7</v>
      </c>
      <c r="H326" s="80" t="s">
        <v>8</v>
      </c>
      <c r="I326" s="80" t="s">
        <v>9</v>
      </c>
      <c r="J326" s="80" t="s">
        <v>10</v>
      </c>
      <c r="K326" s="80" t="s">
        <v>11</v>
      </c>
      <c r="L326" s="80" t="s">
        <v>12</v>
      </c>
      <c r="M326" s="80" t="s">
        <v>13</v>
      </c>
      <c r="N326" s="81" t="s">
        <v>14</v>
      </c>
      <c r="O326" s="80" t="s">
        <v>15</v>
      </c>
      <c r="P326" s="80" t="s">
        <v>16</v>
      </c>
      <c r="Q326" s="80" t="s">
        <v>17</v>
      </c>
      <c r="R326" s="80" t="s">
        <v>18</v>
      </c>
      <c r="S326" s="106" t="s">
        <v>19</v>
      </c>
      <c r="T326" s="107" t="s">
        <v>20</v>
      </c>
      <c r="U326" s="107" t="s">
        <v>21</v>
      </c>
      <c r="V326" s="105" t="s">
        <v>22</v>
      </c>
      <c r="W326" s="76"/>
      <c r="X326" s="1" t="s">
        <v>2</v>
      </c>
      <c r="Y326" s="1" t="s">
        <v>3</v>
      </c>
      <c r="Z326" s="1" t="s">
        <v>4</v>
      </c>
      <c r="AA326" s="1" t="s">
        <v>5</v>
      </c>
      <c r="AB326" s="2" t="s">
        <v>6</v>
      </c>
      <c r="AC326" s="1" t="s">
        <v>7</v>
      </c>
      <c r="AD326" s="1" t="s">
        <v>8</v>
      </c>
      <c r="AE326" s="1" t="s">
        <v>9</v>
      </c>
      <c r="AF326" s="1" t="s">
        <v>10</v>
      </c>
      <c r="AG326" s="1" t="s">
        <v>11</v>
      </c>
      <c r="AH326" s="1" t="s">
        <v>12</v>
      </c>
      <c r="AI326" s="1" t="s">
        <v>13</v>
      </c>
      <c r="AJ326" s="2" t="s">
        <v>14</v>
      </c>
      <c r="AK326" s="1" t="s">
        <v>15</v>
      </c>
      <c r="AL326" s="1" t="s">
        <v>16</v>
      </c>
      <c r="AM326" s="3" t="s">
        <v>17</v>
      </c>
      <c r="AN326" s="4" t="s">
        <v>18</v>
      </c>
      <c r="AO326" s="5" t="s">
        <v>19</v>
      </c>
      <c r="AP326" s="6" t="s">
        <v>20</v>
      </c>
      <c r="AQ326" s="6" t="s">
        <v>21</v>
      </c>
      <c r="AR326" s="7" t="s">
        <v>22</v>
      </c>
      <c r="AS326" s="76"/>
      <c r="AT326" s="76"/>
    </row>
    <row r="327" spans="1:46" ht="15.75" customHeight="1" x14ac:dyDescent="0.2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6"/>
      <c r="X327" s="8">
        <v>1</v>
      </c>
      <c r="Y327" s="8" t="s">
        <v>23</v>
      </c>
      <c r="Z327" s="8">
        <f t="shared" ref="Z327:AI327" si="900">SUM(D335)</f>
        <v>35</v>
      </c>
      <c r="AA327" s="9">
        <f t="shared" ca="1" si="900"/>
        <v>35</v>
      </c>
      <c r="AB327" s="10">
        <f t="shared" ca="1" si="900"/>
        <v>6781.7399999999898</v>
      </c>
      <c r="AC327" s="9">
        <f t="shared" ca="1" si="900"/>
        <v>1830</v>
      </c>
      <c r="AD327" s="9">
        <f t="shared" ca="1" si="900"/>
        <v>0</v>
      </c>
      <c r="AE327" s="9">
        <f t="shared" ca="1" si="900"/>
        <v>1830</v>
      </c>
      <c r="AF327" s="9">
        <f t="shared" ca="1" si="900"/>
        <v>3161</v>
      </c>
      <c r="AG327" s="9">
        <f t="shared" ca="1" si="900"/>
        <v>0</v>
      </c>
      <c r="AH327" s="9">
        <f t="shared" ca="1" si="900"/>
        <v>3161</v>
      </c>
      <c r="AI327" s="9">
        <f t="shared" ca="1" si="900"/>
        <v>4991</v>
      </c>
      <c r="AJ327" s="11">
        <f t="shared" ref="AJ327:AJ329" ca="1" si="901">AB327/AA327</f>
        <v>193.7639999999997</v>
      </c>
      <c r="AK327" s="8">
        <f>SUM(O335)</f>
        <v>6853</v>
      </c>
      <c r="AL327" s="12">
        <f t="shared" ref="AL327:AL333" ca="1" si="902">AI327/AK327</f>
        <v>0.72829417773238003</v>
      </c>
      <c r="AM327" s="13">
        <f t="shared" ref="AM327:AM329" si="903">SUM(Q335)</f>
        <v>1.5</v>
      </c>
      <c r="AN327" s="12">
        <f t="shared" ref="AN327:AN333" ca="1" si="904">AO327/AM327</f>
        <v>0.49063121460470888</v>
      </c>
      <c r="AO327" s="14">
        <f t="shared" ref="AO327:AO333" ca="1" si="905">AI327/AB327</f>
        <v>0.73594682190706329</v>
      </c>
      <c r="AP327" s="13">
        <f t="shared" ref="AP327:AQ327" ca="1" si="906">SUM(T335)</f>
        <v>200.99999999999969</v>
      </c>
      <c r="AQ327" s="13">
        <f t="shared" ca="1" si="906"/>
        <v>5.742857142857134</v>
      </c>
      <c r="AR327" s="9">
        <f t="shared" ref="AR327:AR333" ca="1" si="907">AI327/AA327</f>
        <v>142.6</v>
      </c>
      <c r="AS327" s="76"/>
      <c r="AT327" s="76"/>
    </row>
    <row r="328" spans="1:46" ht="15.75" customHeight="1" x14ac:dyDescent="0.2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6"/>
      <c r="X328" s="8">
        <v>2</v>
      </c>
      <c r="Y328" s="8" t="s">
        <v>24</v>
      </c>
      <c r="Z328" s="8">
        <f t="shared" ref="Z328:AI328" si="908">SUM(D336)</f>
        <v>44</v>
      </c>
      <c r="AA328" s="9">
        <f t="shared" ca="1" si="908"/>
        <v>42</v>
      </c>
      <c r="AB328" s="10">
        <f t="shared" ca="1" si="908"/>
        <v>8186.3889999999901</v>
      </c>
      <c r="AC328" s="9">
        <f t="shared" ca="1" si="908"/>
        <v>1068</v>
      </c>
      <c r="AD328" s="9">
        <f t="shared" ca="1" si="908"/>
        <v>7</v>
      </c>
      <c r="AE328" s="9">
        <f t="shared" ca="1" si="908"/>
        <v>1075</v>
      </c>
      <c r="AF328" s="9">
        <f t="shared" ca="1" si="908"/>
        <v>1160</v>
      </c>
      <c r="AG328" s="9">
        <f t="shared" ca="1" si="908"/>
        <v>0</v>
      </c>
      <c r="AH328" s="9">
        <f t="shared" ca="1" si="908"/>
        <v>1160</v>
      </c>
      <c r="AI328" s="9">
        <f t="shared" ca="1" si="908"/>
        <v>2235</v>
      </c>
      <c r="AJ328" s="11">
        <f t="shared" ca="1" si="901"/>
        <v>194.91402380952357</v>
      </c>
      <c r="AK328" s="8">
        <v>1580</v>
      </c>
      <c r="AL328" s="15">
        <f t="shared" ca="1" si="902"/>
        <v>1.4145569620253164</v>
      </c>
      <c r="AM328" s="13">
        <f t="shared" si="903"/>
        <v>1.5</v>
      </c>
      <c r="AN328" s="12">
        <f t="shared" ca="1" si="904"/>
        <v>0.18200943053158136</v>
      </c>
      <c r="AO328" s="14">
        <f t="shared" ca="1" si="905"/>
        <v>0.27301414579737204</v>
      </c>
      <c r="AP328" s="13">
        <f t="shared" ref="AP328:AQ328" ca="1" si="909">SUM(T336)</f>
        <v>305.40529751911919</v>
      </c>
      <c r="AQ328" s="13">
        <f t="shared" ca="1" si="909"/>
        <v>7.2715547028361716</v>
      </c>
      <c r="AR328" s="9">
        <f t="shared" ca="1" si="907"/>
        <v>53.214285714285715</v>
      </c>
      <c r="AS328" s="76"/>
      <c r="AT328" s="76"/>
    </row>
    <row r="329" spans="1:46" ht="15.75" customHeight="1" x14ac:dyDescent="0.2">
      <c r="A329" s="70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6"/>
      <c r="X329" s="8">
        <v>3</v>
      </c>
      <c r="Y329" s="8" t="s">
        <v>25</v>
      </c>
      <c r="Z329" s="8">
        <f t="shared" ref="Z329:AI329" si="910">SUM(D337)</f>
        <v>32</v>
      </c>
      <c r="AA329" s="9">
        <f t="shared" ca="1" si="910"/>
        <v>31</v>
      </c>
      <c r="AB329" s="10">
        <f t="shared" ca="1" si="910"/>
        <v>6212.116</v>
      </c>
      <c r="AC329" s="9">
        <f t="shared" ca="1" si="910"/>
        <v>2344</v>
      </c>
      <c r="AD329" s="9">
        <f t="shared" ca="1" si="910"/>
        <v>553</v>
      </c>
      <c r="AE329" s="9">
        <f t="shared" ca="1" si="910"/>
        <v>2897</v>
      </c>
      <c r="AF329" s="9">
        <f t="shared" ca="1" si="910"/>
        <v>3131</v>
      </c>
      <c r="AG329" s="9">
        <f t="shared" ca="1" si="910"/>
        <v>441</v>
      </c>
      <c r="AH329" s="9">
        <f t="shared" ca="1" si="910"/>
        <v>3572</v>
      </c>
      <c r="AI329" s="9">
        <f t="shared" ca="1" si="910"/>
        <v>6469</v>
      </c>
      <c r="AJ329" s="11">
        <f t="shared" ca="1" si="901"/>
        <v>200.39083870967741</v>
      </c>
      <c r="AK329" s="8">
        <f>SUM(O337)</f>
        <v>6622</v>
      </c>
      <c r="AL329" s="12">
        <f t="shared" ca="1" si="902"/>
        <v>0.97689519782543033</v>
      </c>
      <c r="AM329" s="13">
        <f t="shared" si="903"/>
        <v>1.5</v>
      </c>
      <c r="AN329" s="12">
        <f t="shared" ca="1" si="904"/>
        <v>0.69423472882133341</v>
      </c>
      <c r="AO329" s="14">
        <f t="shared" ca="1" si="905"/>
        <v>1.0413520932320002</v>
      </c>
      <c r="AP329" s="13">
        <f t="shared" ref="AP329:AQ329" ca="1" si="911">SUM(T337)</f>
        <v>260.5753355704698</v>
      </c>
      <c r="AQ329" s="13">
        <f t="shared" ca="1" si="911"/>
        <v>8.405655986144188</v>
      </c>
      <c r="AR329" s="9">
        <f t="shared" ca="1" si="907"/>
        <v>208.67741935483872</v>
      </c>
      <c r="AS329" s="76"/>
      <c r="AT329" s="76"/>
    </row>
    <row r="330" spans="1:46" ht="15.75" customHeight="1" x14ac:dyDescent="0.25">
      <c r="A330" s="70"/>
      <c r="B330" s="16">
        <v>1</v>
      </c>
      <c r="C330" s="16" t="s">
        <v>26</v>
      </c>
      <c r="D330" s="17">
        <v>20</v>
      </c>
      <c r="E330" s="18">
        <f ca="1">IFERROR(__xludf.DUMMYFUNCTION("COUNT(IMPORTRANGE(""https://docs.google.com/spreadsheets/d/1z0o91thOT38lgejTE_Bd2p3v_9VCDdQRkUsMIVqpQCk/edit"",""13!d2:d21""))"),20)</f>
        <v>20</v>
      </c>
      <c r="F330" s="19">
        <f ca="1">IFERROR(__xludf.DUMMYFUNCTION("SUM(IMPORTRANGE(""https://docs.google.com/spreadsheets/d/1z0o91thOT38lgejTE_Bd2p3v_9VCDdQRkUsMIVqpQCk/edit"",""13!Q2:Q21""))"),3950.322)</f>
        <v>3950.3220000000001</v>
      </c>
      <c r="G330" s="18">
        <f ca="1">IFERROR(__xludf.DUMMYFUNCTION("IMPORTRANGE(""https://docs.google.com/spreadsheets/d/1z0o91thOT38lgejTE_Bd2p3v_9VCDdQRkUsMIVqpQCk/edit"",""13!e28"")"),2470)</f>
        <v>2470</v>
      </c>
      <c r="H330" s="18">
        <f ca="1">IFERROR(__xludf.DUMMYFUNCTION("IMPORTRANGE(""https://docs.google.com/spreadsheets/d/1z0o91thOT38lgejTE_Bd2p3v_9VCDdQRkUsMIVqpQCk/edit"",""13!e29"")"),0)</f>
        <v>0</v>
      </c>
      <c r="I330" s="18">
        <f t="shared" ref="I330:I347" ca="1" si="912">SUM(G330:H330)</f>
        <v>2470</v>
      </c>
      <c r="J330" s="18">
        <f ca="1">IFERROR(__xludf.DUMMYFUNCTION("IMPORTRANGE(""https://docs.google.com/spreadsheets/d/1z0o91thOT38lgejTE_Bd2p3v_9VCDdQRkUsMIVqpQCk/edit"",""13!e32"")"),2513)</f>
        <v>2513</v>
      </c>
      <c r="K330" s="18">
        <f ca="1">IFERROR(__xludf.DUMMYFUNCTION("IMPORTRANGE(""https://docs.google.com/spreadsheets/d/1z0o91thOT38lgejTE_Bd2p3v_9VCDdQRkUsMIVqpQCk/edit"",""13!e33"")"),0)</f>
        <v>0</v>
      </c>
      <c r="L330" s="18">
        <f t="shared" ref="L330:L336" ca="1" si="913">SUM(J330:K330)</f>
        <v>2513</v>
      </c>
      <c r="M330" s="18">
        <f t="shared" ref="M330:M347" ca="1" si="914">SUM(I330+L330)</f>
        <v>4983</v>
      </c>
      <c r="N330" s="19">
        <f t="shared" ref="N330:N348" ca="1" si="915">F330/E330</f>
        <v>197.51609999999999</v>
      </c>
      <c r="O330" s="16">
        <v>5161</v>
      </c>
      <c r="P330" s="20">
        <f t="shared" ref="P330:P348" ca="1" si="916">M330/O330</f>
        <v>0.96551055996899826</v>
      </c>
      <c r="Q330" s="21">
        <v>1.5</v>
      </c>
      <c r="R330" s="20">
        <f t="shared" ref="R330:R348" ca="1" si="917">S330/Q330</f>
        <v>0.84094410531597175</v>
      </c>
      <c r="S330" s="22">
        <f t="shared" ref="S330:S348" ca="1" si="918">M330/F330</f>
        <v>1.2614161579739576</v>
      </c>
      <c r="T330" s="21">
        <f ca="1">F330/14.415</f>
        <v>274.04245577523415</v>
      </c>
      <c r="U330" s="21">
        <f t="shared" ref="U330:U348" ca="1" si="919">T330/E330</f>
        <v>13.702122788761708</v>
      </c>
      <c r="V330" s="18">
        <f t="shared" ref="V330:V348" ca="1" si="920">M330/E330</f>
        <v>249.15</v>
      </c>
      <c r="W330" s="76"/>
      <c r="X330" s="8">
        <v>4</v>
      </c>
      <c r="Y330" s="8" t="s">
        <v>27</v>
      </c>
      <c r="Z330" s="8">
        <f t="shared" ref="Z330:AK330" si="921">SUM(D343)</f>
        <v>30</v>
      </c>
      <c r="AA330" s="9">
        <f t="shared" ca="1" si="921"/>
        <v>29</v>
      </c>
      <c r="AB330" s="10">
        <f t="shared" ca="1" si="921"/>
        <v>5425.79</v>
      </c>
      <c r="AC330" s="9">
        <f t="shared" ca="1" si="921"/>
        <v>2441</v>
      </c>
      <c r="AD330" s="9">
        <f t="shared" ca="1" si="921"/>
        <v>0</v>
      </c>
      <c r="AE330" s="9">
        <f t="shared" ca="1" si="921"/>
        <v>2441</v>
      </c>
      <c r="AF330" s="9">
        <f t="shared" ca="1" si="921"/>
        <v>3211</v>
      </c>
      <c r="AG330" s="9">
        <f t="shared" ca="1" si="921"/>
        <v>0</v>
      </c>
      <c r="AH330" s="9">
        <f t="shared" ca="1" si="921"/>
        <v>3211</v>
      </c>
      <c r="AI330" s="9">
        <f t="shared" ca="1" si="921"/>
        <v>5652</v>
      </c>
      <c r="AJ330" s="11">
        <f t="shared" ca="1" si="921"/>
        <v>187.09620689655173</v>
      </c>
      <c r="AK330" s="8">
        <f t="shared" si="921"/>
        <v>8101</v>
      </c>
      <c r="AL330" s="12">
        <f t="shared" ca="1" si="902"/>
        <v>0.69769164300703612</v>
      </c>
      <c r="AM330" s="13">
        <f>SUM(Q343)</f>
        <v>1.5</v>
      </c>
      <c r="AN330" s="12">
        <f t="shared" ca="1" si="904"/>
        <v>0.69446108308651822</v>
      </c>
      <c r="AO330" s="14">
        <f t="shared" ca="1" si="905"/>
        <v>1.0416916246297774</v>
      </c>
      <c r="AP330" s="13">
        <f t="shared" ref="AP330:AQ330" ca="1" si="922">SUM(T343)</f>
        <v>271.49311983987991</v>
      </c>
      <c r="AQ330" s="13">
        <f t="shared" ca="1" si="922"/>
        <v>9.3618317186165481</v>
      </c>
      <c r="AR330" s="9">
        <f t="shared" ca="1" si="907"/>
        <v>194.89655172413794</v>
      </c>
      <c r="AS330" s="76"/>
      <c r="AT330" s="76"/>
    </row>
    <row r="331" spans="1:46" ht="15.75" customHeight="1" x14ac:dyDescent="0.25">
      <c r="A331" s="70"/>
      <c r="B331" s="16">
        <v>2</v>
      </c>
      <c r="C331" s="16" t="s">
        <v>28</v>
      </c>
      <c r="D331" s="17">
        <v>33</v>
      </c>
      <c r="E331" s="18">
        <f ca="1">IFERROR(__xludf.DUMMYFUNCTION("COUNT(IMPORTRANGE(""https://docs.google.com/spreadsheets/d/10a85iNN0y9GF6ngQfF1JXGAzFk-T7ywH4-TZtQcOTaE/edit"",""13!d2:d34""))"),33)</f>
        <v>33</v>
      </c>
      <c r="F331" s="19">
        <f ca="1">IFERROR(__xludf.DUMMYFUNCTION("SUM(IMPORTRANGE(""https://docs.google.com/spreadsheets/d/10a85iNN0y9GF6ngQfF1JXGAzFk-T7ywH4-TZtQcOTaE/edit"",""13!Q2:Q34""))"),6497.936)</f>
        <v>6497.9359999999997</v>
      </c>
      <c r="G331" s="18">
        <f ca="1">IFERROR(__xludf.DUMMYFUNCTION("IMPORTRANGE(""https://docs.google.com/spreadsheets/d/10a85iNN0y9GF6ngQfF1JXGAzFk-T7ywH4-TZtQcOTaE/edit"",""13!e41"")"),2752)</f>
        <v>2752</v>
      </c>
      <c r="H331" s="18">
        <f ca="1">IFERROR(__xludf.DUMMYFUNCTION("IMPORTRANGE(""https://docs.google.com/spreadsheets/d/10a85iNN0y9GF6ngQfF1JXGAzFk-T7ywH4-TZtQcOTaE/edit"",""13!e42"")"),131)</f>
        <v>131</v>
      </c>
      <c r="I331" s="18">
        <f t="shared" ca="1" si="912"/>
        <v>2883</v>
      </c>
      <c r="J331" s="18">
        <f ca="1">IFERROR(__xludf.DUMMYFUNCTION("IMPORTRANGE(""https://docs.google.com/spreadsheets/d/10a85iNN0y9GF6ngQfF1JXGAzFk-T7ywH4-TZtQcOTaE/edit"",""13!e45"")"),3001)</f>
        <v>3001</v>
      </c>
      <c r="K331" s="18">
        <f ca="1">IFERROR(__xludf.DUMMYFUNCTION("IMPORTRANGE(""https://docs.google.com/spreadsheets/d/10a85iNN0y9GF6ngQfF1JXGAzFk-T7ywH4-TZtQcOTaE/edit"",""13!e46"")"),126)</f>
        <v>126</v>
      </c>
      <c r="L331" s="18">
        <f t="shared" ca="1" si="913"/>
        <v>3127</v>
      </c>
      <c r="M331" s="18">
        <f t="shared" ca="1" si="914"/>
        <v>6010</v>
      </c>
      <c r="N331" s="19">
        <f t="shared" ca="1" si="915"/>
        <v>196.9071515151515</v>
      </c>
      <c r="O331" s="16">
        <v>7315</v>
      </c>
      <c r="P331" s="20">
        <f t="shared" ca="1" si="916"/>
        <v>0.82159945317840055</v>
      </c>
      <c r="Q331" s="21">
        <v>1.5</v>
      </c>
      <c r="R331" s="20">
        <f t="shared" ca="1" si="917"/>
        <v>0.61660605254755774</v>
      </c>
      <c r="S331" s="22">
        <f t="shared" ca="1" si="918"/>
        <v>0.92490907882133655</v>
      </c>
      <c r="T331" s="21">
        <f ca="1">F331/30.897</f>
        <v>210.30960934718581</v>
      </c>
      <c r="U331" s="21">
        <f t="shared" ca="1" si="919"/>
        <v>6.3730184650662371</v>
      </c>
      <c r="V331" s="18">
        <f t="shared" ca="1" si="920"/>
        <v>182.12121212121212</v>
      </c>
      <c r="W331" s="76"/>
      <c r="X331" s="8">
        <v>5</v>
      </c>
      <c r="Y331" s="8" t="s">
        <v>29</v>
      </c>
      <c r="Z331" s="8">
        <f t="shared" ref="Z331:AI331" si="923">SUM(D346)</f>
        <v>30</v>
      </c>
      <c r="AA331" s="9">
        <f t="shared" ca="1" si="923"/>
        <v>29</v>
      </c>
      <c r="AB331" s="10">
        <f t="shared" ca="1" si="923"/>
        <v>5806.4740000000002</v>
      </c>
      <c r="AC331" s="9">
        <f t="shared" ca="1" si="923"/>
        <v>2946</v>
      </c>
      <c r="AD331" s="9">
        <f t="shared" ca="1" si="923"/>
        <v>0</v>
      </c>
      <c r="AE331" s="9">
        <f t="shared" ca="1" si="923"/>
        <v>2946</v>
      </c>
      <c r="AF331" s="9">
        <f t="shared" ca="1" si="923"/>
        <v>3887</v>
      </c>
      <c r="AG331" s="9">
        <f t="shared" ca="1" si="923"/>
        <v>0</v>
      </c>
      <c r="AH331" s="9">
        <f t="shared" ca="1" si="923"/>
        <v>3887</v>
      </c>
      <c r="AI331" s="9">
        <f t="shared" ca="1" si="923"/>
        <v>6833</v>
      </c>
      <c r="AJ331" s="11">
        <f t="shared" ref="AJ331:AJ333" ca="1" si="924">AB331/AA331</f>
        <v>200.22324137931034</v>
      </c>
      <c r="AK331" s="8">
        <f t="shared" ref="AK331:AK332" si="925">SUM(O346)</f>
        <v>9201</v>
      </c>
      <c r="AL331" s="12">
        <f t="shared" ca="1" si="902"/>
        <v>0.7426366699271818</v>
      </c>
      <c r="AM331" s="13">
        <f t="shared" ref="AM331:AM332" si="926">SUM(Q346)</f>
        <v>1.5</v>
      </c>
      <c r="AN331" s="12">
        <f t="shared" ca="1" si="904"/>
        <v>0.78452660484371972</v>
      </c>
      <c r="AO331" s="14">
        <f t="shared" ca="1" si="905"/>
        <v>1.1767899072655796</v>
      </c>
      <c r="AP331" s="13">
        <f t="shared" ref="AP331:AQ331" ca="1" si="927">SUM(T346)</f>
        <v>223</v>
      </c>
      <c r="AQ331" s="13">
        <f t="shared" ca="1" si="927"/>
        <v>7.6896551724137927</v>
      </c>
      <c r="AR331" s="9">
        <f t="shared" ca="1" si="907"/>
        <v>235.62068965517241</v>
      </c>
      <c r="AS331" s="76"/>
      <c r="AT331" s="76"/>
    </row>
    <row r="332" spans="1:46" ht="15.75" customHeight="1" x14ac:dyDescent="0.25">
      <c r="A332" s="70"/>
      <c r="B332" s="16">
        <v>3</v>
      </c>
      <c r="C332" s="16" t="s">
        <v>30</v>
      </c>
      <c r="D332" s="17">
        <v>60</v>
      </c>
      <c r="E332" s="18">
        <f ca="1">IFERROR(__xludf.DUMMYFUNCTION("COUNT(IMPORTRANGE(""https://docs.google.com/spreadsheets/d/1WojVzHhpzodJL1e5UDHeu3A3u5MTSZwvxHu0BrwvL9w/edit"",""13!d2:d61""))"),58)</f>
        <v>58</v>
      </c>
      <c r="F332" s="23">
        <f ca="1">IFERROR(__xludf.DUMMYFUNCTION("SUM(IMPORTRANGE(""https://docs.google.com/spreadsheets/d/1WojVzHhpzodJL1e5UDHeu3A3u5MTSZwvxHu0BrwvL9w/edit"",""13!Q2:Q61""))"),11143.4269999999)</f>
        <v>11143.4269999999</v>
      </c>
      <c r="G332" s="18">
        <f ca="1">IFERROR(__xludf.DUMMYFUNCTION("IMPORTRANGE(""https://docs.google.com/spreadsheets/d/1WojVzHhpzodJL1e5UDHeu3A3u5MTSZwvxHu0BrwvL9w/edit"",""13!e68"")"),3435)</f>
        <v>3435</v>
      </c>
      <c r="H332" s="18">
        <f ca="1">IFERROR(__xludf.DUMMYFUNCTION("IMPORTRANGE(""https://docs.google.com/spreadsheets/d/1WojVzHhpzodJL1e5UDHeu3A3u5MTSZwvxHu0BrwvL9w/edit"",""13!e69"")"),0)</f>
        <v>0</v>
      </c>
      <c r="I332" s="18">
        <f t="shared" ca="1" si="912"/>
        <v>3435</v>
      </c>
      <c r="J332" s="18">
        <f ca="1">IFERROR(__xludf.DUMMYFUNCTION("IMPORTRANGE(""https://docs.google.com/spreadsheets/d/1WojVzHhpzodJL1e5UDHeu3A3u5MTSZwvxHu0BrwvL9w/edit"",""13!e72"")"),5145)</f>
        <v>5145</v>
      </c>
      <c r="K332" s="18">
        <f ca="1">IFERROR(__xludf.DUMMYFUNCTION("IMPORTRANGE(""https://docs.google.com/spreadsheets/d/1WojVzHhpzodJL1e5UDHeu3A3u5MTSZwvxHu0BrwvL9w/edit"",""13!e73"")"),0)</f>
        <v>0</v>
      </c>
      <c r="L332" s="18">
        <f t="shared" ca="1" si="913"/>
        <v>5145</v>
      </c>
      <c r="M332" s="18">
        <f t="shared" ca="1" si="914"/>
        <v>8580</v>
      </c>
      <c r="N332" s="19">
        <f t="shared" ca="1" si="915"/>
        <v>192.12805172413621</v>
      </c>
      <c r="O332" s="16">
        <v>11164</v>
      </c>
      <c r="P332" s="20">
        <f t="shared" ca="1" si="916"/>
        <v>0.76854174131135788</v>
      </c>
      <c r="Q332" s="21">
        <v>1.5</v>
      </c>
      <c r="R332" s="20">
        <f t="shared" ca="1" si="917"/>
        <v>0.51330708228268118</v>
      </c>
      <c r="S332" s="22">
        <f t="shared" ca="1" si="918"/>
        <v>0.76996062342402183</v>
      </c>
      <c r="T332" s="21">
        <f ca="1">F332/29.603</f>
        <v>376.42897679288922</v>
      </c>
      <c r="U332" s="21">
        <f t="shared" ca="1" si="919"/>
        <v>6.4901547722911932</v>
      </c>
      <c r="V332" s="18">
        <f t="shared" ca="1" si="920"/>
        <v>147.93103448275863</v>
      </c>
      <c r="W332" s="76"/>
      <c r="X332" s="8">
        <v>6</v>
      </c>
      <c r="Y332" s="8" t="s">
        <v>31</v>
      </c>
      <c r="Z332" s="8">
        <f t="shared" ref="Z332:AI332" si="928">SUM(D347)</f>
        <v>15</v>
      </c>
      <c r="AA332" s="9">
        <f t="shared" ca="1" si="928"/>
        <v>12</v>
      </c>
      <c r="AB332" s="11">
        <f t="shared" ca="1" si="928"/>
        <v>2477.5050000000001</v>
      </c>
      <c r="AC332" s="9">
        <f t="shared" ca="1" si="928"/>
        <v>805</v>
      </c>
      <c r="AD332" s="9">
        <f t="shared" ca="1" si="928"/>
        <v>7</v>
      </c>
      <c r="AE332" s="9">
        <f t="shared" ca="1" si="928"/>
        <v>812</v>
      </c>
      <c r="AF332" s="9">
        <f t="shared" ca="1" si="928"/>
        <v>1075</v>
      </c>
      <c r="AG332" s="9">
        <f t="shared" ca="1" si="928"/>
        <v>0</v>
      </c>
      <c r="AH332" s="9">
        <f t="shared" ca="1" si="928"/>
        <v>1075</v>
      </c>
      <c r="AI332" s="9">
        <f t="shared" ca="1" si="928"/>
        <v>1887</v>
      </c>
      <c r="AJ332" s="11">
        <f t="shared" ca="1" si="924"/>
        <v>206.45875000000001</v>
      </c>
      <c r="AK332" s="8">
        <f t="shared" si="925"/>
        <v>2717</v>
      </c>
      <c r="AL332" s="12">
        <f t="shared" ca="1" si="902"/>
        <v>0.69451601030548404</v>
      </c>
      <c r="AM332" s="13">
        <f t="shared" si="926"/>
        <v>1.5</v>
      </c>
      <c r="AN332" s="12">
        <f t="shared" ca="1" si="904"/>
        <v>0.50776890460362345</v>
      </c>
      <c r="AO332" s="14">
        <f t="shared" ca="1" si="905"/>
        <v>0.76165335690543512</v>
      </c>
      <c r="AP332" s="13">
        <f t="shared" ref="AP332:AQ332" ca="1" si="929">SUM(T347)</f>
        <v>57</v>
      </c>
      <c r="AQ332" s="13">
        <f t="shared" ca="1" si="929"/>
        <v>4.75</v>
      </c>
      <c r="AR332" s="9">
        <f t="shared" ca="1" si="907"/>
        <v>157.25</v>
      </c>
      <c r="AS332" s="76"/>
      <c r="AT332" s="76"/>
    </row>
    <row r="333" spans="1:46" ht="15.75" customHeight="1" x14ac:dyDescent="0.25">
      <c r="A333" s="70"/>
      <c r="B333" s="16">
        <v>4</v>
      </c>
      <c r="C333" s="16" t="s">
        <v>32</v>
      </c>
      <c r="D333" s="17">
        <v>42</v>
      </c>
      <c r="E333" s="18">
        <f ca="1">IFERROR(__xludf.DUMMYFUNCTION("COUNT(IMPORTRANGE(""https://docs.google.com/spreadsheets/d/1vmCj5YcMSPHj1m64syDndQ6cqVL3yolcU03Y8KHmvdc/edit"",""13!d2:d43""))"),42)</f>
        <v>42</v>
      </c>
      <c r="F333" s="23">
        <f ca="1">IFERROR(__xludf.DUMMYFUNCTION("SUM(IMPORTRANGE(""https://docs.google.com/spreadsheets/d/1vmCj5YcMSPHj1m64syDndQ6cqVL3yolcU03Y8KHmvdc/edit"",""13!Q2:Q43""))"),8265.75099999999)</f>
        <v>8265.7509999999893</v>
      </c>
      <c r="G333" s="16">
        <f ca="1">IFERROR(__xludf.DUMMYFUNCTION("IMPORTRANGE(""https://docs.google.com/spreadsheets/d/1vmCj5YcMSPHj1m64syDndQ6cqVL3yolcU03Y8KHmvdc/edit"",""13!e50"")"),4750)</f>
        <v>4750</v>
      </c>
      <c r="H333" s="16">
        <f ca="1">IFERROR(__xludf.DUMMYFUNCTION("IMPORTRANGE(""https://docs.google.com/spreadsheets/d/1vmCj5YcMSPHj1m64syDndQ6cqVL3yolcU03Y8KHmvdc/edit"",""13!e51"")"),204)</f>
        <v>204</v>
      </c>
      <c r="I333" s="18">
        <f t="shared" ca="1" si="912"/>
        <v>4954</v>
      </c>
      <c r="J333" s="16">
        <f ca="1">IFERROR(__xludf.DUMMYFUNCTION("IMPORTRANGE(""https://docs.google.com/spreadsheets/d/1vmCj5YcMSPHj1m64syDndQ6cqVL3yolcU03Y8KHmvdc/edit"",""13!e54"")"),5730)</f>
        <v>5730</v>
      </c>
      <c r="K333" s="16">
        <f ca="1">IFERROR(__xludf.DUMMYFUNCTION("IMPORTRANGE(""https://docs.google.com/spreadsheets/d/1vmCj5YcMSPHj1m64syDndQ6cqVL3yolcU03Y8KHmvdc/edit"",""13!e55"")"),50)</f>
        <v>50</v>
      </c>
      <c r="L333" s="18">
        <f t="shared" ca="1" si="913"/>
        <v>5780</v>
      </c>
      <c r="M333" s="18">
        <f t="shared" ca="1" si="914"/>
        <v>10734</v>
      </c>
      <c r="N333" s="19">
        <f t="shared" ca="1" si="915"/>
        <v>196.80359523809497</v>
      </c>
      <c r="O333" s="16">
        <v>13817</v>
      </c>
      <c r="P333" s="20">
        <f t="shared" ca="1" si="916"/>
        <v>0.77686907432872543</v>
      </c>
      <c r="Q333" s="21">
        <v>1.5</v>
      </c>
      <c r="R333" s="20">
        <f t="shared" ca="1" si="917"/>
        <v>0.8657410560758495</v>
      </c>
      <c r="S333" s="22">
        <f t="shared" ca="1" si="918"/>
        <v>1.2986115841137742</v>
      </c>
      <c r="T333" s="21">
        <f ca="1">F333/25.089</f>
        <v>329.45717246602055</v>
      </c>
      <c r="U333" s="21">
        <f t="shared" ca="1" si="919"/>
        <v>7.8442183920481083</v>
      </c>
      <c r="V333" s="18">
        <f t="shared" ca="1" si="920"/>
        <v>255.57142857142858</v>
      </c>
      <c r="W333" s="76"/>
      <c r="X333" s="24" t="s">
        <v>33</v>
      </c>
      <c r="Y333" s="24">
        <v>6</v>
      </c>
      <c r="Z333" s="24">
        <f t="shared" ref="Z333:AI333" si="930">SUM(Z327:Z332)</f>
        <v>186</v>
      </c>
      <c r="AA333" s="25">
        <f t="shared" ca="1" si="930"/>
        <v>178</v>
      </c>
      <c r="AB333" s="26">
        <f t="shared" ca="1" si="930"/>
        <v>34890.013999999981</v>
      </c>
      <c r="AC333" s="25">
        <f t="shared" ca="1" si="930"/>
        <v>11434</v>
      </c>
      <c r="AD333" s="25">
        <f t="shared" ca="1" si="930"/>
        <v>567</v>
      </c>
      <c r="AE333" s="25">
        <f t="shared" ca="1" si="930"/>
        <v>12001</v>
      </c>
      <c r="AF333" s="25">
        <f t="shared" ca="1" si="930"/>
        <v>15625</v>
      </c>
      <c r="AG333" s="25">
        <f t="shared" ca="1" si="930"/>
        <v>441</v>
      </c>
      <c r="AH333" s="25">
        <f t="shared" ca="1" si="930"/>
        <v>16066</v>
      </c>
      <c r="AI333" s="25">
        <f t="shared" ca="1" si="930"/>
        <v>28067</v>
      </c>
      <c r="AJ333" s="27">
        <f t="shared" ca="1" si="924"/>
        <v>196.01131460674148</v>
      </c>
      <c r="AK333" s="24">
        <f>SUM(AK327:AK332)</f>
        <v>35074</v>
      </c>
      <c r="AL333" s="28">
        <f t="shared" ca="1" si="902"/>
        <v>0.80022238695329873</v>
      </c>
      <c r="AM333" s="29">
        <v>1.5</v>
      </c>
      <c r="AN333" s="28">
        <f t="shared" ca="1" si="904"/>
        <v>0.53629480725726686</v>
      </c>
      <c r="AO333" s="30">
        <f t="shared" ca="1" si="905"/>
        <v>0.80444221088590029</v>
      </c>
      <c r="AP333" s="29">
        <f ca="1">SUM(AP327:AP332)</f>
        <v>1318.4737529294687</v>
      </c>
      <c r="AQ333" s="29">
        <f ca="1">AP333/AA333</f>
        <v>7.4071559153340933</v>
      </c>
      <c r="AR333" s="25">
        <f t="shared" ca="1" si="907"/>
        <v>157.67977528089887</v>
      </c>
      <c r="AS333" s="76"/>
      <c r="AT333" s="76"/>
    </row>
    <row r="334" spans="1:46" ht="15.75" customHeight="1" x14ac:dyDescent="0.25">
      <c r="A334" s="70"/>
      <c r="B334" s="16">
        <v>5</v>
      </c>
      <c r="C334" s="16" t="s">
        <v>34</v>
      </c>
      <c r="D334" s="17">
        <v>40</v>
      </c>
      <c r="E334" s="18">
        <f ca="1">IFERROR(__xludf.DUMMYFUNCTION("COUNT(IMPORTRANGE(""https://docs.google.com/spreadsheets/d/14_Y-fpuq1wcec3DlT_1PBYekOC0YblQMrWVfO12YO3k/edit"",""13!d2:d41""))"),37)</f>
        <v>37</v>
      </c>
      <c r="F334" s="23">
        <f ca="1">IFERROR(__xludf.DUMMYFUNCTION("SUM(IMPORTRANGE(""https://docs.google.com/spreadsheets/d/14_Y-fpuq1wcec3DlT_1PBYekOC0YblQMrWVfO12YO3k/edit"",""13!Q2:Q41""))"),7426.914)</f>
        <v>7426.9139999999998</v>
      </c>
      <c r="G334" s="18">
        <f ca="1">IFERROR(__xludf.DUMMYFUNCTION("IMPORTRANGE(""https://docs.google.com/spreadsheets/d/14_Y-fpuq1wcec3DlT_1PBYekOC0YblQMrWVfO12YO3k/edit"",""13!e48"")"),2956)</f>
        <v>2956</v>
      </c>
      <c r="H334" s="18">
        <f ca="1">IFERROR(__xludf.DUMMYFUNCTION("IMPORTRANGE(""https://docs.google.com/spreadsheets/d/14_Y-fpuq1wcec3DlT_1PBYekOC0YblQMrWVfO12YO3k/edit"",""13!e49"")"),0)</f>
        <v>0</v>
      </c>
      <c r="I334" s="18">
        <f t="shared" ca="1" si="912"/>
        <v>2956</v>
      </c>
      <c r="J334" s="18">
        <f ca="1">IFERROR(__xludf.DUMMYFUNCTION("IMPORTRANGE(""https://docs.google.com/spreadsheets/d/14_Y-fpuq1wcec3DlT_1PBYekOC0YblQMrWVfO12YO3k/edit"",""13!e52"")"),3286)</f>
        <v>3286</v>
      </c>
      <c r="K334" s="18">
        <f ca="1">IFERROR(__xludf.DUMMYFUNCTION("IMPORTRANGE(""https://docs.google.com/spreadsheets/d/14_Y-fpuq1wcec3DlT_1PBYekOC0YblQMrWVfO12YO3k/edit"",""13!e53"")"),0)</f>
        <v>0</v>
      </c>
      <c r="L334" s="18">
        <f t="shared" ca="1" si="913"/>
        <v>3286</v>
      </c>
      <c r="M334" s="18">
        <f t="shared" ca="1" si="914"/>
        <v>6242</v>
      </c>
      <c r="N334" s="19">
        <f t="shared" ca="1" si="915"/>
        <v>200.72740540540539</v>
      </c>
      <c r="O334" s="16">
        <v>9354</v>
      </c>
      <c r="P334" s="20">
        <f t="shared" ca="1" si="916"/>
        <v>0.66730810348514003</v>
      </c>
      <c r="Q334" s="21">
        <v>1.5</v>
      </c>
      <c r="R334" s="20">
        <f t="shared" ca="1" si="917"/>
        <v>0.56030449973344698</v>
      </c>
      <c r="S334" s="22">
        <f t="shared" ca="1" si="918"/>
        <v>0.84045674960017047</v>
      </c>
      <c r="T334" s="21">
        <f ca="1">F334/30.713</f>
        <v>241.81662488197179</v>
      </c>
      <c r="U334" s="21">
        <f t="shared" ca="1" si="919"/>
        <v>6.5355844562695076</v>
      </c>
      <c r="V334" s="18">
        <f t="shared" ca="1" si="920"/>
        <v>168.70270270270271</v>
      </c>
      <c r="W334" s="76"/>
      <c r="X334" s="100" t="s">
        <v>35</v>
      </c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9"/>
      <c r="AS334" s="76"/>
      <c r="AT334" s="76"/>
    </row>
    <row r="335" spans="1:46" ht="15.75" customHeight="1" x14ac:dyDescent="0.25">
      <c r="A335" s="70"/>
      <c r="B335" s="16">
        <v>6</v>
      </c>
      <c r="C335" s="16" t="s">
        <v>23</v>
      </c>
      <c r="D335" s="17">
        <v>35</v>
      </c>
      <c r="E335" s="18">
        <f ca="1">IFERROR(__xludf.DUMMYFUNCTION("COUNT(IMPORTRANGE(""https://docs.google.com/spreadsheets/d/1lJqjdj05V4LOXuBOiTdE65GV4ZITyx1cMLcDdcuoUnE/edit"",""13!d2:d36""))"),35)</f>
        <v>35</v>
      </c>
      <c r="F335" s="23">
        <f ca="1">IFERROR(__xludf.DUMMYFUNCTION("SUM(IMPORTRANGE(""https://docs.google.com/spreadsheets/d/1lJqjdj05V4LOXuBOiTdE65GV4ZITyx1cMLcDdcuoUnE/edit"",""13!Q2:Q36""))"),6781.73999999999)</f>
        <v>6781.7399999999898</v>
      </c>
      <c r="G335" s="18">
        <f ca="1">IFERROR(__xludf.DUMMYFUNCTION("IMPORTRANGE(""https://docs.google.com/spreadsheets/d/1lJqjdj05V4LOXuBOiTdE65GV4ZITyx1cMLcDdcuoUnE/edit"",""13!e43"")"),1830)</f>
        <v>1830</v>
      </c>
      <c r="H335" s="18">
        <f ca="1">IFERROR(__xludf.DUMMYFUNCTION("IMPORTRANGE(""https://docs.google.com/spreadsheets/d/1lJqjdj05V4LOXuBOiTdE65GV4ZITyx1cMLcDdcuoUnE/edit"",""13!e44"")"),0)</f>
        <v>0</v>
      </c>
      <c r="I335" s="18">
        <f t="shared" ca="1" si="912"/>
        <v>1830</v>
      </c>
      <c r="J335" s="18">
        <f ca="1">IFERROR(__xludf.DUMMYFUNCTION("IMPORTRANGE(""https://docs.google.com/spreadsheets/d/1lJqjdj05V4LOXuBOiTdE65GV4ZITyx1cMLcDdcuoUnE/edit"",""13!e47"")"),3161)</f>
        <v>3161</v>
      </c>
      <c r="K335" s="18">
        <f ca="1">IFERROR(__xludf.DUMMYFUNCTION("IMPORTRANGE(""https://docs.google.com/spreadsheets/d/1lJqjdj05V4LOXuBOiTdE65GV4ZITyx1cMLcDdcuoUnE/edit"",""13!e48"")"),0)</f>
        <v>0</v>
      </c>
      <c r="L335" s="18">
        <f t="shared" ca="1" si="913"/>
        <v>3161</v>
      </c>
      <c r="M335" s="18">
        <f t="shared" ca="1" si="914"/>
        <v>4991</v>
      </c>
      <c r="N335" s="19">
        <f t="shared" ca="1" si="915"/>
        <v>193.7639999999997</v>
      </c>
      <c r="O335" s="16">
        <v>6853</v>
      </c>
      <c r="P335" s="20">
        <f t="shared" ca="1" si="916"/>
        <v>0.72829417773238003</v>
      </c>
      <c r="Q335" s="21">
        <v>1.5</v>
      </c>
      <c r="R335" s="20">
        <f t="shared" ca="1" si="917"/>
        <v>0.49063121460470888</v>
      </c>
      <c r="S335" s="22">
        <f t="shared" ca="1" si="918"/>
        <v>0.73594682190706329</v>
      </c>
      <c r="T335" s="21">
        <f ca="1">F335/33.74</f>
        <v>200.99999999999969</v>
      </c>
      <c r="U335" s="21">
        <f t="shared" ca="1" si="919"/>
        <v>5.742857142857134</v>
      </c>
      <c r="V335" s="18">
        <f t="shared" ca="1" si="920"/>
        <v>142.6</v>
      </c>
      <c r="W335" s="76"/>
      <c r="X335" s="1" t="s">
        <v>2</v>
      </c>
      <c r="Y335" s="1" t="s">
        <v>3</v>
      </c>
      <c r="Z335" s="1" t="s">
        <v>4</v>
      </c>
      <c r="AA335" s="1" t="s">
        <v>5</v>
      </c>
      <c r="AB335" s="2" t="s">
        <v>6</v>
      </c>
      <c r="AC335" s="1" t="s">
        <v>7</v>
      </c>
      <c r="AD335" s="1" t="s">
        <v>8</v>
      </c>
      <c r="AE335" s="1" t="s">
        <v>9</v>
      </c>
      <c r="AF335" s="1" t="s">
        <v>10</v>
      </c>
      <c r="AG335" s="1" t="s">
        <v>11</v>
      </c>
      <c r="AH335" s="1" t="s">
        <v>12</v>
      </c>
      <c r="AI335" s="1" t="s">
        <v>13</v>
      </c>
      <c r="AJ335" s="2" t="s">
        <v>14</v>
      </c>
      <c r="AK335" s="1" t="s">
        <v>15</v>
      </c>
      <c r="AL335" s="1" t="s">
        <v>16</v>
      </c>
      <c r="AM335" s="3" t="s">
        <v>17</v>
      </c>
      <c r="AN335" s="4" t="s">
        <v>18</v>
      </c>
      <c r="AO335" s="5" t="s">
        <v>19</v>
      </c>
      <c r="AP335" s="6" t="s">
        <v>20</v>
      </c>
      <c r="AQ335" s="6" t="s">
        <v>21</v>
      </c>
      <c r="AR335" s="7" t="s">
        <v>22</v>
      </c>
      <c r="AS335" s="76"/>
      <c r="AT335" s="76"/>
    </row>
    <row r="336" spans="1:46" ht="15.75" customHeight="1" x14ac:dyDescent="0.25">
      <c r="A336" s="70"/>
      <c r="B336" s="16">
        <v>7</v>
      </c>
      <c r="C336" s="16" t="s">
        <v>24</v>
      </c>
      <c r="D336" s="17">
        <v>44</v>
      </c>
      <c r="E336" s="31">
        <f ca="1">IFERROR(__xludf.DUMMYFUNCTION("COUNT(IMPORTRANGE(""https://docs.google.com/spreadsheets/d/1_7EEO26q9Yq-XhNFiy7I6Zh4Yg6uGjTs9y0UqNvPKcQ/edit"",""13!d2:d45""))"),42)</f>
        <v>42</v>
      </c>
      <c r="F336" s="32">
        <f ca="1">IFERROR(__xludf.DUMMYFUNCTION("SUM(IMPORTRANGE(""https://docs.google.com/spreadsheets/d/1_7EEO26q9Yq-XhNFiy7I6Zh4Yg6uGjTs9y0UqNvPKcQ/edit"",""13!Q2:Q45""))"),8186.38899999999)</f>
        <v>8186.3889999999901</v>
      </c>
      <c r="G336" s="31">
        <f ca="1">IFERROR(__xludf.DUMMYFUNCTION("IMPORTRANGE(""https://docs.google.com/spreadsheets/d/1_7EEO26q9Yq-XhNFiy7I6Zh4Yg6uGjTs9y0UqNvPKcQ/edit"",""13!e53"")"),1068)</f>
        <v>1068</v>
      </c>
      <c r="H336" s="31">
        <f ca="1">IFERROR(__xludf.DUMMYFUNCTION("IMPORTRANGE(""https://docs.google.com/spreadsheets/d/1_7EEO26q9Yq-XhNFiy7I6Zh4Yg6uGjTs9y0UqNvPKcQ/edit"",""13!e54"")"),7)</f>
        <v>7</v>
      </c>
      <c r="I336" s="31">
        <f t="shared" ca="1" si="912"/>
        <v>1075</v>
      </c>
      <c r="J336" s="31">
        <f ca="1">IFERROR(__xludf.DUMMYFUNCTION("IMPORTRANGE(""https://docs.google.com/spreadsheets/d/1_7EEO26q9Yq-XhNFiy7I6Zh4Yg6uGjTs9y0UqNvPKcQ/edit"",""13!e57"")"),1160)</f>
        <v>1160</v>
      </c>
      <c r="K336" s="31">
        <f ca="1">IFERROR(__xludf.DUMMYFUNCTION("IMPORTRANGE(""https://docs.google.com/spreadsheets/d/1_7EEO26q9Yq-XhNFiy7I6Zh4Yg6uGjTs9y0UqNvPKcQ/edit"",""13!e58"")"),0)</f>
        <v>0</v>
      </c>
      <c r="L336" s="18">
        <f t="shared" ca="1" si="913"/>
        <v>1160</v>
      </c>
      <c r="M336" s="18">
        <f t="shared" ca="1" si="914"/>
        <v>2235</v>
      </c>
      <c r="N336" s="19">
        <f t="shared" ca="1" si="915"/>
        <v>194.91402380952357</v>
      </c>
      <c r="O336" s="16">
        <v>1580</v>
      </c>
      <c r="P336" s="33">
        <f t="shared" ca="1" si="916"/>
        <v>1.4145569620253164</v>
      </c>
      <c r="Q336" s="21">
        <v>1.5</v>
      </c>
      <c r="R336" s="20">
        <f t="shared" ca="1" si="917"/>
        <v>0.18200943053158136</v>
      </c>
      <c r="S336" s="22">
        <f t="shared" ca="1" si="918"/>
        <v>0.27301414579737204</v>
      </c>
      <c r="T336" s="21">
        <f ca="1">F336/26.805</f>
        <v>305.40529751911919</v>
      </c>
      <c r="U336" s="21">
        <f t="shared" ca="1" si="919"/>
        <v>7.2715547028361716</v>
      </c>
      <c r="V336" s="18">
        <f t="shared" ca="1" si="920"/>
        <v>53.214285714285715</v>
      </c>
      <c r="W336" s="76"/>
      <c r="X336" s="8">
        <v>1</v>
      </c>
      <c r="Y336" s="8" t="s">
        <v>28</v>
      </c>
      <c r="Z336" s="8">
        <f t="shared" ref="Z336:AI336" si="931">SUM(D331)</f>
        <v>33</v>
      </c>
      <c r="AA336" s="9">
        <f t="shared" ca="1" si="931"/>
        <v>33</v>
      </c>
      <c r="AB336" s="11">
        <f t="shared" ca="1" si="931"/>
        <v>6497.9359999999997</v>
      </c>
      <c r="AC336" s="9">
        <f t="shared" ca="1" si="931"/>
        <v>2752</v>
      </c>
      <c r="AD336" s="9">
        <f t="shared" ca="1" si="931"/>
        <v>131</v>
      </c>
      <c r="AE336" s="9">
        <f t="shared" ca="1" si="931"/>
        <v>2883</v>
      </c>
      <c r="AF336" s="9">
        <f t="shared" ca="1" si="931"/>
        <v>3001</v>
      </c>
      <c r="AG336" s="9">
        <f t="shared" ca="1" si="931"/>
        <v>126</v>
      </c>
      <c r="AH336" s="9">
        <f t="shared" ca="1" si="931"/>
        <v>3127</v>
      </c>
      <c r="AI336" s="9">
        <f t="shared" ca="1" si="931"/>
        <v>6010</v>
      </c>
      <c r="AJ336" s="11">
        <f t="shared" ref="AJ336:AJ342" ca="1" si="932">AB336/AA336</f>
        <v>196.9071515151515</v>
      </c>
      <c r="AK336" s="8">
        <f t="shared" ref="AK336:AK337" si="933">SUM(O331)</f>
        <v>7315</v>
      </c>
      <c r="AL336" s="12">
        <f t="shared" ref="AL336:AL342" ca="1" si="934">AI336/AK336</f>
        <v>0.82159945317840055</v>
      </c>
      <c r="AM336" s="13">
        <f t="shared" ref="AM336:AM337" si="935">SUM(Q331)</f>
        <v>1.5</v>
      </c>
      <c r="AN336" s="12">
        <f t="shared" ref="AN336:AN342" ca="1" si="936">AO336/AM336</f>
        <v>0.61660605254755774</v>
      </c>
      <c r="AO336" s="14">
        <f t="shared" ref="AO336:AO342" ca="1" si="937">AI336/AB336</f>
        <v>0.92490907882133655</v>
      </c>
      <c r="AP336" s="13">
        <f t="shared" ref="AP336:AQ336" ca="1" si="938">SUM(T331)</f>
        <v>210.30960934718581</v>
      </c>
      <c r="AQ336" s="13">
        <f t="shared" ca="1" si="938"/>
        <v>6.3730184650662371</v>
      </c>
      <c r="AR336" s="9">
        <f t="shared" ref="AR336:AR342" ca="1" si="939">AI336/AA336</f>
        <v>182.12121212121212</v>
      </c>
      <c r="AS336" s="76"/>
      <c r="AT336" s="76"/>
    </row>
    <row r="337" spans="1:46" ht="15.75" customHeight="1" x14ac:dyDescent="0.25">
      <c r="A337" s="70"/>
      <c r="B337" s="16">
        <v>8</v>
      </c>
      <c r="C337" s="16" t="s">
        <v>25</v>
      </c>
      <c r="D337" s="34">
        <v>32</v>
      </c>
      <c r="E337" s="18">
        <f ca="1">IFERROR(__xludf.DUMMYFUNCTION("COUNT(IMPORTRANGE(""https://docs.google.com/spreadsheets/d/1vLOLpiE-XsbnCnwWPcoi87PlUSXfqIAAQn3kvqHfO6s/edit"",""13!d2:D33""))"),31)</f>
        <v>31</v>
      </c>
      <c r="F337" s="23">
        <f ca="1">IFERROR(__xludf.DUMMYFUNCTION("SUM(IMPORTRANGE(""https://docs.google.com/spreadsheets/d/1vLOLpiE-XsbnCnwWPcoi87PlUSXfqIAAQn3kvqHfO6s/edit"",""13!Q2:Q33""))"),6212.116)</f>
        <v>6212.116</v>
      </c>
      <c r="G337" s="18">
        <f ca="1">IFERROR(__xludf.DUMMYFUNCTION("IMPORTRANGE(""https://docs.google.com/spreadsheets/d/1vLOLpiE-XsbnCnwWPcoi87PlUSXfqIAAQn3kvqHfO6s/edit"",""13!e40"")"),2344)</f>
        <v>2344</v>
      </c>
      <c r="H337" s="18">
        <f ca="1">IFERROR(__xludf.DUMMYFUNCTION("IMPORTRANGE(""https://docs.google.com/spreadsheets/d/1vLOLpiE-XsbnCnwWPcoi87PlUSXfqIAAQn3kvqHfO6s/edit"",""13!e41"")"),553)</f>
        <v>553</v>
      </c>
      <c r="I337" s="18">
        <f t="shared" ca="1" si="912"/>
        <v>2897</v>
      </c>
      <c r="J337" s="18">
        <f ca="1">IFERROR(__xludf.DUMMYFUNCTION("IMPORTRANGE(""https://docs.google.com/spreadsheets/d/1vLOLpiE-XsbnCnwWPcoi87PlUSXfqIAAQn3kvqHfO6s/edit"",""13!e44"")"),3131)</f>
        <v>3131</v>
      </c>
      <c r="K337" s="18">
        <f ca="1">IFERROR(__xludf.DUMMYFUNCTION("IMPORTRANGE(""https://docs.google.com/spreadsheets/d/1vLOLpiE-XsbnCnwWPcoi87PlUSXfqIAAQn3kvqHfO6s/edit"",""13!e45"")"),441)</f>
        <v>441</v>
      </c>
      <c r="L337" s="18">
        <f ca="1">J337+K337</f>
        <v>3572</v>
      </c>
      <c r="M337" s="18">
        <f t="shared" ca="1" si="914"/>
        <v>6469</v>
      </c>
      <c r="N337" s="19">
        <f t="shared" ca="1" si="915"/>
        <v>200.39083870967741</v>
      </c>
      <c r="O337" s="16">
        <v>6622</v>
      </c>
      <c r="P337" s="20">
        <f t="shared" ca="1" si="916"/>
        <v>0.97689519782543033</v>
      </c>
      <c r="Q337" s="21">
        <v>1.5</v>
      </c>
      <c r="R337" s="20">
        <f t="shared" ca="1" si="917"/>
        <v>0.69423472882133341</v>
      </c>
      <c r="S337" s="22">
        <f t="shared" ca="1" si="918"/>
        <v>1.0413520932320002</v>
      </c>
      <c r="T337" s="21">
        <f ca="1">F337/23.84</f>
        <v>260.5753355704698</v>
      </c>
      <c r="U337" s="21">
        <f t="shared" ca="1" si="919"/>
        <v>8.405655986144188</v>
      </c>
      <c r="V337" s="18">
        <f t="shared" ca="1" si="920"/>
        <v>208.67741935483872</v>
      </c>
      <c r="W337" s="76"/>
      <c r="X337" s="8">
        <v>2</v>
      </c>
      <c r="Y337" s="8" t="s">
        <v>30</v>
      </c>
      <c r="Z337" s="8">
        <f t="shared" ref="Z337:AI337" si="940">SUM(D332)</f>
        <v>60</v>
      </c>
      <c r="AA337" s="9">
        <f t="shared" ca="1" si="940"/>
        <v>58</v>
      </c>
      <c r="AB337" s="10">
        <f t="shared" ca="1" si="940"/>
        <v>11143.4269999999</v>
      </c>
      <c r="AC337" s="9">
        <f t="shared" ca="1" si="940"/>
        <v>3435</v>
      </c>
      <c r="AD337" s="9">
        <f t="shared" ca="1" si="940"/>
        <v>0</v>
      </c>
      <c r="AE337" s="9">
        <f t="shared" ca="1" si="940"/>
        <v>3435</v>
      </c>
      <c r="AF337" s="9">
        <f t="shared" ca="1" si="940"/>
        <v>5145</v>
      </c>
      <c r="AG337" s="9">
        <f t="shared" ca="1" si="940"/>
        <v>0</v>
      </c>
      <c r="AH337" s="9">
        <f t="shared" ca="1" si="940"/>
        <v>5145</v>
      </c>
      <c r="AI337" s="9">
        <f t="shared" ca="1" si="940"/>
        <v>8580</v>
      </c>
      <c r="AJ337" s="11">
        <f t="shared" ca="1" si="932"/>
        <v>192.12805172413621</v>
      </c>
      <c r="AK337" s="8">
        <f t="shared" si="933"/>
        <v>11164</v>
      </c>
      <c r="AL337" s="12">
        <f t="shared" ca="1" si="934"/>
        <v>0.76854174131135788</v>
      </c>
      <c r="AM337" s="13">
        <f t="shared" si="935"/>
        <v>1.5</v>
      </c>
      <c r="AN337" s="12">
        <f t="shared" ca="1" si="936"/>
        <v>0.51330708228268118</v>
      </c>
      <c r="AO337" s="14">
        <f t="shared" ca="1" si="937"/>
        <v>0.76996062342402183</v>
      </c>
      <c r="AP337" s="13">
        <f t="shared" ref="AP337:AQ337" ca="1" si="941">SUM(T332)</f>
        <v>376.42897679288922</v>
      </c>
      <c r="AQ337" s="13">
        <f t="shared" ca="1" si="941"/>
        <v>6.4901547722911932</v>
      </c>
      <c r="AR337" s="9">
        <f t="shared" ca="1" si="939"/>
        <v>147.93103448275863</v>
      </c>
      <c r="AS337" s="76"/>
      <c r="AT337" s="76"/>
    </row>
    <row r="338" spans="1:46" ht="15.75" customHeight="1" x14ac:dyDescent="0.25">
      <c r="A338" s="70"/>
      <c r="B338" s="16">
        <v>9</v>
      </c>
      <c r="C338" s="16" t="s">
        <v>36</v>
      </c>
      <c r="D338" s="34">
        <v>24</v>
      </c>
      <c r="E338" s="18">
        <f ca="1">IFERROR(__xludf.DUMMYFUNCTION("COUNT(IMPORTRANGE(""https://docs.google.com/spreadsheets/d/1WJJVq25XDtGjt-J2JPxeKs3jIvDZtkIREC0lFPXwf74/edit"",""13!d2:d31""))"),23)</f>
        <v>23</v>
      </c>
      <c r="F338" s="23">
        <f ca="1">IFERROR(__xludf.DUMMYFUNCTION("SUM(IMPORTRANGE(""https://docs.google.com/spreadsheets/d/1WJJVq25XDtGjt-J2JPxeKs3jIvDZtkIREC0lFPXwf74/edit"",""13!Q2:Q31""))"),4501.205)</f>
        <v>4501.2049999999999</v>
      </c>
      <c r="G338" s="18">
        <f ca="1">IFERROR(__xludf.DUMMYFUNCTION("IMPORTRANGE(""https://docs.google.com/spreadsheets/d/1WJJVq25XDtGjt-J2JPxeKs3jIvDZtkIREC0lFPXwf74/edit"",""13!e38"")"),1410)</f>
        <v>1410</v>
      </c>
      <c r="H338" s="18">
        <f ca="1">IFERROR(__xludf.DUMMYFUNCTION("IMPORTRANGE(""https://docs.google.com/spreadsheets/d/1WJJVq25XDtGjt-J2JPxeKs3jIvDZtkIREC0lFPXwf74/edit"",""13!e39"")"),0)</f>
        <v>0</v>
      </c>
      <c r="I338" s="18">
        <f t="shared" ca="1" si="912"/>
        <v>1410</v>
      </c>
      <c r="J338" s="18">
        <f ca="1">IFERROR(__xludf.DUMMYFUNCTION("IMPORTRANGE(""https://docs.google.com/spreadsheets/d/1WJJVq25XDtGjt-J2JPxeKs3jIvDZtkIREC0lFPXwf74/edit"",""13!e42"")"),1917)</f>
        <v>1917</v>
      </c>
      <c r="K338" s="18">
        <f ca="1">IFERROR(__xludf.DUMMYFUNCTION("IMPORTRANGE(""https://docs.google.com/spreadsheets/d/1WJJVq25XDtGjt-J2JPxeKs3jIvDZtkIREC0lFPXwf74/edit"",""13!e43"")"),0)</f>
        <v>0</v>
      </c>
      <c r="L338" s="18">
        <f t="shared" ref="L338:L347" ca="1" si="942">SUM(J338:K338)</f>
        <v>1917</v>
      </c>
      <c r="M338" s="18">
        <f t="shared" ca="1" si="914"/>
        <v>3327</v>
      </c>
      <c r="N338" s="19">
        <f t="shared" ca="1" si="915"/>
        <v>195.70456521739129</v>
      </c>
      <c r="O338" s="16">
        <v>4796</v>
      </c>
      <c r="P338" s="20">
        <f t="shared" ca="1" si="916"/>
        <v>0.6937030859049208</v>
      </c>
      <c r="Q338" s="21">
        <v>1.5</v>
      </c>
      <c r="R338" s="20">
        <f t="shared" ca="1" si="917"/>
        <v>0.49275693953063682</v>
      </c>
      <c r="S338" s="22">
        <f t="shared" ca="1" si="918"/>
        <v>0.73913540929595523</v>
      </c>
      <c r="T338" s="21">
        <f ca="1">F338/37.414</f>
        <v>120.30803977120863</v>
      </c>
      <c r="U338" s="21">
        <f t="shared" ca="1" si="919"/>
        <v>5.2307843378786361</v>
      </c>
      <c r="V338" s="18">
        <f t="shared" ca="1" si="920"/>
        <v>144.65217391304347</v>
      </c>
      <c r="W338" s="76"/>
      <c r="X338" s="8">
        <v>3</v>
      </c>
      <c r="Y338" s="8" t="s">
        <v>34</v>
      </c>
      <c r="Z338" s="8">
        <f t="shared" ref="Z338:AI338" si="943">SUM(D334)</f>
        <v>40</v>
      </c>
      <c r="AA338" s="9">
        <f t="shared" ca="1" si="943"/>
        <v>37</v>
      </c>
      <c r="AB338" s="10">
        <f t="shared" ca="1" si="943"/>
        <v>7426.9139999999998</v>
      </c>
      <c r="AC338" s="9">
        <f t="shared" ca="1" si="943"/>
        <v>2956</v>
      </c>
      <c r="AD338" s="9">
        <f t="shared" ca="1" si="943"/>
        <v>0</v>
      </c>
      <c r="AE338" s="9">
        <f t="shared" ca="1" si="943"/>
        <v>2956</v>
      </c>
      <c r="AF338" s="9">
        <f t="shared" ca="1" si="943"/>
        <v>3286</v>
      </c>
      <c r="AG338" s="9">
        <f t="shared" ca="1" si="943"/>
        <v>0</v>
      </c>
      <c r="AH338" s="9">
        <f t="shared" ca="1" si="943"/>
        <v>3286</v>
      </c>
      <c r="AI338" s="9">
        <f t="shared" ca="1" si="943"/>
        <v>6242</v>
      </c>
      <c r="AJ338" s="11">
        <f t="shared" ca="1" si="932"/>
        <v>200.72740540540539</v>
      </c>
      <c r="AK338" s="8">
        <f>SUM(O334)</f>
        <v>9354</v>
      </c>
      <c r="AL338" s="12">
        <f t="shared" ca="1" si="934"/>
        <v>0.66730810348514003</v>
      </c>
      <c r="AM338" s="13">
        <f>SUM(Q334)</f>
        <v>1.5</v>
      </c>
      <c r="AN338" s="12">
        <f t="shared" ca="1" si="936"/>
        <v>0.56030449973344698</v>
      </c>
      <c r="AO338" s="14">
        <f t="shared" ca="1" si="937"/>
        <v>0.84045674960017047</v>
      </c>
      <c r="AP338" s="13">
        <f t="shared" ref="AP338:AQ338" ca="1" si="944">SUM(T334)</f>
        <v>241.81662488197179</v>
      </c>
      <c r="AQ338" s="13">
        <f t="shared" ca="1" si="944"/>
        <v>6.5355844562695076</v>
      </c>
      <c r="AR338" s="9">
        <f t="shared" ca="1" si="939"/>
        <v>168.70270270270271</v>
      </c>
      <c r="AS338" s="76"/>
      <c r="AT338" s="76"/>
    </row>
    <row r="339" spans="1:46" ht="15.75" customHeight="1" x14ac:dyDescent="0.25">
      <c r="A339" s="70"/>
      <c r="B339" s="16">
        <v>10</v>
      </c>
      <c r="C339" s="16" t="s">
        <v>37</v>
      </c>
      <c r="D339" s="17">
        <v>30</v>
      </c>
      <c r="E339" s="18">
        <f ca="1">IFERROR(__xludf.DUMMYFUNCTION("COUNT(IMPORTRANGE(""https://docs.google.com/spreadsheets/d/1rJyYfywRpWJW0zvDJHLOJtqUQqffoCGaqTVxxTDgV0k/edit"",""13!d2:d31""))"),29)</f>
        <v>29</v>
      </c>
      <c r="F339" s="23">
        <f ca="1">IFERROR(__xludf.DUMMYFUNCTION("SUM(IMPORTRANGE(""https://docs.google.com/spreadsheets/d/1rJyYfywRpWJW0zvDJHLOJtqUQqffoCGaqTVxxTDgV0k/edit"",""13!Q2:Q31""))"),5798.70599999999)</f>
        <v>5798.7059999999901</v>
      </c>
      <c r="G339" s="18">
        <f ca="1">IFERROR(__xludf.DUMMYFUNCTION("(IMPORTRANGE(""https://docs.google.com/spreadsheets/d/1rJyYfywRpWJW0zvDJHLOJtqUQqffoCGaqTVxxTDgV0k/edit"",""13!e38""))"),2116)</f>
        <v>2116</v>
      </c>
      <c r="H339" s="18">
        <f ca="1">IFERROR(__xludf.DUMMYFUNCTION("(IMPORTRANGE(""https://docs.google.com/spreadsheets/d/1rJyYfywRpWJW0zvDJHLOJtqUQqffoCGaqTVxxTDgV0k/edit"",""13!e39""))"),28)</f>
        <v>28</v>
      </c>
      <c r="I339" s="18">
        <f t="shared" ca="1" si="912"/>
        <v>2144</v>
      </c>
      <c r="J339" s="18">
        <f ca="1">IFERROR(__xludf.DUMMYFUNCTION("(IMPORTRANGE(""https://docs.google.com/spreadsheets/d/1rJyYfywRpWJW0zvDJHLOJtqUQqffoCGaqTVxxTDgV0k/edit"",""13!e42""))"),2912)</f>
        <v>2912</v>
      </c>
      <c r="K339" s="18">
        <f ca="1">IFERROR(__xludf.DUMMYFUNCTION("(IMPORTRANGE(""https://docs.google.com/spreadsheets/d/1rJyYfywRpWJW0zvDJHLOJtqUQqffoCGaqTVxxTDgV0k/edit"",""13!e43""))"),0)</f>
        <v>0</v>
      </c>
      <c r="L339" s="18">
        <f t="shared" ca="1" si="942"/>
        <v>2912</v>
      </c>
      <c r="M339" s="18">
        <f t="shared" ca="1" si="914"/>
        <v>5056</v>
      </c>
      <c r="N339" s="19">
        <f t="shared" ca="1" si="915"/>
        <v>199.95537931034448</v>
      </c>
      <c r="O339" s="16">
        <v>5887</v>
      </c>
      <c r="P339" s="20">
        <f t="shared" ca="1" si="916"/>
        <v>0.85884151520298968</v>
      </c>
      <c r="Q339" s="21">
        <v>1.5</v>
      </c>
      <c r="R339" s="20">
        <f t="shared" ca="1" si="917"/>
        <v>0.58127911066135651</v>
      </c>
      <c r="S339" s="22">
        <f t="shared" ca="1" si="918"/>
        <v>0.87191866599203482</v>
      </c>
      <c r="T339" s="21">
        <f ca="1">F339/24.792</f>
        <v>233.89424007744392</v>
      </c>
      <c r="U339" s="21">
        <f t="shared" ca="1" si="919"/>
        <v>8.0653186233601346</v>
      </c>
      <c r="V339" s="18">
        <f t="shared" ca="1" si="920"/>
        <v>174.34482758620689</v>
      </c>
      <c r="W339" s="76"/>
      <c r="X339" s="8">
        <v>4</v>
      </c>
      <c r="Y339" s="8" t="s">
        <v>38</v>
      </c>
      <c r="Z339" s="8">
        <f t="shared" ref="Z339:AI339" si="945">SUM(D342)</f>
        <v>30</v>
      </c>
      <c r="AA339" s="9">
        <f t="shared" ca="1" si="945"/>
        <v>30</v>
      </c>
      <c r="AB339" s="10">
        <f t="shared" ca="1" si="945"/>
        <v>6456.3149999999996</v>
      </c>
      <c r="AC339" s="9">
        <f t="shared" ca="1" si="945"/>
        <v>2529</v>
      </c>
      <c r="AD339" s="9">
        <f t="shared" ca="1" si="945"/>
        <v>0</v>
      </c>
      <c r="AE339" s="9">
        <f t="shared" ca="1" si="945"/>
        <v>2529</v>
      </c>
      <c r="AF339" s="9">
        <f t="shared" ca="1" si="945"/>
        <v>3001</v>
      </c>
      <c r="AG339" s="9">
        <f t="shared" ca="1" si="945"/>
        <v>179</v>
      </c>
      <c r="AH339" s="9">
        <f t="shared" ca="1" si="945"/>
        <v>3180</v>
      </c>
      <c r="AI339" s="9">
        <f t="shared" ca="1" si="945"/>
        <v>5709</v>
      </c>
      <c r="AJ339" s="11">
        <f t="shared" ca="1" si="932"/>
        <v>215.2105</v>
      </c>
      <c r="AK339" s="8">
        <v>7324</v>
      </c>
      <c r="AL339" s="12">
        <f t="shared" ca="1" si="934"/>
        <v>0.77949208083014743</v>
      </c>
      <c r="AM339" s="13">
        <f>SUM(Q342)</f>
        <v>1.5</v>
      </c>
      <c r="AN339" s="12">
        <f t="shared" ca="1" si="936"/>
        <v>0.58950035740201645</v>
      </c>
      <c r="AO339" s="14">
        <f t="shared" ca="1" si="937"/>
        <v>0.88425053610302473</v>
      </c>
      <c r="AP339" s="13">
        <f t="shared" ref="AP339:AQ339" ca="1" si="946">SUM(T342)</f>
        <v>156.68765926465235</v>
      </c>
      <c r="AQ339" s="13">
        <f t="shared" ca="1" si="946"/>
        <v>5.2229219754884122</v>
      </c>
      <c r="AR339" s="9">
        <f t="shared" ca="1" si="939"/>
        <v>190.3</v>
      </c>
      <c r="AS339" s="76"/>
      <c r="AT339" s="76"/>
    </row>
    <row r="340" spans="1:46" ht="15.75" customHeight="1" x14ac:dyDescent="0.25">
      <c r="A340" s="70"/>
      <c r="B340" s="16">
        <v>12</v>
      </c>
      <c r="C340" s="16" t="s">
        <v>39</v>
      </c>
      <c r="D340" s="17">
        <v>28</v>
      </c>
      <c r="E340" s="18">
        <f ca="1">IFERROR(__xludf.DUMMYFUNCTION("COUNT(IMPORTRANGE(""https://docs.google.com/spreadsheets/d/1uaTn2DZCfr7O1PvovOd0wElzVz8kpl_iPfnrkNPp0Is/edit"",""13!d2:d29""))"),27)</f>
        <v>27</v>
      </c>
      <c r="F340" s="23">
        <f ca="1">IFERROR(__xludf.DUMMYFUNCTION("SUM(IMPORTRANGE(""https://docs.google.com/spreadsheets/d/1uaTn2DZCfr7O1PvovOd0wElzVz8kpl_iPfnrkNPp0Is/edit"",""13!Q2:Q29""))"),5008.15499999999)</f>
        <v>5008.1549999999897</v>
      </c>
      <c r="G340" s="18">
        <f ca="1">IFERROR(__xludf.DUMMYFUNCTION("IMPORTRANGE(""https://docs.google.com/spreadsheets/d/1uaTn2DZCfr7O1PvovOd0wElzVz8kpl_iPfnrkNPp0Is/edit"",""13!e36"")"),1306)</f>
        <v>1306</v>
      </c>
      <c r="H340" s="18">
        <f ca="1">IFERROR(__xludf.DUMMYFUNCTION("(IMPORTRANGE(""https://docs.google.com/spreadsheets/d/1uaTn2DZCfr7O1PvovOd0wElzVz8kpl_iPfnrkNPp0Is/edit"",""13!e37""))"),0)</f>
        <v>0</v>
      </c>
      <c r="I340" s="18">
        <f t="shared" ca="1" si="912"/>
        <v>1306</v>
      </c>
      <c r="J340" s="18">
        <f ca="1">IFERROR(__xludf.DUMMYFUNCTION("IMPORTRANGE(""https://docs.google.com/spreadsheets/d/1uaTn2DZCfr7O1PvovOd0wElzVz8kpl_iPfnrkNPp0Is/edit"",""13!e40"")"),1513)</f>
        <v>1513</v>
      </c>
      <c r="K340" s="18">
        <f ca="1">IFERROR(__xludf.DUMMYFUNCTION("IMPORTRANGE(""https://docs.google.com/spreadsheets/d/1uaTn2DZCfr7O1PvovOd0wElzVz8kpl_iPfnrkNPp0Is/edit"",""13!e41"")"),348)</f>
        <v>348</v>
      </c>
      <c r="L340" s="18">
        <f t="shared" ca="1" si="942"/>
        <v>1861</v>
      </c>
      <c r="M340" s="18">
        <f t="shared" ca="1" si="914"/>
        <v>3167</v>
      </c>
      <c r="N340" s="19">
        <f t="shared" ca="1" si="915"/>
        <v>185.48722222222185</v>
      </c>
      <c r="O340" s="16">
        <v>3569</v>
      </c>
      <c r="P340" s="20">
        <f t="shared" ca="1" si="916"/>
        <v>0.88736340711683948</v>
      </c>
      <c r="Q340" s="21">
        <v>1.5</v>
      </c>
      <c r="R340" s="20">
        <f t="shared" ca="1" si="917"/>
        <v>0.42157907120153787</v>
      </c>
      <c r="S340" s="22">
        <f t="shared" ca="1" si="918"/>
        <v>0.63236860680230678</v>
      </c>
      <c r="T340" s="21">
        <f ca="1">F340/21.463</f>
        <v>233.33900200344732</v>
      </c>
      <c r="U340" s="21">
        <f t="shared" ca="1" si="919"/>
        <v>8.6421852593869382</v>
      </c>
      <c r="V340" s="18">
        <f t="shared" ca="1" si="920"/>
        <v>117.29629629629629</v>
      </c>
      <c r="W340" s="76"/>
      <c r="X340" s="8">
        <v>5</v>
      </c>
      <c r="Y340" s="8" t="s">
        <v>40</v>
      </c>
      <c r="Z340" s="8">
        <f t="shared" ref="Z340:AI340" si="947">SUM(D344)</f>
        <v>30</v>
      </c>
      <c r="AA340" s="9">
        <f t="shared" ca="1" si="947"/>
        <v>30</v>
      </c>
      <c r="AB340" s="10">
        <f t="shared" ca="1" si="947"/>
        <v>5802.3719999999903</v>
      </c>
      <c r="AC340" s="9">
        <f t="shared" ca="1" si="947"/>
        <v>3192</v>
      </c>
      <c r="AD340" s="9">
        <f t="shared" ca="1" si="947"/>
        <v>100</v>
      </c>
      <c r="AE340" s="9">
        <f t="shared" ca="1" si="947"/>
        <v>3292</v>
      </c>
      <c r="AF340" s="9">
        <f t="shared" ca="1" si="947"/>
        <v>3779</v>
      </c>
      <c r="AG340" s="9">
        <f t="shared" ca="1" si="947"/>
        <v>130</v>
      </c>
      <c r="AH340" s="9">
        <f t="shared" ca="1" si="947"/>
        <v>3909</v>
      </c>
      <c r="AI340" s="9">
        <f t="shared" ca="1" si="947"/>
        <v>7201</v>
      </c>
      <c r="AJ340" s="11">
        <f t="shared" ca="1" si="932"/>
        <v>193.41239999999968</v>
      </c>
      <c r="AK340" s="8">
        <f t="shared" ref="AK340:AK341" si="948">SUM(O344)</f>
        <v>8239</v>
      </c>
      <c r="AL340" s="12">
        <f t="shared" ca="1" si="934"/>
        <v>0.87401383663065901</v>
      </c>
      <c r="AM340" s="13">
        <f t="shared" ref="AM340:AM341" si="949">SUM(Q344)</f>
        <v>1.5</v>
      </c>
      <c r="AN340" s="12">
        <f t="shared" ca="1" si="936"/>
        <v>0.82736278657533069</v>
      </c>
      <c r="AO340" s="14">
        <f t="shared" ca="1" si="937"/>
        <v>1.2410441798629961</v>
      </c>
      <c r="AP340" s="13">
        <f t="shared" ref="AP340:AQ340" ca="1" si="950">SUM(T344)</f>
        <v>203.99999999999966</v>
      </c>
      <c r="AQ340" s="13">
        <f t="shared" ca="1" si="950"/>
        <v>6.7999999999999883</v>
      </c>
      <c r="AR340" s="9">
        <f t="shared" ca="1" si="939"/>
        <v>240.03333333333333</v>
      </c>
      <c r="AS340" s="76"/>
      <c r="AT340" s="76"/>
    </row>
    <row r="341" spans="1:46" ht="15.75" customHeight="1" x14ac:dyDescent="0.25">
      <c r="A341" s="70"/>
      <c r="B341" s="16">
        <v>12</v>
      </c>
      <c r="C341" s="16" t="s">
        <v>41</v>
      </c>
      <c r="D341" s="17">
        <v>24</v>
      </c>
      <c r="E341" s="18">
        <f ca="1">IFERROR(__xludf.DUMMYFUNCTION("COUNT(IMPORTRANGE(""https://docs.google.com/spreadsheets/d/1oYscvfOJW7GMkxt8QcupWuzb3ohaYePd3Mt2V2ufHok/edit"",""13!d2:d25""))"),24)</f>
        <v>24</v>
      </c>
      <c r="F341" s="23">
        <f ca="1">IFERROR(__xludf.DUMMYFUNCTION("SUM(IMPORTRANGE(""https://docs.google.com/spreadsheets/d/1oYscvfOJW7GMkxt8QcupWuzb3ohaYePd3Mt2V2ufHok/edit"",""13!Q2:Q25""))"),4779.984)</f>
        <v>4779.9840000000004</v>
      </c>
      <c r="G341" s="18">
        <f ca="1">IFERROR(__xludf.DUMMYFUNCTION("IMPORTRANGE(""https://docs.google.com/spreadsheets/d/1oYscvfOJW7GMkxt8QcupWuzb3ohaYePd3Mt2V2ufHok/edit"",""13!e32"")"),1237)</f>
        <v>1237</v>
      </c>
      <c r="H341" s="18">
        <f ca="1">IFERROR(__xludf.DUMMYFUNCTION("IMPORTRANGE(""https://docs.google.com/spreadsheets/d/1oYscvfOJW7GMkxt8QcupWuzb3ohaYePd3Mt2V2ufHok/edit"",""13!e33"")"),0)</f>
        <v>0</v>
      </c>
      <c r="I341" s="18">
        <f t="shared" ca="1" si="912"/>
        <v>1237</v>
      </c>
      <c r="J341" s="18">
        <f ca="1">IFERROR(__xludf.DUMMYFUNCTION("IMPORTRANGE(""https://docs.google.com/spreadsheets/d/1oYscvfOJW7GMkxt8QcupWuzb3ohaYePd3Mt2V2ufHok/edit"",""13!e36"")"),1282)</f>
        <v>1282</v>
      </c>
      <c r="K341" s="18">
        <f ca="1">IFERROR(__xludf.DUMMYFUNCTION("IMPORTRANGE(""https://docs.google.com/spreadsheets/d/1oYscvfOJW7GMkxt8QcupWuzb3ohaYePd3Mt2V2ufHok/edit"",""13!e37"")"),393)</f>
        <v>393</v>
      </c>
      <c r="L341" s="18">
        <f t="shared" ca="1" si="942"/>
        <v>1675</v>
      </c>
      <c r="M341" s="18">
        <f t="shared" ca="1" si="914"/>
        <v>2912</v>
      </c>
      <c r="N341" s="19">
        <f t="shared" ca="1" si="915"/>
        <v>199.16600000000003</v>
      </c>
      <c r="O341" s="16">
        <v>3801</v>
      </c>
      <c r="P341" s="20">
        <f t="shared" ca="1" si="916"/>
        <v>0.7661141804788214</v>
      </c>
      <c r="Q341" s="21">
        <v>1.5</v>
      </c>
      <c r="R341" s="20">
        <f t="shared" ca="1" si="917"/>
        <v>0.40613804007154269</v>
      </c>
      <c r="S341" s="22">
        <f t="shared" ca="1" si="918"/>
        <v>0.60920706010731407</v>
      </c>
      <c r="T341" s="21">
        <f ca="1">F341/29.628</f>
        <v>161.33333333333334</v>
      </c>
      <c r="U341" s="21">
        <f t="shared" ca="1" si="919"/>
        <v>6.7222222222222223</v>
      </c>
      <c r="V341" s="18">
        <f t="shared" ca="1" si="920"/>
        <v>121.33333333333333</v>
      </c>
      <c r="W341" s="76"/>
      <c r="X341" s="8">
        <v>6</v>
      </c>
      <c r="Y341" s="8" t="s">
        <v>42</v>
      </c>
      <c r="Z341" s="8">
        <f t="shared" ref="Z341:AI341" si="951">SUM(D345)</f>
        <v>33</v>
      </c>
      <c r="AA341" s="9">
        <f t="shared" ca="1" si="951"/>
        <v>33</v>
      </c>
      <c r="AB341" s="10">
        <f t="shared" ca="1" si="951"/>
        <v>6309.5099999999902</v>
      </c>
      <c r="AC341" s="9">
        <f t="shared" ca="1" si="951"/>
        <v>3226</v>
      </c>
      <c r="AD341" s="9">
        <f t="shared" ca="1" si="951"/>
        <v>0</v>
      </c>
      <c r="AE341" s="9">
        <f t="shared" ca="1" si="951"/>
        <v>3226</v>
      </c>
      <c r="AF341" s="9">
        <f t="shared" ca="1" si="951"/>
        <v>4194</v>
      </c>
      <c r="AG341" s="9">
        <f t="shared" ca="1" si="951"/>
        <v>90</v>
      </c>
      <c r="AH341" s="9">
        <f t="shared" ca="1" si="951"/>
        <v>4284</v>
      </c>
      <c r="AI341" s="9">
        <f t="shared" ca="1" si="951"/>
        <v>7510</v>
      </c>
      <c r="AJ341" s="11">
        <f t="shared" ca="1" si="932"/>
        <v>191.19727272727243</v>
      </c>
      <c r="AK341" s="8">
        <f t="shared" si="948"/>
        <v>9877</v>
      </c>
      <c r="AL341" s="12">
        <f t="shared" ca="1" si="934"/>
        <v>0.76035233370456612</v>
      </c>
      <c r="AM341" s="13">
        <f t="shared" si="949"/>
        <v>1.5</v>
      </c>
      <c r="AN341" s="12">
        <f t="shared" ca="1" si="936"/>
        <v>0.79351117070369559</v>
      </c>
      <c r="AO341" s="14">
        <f t="shared" ca="1" si="937"/>
        <v>1.1902667560555433</v>
      </c>
      <c r="AP341" s="13">
        <f t="shared" ref="AP341:AQ341" ca="1" si="952">SUM(T345)</f>
        <v>241.23532785318255</v>
      </c>
      <c r="AQ341" s="13">
        <f t="shared" ca="1" si="952"/>
        <v>7.3101614500964409</v>
      </c>
      <c r="AR341" s="9">
        <f t="shared" ca="1" si="939"/>
        <v>227.57575757575756</v>
      </c>
      <c r="AS341" s="76"/>
      <c r="AT341" s="76"/>
    </row>
    <row r="342" spans="1:46" ht="15.75" customHeight="1" x14ac:dyDescent="0.25">
      <c r="A342" s="70"/>
      <c r="B342" s="16">
        <v>13</v>
      </c>
      <c r="C342" s="16" t="s">
        <v>43</v>
      </c>
      <c r="D342" s="17">
        <v>30</v>
      </c>
      <c r="E342" s="18">
        <f ca="1">IFERROR(__xludf.DUMMYFUNCTION("COUNT(IMPORTRANGE(""https://docs.google.com/spreadsheets/d/1AxBmuQEdOYAeRnZ4C8vO6kuTNp7X_SGhpLXuY0n4ln4/edit"",""13!d2:d31""))"),30)</f>
        <v>30</v>
      </c>
      <c r="F342" s="23">
        <f ca="1">IFERROR(__xludf.DUMMYFUNCTION("SUM(IMPORTRANGE(""https://docs.google.com/spreadsheets/d/1AxBmuQEdOYAeRnZ4C8vO6kuTNp7X_SGhpLXuY0n4ln4/edit"",""13!Q2:Q31""))"),6456.315)</f>
        <v>6456.3149999999996</v>
      </c>
      <c r="G342" s="18">
        <f ca="1">IFERROR(__xludf.DUMMYFUNCTION("IMPORTRANGE(""https://docs.google.com/spreadsheets/d/1AxBmuQEdOYAeRnZ4C8vO6kuTNp7X_SGhpLXuY0n4ln4/edit"",""13!e38"")"),2529)</f>
        <v>2529</v>
      </c>
      <c r="H342" s="18">
        <f ca="1">IFERROR(__xludf.DUMMYFUNCTION("IMPORTRANGE(""https://docs.google.com/spreadsheets/d/1AxBmuQEdOYAeRnZ4C8vO6kuTNp7X_SGhpLXuY0n4ln4/edit"",""13!e39"")"),0)</f>
        <v>0</v>
      </c>
      <c r="I342" s="18">
        <f t="shared" ca="1" si="912"/>
        <v>2529</v>
      </c>
      <c r="J342" s="18">
        <f ca="1">IFERROR(__xludf.DUMMYFUNCTION("IMPORTRANGE(""https://docs.google.com/spreadsheets/d/1AxBmuQEdOYAeRnZ4C8vO6kuTNp7X_SGhpLXuY0n4ln4/edit"",""13!e42"")"),3001)</f>
        <v>3001</v>
      </c>
      <c r="K342" s="18">
        <f ca="1">IFERROR(__xludf.DUMMYFUNCTION("IMPORTRANGE(""https://docs.google.com/spreadsheets/d/1AxBmuQEdOYAeRnZ4C8vO6kuTNp7X_SGhpLXuY0n4ln4/edit"",""13!e43"")"),179)</f>
        <v>179</v>
      </c>
      <c r="L342" s="18">
        <f t="shared" ca="1" si="942"/>
        <v>3180</v>
      </c>
      <c r="M342" s="18">
        <f t="shared" ca="1" si="914"/>
        <v>5709</v>
      </c>
      <c r="N342" s="19">
        <f t="shared" ca="1" si="915"/>
        <v>215.2105</v>
      </c>
      <c r="O342" s="16">
        <v>8345</v>
      </c>
      <c r="P342" s="20">
        <f t="shared" ca="1" si="916"/>
        <v>0.68412222887956864</v>
      </c>
      <c r="Q342" s="21">
        <v>1.5</v>
      </c>
      <c r="R342" s="20">
        <f t="shared" ca="1" si="917"/>
        <v>0.58950035740201645</v>
      </c>
      <c r="S342" s="22">
        <f t="shared" ca="1" si="918"/>
        <v>0.88425053610302473</v>
      </c>
      <c r="T342" s="21">
        <f ca="1">F342/41.205</f>
        <v>156.68765926465235</v>
      </c>
      <c r="U342" s="21">
        <f t="shared" ca="1" si="919"/>
        <v>5.2229219754884122</v>
      </c>
      <c r="V342" s="18">
        <f t="shared" ca="1" si="920"/>
        <v>190.3</v>
      </c>
      <c r="W342" s="76"/>
      <c r="X342" s="24" t="s">
        <v>33</v>
      </c>
      <c r="Y342" s="24">
        <v>6</v>
      </c>
      <c r="Z342" s="24">
        <f t="shared" ref="Z342:AI342" si="953">SUM(Z336:Z341)</f>
        <v>226</v>
      </c>
      <c r="AA342" s="25">
        <f t="shared" ca="1" si="953"/>
        <v>221</v>
      </c>
      <c r="AB342" s="27">
        <f t="shared" ca="1" si="953"/>
        <v>43636.473999999878</v>
      </c>
      <c r="AC342" s="25">
        <f t="shared" ca="1" si="953"/>
        <v>18090</v>
      </c>
      <c r="AD342" s="25">
        <f t="shared" ca="1" si="953"/>
        <v>231</v>
      </c>
      <c r="AE342" s="25">
        <f t="shared" ca="1" si="953"/>
        <v>18321</v>
      </c>
      <c r="AF342" s="25">
        <f t="shared" ca="1" si="953"/>
        <v>22406</v>
      </c>
      <c r="AG342" s="25">
        <f t="shared" ca="1" si="953"/>
        <v>525</v>
      </c>
      <c r="AH342" s="25">
        <f t="shared" ca="1" si="953"/>
        <v>22931</v>
      </c>
      <c r="AI342" s="25">
        <f t="shared" ca="1" si="953"/>
        <v>41252</v>
      </c>
      <c r="AJ342" s="27">
        <f t="shared" ca="1" si="932"/>
        <v>197.45010859728453</v>
      </c>
      <c r="AK342" s="24">
        <f>SUM(AK336:AK341)</f>
        <v>53273</v>
      </c>
      <c r="AL342" s="28">
        <f t="shared" ca="1" si="934"/>
        <v>0.7743509845512736</v>
      </c>
      <c r="AM342" s="29">
        <v>1.5</v>
      </c>
      <c r="AN342" s="28">
        <f t="shared" ca="1" si="936"/>
        <v>0.63023729491373226</v>
      </c>
      <c r="AO342" s="30">
        <f t="shared" ca="1" si="937"/>
        <v>0.94535594237059839</v>
      </c>
      <c r="AP342" s="29">
        <f ca="1">SUM(AP336:AP341)</f>
        <v>1430.4781981398814</v>
      </c>
      <c r="AQ342" s="29">
        <f ca="1">AP342/AA342</f>
        <v>6.4727520277822688</v>
      </c>
      <c r="AR342" s="25">
        <f t="shared" ca="1" si="939"/>
        <v>186.6606334841629</v>
      </c>
      <c r="AS342" s="76"/>
      <c r="AT342" s="76"/>
    </row>
    <row r="343" spans="1:46" ht="15.75" customHeight="1" x14ac:dyDescent="0.25">
      <c r="A343" s="70"/>
      <c r="B343" s="16">
        <v>14</v>
      </c>
      <c r="C343" s="16" t="s">
        <v>27</v>
      </c>
      <c r="D343" s="17">
        <v>30</v>
      </c>
      <c r="E343" s="18">
        <f ca="1">IFERROR(__xludf.DUMMYFUNCTION("COUNT(IMPORTRANGE(""https://docs.google.com/spreadsheets/d/1LsL4JuXvBtfJ-TVi4NFml9lV_pmd61b789A_nbO-QrA/edit"",""13!d2:d31""))"),29)</f>
        <v>29</v>
      </c>
      <c r="F343" s="23">
        <f ca="1">IFERROR(__xludf.DUMMYFUNCTION("SUM(IMPORTRANGE(""https://docs.google.com/spreadsheets/d/1LsL4JuXvBtfJ-TVi4NFml9lV_pmd61b789A_nbO-QrA/edit"",""13!Q2:Q31""))"),5425.79)</f>
        <v>5425.79</v>
      </c>
      <c r="G343" s="18">
        <f ca="1">IFERROR(__xludf.DUMMYFUNCTION("IMPORTRANGE(""https://docs.google.com/spreadsheets/d/1LsL4JuXvBtfJ-TVi4NFml9lV_pmd61b789A_nbO-QrA/edit"",""13!e38"")"),2441)</f>
        <v>2441</v>
      </c>
      <c r="H343" s="18">
        <f ca="1">IFERROR(__xludf.DUMMYFUNCTION("IMPORTRANGE(""https://docs.google.com/spreadsheets/d/1LsL4JuXvBtfJ-TVi4NFml9lV_pmd61b789A_nbO-QrA/edit"",""13!e39"")"),0)</f>
        <v>0</v>
      </c>
      <c r="I343" s="18">
        <f t="shared" ca="1" si="912"/>
        <v>2441</v>
      </c>
      <c r="J343" s="18">
        <f ca="1">IFERROR(__xludf.DUMMYFUNCTION("IMPORTRANGE(""https://docs.google.com/spreadsheets/d/1LsL4JuXvBtfJ-TVi4NFml9lV_pmd61b789A_nbO-QrA/edit"",""13!e42"")"),3211)</f>
        <v>3211</v>
      </c>
      <c r="K343" s="18">
        <f ca="1">IFERROR(__xludf.DUMMYFUNCTION("IMPORTRANGE(""https://docs.google.com/spreadsheets/d/1LsL4JuXvBtfJ-TVi4NFml9lV_pmd61b789A_nbO-QrA/edit"",""13!e43"")"),0)</f>
        <v>0</v>
      </c>
      <c r="L343" s="18">
        <f t="shared" ca="1" si="942"/>
        <v>3211</v>
      </c>
      <c r="M343" s="18">
        <f t="shared" ca="1" si="914"/>
        <v>5652</v>
      </c>
      <c r="N343" s="19">
        <f t="shared" ca="1" si="915"/>
        <v>187.09620689655173</v>
      </c>
      <c r="O343" s="16">
        <v>8101</v>
      </c>
      <c r="P343" s="20">
        <f t="shared" ca="1" si="916"/>
        <v>0.69769164300703612</v>
      </c>
      <c r="Q343" s="21">
        <v>1.5</v>
      </c>
      <c r="R343" s="20">
        <f t="shared" ca="1" si="917"/>
        <v>0.69446108308651822</v>
      </c>
      <c r="S343" s="22">
        <f t="shared" ca="1" si="918"/>
        <v>1.0416916246297774</v>
      </c>
      <c r="T343" s="21">
        <f ca="1">F343/19.985</f>
        <v>271.49311983987991</v>
      </c>
      <c r="U343" s="21">
        <f t="shared" ca="1" si="919"/>
        <v>9.3618317186165481</v>
      </c>
      <c r="V343" s="18">
        <f t="shared" ca="1" si="920"/>
        <v>194.89655172413794</v>
      </c>
      <c r="W343" s="76"/>
      <c r="X343" s="97" t="s">
        <v>44</v>
      </c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9"/>
      <c r="AS343" s="76"/>
      <c r="AT343" s="76"/>
    </row>
    <row r="344" spans="1:46" ht="15.75" customHeight="1" x14ac:dyDescent="0.25">
      <c r="A344" s="70"/>
      <c r="B344" s="16">
        <v>15</v>
      </c>
      <c r="C344" s="16" t="s">
        <v>40</v>
      </c>
      <c r="D344" s="17">
        <v>30</v>
      </c>
      <c r="E344" s="18">
        <f ca="1">IFERROR(__xludf.DUMMYFUNCTION("COUNT(IMPORTRANGE(""https://docs.google.com/spreadsheets/d/1Krav0MVlY0vbUNsFRDnb_kR72_tyuGnWBYbGjNZrl18/edit"",""13!d2:d31""))"),30)</f>
        <v>30</v>
      </c>
      <c r="F344" s="23">
        <f ca="1">IFERROR(__xludf.DUMMYFUNCTION("SUM(IMPORTRANGE(""https://docs.google.com/spreadsheets/d/1Krav0MVlY0vbUNsFRDnb_kR72_tyuGnWBYbGjNZrl18/edit"",""13!Q2:Q31""))"),5802.37199999999)</f>
        <v>5802.3719999999903</v>
      </c>
      <c r="G344" s="18">
        <f ca="1">IFERROR(__xludf.DUMMYFUNCTION("IMPORTRANGE(""https://docs.google.com/spreadsheets/d/1Krav0MVlY0vbUNsFRDnb_kR72_tyuGnWBYbGjNZrl18/edit"",""13!e38"")"),3192)</f>
        <v>3192</v>
      </c>
      <c r="H344" s="18">
        <f ca="1">IFERROR(__xludf.DUMMYFUNCTION("IMPORTRANGE(""https://docs.google.com/spreadsheets/d/1Krav0MVlY0vbUNsFRDnb_kR72_tyuGnWBYbGjNZrl18/edit"",""13!e39"")"),100)</f>
        <v>100</v>
      </c>
      <c r="I344" s="18">
        <f t="shared" ca="1" si="912"/>
        <v>3292</v>
      </c>
      <c r="J344" s="18">
        <f ca="1">IFERROR(__xludf.DUMMYFUNCTION("IMPORTRANGE(""https://docs.google.com/spreadsheets/d/1Krav0MVlY0vbUNsFRDnb_kR72_tyuGnWBYbGjNZrl18/edit"",""13!e42"")"),3779)</f>
        <v>3779</v>
      </c>
      <c r="K344" s="18">
        <f ca="1">IFERROR(__xludf.DUMMYFUNCTION("IMPORTRANGE(""https://docs.google.com/spreadsheets/d/1Krav0MVlY0vbUNsFRDnb_kR72_tyuGnWBYbGjNZrl18/edit"",""13!e43"")"),130)</f>
        <v>130</v>
      </c>
      <c r="L344" s="18">
        <f t="shared" ca="1" si="942"/>
        <v>3909</v>
      </c>
      <c r="M344" s="18">
        <f t="shared" ca="1" si="914"/>
        <v>7201</v>
      </c>
      <c r="N344" s="19">
        <f t="shared" ca="1" si="915"/>
        <v>193.41239999999968</v>
      </c>
      <c r="O344" s="16">
        <v>8239</v>
      </c>
      <c r="P344" s="20">
        <f t="shared" ca="1" si="916"/>
        <v>0.87401383663065901</v>
      </c>
      <c r="Q344" s="21">
        <v>1.5</v>
      </c>
      <c r="R344" s="20">
        <f t="shared" ca="1" si="917"/>
        <v>0.82736278657533069</v>
      </c>
      <c r="S344" s="22">
        <f t="shared" ca="1" si="918"/>
        <v>1.2410441798629961</v>
      </c>
      <c r="T344" s="21">
        <f ca="1">F344/28.443</f>
        <v>203.99999999999966</v>
      </c>
      <c r="U344" s="21">
        <f t="shared" ca="1" si="919"/>
        <v>6.7999999999999883</v>
      </c>
      <c r="V344" s="18">
        <f t="shared" ca="1" si="920"/>
        <v>240.03333333333333</v>
      </c>
      <c r="W344" s="76"/>
      <c r="X344" s="1" t="s">
        <v>2</v>
      </c>
      <c r="Y344" s="1" t="s">
        <v>3</v>
      </c>
      <c r="Z344" s="1" t="s">
        <v>4</v>
      </c>
      <c r="AA344" s="1" t="s">
        <v>5</v>
      </c>
      <c r="AB344" s="2" t="s">
        <v>6</v>
      </c>
      <c r="AC344" s="1" t="s">
        <v>7</v>
      </c>
      <c r="AD344" s="1" t="s">
        <v>8</v>
      </c>
      <c r="AE344" s="1" t="s">
        <v>9</v>
      </c>
      <c r="AF344" s="1" t="s">
        <v>10</v>
      </c>
      <c r="AG344" s="1" t="s">
        <v>11</v>
      </c>
      <c r="AH344" s="1" t="s">
        <v>12</v>
      </c>
      <c r="AI344" s="1" t="s">
        <v>13</v>
      </c>
      <c r="AJ344" s="2" t="s">
        <v>14</v>
      </c>
      <c r="AK344" s="1" t="s">
        <v>15</v>
      </c>
      <c r="AL344" s="1" t="s">
        <v>16</v>
      </c>
      <c r="AM344" s="3" t="s">
        <v>17</v>
      </c>
      <c r="AN344" s="4" t="s">
        <v>18</v>
      </c>
      <c r="AO344" s="5" t="s">
        <v>19</v>
      </c>
      <c r="AP344" s="6" t="s">
        <v>20</v>
      </c>
      <c r="AQ344" s="6" t="s">
        <v>21</v>
      </c>
      <c r="AR344" s="7" t="s">
        <v>22</v>
      </c>
      <c r="AS344" s="76"/>
      <c r="AT344" s="76"/>
    </row>
    <row r="345" spans="1:46" ht="15.75" customHeight="1" x14ac:dyDescent="0.25">
      <c r="A345" s="70"/>
      <c r="B345" s="16">
        <v>16</v>
      </c>
      <c r="C345" s="16" t="s">
        <v>42</v>
      </c>
      <c r="D345" s="17">
        <v>33</v>
      </c>
      <c r="E345" s="18">
        <f ca="1">IFERROR(__xludf.DUMMYFUNCTION("COUNT(IMPORTRANGE(""https://docs.google.com/spreadsheets/d/1uXtm-E8PG0CetlFmSpTX3RK0LNEMnpR-mxbET9AGD6w/edit"",""13!d2:d34""))"),33)</f>
        <v>33</v>
      </c>
      <c r="F345" s="23">
        <f ca="1">IFERROR(__xludf.DUMMYFUNCTION("SUM(IMPORTRANGE(""https://docs.google.com/spreadsheets/d/1uXtm-E8PG0CetlFmSpTX3RK0LNEMnpR-mxbET9AGD6w/edit"",""13!Q2:Q34""))"),6309.50999999999)</f>
        <v>6309.5099999999902</v>
      </c>
      <c r="G345" s="18">
        <f ca="1">IFERROR(__xludf.DUMMYFUNCTION("IMPORTRANGE(""https://docs.google.com/spreadsheets/d/1uXtm-E8PG0CetlFmSpTX3RK0LNEMnpR-mxbET9AGD6w/edit"",""13!e41"")"),3226)</f>
        <v>3226</v>
      </c>
      <c r="H345" s="18">
        <f ca="1">IFERROR(__xludf.DUMMYFUNCTION("IMPORTRANGE(""https://docs.google.com/spreadsheets/d/1uXtm-E8PG0CetlFmSpTX3RK0LNEMnpR-mxbET9AGD6w/edit"",""13!e42"")"),0)</f>
        <v>0</v>
      </c>
      <c r="I345" s="18">
        <f t="shared" ca="1" si="912"/>
        <v>3226</v>
      </c>
      <c r="J345" s="18">
        <f ca="1">IFERROR(__xludf.DUMMYFUNCTION("IMPORTRANGE(""https://docs.google.com/spreadsheets/d/1uXtm-E8PG0CetlFmSpTX3RK0LNEMnpR-mxbET9AGD6w/edit"",""13!e45"")"),4194)</f>
        <v>4194</v>
      </c>
      <c r="K345" s="18">
        <f ca="1">IFERROR(__xludf.DUMMYFUNCTION("IMPORTRANGE(""https://docs.google.com/spreadsheets/d/1uXtm-E8PG0CetlFmSpTX3RK0LNEMnpR-mxbET9AGD6w/edit"",""13!e46"")"),90)</f>
        <v>90</v>
      </c>
      <c r="L345" s="18">
        <f t="shared" ca="1" si="942"/>
        <v>4284</v>
      </c>
      <c r="M345" s="18">
        <f t="shared" ca="1" si="914"/>
        <v>7510</v>
      </c>
      <c r="N345" s="19">
        <f t="shared" ca="1" si="915"/>
        <v>191.19727272727243</v>
      </c>
      <c r="O345" s="16">
        <v>9877</v>
      </c>
      <c r="P345" s="20">
        <f t="shared" ca="1" si="916"/>
        <v>0.76035233370456612</v>
      </c>
      <c r="Q345" s="21">
        <v>1.5</v>
      </c>
      <c r="R345" s="20">
        <f t="shared" ca="1" si="917"/>
        <v>0.79351117070369559</v>
      </c>
      <c r="S345" s="22">
        <f t="shared" ca="1" si="918"/>
        <v>1.1902667560555433</v>
      </c>
      <c r="T345" s="21">
        <f ca="1">F345/26.155</f>
        <v>241.23532785318255</v>
      </c>
      <c r="U345" s="21">
        <f t="shared" ca="1" si="919"/>
        <v>7.3101614500964409</v>
      </c>
      <c r="V345" s="18">
        <f t="shared" ca="1" si="920"/>
        <v>227.57575757575756</v>
      </c>
      <c r="W345" s="76"/>
      <c r="X345" s="8">
        <v>1</v>
      </c>
      <c r="Y345" s="8" t="s">
        <v>26</v>
      </c>
      <c r="Z345" s="8">
        <f t="shared" ref="Z345:AI345" si="954">SUM(D330)</f>
        <v>20</v>
      </c>
      <c r="AA345" s="9">
        <f t="shared" ca="1" si="954"/>
        <v>20</v>
      </c>
      <c r="AB345" s="11">
        <f t="shared" ca="1" si="954"/>
        <v>3950.3220000000001</v>
      </c>
      <c r="AC345" s="9">
        <f t="shared" ca="1" si="954"/>
        <v>2470</v>
      </c>
      <c r="AD345" s="9">
        <f t="shared" ca="1" si="954"/>
        <v>0</v>
      </c>
      <c r="AE345" s="9">
        <f t="shared" ca="1" si="954"/>
        <v>2470</v>
      </c>
      <c r="AF345" s="9">
        <f t="shared" ca="1" si="954"/>
        <v>2513</v>
      </c>
      <c r="AG345" s="9">
        <f t="shared" ca="1" si="954"/>
        <v>0</v>
      </c>
      <c r="AH345" s="9">
        <f t="shared" ca="1" si="954"/>
        <v>2513</v>
      </c>
      <c r="AI345" s="9">
        <f t="shared" ca="1" si="954"/>
        <v>4983</v>
      </c>
      <c r="AJ345" s="11">
        <f t="shared" ref="AJ345:AJ351" ca="1" si="955">AB345/AA345</f>
        <v>197.51609999999999</v>
      </c>
      <c r="AK345" s="8">
        <f>SUM(O330)</f>
        <v>5161</v>
      </c>
      <c r="AL345" s="12">
        <f t="shared" ref="AL345:AL351" ca="1" si="956">AI345/AK345</f>
        <v>0.96551055996899826</v>
      </c>
      <c r="AM345" s="13">
        <f>SUM(Q330)</f>
        <v>1.5</v>
      </c>
      <c r="AN345" s="12">
        <f t="shared" ref="AN345:AN351" ca="1" si="957">AO345/AM345</f>
        <v>0.84094410531597175</v>
      </c>
      <c r="AO345" s="14">
        <f t="shared" ref="AO345:AO351" ca="1" si="958">AI345/AB345</f>
        <v>1.2614161579739576</v>
      </c>
      <c r="AP345" s="13">
        <f t="shared" ref="AP345:AQ345" ca="1" si="959">SUM(T330)</f>
        <v>274.04245577523415</v>
      </c>
      <c r="AQ345" s="13">
        <f t="shared" ca="1" si="959"/>
        <v>13.702122788761708</v>
      </c>
      <c r="AR345" s="9">
        <f t="shared" ref="AR345:AR351" ca="1" si="960">AI345/AA345</f>
        <v>249.15</v>
      </c>
      <c r="AS345" s="76"/>
      <c r="AT345" s="76"/>
    </row>
    <row r="346" spans="1:46" ht="15.75" customHeight="1" x14ac:dyDescent="0.25">
      <c r="A346" s="70"/>
      <c r="B346" s="16">
        <v>17</v>
      </c>
      <c r="C346" s="16" t="s">
        <v>29</v>
      </c>
      <c r="D346" s="17">
        <v>30</v>
      </c>
      <c r="E346" s="18">
        <f ca="1">IFERROR(__xludf.DUMMYFUNCTION("COUNT(IMPORTRANGE(""https://docs.google.com/spreadsheets/d/12xcKI0lSnAsjEsxfm9K8Qx0B_89Gzsh816mowItkQao/edit"",""13!d2:d31""))"),29)</f>
        <v>29</v>
      </c>
      <c r="F346" s="23">
        <f ca="1">IFERROR(__xludf.DUMMYFUNCTION("SUM(IMPORTRANGE(""https://docs.google.com/spreadsheets/d/12xcKI0lSnAsjEsxfm9K8Qx0B_89Gzsh816mowItkQao/edit"",""13!Q2:Q31""))"),5806.474)</f>
        <v>5806.4740000000002</v>
      </c>
      <c r="G346" s="18">
        <f ca="1">IFERROR(__xludf.DUMMYFUNCTION("IMPORTRANGE(""https://docs.google.com/spreadsheets/d/12xcKI0lSnAsjEsxfm9K8Qx0B_89Gzsh816mowItkQao/edit"",""13!e38"")"),2946)</f>
        <v>2946</v>
      </c>
      <c r="H346" s="18">
        <f ca="1">IFERROR(__xludf.DUMMYFUNCTION("IMPORTRANGE(""https://docs.google.com/spreadsheets/d/12xcKI0lSnAsjEsxfm9K8Qx0B_89Gzsh816mowItkQao/edit"",""13!e39"")"),0)</f>
        <v>0</v>
      </c>
      <c r="I346" s="18">
        <f t="shared" ca="1" si="912"/>
        <v>2946</v>
      </c>
      <c r="J346" s="18">
        <f ca="1">IFERROR(__xludf.DUMMYFUNCTION("IMPORTRANGE(""https://docs.google.com/spreadsheets/d/12xcKI0lSnAsjEsxfm9K8Qx0B_89Gzsh816mowItkQao/edit"",""13!e42"")"),3887)</f>
        <v>3887</v>
      </c>
      <c r="K346" s="18">
        <f ca="1">IFERROR(__xludf.DUMMYFUNCTION("IMPORTRANGE(""https://docs.google.com/spreadsheets/d/12xcKI0lSnAsjEsxfm9K8Qx0B_89Gzsh816mowItkQao/edit"",""13!e43"")"),0)</f>
        <v>0</v>
      </c>
      <c r="L346" s="18">
        <f t="shared" ca="1" si="942"/>
        <v>3887</v>
      </c>
      <c r="M346" s="18">
        <f t="shared" ca="1" si="914"/>
        <v>6833</v>
      </c>
      <c r="N346" s="19">
        <f t="shared" ca="1" si="915"/>
        <v>200.22324137931034</v>
      </c>
      <c r="O346" s="16">
        <v>9201</v>
      </c>
      <c r="P346" s="20">
        <f t="shared" ca="1" si="916"/>
        <v>0.7426366699271818</v>
      </c>
      <c r="Q346" s="21">
        <v>1.5</v>
      </c>
      <c r="R346" s="20">
        <f t="shared" ca="1" si="917"/>
        <v>0.78452660484371972</v>
      </c>
      <c r="S346" s="22">
        <f t="shared" ca="1" si="918"/>
        <v>1.1767899072655796</v>
      </c>
      <c r="T346" s="21">
        <f ca="1">F346/26.038</f>
        <v>223</v>
      </c>
      <c r="U346" s="21">
        <f t="shared" ca="1" si="919"/>
        <v>7.6896551724137927</v>
      </c>
      <c r="V346" s="18">
        <f t="shared" ca="1" si="920"/>
        <v>235.62068965517241</v>
      </c>
      <c r="W346" s="76"/>
      <c r="X346" s="8">
        <v>2</v>
      </c>
      <c r="Y346" s="8" t="s">
        <v>32</v>
      </c>
      <c r="Z346" s="8">
        <f t="shared" ref="Z346:AI346" si="961">SUM(D333)</f>
        <v>42</v>
      </c>
      <c r="AA346" s="9">
        <f t="shared" ca="1" si="961"/>
        <v>42</v>
      </c>
      <c r="AB346" s="10">
        <f t="shared" ca="1" si="961"/>
        <v>8265.7509999999893</v>
      </c>
      <c r="AC346" s="8">
        <f t="shared" ca="1" si="961"/>
        <v>4750</v>
      </c>
      <c r="AD346" s="8">
        <f t="shared" ca="1" si="961"/>
        <v>204</v>
      </c>
      <c r="AE346" s="9">
        <f t="shared" ca="1" si="961"/>
        <v>4954</v>
      </c>
      <c r="AF346" s="8">
        <f t="shared" ca="1" si="961"/>
        <v>5730</v>
      </c>
      <c r="AG346" s="8">
        <f t="shared" ca="1" si="961"/>
        <v>50</v>
      </c>
      <c r="AH346" s="9">
        <f t="shared" ca="1" si="961"/>
        <v>5780</v>
      </c>
      <c r="AI346" s="9">
        <f t="shared" ca="1" si="961"/>
        <v>10734</v>
      </c>
      <c r="AJ346" s="11">
        <f t="shared" ca="1" si="955"/>
        <v>196.80359523809497</v>
      </c>
      <c r="AK346" s="8">
        <f>SUM(O333)</f>
        <v>13817</v>
      </c>
      <c r="AL346" s="12">
        <f t="shared" ca="1" si="956"/>
        <v>0.77686907432872543</v>
      </c>
      <c r="AM346" s="13">
        <f>SUM(Q333)</f>
        <v>1.5</v>
      </c>
      <c r="AN346" s="12">
        <f t="shared" ca="1" si="957"/>
        <v>0.8657410560758495</v>
      </c>
      <c r="AO346" s="14">
        <f t="shared" ca="1" si="958"/>
        <v>1.2986115841137742</v>
      </c>
      <c r="AP346" s="13">
        <f t="shared" ref="AP346:AQ346" ca="1" si="962">SUM(T333)</f>
        <v>329.45717246602055</v>
      </c>
      <c r="AQ346" s="13">
        <f t="shared" ca="1" si="962"/>
        <v>7.8442183920481083</v>
      </c>
      <c r="AR346" s="9">
        <f t="shared" ca="1" si="960"/>
        <v>255.57142857142858</v>
      </c>
      <c r="AS346" s="76"/>
      <c r="AT346" s="76"/>
    </row>
    <row r="347" spans="1:46" ht="15.75" customHeight="1" x14ac:dyDescent="0.25">
      <c r="A347" s="70"/>
      <c r="B347" s="16">
        <v>18</v>
      </c>
      <c r="C347" s="16" t="s">
        <v>31</v>
      </c>
      <c r="D347" s="17">
        <v>15</v>
      </c>
      <c r="E347" s="18">
        <f ca="1">IFERROR(__xludf.DUMMYFUNCTION("COUNT(IMPORTRANGE(""https://docs.google.com/spreadsheets/d/1fgCFOFzOla4Qim6_-zG-lbYhLCItqv_kZiAHoErRgcM/edit"",""13!d2:d16""))"),12)</f>
        <v>12</v>
      </c>
      <c r="F347" s="19">
        <f ca="1">IFERROR(__xludf.DUMMYFUNCTION("SUM(IMPORTRANGE(""https://docs.google.com/spreadsheets/d/1fgCFOFzOla4Qim6_-zG-lbYhLCItqv_kZiAHoErRgcM/edit"",""13!Q2:Q16""))"),2477.505)</f>
        <v>2477.5050000000001</v>
      </c>
      <c r="G347" s="18">
        <f ca="1">IFERROR(__xludf.DUMMYFUNCTION("IMPORTRANGE(""https://docs.google.com/spreadsheets/d/1fgCFOFzOla4Qim6_-zG-lbYhLCItqv_kZiAHoErRgcM/edit"",""13!e23"")"),805)</f>
        <v>805</v>
      </c>
      <c r="H347" s="18">
        <f ca="1">IFERROR(__xludf.DUMMYFUNCTION("IMPORTRANGE(""https://docs.google.com/spreadsheets/d/1fgCFOFzOla4Qim6_-zG-lbYhLCItqv_kZiAHoErRgcM/edit"",""13!e24"")"),7)</f>
        <v>7</v>
      </c>
      <c r="I347" s="18">
        <f t="shared" ca="1" si="912"/>
        <v>812</v>
      </c>
      <c r="J347" s="18">
        <f ca="1">IFERROR(__xludf.DUMMYFUNCTION("IMPORTRANGE(""https://docs.google.com/spreadsheets/d/1fgCFOFzOla4Qim6_-zG-lbYhLCItqv_kZiAHoErRgcM/edit"",""13!e27"")"),1075)</f>
        <v>1075</v>
      </c>
      <c r="K347" s="18">
        <f ca="1">IFERROR(__xludf.DUMMYFUNCTION("IMPORTRANGE(""https://docs.google.com/spreadsheets/d/1fgCFOFzOla4Qim6_-zG-lbYhLCItqv_kZiAHoErRgcM/edit"",""13!e28"")"),0)</f>
        <v>0</v>
      </c>
      <c r="L347" s="18">
        <f t="shared" ca="1" si="942"/>
        <v>1075</v>
      </c>
      <c r="M347" s="18">
        <f t="shared" ca="1" si="914"/>
        <v>1887</v>
      </c>
      <c r="N347" s="19">
        <f t="shared" ca="1" si="915"/>
        <v>206.45875000000001</v>
      </c>
      <c r="O347" s="16">
        <v>2717</v>
      </c>
      <c r="P347" s="20">
        <f t="shared" ca="1" si="916"/>
        <v>0.69451601030548404</v>
      </c>
      <c r="Q347" s="21">
        <v>1.5</v>
      </c>
      <c r="R347" s="20">
        <f t="shared" ca="1" si="917"/>
        <v>0.50776890460362345</v>
      </c>
      <c r="S347" s="22">
        <f t="shared" ca="1" si="918"/>
        <v>0.76165335690543512</v>
      </c>
      <c r="T347" s="21">
        <f ca="1">F347/43.465</f>
        <v>57</v>
      </c>
      <c r="U347" s="21">
        <f t="shared" ca="1" si="919"/>
        <v>4.75</v>
      </c>
      <c r="V347" s="18">
        <f t="shared" ca="1" si="920"/>
        <v>157.25</v>
      </c>
      <c r="W347" s="76"/>
      <c r="X347" s="8">
        <v>3</v>
      </c>
      <c r="Y347" s="8" t="s">
        <v>36</v>
      </c>
      <c r="Z347" s="8">
        <f t="shared" ref="Z347:AI347" si="963">SUM(D338)</f>
        <v>24</v>
      </c>
      <c r="AA347" s="9">
        <f t="shared" ca="1" si="963"/>
        <v>23</v>
      </c>
      <c r="AB347" s="10">
        <f t="shared" ca="1" si="963"/>
        <v>4501.2049999999999</v>
      </c>
      <c r="AC347" s="9">
        <f t="shared" ca="1" si="963"/>
        <v>1410</v>
      </c>
      <c r="AD347" s="9">
        <f t="shared" ca="1" si="963"/>
        <v>0</v>
      </c>
      <c r="AE347" s="9">
        <f t="shared" ca="1" si="963"/>
        <v>1410</v>
      </c>
      <c r="AF347" s="9">
        <f t="shared" ca="1" si="963"/>
        <v>1917</v>
      </c>
      <c r="AG347" s="9">
        <f t="shared" ca="1" si="963"/>
        <v>0</v>
      </c>
      <c r="AH347" s="9">
        <f t="shared" ca="1" si="963"/>
        <v>1917</v>
      </c>
      <c r="AI347" s="9">
        <f t="shared" ca="1" si="963"/>
        <v>3327</v>
      </c>
      <c r="AJ347" s="11">
        <f t="shared" ca="1" si="955"/>
        <v>195.70456521739129</v>
      </c>
      <c r="AK347" s="8">
        <f t="shared" ref="AK347:AK350" si="964">SUM(O338)</f>
        <v>4796</v>
      </c>
      <c r="AL347" s="12">
        <f t="shared" ca="1" si="956"/>
        <v>0.6937030859049208</v>
      </c>
      <c r="AM347" s="13">
        <f t="shared" ref="AM347:AM350" si="965">SUM(Q338)</f>
        <v>1.5</v>
      </c>
      <c r="AN347" s="12">
        <f t="shared" ca="1" si="957"/>
        <v>0.49275693953063682</v>
      </c>
      <c r="AO347" s="14">
        <f t="shared" ca="1" si="958"/>
        <v>0.73913540929595523</v>
      </c>
      <c r="AP347" s="13">
        <f t="shared" ref="AP347:AQ347" ca="1" si="966">SUM(T338)</f>
        <v>120.30803977120863</v>
      </c>
      <c r="AQ347" s="13">
        <f t="shared" ca="1" si="966"/>
        <v>5.2307843378786361</v>
      </c>
      <c r="AR347" s="9">
        <f t="shared" ca="1" si="960"/>
        <v>144.65217391304347</v>
      </c>
      <c r="AS347" s="76"/>
      <c r="AT347" s="76"/>
    </row>
    <row r="348" spans="1:46" ht="15.75" customHeight="1" x14ac:dyDescent="0.2">
      <c r="A348" s="70"/>
      <c r="B348" s="98" t="s">
        <v>33</v>
      </c>
      <c r="C348" s="98">
        <v>18</v>
      </c>
      <c r="D348" s="98">
        <f t="shared" ref="D348:M348" si="967">SUM(D330:D347)</f>
        <v>580</v>
      </c>
      <c r="E348" s="74">
        <f t="shared" ca="1" si="967"/>
        <v>564</v>
      </c>
      <c r="F348" s="99">
        <f t="shared" ca="1" si="967"/>
        <v>110830.61099999983</v>
      </c>
      <c r="G348" s="74">
        <f t="shared" ca="1" si="967"/>
        <v>42813</v>
      </c>
      <c r="H348" s="74">
        <f t="shared" ca="1" si="967"/>
        <v>1030</v>
      </c>
      <c r="I348" s="74">
        <f t="shared" ca="1" si="967"/>
        <v>43843</v>
      </c>
      <c r="J348" s="74">
        <f t="shared" ca="1" si="967"/>
        <v>53898</v>
      </c>
      <c r="K348" s="74">
        <f t="shared" ca="1" si="967"/>
        <v>1757</v>
      </c>
      <c r="L348" s="74">
        <f t="shared" ca="1" si="967"/>
        <v>55655</v>
      </c>
      <c r="M348" s="74">
        <f t="shared" ca="1" si="967"/>
        <v>99498</v>
      </c>
      <c r="N348" s="99">
        <f t="shared" ca="1" si="915"/>
        <v>196.50817553191459</v>
      </c>
      <c r="O348" s="98">
        <f>SUM(O330:O347)</f>
        <v>126399</v>
      </c>
      <c r="P348" s="69">
        <f t="shared" ca="1" si="916"/>
        <v>0.78717394916099015</v>
      </c>
      <c r="Q348" s="72">
        <v>1.5</v>
      </c>
      <c r="R348" s="69">
        <f t="shared" ca="1" si="917"/>
        <v>0.59849891109957076</v>
      </c>
      <c r="S348" s="73">
        <f t="shared" ca="1" si="918"/>
        <v>0.89774836664935609</v>
      </c>
      <c r="T348" s="72">
        <f ca="1">SUM(T330:T347)</f>
        <v>4101.3261944960377</v>
      </c>
      <c r="U348" s="72">
        <f t="shared" ca="1" si="919"/>
        <v>7.2718549547802089</v>
      </c>
      <c r="V348" s="74">
        <f t="shared" ca="1" si="920"/>
        <v>176.41489361702128</v>
      </c>
      <c r="W348" s="76"/>
      <c r="X348" s="8">
        <v>4</v>
      </c>
      <c r="Y348" s="8" t="s">
        <v>37</v>
      </c>
      <c r="Z348" s="8">
        <f t="shared" ref="Z348:AI348" si="968">SUM(D339)</f>
        <v>30</v>
      </c>
      <c r="AA348" s="9">
        <f t="shared" ca="1" si="968"/>
        <v>29</v>
      </c>
      <c r="AB348" s="10">
        <f t="shared" ca="1" si="968"/>
        <v>5798.7059999999901</v>
      </c>
      <c r="AC348" s="9">
        <f t="shared" ca="1" si="968"/>
        <v>2116</v>
      </c>
      <c r="AD348" s="9">
        <f t="shared" ca="1" si="968"/>
        <v>28</v>
      </c>
      <c r="AE348" s="9">
        <f t="shared" ca="1" si="968"/>
        <v>2144</v>
      </c>
      <c r="AF348" s="9">
        <f t="shared" ca="1" si="968"/>
        <v>2912</v>
      </c>
      <c r="AG348" s="9">
        <f t="shared" ca="1" si="968"/>
        <v>0</v>
      </c>
      <c r="AH348" s="9">
        <f t="shared" ca="1" si="968"/>
        <v>2912</v>
      </c>
      <c r="AI348" s="9">
        <f t="shared" ca="1" si="968"/>
        <v>5056</v>
      </c>
      <c r="AJ348" s="11">
        <f t="shared" ca="1" si="955"/>
        <v>199.95537931034448</v>
      </c>
      <c r="AK348" s="8">
        <f t="shared" si="964"/>
        <v>5887</v>
      </c>
      <c r="AL348" s="12">
        <f t="shared" ca="1" si="956"/>
        <v>0.85884151520298968</v>
      </c>
      <c r="AM348" s="13">
        <f t="shared" si="965"/>
        <v>1.5</v>
      </c>
      <c r="AN348" s="12">
        <f t="shared" ca="1" si="957"/>
        <v>0.58127911066135651</v>
      </c>
      <c r="AO348" s="14">
        <f t="shared" ca="1" si="958"/>
        <v>0.87191866599203482</v>
      </c>
      <c r="AP348" s="13">
        <f t="shared" ref="AP348:AQ348" ca="1" si="969">SUM(T339)</f>
        <v>233.89424007744392</v>
      </c>
      <c r="AQ348" s="13">
        <f t="shared" ca="1" si="969"/>
        <v>8.0653186233601346</v>
      </c>
      <c r="AR348" s="9">
        <f t="shared" ca="1" si="960"/>
        <v>174.34482758620689</v>
      </c>
      <c r="AS348" s="76"/>
      <c r="AT348" s="76"/>
    </row>
    <row r="349" spans="1:46" ht="15.75" customHeight="1" x14ac:dyDescent="0.2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6"/>
      <c r="X349" s="8">
        <v>5</v>
      </c>
      <c r="Y349" s="8" t="s">
        <v>39</v>
      </c>
      <c r="Z349" s="8">
        <f t="shared" ref="Z349:AI349" si="970">SUM(D340)</f>
        <v>28</v>
      </c>
      <c r="AA349" s="9">
        <f t="shared" ca="1" si="970"/>
        <v>27</v>
      </c>
      <c r="AB349" s="10">
        <f t="shared" ca="1" si="970"/>
        <v>5008.1549999999897</v>
      </c>
      <c r="AC349" s="9">
        <f t="shared" ca="1" si="970"/>
        <v>1306</v>
      </c>
      <c r="AD349" s="9">
        <f t="shared" ca="1" si="970"/>
        <v>0</v>
      </c>
      <c r="AE349" s="9">
        <f t="shared" ca="1" si="970"/>
        <v>1306</v>
      </c>
      <c r="AF349" s="9">
        <f t="shared" ca="1" si="970"/>
        <v>1513</v>
      </c>
      <c r="AG349" s="9">
        <f t="shared" ca="1" si="970"/>
        <v>348</v>
      </c>
      <c r="AH349" s="9">
        <f t="shared" ca="1" si="970"/>
        <v>1861</v>
      </c>
      <c r="AI349" s="9">
        <f t="shared" ca="1" si="970"/>
        <v>3167</v>
      </c>
      <c r="AJ349" s="11">
        <f t="shared" ca="1" si="955"/>
        <v>185.48722222222185</v>
      </c>
      <c r="AK349" s="8">
        <f t="shared" si="964"/>
        <v>3569</v>
      </c>
      <c r="AL349" s="12">
        <f t="shared" ca="1" si="956"/>
        <v>0.88736340711683948</v>
      </c>
      <c r="AM349" s="13">
        <f t="shared" si="965"/>
        <v>1.5</v>
      </c>
      <c r="AN349" s="12">
        <f t="shared" ca="1" si="957"/>
        <v>0.42157907120153787</v>
      </c>
      <c r="AO349" s="14">
        <f t="shared" ca="1" si="958"/>
        <v>0.63236860680230678</v>
      </c>
      <c r="AP349" s="13">
        <f t="shared" ref="AP349:AQ349" ca="1" si="971">SUM(T340)</f>
        <v>233.33900200344732</v>
      </c>
      <c r="AQ349" s="13">
        <f t="shared" ca="1" si="971"/>
        <v>8.6421852593869382</v>
      </c>
      <c r="AR349" s="9">
        <f t="shared" ca="1" si="960"/>
        <v>117.29629629629629</v>
      </c>
      <c r="AS349" s="76"/>
      <c r="AT349" s="76"/>
    </row>
    <row r="350" spans="1:46" ht="15.75" customHeight="1" x14ac:dyDescent="0.2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6"/>
      <c r="X350" s="8">
        <v>6</v>
      </c>
      <c r="Y350" s="8" t="s">
        <v>41</v>
      </c>
      <c r="Z350" s="8">
        <f t="shared" ref="Z350:AI350" si="972">SUM(D341)</f>
        <v>24</v>
      </c>
      <c r="AA350" s="9">
        <f t="shared" ca="1" si="972"/>
        <v>24</v>
      </c>
      <c r="AB350" s="10">
        <f t="shared" ca="1" si="972"/>
        <v>4779.9840000000004</v>
      </c>
      <c r="AC350" s="9">
        <f t="shared" ca="1" si="972"/>
        <v>1237</v>
      </c>
      <c r="AD350" s="9">
        <f t="shared" ca="1" si="972"/>
        <v>0</v>
      </c>
      <c r="AE350" s="9">
        <f t="shared" ca="1" si="972"/>
        <v>1237</v>
      </c>
      <c r="AF350" s="9">
        <f t="shared" ca="1" si="972"/>
        <v>1282</v>
      </c>
      <c r="AG350" s="9">
        <f t="shared" ca="1" si="972"/>
        <v>393</v>
      </c>
      <c r="AH350" s="9">
        <f t="shared" ca="1" si="972"/>
        <v>1675</v>
      </c>
      <c r="AI350" s="9">
        <f t="shared" ca="1" si="972"/>
        <v>2912</v>
      </c>
      <c r="AJ350" s="11">
        <f t="shared" ca="1" si="955"/>
        <v>199.16600000000003</v>
      </c>
      <c r="AK350" s="8">
        <f t="shared" si="964"/>
        <v>3801</v>
      </c>
      <c r="AL350" s="12">
        <f t="shared" ca="1" si="956"/>
        <v>0.7661141804788214</v>
      </c>
      <c r="AM350" s="13">
        <f t="shared" si="965"/>
        <v>1.5</v>
      </c>
      <c r="AN350" s="12">
        <f t="shared" ca="1" si="957"/>
        <v>0.40613804007154269</v>
      </c>
      <c r="AO350" s="14">
        <f t="shared" ca="1" si="958"/>
        <v>0.60920706010731407</v>
      </c>
      <c r="AP350" s="13">
        <f t="shared" ref="AP350:AQ350" ca="1" si="973">SUM(T341)</f>
        <v>161.33333333333334</v>
      </c>
      <c r="AQ350" s="13">
        <f t="shared" ca="1" si="973"/>
        <v>6.7222222222222223</v>
      </c>
      <c r="AR350" s="9">
        <f t="shared" ca="1" si="960"/>
        <v>121.33333333333333</v>
      </c>
      <c r="AS350" s="76"/>
      <c r="AT350" s="76"/>
    </row>
    <row r="351" spans="1:46" ht="15.75" customHeight="1" x14ac:dyDescent="0.25">
      <c r="A351" s="110" t="s">
        <v>45</v>
      </c>
      <c r="B351" s="76"/>
      <c r="C351" s="76"/>
      <c r="D351" s="75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24" t="s">
        <v>33</v>
      </c>
      <c r="Y351" s="24">
        <v>6</v>
      </c>
      <c r="Z351" s="24">
        <f t="shared" ref="Z351:AI351" si="974">SUM(Z345:Z350)</f>
        <v>168</v>
      </c>
      <c r="AA351" s="25">
        <f t="shared" ca="1" si="974"/>
        <v>165</v>
      </c>
      <c r="AB351" s="27">
        <f t="shared" ca="1" si="974"/>
        <v>32304.122999999974</v>
      </c>
      <c r="AC351" s="25">
        <f t="shared" ca="1" si="974"/>
        <v>13289</v>
      </c>
      <c r="AD351" s="25">
        <f t="shared" ca="1" si="974"/>
        <v>232</v>
      </c>
      <c r="AE351" s="25">
        <f t="shared" ca="1" si="974"/>
        <v>13521</v>
      </c>
      <c r="AF351" s="25">
        <f t="shared" ca="1" si="974"/>
        <v>15867</v>
      </c>
      <c r="AG351" s="25">
        <f t="shared" ca="1" si="974"/>
        <v>791</v>
      </c>
      <c r="AH351" s="25">
        <f t="shared" ca="1" si="974"/>
        <v>16658</v>
      </c>
      <c r="AI351" s="25">
        <f t="shared" ca="1" si="974"/>
        <v>30179</v>
      </c>
      <c r="AJ351" s="27">
        <f t="shared" ca="1" si="955"/>
        <v>195.78256363636348</v>
      </c>
      <c r="AK351" s="24">
        <f>SUM(AK345:AK350)</f>
        <v>37031</v>
      </c>
      <c r="AL351" s="28">
        <f t="shared" ca="1" si="956"/>
        <v>0.81496583943182743</v>
      </c>
      <c r="AM351" s="29">
        <v>1.5</v>
      </c>
      <c r="AN351" s="28">
        <f t="shared" ca="1" si="957"/>
        <v>0.62281007700884961</v>
      </c>
      <c r="AO351" s="30">
        <f t="shared" ca="1" si="958"/>
        <v>0.93421511551327441</v>
      </c>
      <c r="AP351" s="29">
        <f ca="1">SUM(AP345:AP350)</f>
        <v>1352.3742434266878</v>
      </c>
      <c r="AQ351" s="29">
        <f ca="1">AP351/AA351</f>
        <v>8.1962075359193207</v>
      </c>
      <c r="AR351" s="25">
        <f t="shared" ca="1" si="960"/>
        <v>182.90303030303031</v>
      </c>
      <c r="AS351" s="76"/>
      <c r="AT351" s="76"/>
    </row>
    <row r="352" spans="1:46" ht="15.75" customHeight="1" x14ac:dyDescent="0.2">
      <c r="A352" s="110" t="s">
        <v>45</v>
      </c>
      <c r="B352" s="76"/>
      <c r="C352" s="76"/>
      <c r="D352" s="75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7" t="s">
        <v>1</v>
      </c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9"/>
      <c r="AS352" s="76"/>
      <c r="AT352" s="76"/>
    </row>
    <row r="353" spans="1:46" ht="15.75" customHeight="1" x14ac:dyDescent="0.2">
      <c r="A353" s="109">
        <v>46217</v>
      </c>
      <c r="B353" s="80" t="s">
        <v>2</v>
      </c>
      <c r="C353" s="80" t="s">
        <v>3</v>
      </c>
      <c r="D353" s="80" t="s">
        <v>4</v>
      </c>
      <c r="E353" s="80" t="s">
        <v>5</v>
      </c>
      <c r="F353" s="81" t="s">
        <v>6</v>
      </c>
      <c r="G353" s="80" t="s">
        <v>7</v>
      </c>
      <c r="H353" s="80" t="s">
        <v>8</v>
      </c>
      <c r="I353" s="80" t="s">
        <v>9</v>
      </c>
      <c r="J353" s="80" t="s">
        <v>10</v>
      </c>
      <c r="K353" s="80" t="s">
        <v>11</v>
      </c>
      <c r="L353" s="80" t="s">
        <v>12</v>
      </c>
      <c r="M353" s="80" t="s">
        <v>13</v>
      </c>
      <c r="N353" s="81" t="s">
        <v>14</v>
      </c>
      <c r="O353" s="80" t="s">
        <v>15</v>
      </c>
      <c r="P353" s="80" t="s">
        <v>16</v>
      </c>
      <c r="Q353" s="80" t="s">
        <v>17</v>
      </c>
      <c r="R353" s="80" t="s">
        <v>18</v>
      </c>
      <c r="S353" s="106" t="s">
        <v>19</v>
      </c>
      <c r="T353" s="107" t="s">
        <v>20</v>
      </c>
      <c r="U353" s="107" t="s">
        <v>21</v>
      </c>
      <c r="V353" s="105" t="s">
        <v>22</v>
      </c>
      <c r="W353" s="76"/>
      <c r="X353" s="1" t="s">
        <v>2</v>
      </c>
      <c r="Y353" s="1" t="s">
        <v>3</v>
      </c>
      <c r="Z353" s="1" t="s">
        <v>4</v>
      </c>
      <c r="AA353" s="1" t="s">
        <v>5</v>
      </c>
      <c r="AB353" s="2" t="s">
        <v>6</v>
      </c>
      <c r="AC353" s="1" t="s">
        <v>7</v>
      </c>
      <c r="AD353" s="1" t="s">
        <v>8</v>
      </c>
      <c r="AE353" s="1" t="s">
        <v>9</v>
      </c>
      <c r="AF353" s="1" t="s">
        <v>10</v>
      </c>
      <c r="AG353" s="1" t="s">
        <v>11</v>
      </c>
      <c r="AH353" s="1" t="s">
        <v>12</v>
      </c>
      <c r="AI353" s="1" t="s">
        <v>13</v>
      </c>
      <c r="AJ353" s="2" t="s">
        <v>14</v>
      </c>
      <c r="AK353" s="1" t="s">
        <v>15</v>
      </c>
      <c r="AL353" s="1" t="s">
        <v>16</v>
      </c>
      <c r="AM353" s="3" t="s">
        <v>17</v>
      </c>
      <c r="AN353" s="4" t="s">
        <v>18</v>
      </c>
      <c r="AO353" s="5" t="s">
        <v>19</v>
      </c>
      <c r="AP353" s="6" t="s">
        <v>20</v>
      </c>
      <c r="AQ353" s="6" t="s">
        <v>21</v>
      </c>
      <c r="AR353" s="7" t="s">
        <v>22</v>
      </c>
      <c r="AS353" s="76"/>
      <c r="AT353" s="76"/>
    </row>
    <row r="354" spans="1:46" ht="15.75" customHeight="1" x14ac:dyDescent="0.2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6"/>
      <c r="X354" s="8">
        <v>1</v>
      </c>
      <c r="Y354" s="8" t="s">
        <v>23</v>
      </c>
      <c r="Z354" s="8">
        <f t="shared" ref="Z354:AI354" si="975">SUM(D362)</f>
        <v>35</v>
      </c>
      <c r="AA354" s="9">
        <f t="shared" ca="1" si="975"/>
        <v>35</v>
      </c>
      <c r="AB354" s="10">
        <f t="shared" ca="1" si="975"/>
        <v>6815.4799999999896</v>
      </c>
      <c r="AC354" s="9">
        <f t="shared" ca="1" si="975"/>
        <v>1862</v>
      </c>
      <c r="AD354" s="9">
        <f t="shared" ca="1" si="975"/>
        <v>0</v>
      </c>
      <c r="AE354" s="9">
        <f t="shared" ca="1" si="975"/>
        <v>1862</v>
      </c>
      <c r="AF354" s="9">
        <f t="shared" ca="1" si="975"/>
        <v>3349</v>
      </c>
      <c r="AG354" s="9">
        <f t="shared" ca="1" si="975"/>
        <v>0</v>
      </c>
      <c r="AH354" s="9">
        <f t="shared" ca="1" si="975"/>
        <v>3349</v>
      </c>
      <c r="AI354" s="9">
        <f t="shared" ca="1" si="975"/>
        <v>5211</v>
      </c>
      <c r="AJ354" s="11">
        <f t="shared" ref="AJ354:AJ356" ca="1" si="976">AB354/AA354</f>
        <v>194.7279999999997</v>
      </c>
      <c r="AK354" s="8">
        <f>SUM(O362)</f>
        <v>6853</v>
      </c>
      <c r="AL354" s="12">
        <f t="shared" ref="AL354:AL360" ca="1" si="977">AI354/AK354</f>
        <v>0.76039690646432223</v>
      </c>
      <c r="AM354" s="13">
        <f t="shared" ref="AM354:AM356" si="978">SUM(Q362)</f>
        <v>1.5</v>
      </c>
      <c r="AN354" s="12">
        <f t="shared" ref="AN354:AN360" ca="1" si="979">AO354/AM354</f>
        <v>0.50972198583225325</v>
      </c>
      <c r="AO354" s="14">
        <f t="shared" ref="AO354:AO360" ca="1" si="980">AI354/AB354</f>
        <v>0.76458297874837988</v>
      </c>
      <c r="AP354" s="13">
        <f t="shared" ref="AP354:AQ354" ca="1" si="981">SUM(T362)</f>
        <v>201.99999999999969</v>
      </c>
      <c r="AQ354" s="13">
        <f t="shared" ca="1" si="981"/>
        <v>5.7714285714285625</v>
      </c>
      <c r="AR354" s="9">
        <f t="shared" ref="AR354:AR360" ca="1" si="982">AI354/AA354</f>
        <v>148.88571428571427</v>
      </c>
      <c r="AS354" s="76"/>
      <c r="AT354" s="76"/>
    </row>
    <row r="355" spans="1:46" ht="15.75" customHeight="1" x14ac:dyDescent="0.2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6"/>
      <c r="X355" s="8">
        <v>2</v>
      </c>
      <c r="Y355" s="8" t="s">
        <v>24</v>
      </c>
      <c r="Z355" s="8">
        <f t="shared" ref="Z355:AI355" si="983">SUM(D363)</f>
        <v>44</v>
      </c>
      <c r="AA355" s="9">
        <f t="shared" ca="1" si="983"/>
        <v>42</v>
      </c>
      <c r="AB355" s="10">
        <f t="shared" ca="1" si="983"/>
        <v>8312.54899999999</v>
      </c>
      <c r="AC355" s="9">
        <f t="shared" ca="1" si="983"/>
        <v>1247</v>
      </c>
      <c r="AD355" s="9">
        <f t="shared" ca="1" si="983"/>
        <v>0</v>
      </c>
      <c r="AE355" s="9">
        <f t="shared" ca="1" si="983"/>
        <v>1247</v>
      </c>
      <c r="AF355" s="9">
        <f t="shared" ca="1" si="983"/>
        <v>1306</v>
      </c>
      <c r="AG355" s="9">
        <f t="shared" ca="1" si="983"/>
        <v>0</v>
      </c>
      <c r="AH355" s="9">
        <f t="shared" ca="1" si="983"/>
        <v>1306</v>
      </c>
      <c r="AI355" s="9">
        <f t="shared" ca="1" si="983"/>
        <v>2553</v>
      </c>
      <c r="AJ355" s="11">
        <f t="shared" ca="1" si="976"/>
        <v>197.91783333333311</v>
      </c>
      <c r="AK355" s="8">
        <v>1580</v>
      </c>
      <c r="AL355" s="15">
        <f t="shared" ca="1" si="977"/>
        <v>1.6158227848101265</v>
      </c>
      <c r="AM355" s="13">
        <f t="shared" si="978"/>
        <v>1.5</v>
      </c>
      <c r="AN355" s="12">
        <f t="shared" ca="1" si="979"/>
        <v>0.20475067274791428</v>
      </c>
      <c r="AO355" s="14">
        <f t="shared" ca="1" si="980"/>
        <v>0.30712600912187143</v>
      </c>
      <c r="AP355" s="13">
        <f t="shared" ref="AP355:AQ355" ca="1" si="984">SUM(T363)</f>
        <v>310.11188211154598</v>
      </c>
      <c r="AQ355" s="13">
        <f t="shared" ca="1" si="984"/>
        <v>7.3836162407510946</v>
      </c>
      <c r="AR355" s="9">
        <f t="shared" ca="1" si="982"/>
        <v>60.785714285714285</v>
      </c>
      <c r="AS355" s="76"/>
      <c r="AT355" s="76"/>
    </row>
    <row r="356" spans="1:46" ht="15.75" customHeight="1" x14ac:dyDescent="0.2">
      <c r="A356" s="70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6"/>
      <c r="X356" s="8">
        <v>3</v>
      </c>
      <c r="Y356" s="8" t="s">
        <v>25</v>
      </c>
      <c r="Z356" s="8">
        <f t="shared" ref="Z356:AI356" si="985">SUM(D364)</f>
        <v>32</v>
      </c>
      <c r="AA356" s="9">
        <f t="shared" ca="1" si="985"/>
        <v>32</v>
      </c>
      <c r="AB356" s="10">
        <f t="shared" ca="1" si="985"/>
        <v>6046.0919999999996</v>
      </c>
      <c r="AC356" s="9">
        <f t="shared" ca="1" si="985"/>
        <v>2394</v>
      </c>
      <c r="AD356" s="9">
        <f t="shared" ca="1" si="985"/>
        <v>515</v>
      </c>
      <c r="AE356" s="9">
        <f t="shared" ca="1" si="985"/>
        <v>2909</v>
      </c>
      <c r="AF356" s="9">
        <f t="shared" ca="1" si="985"/>
        <v>2821</v>
      </c>
      <c r="AG356" s="9">
        <f t="shared" ca="1" si="985"/>
        <v>541</v>
      </c>
      <c r="AH356" s="9">
        <f t="shared" ca="1" si="985"/>
        <v>3362</v>
      </c>
      <c r="AI356" s="9">
        <f t="shared" ca="1" si="985"/>
        <v>6271</v>
      </c>
      <c r="AJ356" s="11">
        <f t="shared" ca="1" si="976"/>
        <v>188.94037499999999</v>
      </c>
      <c r="AK356" s="8">
        <f>SUM(O364)</f>
        <v>6622</v>
      </c>
      <c r="AL356" s="12">
        <f t="shared" ca="1" si="977"/>
        <v>0.94699486559951673</v>
      </c>
      <c r="AM356" s="13">
        <f t="shared" si="978"/>
        <v>1.5</v>
      </c>
      <c r="AN356" s="12">
        <f t="shared" ca="1" si="979"/>
        <v>0.69146593645393872</v>
      </c>
      <c r="AO356" s="14">
        <f t="shared" ca="1" si="980"/>
        <v>1.037198904680908</v>
      </c>
      <c r="AP356" s="13">
        <f t="shared" ref="AP356:AQ356" ca="1" si="986">SUM(T364)</f>
        <v>253.61124161073823</v>
      </c>
      <c r="AQ356" s="13">
        <f t="shared" ca="1" si="986"/>
        <v>7.9253513003355698</v>
      </c>
      <c r="AR356" s="9">
        <f t="shared" ca="1" si="982"/>
        <v>195.96875</v>
      </c>
      <c r="AS356" s="76"/>
      <c r="AT356" s="76"/>
    </row>
    <row r="357" spans="1:46" ht="15.75" customHeight="1" x14ac:dyDescent="0.25">
      <c r="A357" s="70"/>
      <c r="B357" s="16">
        <v>1</v>
      </c>
      <c r="C357" s="16" t="s">
        <v>26</v>
      </c>
      <c r="D357" s="17">
        <v>20</v>
      </c>
      <c r="E357" s="18">
        <f ca="1">IFERROR(__xludf.DUMMYFUNCTION("COUNT(IMPORTRANGE(""https://docs.google.com/spreadsheets/d/1z0o91thOT38lgejTE_Bd2p3v_9VCDdQRkUsMIVqpQCk/edit"",""14!d2:d21""))"),20)</f>
        <v>20</v>
      </c>
      <c r="F357" s="19">
        <f ca="1">IFERROR(__xludf.DUMMYFUNCTION("SUM(IMPORTRANGE(""https://docs.google.com/spreadsheets/d/1z0o91thOT38lgejTE_Bd2p3v_9VCDdQRkUsMIVqpQCk/edit"",""14!Q2:Q21""))"),3878.247)</f>
        <v>3878.2469999999998</v>
      </c>
      <c r="G357" s="18">
        <f ca="1">IFERROR(__xludf.DUMMYFUNCTION("IMPORTRANGE(""https://docs.google.com/spreadsheets/d/1z0o91thOT38lgejTE_Bd2p3v_9VCDdQRkUsMIVqpQCk/edit"",""14!e28"")"),2071)</f>
        <v>2071</v>
      </c>
      <c r="H357" s="18">
        <f ca="1">IFERROR(__xludf.DUMMYFUNCTION("IMPORTRANGE(""https://docs.google.com/spreadsheets/d/1z0o91thOT38lgejTE_Bd2p3v_9VCDdQRkUsMIVqpQCk/edit"",""14!e29"")"),0)</f>
        <v>0</v>
      </c>
      <c r="I357" s="18">
        <f t="shared" ref="I357:I374" ca="1" si="987">SUM(G357:H357)</f>
        <v>2071</v>
      </c>
      <c r="J357" s="18">
        <f ca="1">IFERROR(__xludf.DUMMYFUNCTION("IMPORTRANGE(""https://docs.google.com/spreadsheets/d/1z0o91thOT38lgejTE_Bd2p3v_9VCDdQRkUsMIVqpQCk/edit"",""14!e32"")"),3050)</f>
        <v>3050</v>
      </c>
      <c r="K357" s="18">
        <f ca="1">IFERROR(__xludf.DUMMYFUNCTION("IMPORTRANGE(""https://docs.google.com/spreadsheets/d/1z0o91thOT38lgejTE_Bd2p3v_9VCDdQRkUsMIVqpQCk/edit"",""14!e33"")"),0)</f>
        <v>0</v>
      </c>
      <c r="L357" s="18">
        <f t="shared" ref="L357:L363" ca="1" si="988">SUM(J357:K357)</f>
        <v>3050</v>
      </c>
      <c r="M357" s="18">
        <f t="shared" ref="M357:M374" ca="1" si="989">SUM(I357+L357)</f>
        <v>5121</v>
      </c>
      <c r="N357" s="19">
        <f t="shared" ref="N357:N375" ca="1" si="990">F357/E357</f>
        <v>193.91235</v>
      </c>
      <c r="O357" s="16">
        <v>5161</v>
      </c>
      <c r="P357" s="20">
        <f t="shared" ref="P357:P375" ca="1" si="991">M357/O357</f>
        <v>0.99224956403797715</v>
      </c>
      <c r="Q357" s="21">
        <v>1.5</v>
      </c>
      <c r="R357" s="20">
        <f t="shared" ref="R357:R375" ca="1" si="992">S357/Q357</f>
        <v>0.88029462795948799</v>
      </c>
      <c r="S357" s="22">
        <f t="shared" ref="S357:S375" ca="1" si="993">M357/F357</f>
        <v>1.3204419419392319</v>
      </c>
      <c r="T357" s="21">
        <f ca="1">F357/14.415</f>
        <v>269.04245577523415</v>
      </c>
      <c r="U357" s="21">
        <f t="shared" ref="U357:U375" ca="1" si="994">T357/E357</f>
        <v>13.452122788761708</v>
      </c>
      <c r="V357" s="18">
        <f t="shared" ref="V357:V375" ca="1" si="995">M357/E357</f>
        <v>256.05</v>
      </c>
      <c r="W357" s="76"/>
      <c r="X357" s="8">
        <v>4</v>
      </c>
      <c r="Y357" s="8" t="s">
        <v>27</v>
      </c>
      <c r="Z357" s="8">
        <f t="shared" ref="Z357:AK357" si="996">SUM(D370)</f>
        <v>30</v>
      </c>
      <c r="AA357" s="9">
        <f t="shared" ca="1" si="996"/>
        <v>29</v>
      </c>
      <c r="AB357" s="10">
        <f t="shared" ca="1" si="996"/>
        <v>5345.8499999999904</v>
      </c>
      <c r="AC357" s="9">
        <f t="shared" ca="1" si="996"/>
        <v>2973</v>
      </c>
      <c r="AD357" s="9">
        <f t="shared" ca="1" si="996"/>
        <v>0</v>
      </c>
      <c r="AE357" s="9">
        <f t="shared" ca="1" si="996"/>
        <v>2973</v>
      </c>
      <c r="AF357" s="9">
        <f t="shared" ca="1" si="996"/>
        <v>2407</v>
      </c>
      <c r="AG357" s="9">
        <f t="shared" ca="1" si="996"/>
        <v>0</v>
      </c>
      <c r="AH357" s="9">
        <f t="shared" ca="1" si="996"/>
        <v>2407</v>
      </c>
      <c r="AI357" s="9">
        <f t="shared" ca="1" si="996"/>
        <v>5380</v>
      </c>
      <c r="AJ357" s="11">
        <f t="shared" ca="1" si="996"/>
        <v>184.33965517241347</v>
      </c>
      <c r="AK357" s="8">
        <f t="shared" si="996"/>
        <v>8101</v>
      </c>
      <c r="AL357" s="12">
        <f t="shared" ca="1" si="977"/>
        <v>0.66411554129119865</v>
      </c>
      <c r="AM357" s="13">
        <f>SUM(Q370)</f>
        <v>1.5</v>
      </c>
      <c r="AN357" s="12">
        <f t="shared" ca="1" si="979"/>
        <v>0.67092542190047855</v>
      </c>
      <c r="AO357" s="14">
        <f t="shared" ca="1" si="980"/>
        <v>1.0063881328507178</v>
      </c>
      <c r="AP357" s="13">
        <f t="shared" ref="AP357:AQ357" ca="1" si="997">SUM(T370)</f>
        <v>267.49311983987945</v>
      </c>
      <c r="AQ357" s="13">
        <f t="shared" ca="1" si="997"/>
        <v>9.2239006841337741</v>
      </c>
      <c r="AR357" s="9">
        <f t="shared" ca="1" si="982"/>
        <v>185.51724137931035</v>
      </c>
      <c r="AS357" s="76"/>
      <c r="AT357" s="76"/>
    </row>
    <row r="358" spans="1:46" ht="15.75" customHeight="1" x14ac:dyDescent="0.25">
      <c r="A358" s="70"/>
      <c r="B358" s="16">
        <v>2</v>
      </c>
      <c r="C358" s="16" t="s">
        <v>28</v>
      </c>
      <c r="D358" s="17">
        <v>33</v>
      </c>
      <c r="E358" s="18">
        <f ca="1">IFERROR(__xludf.DUMMYFUNCTION("COUNT(IMPORTRANGE(""https://docs.google.com/spreadsheets/d/10a85iNN0y9GF6ngQfF1JXGAzFk-T7ywH4-TZtQcOTaE/edit"",""14!d2:d34""))"),33)</f>
        <v>33</v>
      </c>
      <c r="F358" s="19">
        <f ca="1">IFERROR(__xludf.DUMMYFUNCTION("SUM(IMPORTRANGE(""https://docs.google.com/spreadsheets/d/10a85iNN0y9GF6ngQfF1JXGAzFk-T7ywH4-TZtQcOTaE/edit"",""14!Q2:Q34""))"),6497.936)</f>
        <v>6497.9359999999997</v>
      </c>
      <c r="G358" s="18">
        <f ca="1">IFERROR(__xludf.DUMMYFUNCTION("IMPORTRANGE(""https://docs.google.com/spreadsheets/d/10a85iNN0y9GF6ngQfF1JXGAzFk-T7ywH4-TZtQcOTaE/edit"",""14!e41"")"),2750)</f>
        <v>2750</v>
      </c>
      <c r="H358" s="18">
        <f ca="1">IFERROR(__xludf.DUMMYFUNCTION("IMPORTRANGE(""https://docs.google.com/spreadsheets/d/10a85iNN0y9GF6ngQfF1JXGAzFk-T7ywH4-TZtQcOTaE/edit"",""14!e42"")"),99)</f>
        <v>99</v>
      </c>
      <c r="I358" s="18">
        <f t="shared" ca="1" si="987"/>
        <v>2849</v>
      </c>
      <c r="J358" s="18">
        <f ca="1">IFERROR(__xludf.DUMMYFUNCTION("IMPORTRANGE(""https://docs.google.com/spreadsheets/d/10a85iNN0y9GF6ngQfF1JXGAzFk-T7ywH4-TZtQcOTaE/edit"",""14!e45"")"),3035)</f>
        <v>3035</v>
      </c>
      <c r="K358" s="18">
        <f ca="1">IFERROR(__xludf.DUMMYFUNCTION("IMPORTRANGE(""https://docs.google.com/spreadsheets/d/10a85iNN0y9GF6ngQfF1JXGAzFk-T7ywH4-TZtQcOTaE/edit"",""14!e46"")"),143)</f>
        <v>143</v>
      </c>
      <c r="L358" s="18">
        <f t="shared" ca="1" si="988"/>
        <v>3178</v>
      </c>
      <c r="M358" s="18">
        <f t="shared" ca="1" si="989"/>
        <v>6027</v>
      </c>
      <c r="N358" s="19">
        <f t="shared" ca="1" si="990"/>
        <v>196.9071515151515</v>
      </c>
      <c r="O358" s="16">
        <v>7315</v>
      </c>
      <c r="P358" s="20">
        <f t="shared" ca="1" si="991"/>
        <v>0.8239234449760765</v>
      </c>
      <c r="Q358" s="21">
        <v>1.5</v>
      </c>
      <c r="R358" s="20">
        <f t="shared" ca="1" si="992"/>
        <v>0.61835019612381537</v>
      </c>
      <c r="S358" s="22">
        <f t="shared" ca="1" si="993"/>
        <v>0.92752529418572305</v>
      </c>
      <c r="T358" s="21">
        <f ca="1">F358/30.897</f>
        <v>210.30960934718581</v>
      </c>
      <c r="U358" s="21">
        <f t="shared" ca="1" si="994"/>
        <v>6.3730184650662371</v>
      </c>
      <c r="V358" s="18">
        <f t="shared" ca="1" si="995"/>
        <v>182.63636363636363</v>
      </c>
      <c r="W358" s="76"/>
      <c r="X358" s="8">
        <v>5</v>
      </c>
      <c r="Y358" s="8" t="s">
        <v>29</v>
      </c>
      <c r="Z358" s="8">
        <f t="shared" ref="Z358:AI358" si="998">SUM(D373)</f>
        <v>30</v>
      </c>
      <c r="AA358" s="9">
        <f t="shared" ca="1" si="998"/>
        <v>28</v>
      </c>
      <c r="AB358" s="10">
        <f t="shared" ca="1" si="998"/>
        <v>5572.1319999999996</v>
      </c>
      <c r="AC358" s="9">
        <f t="shared" ca="1" si="998"/>
        <v>2895</v>
      </c>
      <c r="AD358" s="9">
        <f t="shared" ca="1" si="998"/>
        <v>0</v>
      </c>
      <c r="AE358" s="9">
        <f t="shared" ca="1" si="998"/>
        <v>2895</v>
      </c>
      <c r="AF358" s="9">
        <f t="shared" ca="1" si="998"/>
        <v>4023</v>
      </c>
      <c r="AG358" s="9">
        <f t="shared" ca="1" si="998"/>
        <v>0</v>
      </c>
      <c r="AH358" s="9">
        <f t="shared" ca="1" si="998"/>
        <v>4023</v>
      </c>
      <c r="AI358" s="9">
        <f t="shared" ca="1" si="998"/>
        <v>6918</v>
      </c>
      <c r="AJ358" s="11">
        <f t="shared" ref="AJ358:AJ360" ca="1" si="999">AB358/AA358</f>
        <v>199.00471428571427</v>
      </c>
      <c r="AK358" s="8">
        <f t="shared" ref="AK358:AK359" si="1000">SUM(O373)</f>
        <v>9201</v>
      </c>
      <c r="AL358" s="12">
        <f t="shared" ca="1" si="977"/>
        <v>0.7518747962178024</v>
      </c>
      <c r="AM358" s="13">
        <f t="shared" ref="AM358:AM359" si="1001">SUM(Q373)</f>
        <v>1.5</v>
      </c>
      <c r="AN358" s="12">
        <f t="shared" ca="1" si="979"/>
        <v>0.82769037057987871</v>
      </c>
      <c r="AO358" s="14">
        <f t="shared" ca="1" si="980"/>
        <v>1.241535555869818</v>
      </c>
      <c r="AP358" s="13">
        <f t="shared" ref="AP358:AQ358" ca="1" si="1002">SUM(T373)</f>
        <v>213.99999999999997</v>
      </c>
      <c r="AQ358" s="13">
        <f t="shared" ca="1" si="1002"/>
        <v>7.6428571428571415</v>
      </c>
      <c r="AR358" s="9">
        <f t="shared" ca="1" si="982"/>
        <v>247.07142857142858</v>
      </c>
      <c r="AS358" s="76"/>
      <c r="AT358" s="76"/>
    </row>
    <row r="359" spans="1:46" ht="15.75" customHeight="1" x14ac:dyDescent="0.25">
      <c r="A359" s="70"/>
      <c r="B359" s="16">
        <v>3</v>
      </c>
      <c r="C359" s="16" t="s">
        <v>30</v>
      </c>
      <c r="D359" s="17">
        <v>60</v>
      </c>
      <c r="E359" s="18">
        <f ca="1">IFERROR(__xludf.DUMMYFUNCTION("COUNT(IMPORTRANGE(""https://docs.google.com/spreadsheets/d/1WojVzHhpzodJL1e5UDHeu3A3u5MTSZwvxHu0BrwvL9w/edit"",""14!d2:d61""))"),57)</f>
        <v>57</v>
      </c>
      <c r="F359" s="23">
        <f ca="1">IFERROR(__xludf.DUMMYFUNCTION("SUM(IMPORTRANGE(""https://docs.google.com/spreadsheets/d/1WojVzHhpzodJL1e5UDHeu3A3u5MTSZwvxHu0BrwvL9w/edit"",""14!Q2:Q61""))"),11591.6769999999)</f>
        <v>11591.6769999999</v>
      </c>
      <c r="G359" s="18">
        <f ca="1">IFERROR(__xludf.DUMMYFUNCTION("IMPORTRANGE(""https://docs.google.com/spreadsheets/d/1WojVzHhpzodJL1e5UDHeu3A3u5MTSZwvxHu0BrwvL9w/edit"",""14!e68"")"),3706)</f>
        <v>3706</v>
      </c>
      <c r="H359" s="18">
        <f ca="1">IFERROR(__xludf.DUMMYFUNCTION("IMPORTRANGE(""https://docs.google.com/spreadsheets/d/1WojVzHhpzodJL1e5UDHeu3A3u5MTSZwvxHu0BrwvL9w/edit"",""14!e69"")"),50)</f>
        <v>50</v>
      </c>
      <c r="I359" s="18">
        <f t="shared" ca="1" si="987"/>
        <v>3756</v>
      </c>
      <c r="J359" s="18">
        <f ca="1">IFERROR(__xludf.DUMMYFUNCTION("IMPORTRANGE(""https://docs.google.com/spreadsheets/d/1WojVzHhpzodJL1e5UDHeu3A3u5MTSZwvxHu0BrwvL9w/edit"",""14!e72"")"),5295)</f>
        <v>5295</v>
      </c>
      <c r="K359" s="18">
        <f ca="1">IFERROR(__xludf.DUMMYFUNCTION("IMPORTRANGE(""https://docs.google.com/spreadsheets/d/1WojVzHhpzodJL1e5UDHeu3A3u5MTSZwvxHu0BrwvL9w/edit"",""14!e73"")"),62)</f>
        <v>62</v>
      </c>
      <c r="L359" s="18">
        <f t="shared" ca="1" si="988"/>
        <v>5357</v>
      </c>
      <c r="M359" s="18">
        <f t="shared" ca="1" si="989"/>
        <v>9113</v>
      </c>
      <c r="N359" s="19">
        <f t="shared" ca="1" si="990"/>
        <v>203.36275438596314</v>
      </c>
      <c r="O359" s="16">
        <v>11164</v>
      </c>
      <c r="P359" s="20">
        <f t="shared" ca="1" si="991"/>
        <v>0.81628448584736657</v>
      </c>
      <c r="Q359" s="21">
        <v>1.5</v>
      </c>
      <c r="R359" s="20">
        <f t="shared" ca="1" si="992"/>
        <v>0.52411168231597427</v>
      </c>
      <c r="S359" s="22">
        <f t="shared" ca="1" si="993"/>
        <v>0.78616752347396146</v>
      </c>
      <c r="T359" s="21">
        <f ca="1">F359/29.603</f>
        <v>391.57102320710396</v>
      </c>
      <c r="U359" s="21">
        <f t="shared" ca="1" si="994"/>
        <v>6.8696670738088415</v>
      </c>
      <c r="V359" s="18">
        <f t="shared" ca="1" si="995"/>
        <v>159.87719298245614</v>
      </c>
      <c r="W359" s="76"/>
      <c r="X359" s="8">
        <v>6</v>
      </c>
      <c r="Y359" s="8" t="s">
        <v>31</v>
      </c>
      <c r="Z359" s="8">
        <f t="shared" ref="Z359:AI359" si="1003">SUM(D374)</f>
        <v>15</v>
      </c>
      <c r="AA359" s="9">
        <f t="shared" ca="1" si="1003"/>
        <v>14</v>
      </c>
      <c r="AB359" s="11">
        <f t="shared" ca="1" si="1003"/>
        <v>2651.3649999999998</v>
      </c>
      <c r="AC359" s="9">
        <f t="shared" ca="1" si="1003"/>
        <v>737</v>
      </c>
      <c r="AD359" s="9">
        <f t="shared" ca="1" si="1003"/>
        <v>59</v>
      </c>
      <c r="AE359" s="9">
        <f t="shared" ca="1" si="1003"/>
        <v>796</v>
      </c>
      <c r="AF359" s="9">
        <f t="shared" ca="1" si="1003"/>
        <v>1167</v>
      </c>
      <c r="AG359" s="9">
        <f t="shared" ca="1" si="1003"/>
        <v>30</v>
      </c>
      <c r="AH359" s="9">
        <f t="shared" ca="1" si="1003"/>
        <v>1197</v>
      </c>
      <c r="AI359" s="9">
        <f t="shared" ca="1" si="1003"/>
        <v>1993</v>
      </c>
      <c r="AJ359" s="11">
        <f t="shared" ca="1" si="999"/>
        <v>189.38321428571427</v>
      </c>
      <c r="AK359" s="8">
        <f t="shared" si="1000"/>
        <v>2717</v>
      </c>
      <c r="AL359" s="12">
        <f t="shared" ca="1" si="977"/>
        <v>0.73352962826647039</v>
      </c>
      <c r="AM359" s="13">
        <f t="shared" si="1001"/>
        <v>1.5</v>
      </c>
      <c r="AN359" s="12">
        <f t="shared" ca="1" si="979"/>
        <v>0.50112552087949669</v>
      </c>
      <c r="AO359" s="14">
        <f t="shared" ca="1" si="980"/>
        <v>0.75168828131924503</v>
      </c>
      <c r="AP359" s="13">
        <f t="shared" ref="AP359:AQ359" ca="1" si="1004">SUM(T374)</f>
        <v>60.999999999999993</v>
      </c>
      <c r="AQ359" s="13">
        <f t="shared" ca="1" si="1004"/>
        <v>4.3571428571428568</v>
      </c>
      <c r="AR359" s="9">
        <f t="shared" ca="1" si="982"/>
        <v>142.35714285714286</v>
      </c>
      <c r="AS359" s="76"/>
      <c r="AT359" s="76"/>
    </row>
    <row r="360" spans="1:46" ht="15.75" customHeight="1" x14ac:dyDescent="0.25">
      <c r="A360" s="70"/>
      <c r="B360" s="16">
        <v>4</v>
      </c>
      <c r="C360" s="16" t="s">
        <v>32</v>
      </c>
      <c r="D360" s="17">
        <v>42</v>
      </c>
      <c r="E360" s="18">
        <f ca="1">IFERROR(__xludf.DUMMYFUNCTION("COUNT(IMPORTRANGE(""https://docs.google.com/spreadsheets/d/1vmCj5YcMSPHj1m64syDndQ6cqVL3yolcU03Y8KHmvdc/edit"",""14!d2:d43""))"),41)</f>
        <v>41</v>
      </c>
      <c r="F360" s="23">
        <f ca="1">IFERROR(__xludf.DUMMYFUNCTION("SUM(IMPORTRANGE(""https://docs.google.com/spreadsheets/d/1vmCj5YcMSPHj1m64syDndQ6cqVL3yolcU03Y8KHmvdc/edit"",""14!Q2:Q43""))"),8179.01399999999)</f>
        <v>8179.0139999999901</v>
      </c>
      <c r="G360" s="16">
        <f ca="1">IFERROR(__xludf.DUMMYFUNCTION("IMPORTRANGE(""https://docs.google.com/spreadsheets/d/1vmCj5YcMSPHj1m64syDndQ6cqVL3yolcU03Y8KHmvdc/edit"",""14!e50"")"),4663)</f>
        <v>4663</v>
      </c>
      <c r="H360" s="16">
        <f ca="1">IFERROR(__xludf.DUMMYFUNCTION("IMPORTRANGE(""https://docs.google.com/spreadsheets/d/1vmCj5YcMSPHj1m64syDndQ6cqVL3yolcU03Y8KHmvdc/edit"",""14!e51"")"),170)</f>
        <v>170</v>
      </c>
      <c r="I360" s="18">
        <f t="shared" ca="1" si="987"/>
        <v>4833</v>
      </c>
      <c r="J360" s="16">
        <f ca="1">IFERROR(__xludf.DUMMYFUNCTION("IMPORTRANGE(""https://docs.google.com/spreadsheets/d/1vmCj5YcMSPHj1m64syDndQ6cqVL3yolcU03Y8KHmvdc/edit"",""14!e54"")"),5127)</f>
        <v>5127</v>
      </c>
      <c r="K360" s="16">
        <f ca="1">IFERROR(__xludf.DUMMYFUNCTION("IMPORTRANGE(""https://docs.google.com/spreadsheets/d/1vmCj5YcMSPHj1m64syDndQ6cqVL3yolcU03Y8KHmvdc/edit"",""14!e55"")"),343)</f>
        <v>343</v>
      </c>
      <c r="L360" s="18">
        <f t="shared" ca="1" si="988"/>
        <v>5470</v>
      </c>
      <c r="M360" s="18">
        <f t="shared" ca="1" si="989"/>
        <v>10303</v>
      </c>
      <c r="N360" s="19">
        <f t="shared" ca="1" si="990"/>
        <v>199.48814634146316</v>
      </c>
      <c r="O360" s="16">
        <v>13817</v>
      </c>
      <c r="P360" s="20">
        <f t="shared" ca="1" si="991"/>
        <v>0.74567561699355867</v>
      </c>
      <c r="Q360" s="21">
        <v>1.5</v>
      </c>
      <c r="R360" s="20">
        <f t="shared" ca="1" si="992"/>
        <v>0.83979152825348813</v>
      </c>
      <c r="S360" s="22">
        <f t="shared" ca="1" si="993"/>
        <v>1.2596872923802322</v>
      </c>
      <c r="T360" s="21">
        <f ca="1">F360/25.089</f>
        <v>325.9999999999996</v>
      </c>
      <c r="U360" s="21">
        <f t="shared" ca="1" si="994"/>
        <v>7.9512195121951121</v>
      </c>
      <c r="V360" s="18">
        <f t="shared" ca="1" si="995"/>
        <v>251.29268292682926</v>
      </c>
      <c r="W360" s="76"/>
      <c r="X360" s="24" t="s">
        <v>33</v>
      </c>
      <c r="Y360" s="24">
        <v>6</v>
      </c>
      <c r="Z360" s="24">
        <f t="shared" ref="Z360:AI360" si="1005">SUM(Z354:Z359)</f>
        <v>186</v>
      </c>
      <c r="AA360" s="25">
        <f t="shared" ca="1" si="1005"/>
        <v>180</v>
      </c>
      <c r="AB360" s="26">
        <f t="shared" ca="1" si="1005"/>
        <v>34743.467999999972</v>
      </c>
      <c r="AC360" s="25">
        <f t="shared" ca="1" si="1005"/>
        <v>12108</v>
      </c>
      <c r="AD360" s="25">
        <f t="shared" ca="1" si="1005"/>
        <v>574</v>
      </c>
      <c r="AE360" s="25">
        <f t="shared" ca="1" si="1005"/>
        <v>12682</v>
      </c>
      <c r="AF360" s="25">
        <f t="shared" ca="1" si="1005"/>
        <v>15073</v>
      </c>
      <c r="AG360" s="25">
        <f t="shared" ca="1" si="1005"/>
        <v>571</v>
      </c>
      <c r="AH360" s="25">
        <f t="shared" ca="1" si="1005"/>
        <v>15644</v>
      </c>
      <c r="AI360" s="25">
        <f t="shared" ca="1" si="1005"/>
        <v>28326</v>
      </c>
      <c r="AJ360" s="27">
        <f t="shared" ca="1" si="999"/>
        <v>193.01926666666651</v>
      </c>
      <c r="AK360" s="24">
        <f>SUM(AK354:AK359)</f>
        <v>35074</v>
      </c>
      <c r="AL360" s="28">
        <f t="shared" ca="1" si="977"/>
        <v>0.80760677424873129</v>
      </c>
      <c r="AM360" s="29">
        <v>1.5</v>
      </c>
      <c r="AN360" s="28">
        <f t="shared" ca="1" si="979"/>
        <v>0.54352662779662686</v>
      </c>
      <c r="AO360" s="30">
        <f t="shared" ca="1" si="980"/>
        <v>0.81528994169494029</v>
      </c>
      <c r="AP360" s="29">
        <f ca="1">SUM(AP354:AP359)</f>
        <v>1308.2162435621635</v>
      </c>
      <c r="AQ360" s="29">
        <f ca="1">AP360/AA360</f>
        <v>7.2678680197897974</v>
      </c>
      <c r="AR360" s="25">
        <f t="shared" ca="1" si="982"/>
        <v>157.36666666666667</v>
      </c>
      <c r="AS360" s="76"/>
      <c r="AT360" s="76"/>
    </row>
    <row r="361" spans="1:46" ht="15.75" customHeight="1" x14ac:dyDescent="0.25">
      <c r="A361" s="70"/>
      <c r="B361" s="16">
        <v>5</v>
      </c>
      <c r="C361" s="16" t="s">
        <v>34</v>
      </c>
      <c r="D361" s="17">
        <v>40</v>
      </c>
      <c r="E361" s="18">
        <f ca="1">IFERROR(__xludf.DUMMYFUNCTION("COUNT(IMPORTRANGE(""https://docs.google.com/spreadsheets/d/14_Y-fpuq1wcec3DlT_1PBYekOC0YblQMrWVfO12YO3k/edit"",""14!d2:d41""))"),39)</f>
        <v>39</v>
      </c>
      <c r="F361" s="23">
        <f ca="1">IFERROR(__xludf.DUMMYFUNCTION("SUM(IMPORTRANGE(""https://docs.google.com/spreadsheets/d/14_Y-fpuq1wcec3DlT_1PBYekOC0YblQMrWVfO12YO3k/edit"",""14!Q2:Q41""))"),7765.671)</f>
        <v>7765.6710000000003</v>
      </c>
      <c r="G361" s="18">
        <f ca="1">IFERROR(__xludf.DUMMYFUNCTION("IMPORTRANGE(""https://docs.google.com/spreadsheets/d/14_Y-fpuq1wcec3DlT_1PBYekOC0YblQMrWVfO12YO3k/edit"",""14!e48"")"),2928)</f>
        <v>2928</v>
      </c>
      <c r="H361" s="18">
        <f ca="1">IFERROR(__xludf.DUMMYFUNCTION("IMPORTRANGE(""https://docs.google.com/spreadsheets/d/14_Y-fpuq1wcec3DlT_1PBYekOC0YblQMrWVfO12YO3k/edit"",""14!e49"")"),0)</f>
        <v>0</v>
      </c>
      <c r="I361" s="18">
        <f t="shared" ca="1" si="987"/>
        <v>2928</v>
      </c>
      <c r="J361" s="18">
        <f ca="1">IFERROR(__xludf.DUMMYFUNCTION("IMPORTRANGE(""https://docs.google.com/spreadsheets/d/14_Y-fpuq1wcec3DlT_1PBYekOC0YblQMrWVfO12YO3k/edit"",""14!e52"")"),3346)</f>
        <v>3346</v>
      </c>
      <c r="K361" s="18">
        <f ca="1">IFERROR(__xludf.DUMMYFUNCTION("IMPORTRANGE(""https://docs.google.com/spreadsheets/d/14_Y-fpuq1wcec3DlT_1PBYekOC0YblQMrWVfO12YO3k/edit"",""14!e53"")"),0)</f>
        <v>0</v>
      </c>
      <c r="L361" s="18">
        <f t="shared" ca="1" si="988"/>
        <v>3346</v>
      </c>
      <c r="M361" s="18">
        <f t="shared" ca="1" si="989"/>
        <v>6274</v>
      </c>
      <c r="N361" s="19">
        <f t="shared" ca="1" si="990"/>
        <v>199.11976923076924</v>
      </c>
      <c r="O361" s="16">
        <v>9354</v>
      </c>
      <c r="P361" s="20">
        <f t="shared" ca="1" si="991"/>
        <v>0.67072909985033136</v>
      </c>
      <c r="Q361" s="21">
        <v>1.5</v>
      </c>
      <c r="R361" s="20">
        <f t="shared" ca="1" si="992"/>
        <v>0.53860982092425325</v>
      </c>
      <c r="S361" s="22">
        <f t="shared" ca="1" si="993"/>
        <v>0.80791473138637981</v>
      </c>
      <c r="T361" s="21">
        <f ca="1">F361/30.713</f>
        <v>252.8463842672484</v>
      </c>
      <c r="U361" s="21">
        <f t="shared" ca="1" si="994"/>
        <v>6.4832406222371386</v>
      </c>
      <c r="V361" s="18">
        <f t="shared" ca="1" si="995"/>
        <v>160.87179487179486</v>
      </c>
      <c r="W361" s="76"/>
      <c r="X361" s="100" t="s">
        <v>35</v>
      </c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9"/>
      <c r="AS361" s="76"/>
      <c r="AT361" s="76"/>
    </row>
    <row r="362" spans="1:46" ht="15.75" customHeight="1" x14ac:dyDescent="0.25">
      <c r="A362" s="70"/>
      <c r="B362" s="16">
        <v>6</v>
      </c>
      <c r="C362" s="16" t="s">
        <v>23</v>
      </c>
      <c r="D362" s="17">
        <v>35</v>
      </c>
      <c r="E362" s="18">
        <f ca="1">IFERROR(__xludf.DUMMYFUNCTION("COUNT(IMPORTRANGE(""https://docs.google.com/spreadsheets/d/1lJqjdj05V4LOXuBOiTdE65GV4ZITyx1cMLcDdcuoUnE/edit"",""14!d2:d36""))"),35)</f>
        <v>35</v>
      </c>
      <c r="F362" s="23">
        <f ca="1">IFERROR(__xludf.DUMMYFUNCTION("SUM(IMPORTRANGE(""https://docs.google.com/spreadsheets/d/1lJqjdj05V4LOXuBOiTdE65GV4ZITyx1cMLcDdcuoUnE/edit"",""14!Q2:Q36""))"),6815.47999999999)</f>
        <v>6815.4799999999896</v>
      </c>
      <c r="G362" s="18">
        <f ca="1">IFERROR(__xludf.DUMMYFUNCTION("IMPORTRANGE(""https://docs.google.com/spreadsheets/d/1lJqjdj05V4LOXuBOiTdE65GV4ZITyx1cMLcDdcuoUnE/edit"",""14!e43"")"),1862)</f>
        <v>1862</v>
      </c>
      <c r="H362" s="18">
        <f ca="1">IFERROR(__xludf.DUMMYFUNCTION("IMPORTRANGE(""https://docs.google.com/spreadsheets/d/1lJqjdj05V4LOXuBOiTdE65GV4ZITyx1cMLcDdcuoUnE/edit"",""14!e44"")"),0)</f>
        <v>0</v>
      </c>
      <c r="I362" s="18">
        <f t="shared" ca="1" si="987"/>
        <v>1862</v>
      </c>
      <c r="J362" s="18">
        <f ca="1">IFERROR(__xludf.DUMMYFUNCTION("IMPORTRANGE(""https://docs.google.com/spreadsheets/d/1lJqjdj05V4LOXuBOiTdE65GV4ZITyx1cMLcDdcuoUnE/edit"",""14!e47"")"),3349)</f>
        <v>3349</v>
      </c>
      <c r="K362" s="18">
        <f ca="1">IFERROR(__xludf.DUMMYFUNCTION("IMPORTRANGE(""https://docs.google.com/spreadsheets/d/1lJqjdj05V4LOXuBOiTdE65GV4ZITyx1cMLcDdcuoUnE/edit"",""14!e48"")"),0)</f>
        <v>0</v>
      </c>
      <c r="L362" s="18">
        <f t="shared" ca="1" si="988"/>
        <v>3349</v>
      </c>
      <c r="M362" s="18">
        <f t="shared" ca="1" si="989"/>
        <v>5211</v>
      </c>
      <c r="N362" s="19">
        <f t="shared" ca="1" si="990"/>
        <v>194.7279999999997</v>
      </c>
      <c r="O362" s="16">
        <v>6853</v>
      </c>
      <c r="P362" s="20">
        <f t="shared" ca="1" si="991"/>
        <v>0.76039690646432223</v>
      </c>
      <c r="Q362" s="21">
        <v>1.5</v>
      </c>
      <c r="R362" s="20">
        <f t="shared" ca="1" si="992"/>
        <v>0.50972198583225325</v>
      </c>
      <c r="S362" s="22">
        <f t="shared" ca="1" si="993"/>
        <v>0.76458297874837988</v>
      </c>
      <c r="T362" s="21">
        <f ca="1">F362/33.74</f>
        <v>201.99999999999969</v>
      </c>
      <c r="U362" s="21">
        <f t="shared" ca="1" si="994"/>
        <v>5.7714285714285625</v>
      </c>
      <c r="V362" s="18">
        <f t="shared" ca="1" si="995"/>
        <v>148.88571428571427</v>
      </c>
      <c r="W362" s="76"/>
      <c r="X362" s="1" t="s">
        <v>2</v>
      </c>
      <c r="Y362" s="1" t="s">
        <v>3</v>
      </c>
      <c r="Z362" s="1" t="s">
        <v>4</v>
      </c>
      <c r="AA362" s="1" t="s">
        <v>5</v>
      </c>
      <c r="AB362" s="2" t="s">
        <v>6</v>
      </c>
      <c r="AC362" s="1" t="s">
        <v>7</v>
      </c>
      <c r="AD362" s="1" t="s">
        <v>8</v>
      </c>
      <c r="AE362" s="1" t="s">
        <v>9</v>
      </c>
      <c r="AF362" s="1" t="s">
        <v>10</v>
      </c>
      <c r="AG362" s="1" t="s">
        <v>11</v>
      </c>
      <c r="AH362" s="1" t="s">
        <v>12</v>
      </c>
      <c r="AI362" s="1" t="s">
        <v>13</v>
      </c>
      <c r="AJ362" s="2" t="s">
        <v>14</v>
      </c>
      <c r="AK362" s="1" t="s">
        <v>15</v>
      </c>
      <c r="AL362" s="1" t="s">
        <v>16</v>
      </c>
      <c r="AM362" s="3" t="s">
        <v>17</v>
      </c>
      <c r="AN362" s="4" t="s">
        <v>18</v>
      </c>
      <c r="AO362" s="5" t="s">
        <v>19</v>
      </c>
      <c r="AP362" s="6" t="s">
        <v>20</v>
      </c>
      <c r="AQ362" s="6" t="s">
        <v>21</v>
      </c>
      <c r="AR362" s="7" t="s">
        <v>22</v>
      </c>
      <c r="AS362" s="76"/>
      <c r="AT362" s="76"/>
    </row>
    <row r="363" spans="1:46" ht="15.75" customHeight="1" x14ac:dyDescent="0.25">
      <c r="A363" s="70"/>
      <c r="B363" s="16">
        <v>7</v>
      </c>
      <c r="C363" s="16" t="s">
        <v>24</v>
      </c>
      <c r="D363" s="17">
        <v>44</v>
      </c>
      <c r="E363" s="31">
        <f ca="1">IFERROR(__xludf.DUMMYFUNCTION("COUNT(IMPORTRANGE(""https://docs.google.com/spreadsheets/d/1_7EEO26q9Yq-XhNFiy7I6Zh4Yg6uGjTs9y0UqNvPKcQ/edit"",""14!d2:d45""))"),42)</f>
        <v>42</v>
      </c>
      <c r="F363" s="32">
        <f ca="1">IFERROR(__xludf.DUMMYFUNCTION("SUM(IMPORTRANGE(""https://docs.google.com/spreadsheets/d/1_7EEO26q9Yq-XhNFiy7I6Zh4Yg6uGjTs9y0UqNvPKcQ/edit"",""14!Q2:Q45""))"),8312.54899999999)</f>
        <v>8312.54899999999</v>
      </c>
      <c r="G363" s="31">
        <f ca="1">IFERROR(__xludf.DUMMYFUNCTION("IMPORTRANGE(""https://docs.google.com/spreadsheets/d/1_7EEO26q9Yq-XhNFiy7I6Zh4Yg6uGjTs9y0UqNvPKcQ/edit"",""14!e53"")"),1247)</f>
        <v>1247</v>
      </c>
      <c r="H363" s="31">
        <f ca="1">IFERROR(__xludf.DUMMYFUNCTION("IMPORTRANGE(""https://docs.google.com/spreadsheets/d/1_7EEO26q9Yq-XhNFiy7I6Zh4Yg6uGjTs9y0UqNvPKcQ/edit"",""14!e54"")"),0)</f>
        <v>0</v>
      </c>
      <c r="I363" s="31">
        <f t="shared" ca="1" si="987"/>
        <v>1247</v>
      </c>
      <c r="J363" s="31">
        <f ca="1">IFERROR(__xludf.DUMMYFUNCTION("IMPORTRANGE(""https://docs.google.com/spreadsheets/d/1_7EEO26q9Yq-XhNFiy7I6Zh4Yg6uGjTs9y0UqNvPKcQ/edit"",""14!e57"")"),1306)</f>
        <v>1306</v>
      </c>
      <c r="K363" s="31">
        <f ca="1">IFERROR(__xludf.DUMMYFUNCTION("IMPORTRANGE(""https://docs.google.com/spreadsheets/d/1_7EEO26q9Yq-XhNFiy7I6Zh4Yg6uGjTs9y0UqNvPKcQ/edit"",""14!e58"")"),0)</f>
        <v>0</v>
      </c>
      <c r="L363" s="18">
        <f t="shared" ca="1" si="988"/>
        <v>1306</v>
      </c>
      <c r="M363" s="18">
        <f t="shared" ca="1" si="989"/>
        <v>2553</v>
      </c>
      <c r="N363" s="19">
        <f t="shared" ca="1" si="990"/>
        <v>197.91783333333311</v>
      </c>
      <c r="O363" s="16">
        <v>1580</v>
      </c>
      <c r="P363" s="33">
        <f t="shared" ca="1" si="991"/>
        <v>1.6158227848101265</v>
      </c>
      <c r="Q363" s="21">
        <v>1.5</v>
      </c>
      <c r="R363" s="20">
        <f t="shared" ca="1" si="992"/>
        <v>0.20475067274791428</v>
      </c>
      <c r="S363" s="22">
        <f t="shared" ca="1" si="993"/>
        <v>0.30712600912187143</v>
      </c>
      <c r="T363" s="21">
        <f ca="1">F363/26.805</f>
        <v>310.11188211154598</v>
      </c>
      <c r="U363" s="21">
        <f t="shared" ca="1" si="994"/>
        <v>7.3836162407510946</v>
      </c>
      <c r="V363" s="18">
        <f t="shared" ca="1" si="995"/>
        <v>60.785714285714285</v>
      </c>
      <c r="W363" s="76"/>
      <c r="X363" s="8">
        <v>1</v>
      </c>
      <c r="Y363" s="8" t="s">
        <v>28</v>
      </c>
      <c r="Z363" s="8">
        <f t="shared" ref="Z363:AI363" si="1006">SUM(D358)</f>
        <v>33</v>
      </c>
      <c r="AA363" s="9">
        <f t="shared" ca="1" si="1006"/>
        <v>33</v>
      </c>
      <c r="AB363" s="11">
        <f t="shared" ca="1" si="1006"/>
        <v>6497.9359999999997</v>
      </c>
      <c r="AC363" s="9">
        <f t="shared" ca="1" si="1006"/>
        <v>2750</v>
      </c>
      <c r="AD363" s="9">
        <f t="shared" ca="1" si="1006"/>
        <v>99</v>
      </c>
      <c r="AE363" s="9">
        <f t="shared" ca="1" si="1006"/>
        <v>2849</v>
      </c>
      <c r="AF363" s="9">
        <f t="shared" ca="1" si="1006"/>
        <v>3035</v>
      </c>
      <c r="AG363" s="9">
        <f t="shared" ca="1" si="1006"/>
        <v>143</v>
      </c>
      <c r="AH363" s="9">
        <f t="shared" ca="1" si="1006"/>
        <v>3178</v>
      </c>
      <c r="AI363" s="9">
        <f t="shared" ca="1" si="1006"/>
        <v>6027</v>
      </c>
      <c r="AJ363" s="11">
        <f t="shared" ref="AJ363:AJ369" ca="1" si="1007">AB363/AA363</f>
        <v>196.9071515151515</v>
      </c>
      <c r="AK363" s="8">
        <f t="shared" ref="AK363:AK364" si="1008">SUM(O358)</f>
        <v>7315</v>
      </c>
      <c r="AL363" s="12">
        <f t="shared" ref="AL363:AL369" ca="1" si="1009">AI363/AK363</f>
        <v>0.8239234449760765</v>
      </c>
      <c r="AM363" s="13">
        <f t="shared" ref="AM363:AM364" si="1010">SUM(Q358)</f>
        <v>1.5</v>
      </c>
      <c r="AN363" s="12">
        <f t="shared" ref="AN363:AN369" ca="1" si="1011">AO363/AM363</f>
        <v>0.61835019612381537</v>
      </c>
      <c r="AO363" s="14">
        <f t="shared" ref="AO363:AO369" ca="1" si="1012">AI363/AB363</f>
        <v>0.92752529418572305</v>
      </c>
      <c r="AP363" s="13">
        <f t="shared" ref="AP363:AQ363" ca="1" si="1013">SUM(T358)</f>
        <v>210.30960934718581</v>
      </c>
      <c r="AQ363" s="13">
        <f t="shared" ca="1" si="1013"/>
        <v>6.3730184650662371</v>
      </c>
      <c r="AR363" s="9">
        <f t="shared" ref="AR363:AR369" ca="1" si="1014">AI363/AA363</f>
        <v>182.63636363636363</v>
      </c>
      <c r="AS363" s="76"/>
      <c r="AT363" s="76"/>
    </row>
    <row r="364" spans="1:46" ht="15.75" customHeight="1" x14ac:dyDescent="0.25">
      <c r="A364" s="70"/>
      <c r="B364" s="16">
        <v>8</v>
      </c>
      <c r="C364" s="16" t="s">
        <v>25</v>
      </c>
      <c r="D364" s="34">
        <v>32</v>
      </c>
      <c r="E364" s="18">
        <f ca="1">IFERROR(__xludf.DUMMYFUNCTION("COUNT(IMPORTRANGE(""https://docs.google.com/spreadsheets/d/1vLOLpiE-XsbnCnwWPcoi87PlUSXfqIAAQn3kvqHfO6s/edit"",""14!d2:D33""))"),32)</f>
        <v>32</v>
      </c>
      <c r="F364" s="23">
        <f ca="1">IFERROR(__xludf.DUMMYFUNCTION("SUM(IMPORTRANGE(""https://docs.google.com/spreadsheets/d/1vLOLpiE-XsbnCnwWPcoi87PlUSXfqIAAQn3kvqHfO6s/edit"",""14!Q2:Q33""))"),6046.092)</f>
        <v>6046.0919999999996</v>
      </c>
      <c r="G364" s="18">
        <f ca="1">IFERROR(__xludf.DUMMYFUNCTION("IMPORTRANGE(""https://docs.google.com/spreadsheets/d/1vLOLpiE-XsbnCnwWPcoi87PlUSXfqIAAQn3kvqHfO6s/edit"",""14!e40"")"),2394)</f>
        <v>2394</v>
      </c>
      <c r="H364" s="18">
        <f ca="1">IFERROR(__xludf.DUMMYFUNCTION("IMPORTRANGE(""https://docs.google.com/spreadsheets/d/1vLOLpiE-XsbnCnwWPcoi87PlUSXfqIAAQn3kvqHfO6s/edit"",""14!e41"")"),515)</f>
        <v>515</v>
      </c>
      <c r="I364" s="18">
        <f t="shared" ca="1" si="987"/>
        <v>2909</v>
      </c>
      <c r="J364" s="18">
        <f ca="1">IFERROR(__xludf.DUMMYFUNCTION("IMPORTRANGE(""https://docs.google.com/spreadsheets/d/1vLOLpiE-XsbnCnwWPcoi87PlUSXfqIAAQn3kvqHfO6s/edit"",""14!e44"")"),2821)</f>
        <v>2821</v>
      </c>
      <c r="K364" s="18">
        <f ca="1">IFERROR(__xludf.DUMMYFUNCTION("IMPORTRANGE(""https://docs.google.com/spreadsheets/d/1vLOLpiE-XsbnCnwWPcoi87PlUSXfqIAAQn3kvqHfO6s/edit"",""14!e45"")"),541)</f>
        <v>541</v>
      </c>
      <c r="L364" s="18">
        <f ca="1">J364+K364</f>
        <v>3362</v>
      </c>
      <c r="M364" s="18">
        <f t="shared" ca="1" si="989"/>
        <v>6271</v>
      </c>
      <c r="N364" s="19">
        <f t="shared" ca="1" si="990"/>
        <v>188.94037499999999</v>
      </c>
      <c r="O364" s="16">
        <v>6622</v>
      </c>
      <c r="P364" s="20">
        <f t="shared" ca="1" si="991"/>
        <v>0.94699486559951673</v>
      </c>
      <c r="Q364" s="21">
        <v>1.5</v>
      </c>
      <c r="R364" s="20">
        <f t="shared" ca="1" si="992"/>
        <v>0.69146593645393872</v>
      </c>
      <c r="S364" s="22">
        <f t="shared" ca="1" si="993"/>
        <v>1.037198904680908</v>
      </c>
      <c r="T364" s="21">
        <f ca="1">F364/23.84</f>
        <v>253.61124161073823</v>
      </c>
      <c r="U364" s="21">
        <f t="shared" ca="1" si="994"/>
        <v>7.9253513003355698</v>
      </c>
      <c r="V364" s="18">
        <f t="shared" ca="1" si="995"/>
        <v>195.96875</v>
      </c>
      <c r="W364" s="76"/>
      <c r="X364" s="8">
        <v>2</v>
      </c>
      <c r="Y364" s="8" t="s">
        <v>30</v>
      </c>
      <c r="Z364" s="8">
        <f t="shared" ref="Z364:AI364" si="1015">SUM(D359)</f>
        <v>60</v>
      </c>
      <c r="AA364" s="9">
        <f t="shared" ca="1" si="1015"/>
        <v>57</v>
      </c>
      <c r="AB364" s="10">
        <f t="shared" ca="1" si="1015"/>
        <v>11591.6769999999</v>
      </c>
      <c r="AC364" s="9">
        <f t="shared" ca="1" si="1015"/>
        <v>3706</v>
      </c>
      <c r="AD364" s="9">
        <f t="shared" ca="1" si="1015"/>
        <v>50</v>
      </c>
      <c r="AE364" s="9">
        <f t="shared" ca="1" si="1015"/>
        <v>3756</v>
      </c>
      <c r="AF364" s="9">
        <f t="shared" ca="1" si="1015"/>
        <v>5295</v>
      </c>
      <c r="AG364" s="9">
        <f t="shared" ca="1" si="1015"/>
        <v>62</v>
      </c>
      <c r="AH364" s="9">
        <f t="shared" ca="1" si="1015"/>
        <v>5357</v>
      </c>
      <c r="AI364" s="9">
        <f t="shared" ca="1" si="1015"/>
        <v>9113</v>
      </c>
      <c r="AJ364" s="11">
        <f t="shared" ca="1" si="1007"/>
        <v>203.36275438596314</v>
      </c>
      <c r="AK364" s="8">
        <f t="shared" si="1008"/>
        <v>11164</v>
      </c>
      <c r="AL364" s="12">
        <f t="shared" ca="1" si="1009"/>
        <v>0.81628448584736657</v>
      </c>
      <c r="AM364" s="13">
        <f t="shared" si="1010"/>
        <v>1.5</v>
      </c>
      <c r="AN364" s="12">
        <f t="shared" ca="1" si="1011"/>
        <v>0.52411168231597427</v>
      </c>
      <c r="AO364" s="14">
        <f t="shared" ca="1" si="1012"/>
        <v>0.78616752347396146</v>
      </c>
      <c r="AP364" s="13">
        <f t="shared" ref="AP364:AQ364" ca="1" si="1016">SUM(T359)</f>
        <v>391.57102320710396</v>
      </c>
      <c r="AQ364" s="13">
        <f t="shared" ca="1" si="1016"/>
        <v>6.8696670738088415</v>
      </c>
      <c r="AR364" s="9">
        <f t="shared" ca="1" si="1014"/>
        <v>159.87719298245614</v>
      </c>
      <c r="AS364" s="76"/>
      <c r="AT364" s="76"/>
    </row>
    <row r="365" spans="1:46" ht="15.75" customHeight="1" x14ac:dyDescent="0.25">
      <c r="A365" s="70"/>
      <c r="B365" s="16">
        <v>9</v>
      </c>
      <c r="C365" s="16" t="s">
        <v>36</v>
      </c>
      <c r="D365" s="34">
        <v>24</v>
      </c>
      <c r="E365" s="18">
        <f ca="1">IFERROR(__xludf.DUMMYFUNCTION("COUNT(IMPORTRANGE(""https://docs.google.com/spreadsheets/d/1WJJVq25XDtGjt-J2JPxeKs3jIvDZtkIREC0lFPXwf74/edit"",""14!d2:d31""))"),23)</f>
        <v>23</v>
      </c>
      <c r="F365" s="23">
        <f ca="1">IFERROR(__xludf.DUMMYFUNCTION("SUM(IMPORTRANGE(""https://docs.google.com/spreadsheets/d/1WJJVq25XDtGjt-J2JPxeKs3jIvDZtkIREC0lFPXwf74/edit"",""14!Q2:Q31""))"),4593.942)</f>
        <v>4593.942</v>
      </c>
      <c r="G365" s="18">
        <f ca="1">IFERROR(__xludf.DUMMYFUNCTION("IMPORTRANGE(""https://docs.google.com/spreadsheets/d/1WJJVq25XDtGjt-J2JPxeKs3jIvDZtkIREC0lFPXwf74/edit"",""14!e38"")"),1582)</f>
        <v>1582</v>
      </c>
      <c r="H365" s="18">
        <f ca="1">IFERROR(__xludf.DUMMYFUNCTION("IMPORTRANGE(""https://docs.google.com/spreadsheets/d/1WJJVq25XDtGjt-J2JPxeKs3jIvDZtkIREC0lFPXwf74/edit"",""14!e39"")"),0)</f>
        <v>0</v>
      </c>
      <c r="I365" s="18">
        <f t="shared" ca="1" si="987"/>
        <v>1582</v>
      </c>
      <c r="J365" s="18">
        <f ca="1">IFERROR(__xludf.DUMMYFUNCTION("IMPORTRANGE(""https://docs.google.com/spreadsheets/d/1WJJVq25XDtGjt-J2JPxeKs3jIvDZtkIREC0lFPXwf74/edit"",""14!e42"")"),1998)</f>
        <v>1998</v>
      </c>
      <c r="K365" s="18">
        <f ca="1">IFERROR(__xludf.DUMMYFUNCTION("IMPORTRANGE(""https://docs.google.com/spreadsheets/d/1WJJVq25XDtGjt-J2JPxeKs3jIvDZtkIREC0lFPXwf74/edit"",""14!e43"")"),0)</f>
        <v>0</v>
      </c>
      <c r="L365" s="18">
        <f t="shared" ref="L365:L374" ca="1" si="1017">SUM(J365:K365)</f>
        <v>1998</v>
      </c>
      <c r="M365" s="18">
        <f t="shared" ca="1" si="989"/>
        <v>3580</v>
      </c>
      <c r="N365" s="19">
        <f t="shared" ca="1" si="990"/>
        <v>199.73660869565217</v>
      </c>
      <c r="O365" s="16">
        <v>4796</v>
      </c>
      <c r="P365" s="20">
        <f t="shared" ca="1" si="991"/>
        <v>0.74645537948290241</v>
      </c>
      <c r="Q365" s="21">
        <v>1.5</v>
      </c>
      <c r="R365" s="20">
        <f t="shared" ca="1" si="992"/>
        <v>0.51952477124584218</v>
      </c>
      <c r="S365" s="22">
        <f t="shared" ca="1" si="993"/>
        <v>0.77928715686876326</v>
      </c>
      <c r="T365" s="21">
        <f ca="1">F365/37.414</f>
        <v>122.78671085689848</v>
      </c>
      <c r="U365" s="21">
        <f t="shared" ca="1" si="994"/>
        <v>5.3385526459521078</v>
      </c>
      <c r="V365" s="18">
        <f t="shared" ca="1" si="995"/>
        <v>155.65217391304347</v>
      </c>
      <c r="W365" s="76"/>
      <c r="X365" s="8">
        <v>3</v>
      </c>
      <c r="Y365" s="8" t="s">
        <v>34</v>
      </c>
      <c r="Z365" s="8">
        <f t="shared" ref="Z365:AI365" si="1018">SUM(D361)</f>
        <v>40</v>
      </c>
      <c r="AA365" s="9">
        <f t="shared" ca="1" si="1018"/>
        <v>39</v>
      </c>
      <c r="AB365" s="10">
        <f t="shared" ca="1" si="1018"/>
        <v>7765.6710000000003</v>
      </c>
      <c r="AC365" s="9">
        <f t="shared" ca="1" si="1018"/>
        <v>2928</v>
      </c>
      <c r="AD365" s="9">
        <f t="shared" ca="1" si="1018"/>
        <v>0</v>
      </c>
      <c r="AE365" s="9">
        <f t="shared" ca="1" si="1018"/>
        <v>2928</v>
      </c>
      <c r="AF365" s="9">
        <f t="shared" ca="1" si="1018"/>
        <v>3346</v>
      </c>
      <c r="AG365" s="9">
        <f t="shared" ca="1" si="1018"/>
        <v>0</v>
      </c>
      <c r="AH365" s="9">
        <f t="shared" ca="1" si="1018"/>
        <v>3346</v>
      </c>
      <c r="AI365" s="9">
        <f t="shared" ca="1" si="1018"/>
        <v>6274</v>
      </c>
      <c r="AJ365" s="11">
        <f t="shared" ca="1" si="1007"/>
        <v>199.11976923076924</v>
      </c>
      <c r="AK365" s="8">
        <f>SUM(O361)</f>
        <v>9354</v>
      </c>
      <c r="AL365" s="12">
        <f t="shared" ca="1" si="1009"/>
        <v>0.67072909985033136</v>
      </c>
      <c r="AM365" s="13">
        <f>SUM(Q361)</f>
        <v>1.5</v>
      </c>
      <c r="AN365" s="12">
        <f t="shared" ca="1" si="1011"/>
        <v>0.53860982092425325</v>
      </c>
      <c r="AO365" s="14">
        <f t="shared" ca="1" si="1012"/>
        <v>0.80791473138637981</v>
      </c>
      <c r="AP365" s="13">
        <f t="shared" ref="AP365:AQ365" ca="1" si="1019">SUM(T361)</f>
        <v>252.8463842672484</v>
      </c>
      <c r="AQ365" s="13">
        <f t="shared" ca="1" si="1019"/>
        <v>6.4832406222371386</v>
      </c>
      <c r="AR365" s="9">
        <f t="shared" ca="1" si="1014"/>
        <v>160.87179487179486</v>
      </c>
      <c r="AS365" s="76"/>
      <c r="AT365" s="76"/>
    </row>
    <row r="366" spans="1:46" ht="15.75" customHeight="1" x14ac:dyDescent="0.25">
      <c r="A366" s="70"/>
      <c r="B366" s="16">
        <v>10</v>
      </c>
      <c r="C366" s="16" t="s">
        <v>37</v>
      </c>
      <c r="D366" s="17">
        <v>30</v>
      </c>
      <c r="E366" s="18">
        <f ca="1">IFERROR(__xludf.DUMMYFUNCTION("COUNT(IMPORTRANGE(""https://docs.google.com/spreadsheets/d/1rJyYfywRpWJW0zvDJHLOJtqUQqffoCGaqTVxxTDgV0k/edit"",""14!d2:d31""))"),29)</f>
        <v>29</v>
      </c>
      <c r="F366" s="23">
        <f ca="1">IFERROR(__xludf.DUMMYFUNCTION("SUM(IMPORTRANGE(""https://docs.google.com/spreadsheets/d/1rJyYfywRpWJW0zvDJHLOJtqUQqffoCGaqTVxxTDgV0k/edit"",""14!Q2:Q31""))"),5798.70599999999)</f>
        <v>5798.7059999999901</v>
      </c>
      <c r="G366" s="18">
        <f ca="1">IFERROR(__xludf.DUMMYFUNCTION("(IMPORTRANGE(""https://docs.google.com/spreadsheets/d/1rJyYfywRpWJW0zvDJHLOJtqUQqffoCGaqTVxxTDgV0k/edit"",""14!e38""))"),2085)</f>
        <v>2085</v>
      </c>
      <c r="H366" s="18">
        <f ca="1">IFERROR(__xludf.DUMMYFUNCTION("(IMPORTRANGE(""https://docs.google.com/spreadsheets/d/1rJyYfywRpWJW0zvDJHLOJtqUQqffoCGaqTVxxTDgV0k/edit"",""14!e39""))"),0)</f>
        <v>0</v>
      </c>
      <c r="I366" s="18">
        <f t="shared" ca="1" si="987"/>
        <v>2085</v>
      </c>
      <c r="J366" s="18">
        <f ca="1">IFERROR(__xludf.DUMMYFUNCTION("(IMPORTRANGE(""https://docs.google.com/spreadsheets/d/1rJyYfywRpWJW0zvDJHLOJtqUQqffoCGaqTVxxTDgV0k/edit"",""14!e42""))"),2864)</f>
        <v>2864</v>
      </c>
      <c r="K366" s="18">
        <f ca="1">IFERROR(__xludf.DUMMYFUNCTION("(IMPORTRANGE(""https://docs.google.com/spreadsheets/d/1rJyYfywRpWJW0zvDJHLOJtqUQqffoCGaqTVxxTDgV0k/edit"",""14!e43""))"),0)</f>
        <v>0</v>
      </c>
      <c r="L366" s="18">
        <f t="shared" ca="1" si="1017"/>
        <v>2864</v>
      </c>
      <c r="M366" s="18">
        <f t="shared" ca="1" si="989"/>
        <v>4949</v>
      </c>
      <c r="N366" s="19">
        <f t="shared" ca="1" si="990"/>
        <v>199.95537931034448</v>
      </c>
      <c r="O366" s="16">
        <v>5887</v>
      </c>
      <c r="P366" s="20">
        <f t="shared" ca="1" si="991"/>
        <v>0.84066587395957193</v>
      </c>
      <c r="Q366" s="21">
        <v>1.5</v>
      </c>
      <c r="R366" s="20">
        <f t="shared" ca="1" si="992"/>
        <v>0.56897751555835718</v>
      </c>
      <c r="S366" s="22">
        <f t="shared" ca="1" si="993"/>
        <v>0.85346627333753577</v>
      </c>
      <c r="T366" s="21">
        <f ca="1">F366/24.792</f>
        <v>233.89424007744392</v>
      </c>
      <c r="U366" s="21">
        <f t="shared" ca="1" si="994"/>
        <v>8.0653186233601346</v>
      </c>
      <c r="V366" s="18">
        <f t="shared" ca="1" si="995"/>
        <v>170.65517241379311</v>
      </c>
      <c r="W366" s="76"/>
      <c r="X366" s="8">
        <v>4</v>
      </c>
      <c r="Y366" s="8" t="s">
        <v>38</v>
      </c>
      <c r="Z366" s="8">
        <f t="shared" ref="Z366:AI366" si="1020">SUM(D369)</f>
        <v>30</v>
      </c>
      <c r="AA366" s="9">
        <f t="shared" ca="1" si="1020"/>
        <v>30</v>
      </c>
      <c r="AB366" s="10">
        <f t="shared" ca="1" si="1020"/>
        <v>6304.3649999999998</v>
      </c>
      <c r="AC366" s="9">
        <f t="shared" ca="1" si="1020"/>
        <v>2227</v>
      </c>
      <c r="AD366" s="9">
        <f t="shared" ca="1" si="1020"/>
        <v>0</v>
      </c>
      <c r="AE366" s="9">
        <f t="shared" ca="1" si="1020"/>
        <v>2227</v>
      </c>
      <c r="AF366" s="9">
        <f t="shared" ca="1" si="1020"/>
        <v>3063</v>
      </c>
      <c r="AG366" s="9">
        <f t="shared" ca="1" si="1020"/>
        <v>350</v>
      </c>
      <c r="AH366" s="9">
        <f t="shared" ca="1" si="1020"/>
        <v>3413</v>
      </c>
      <c r="AI366" s="9">
        <f t="shared" ca="1" si="1020"/>
        <v>5640</v>
      </c>
      <c r="AJ366" s="11">
        <f t="shared" ca="1" si="1007"/>
        <v>210.1455</v>
      </c>
      <c r="AK366" s="8">
        <v>7324</v>
      </c>
      <c r="AL366" s="12">
        <f t="shared" ca="1" si="1009"/>
        <v>0.77007099945385038</v>
      </c>
      <c r="AM366" s="13">
        <f>SUM(Q369)</f>
        <v>1.5</v>
      </c>
      <c r="AN366" s="12">
        <f t="shared" ca="1" si="1011"/>
        <v>0.59641216839443778</v>
      </c>
      <c r="AO366" s="14">
        <f t="shared" ca="1" si="1012"/>
        <v>0.89461825259165673</v>
      </c>
      <c r="AP366" s="13">
        <f t="shared" ref="AP366:AQ366" ca="1" si="1021">SUM(T369)</f>
        <v>153</v>
      </c>
      <c r="AQ366" s="13">
        <f t="shared" ca="1" si="1021"/>
        <v>5.0999999999999996</v>
      </c>
      <c r="AR366" s="9">
        <f t="shared" ca="1" si="1014"/>
        <v>188</v>
      </c>
      <c r="AS366" s="76"/>
      <c r="AT366" s="76"/>
    </row>
    <row r="367" spans="1:46" ht="15.75" customHeight="1" x14ac:dyDescent="0.25">
      <c r="A367" s="70"/>
      <c r="B367" s="16">
        <v>12</v>
      </c>
      <c r="C367" s="16" t="s">
        <v>39</v>
      </c>
      <c r="D367" s="17">
        <v>28</v>
      </c>
      <c r="E367" s="18">
        <f ca="1">IFERROR(__xludf.DUMMYFUNCTION("COUNT(IMPORTRANGE(""https://docs.google.com/spreadsheets/d/1uaTn2DZCfr7O1PvovOd0wElzVz8kpl_iPfnrkNPp0Is/edit"",""14!d2:d29""))"),28)</f>
        <v>28</v>
      </c>
      <c r="F367" s="23">
        <f ca="1">IFERROR(__xludf.DUMMYFUNCTION("SUM(IMPORTRANGE(""https://docs.google.com/spreadsheets/d/1uaTn2DZCfr7O1PvovOd0wElzVz8kpl_iPfnrkNPp0Is/edit"",""14!Q2:Q29""))"),5415.95199999999)</f>
        <v>5415.9519999999902</v>
      </c>
      <c r="G367" s="18">
        <f ca="1">IFERROR(__xludf.DUMMYFUNCTION("IMPORTRANGE(""https://docs.google.com/spreadsheets/d/1uaTn2DZCfr7O1PvovOd0wElzVz8kpl_iPfnrkNPp0Is/edit"",""14!e36"")"),1228)</f>
        <v>1228</v>
      </c>
      <c r="H367" s="18">
        <f ca="1">IFERROR(__xludf.DUMMYFUNCTION("(IMPORTRANGE(""https://docs.google.com/spreadsheets/d/1uaTn2DZCfr7O1PvovOd0wElzVz8kpl_iPfnrkNPp0Is/edit"",""14!e37""))"),0)</f>
        <v>0</v>
      </c>
      <c r="I367" s="18">
        <f t="shared" ca="1" si="987"/>
        <v>1228</v>
      </c>
      <c r="J367" s="18">
        <f ca="1">IFERROR(__xludf.DUMMYFUNCTION("IMPORTRANGE(""https://docs.google.com/spreadsheets/d/1uaTn2DZCfr7O1PvovOd0wElzVz8kpl_iPfnrkNPp0Is/edit"",""14!e40"")"),1609)</f>
        <v>1609</v>
      </c>
      <c r="K367" s="18">
        <f ca="1">IFERROR(__xludf.DUMMYFUNCTION("IMPORTRANGE(""https://docs.google.com/spreadsheets/d/1uaTn2DZCfr7O1PvovOd0wElzVz8kpl_iPfnrkNPp0Is/edit"",""14!e41"")"),177)</f>
        <v>177</v>
      </c>
      <c r="L367" s="18">
        <f t="shared" ca="1" si="1017"/>
        <v>1786</v>
      </c>
      <c r="M367" s="18">
        <f t="shared" ca="1" si="989"/>
        <v>3014</v>
      </c>
      <c r="N367" s="19">
        <f t="shared" ca="1" si="990"/>
        <v>193.42685714285679</v>
      </c>
      <c r="O367" s="16">
        <v>3569</v>
      </c>
      <c r="P367" s="20">
        <f t="shared" ca="1" si="991"/>
        <v>0.84449425609414397</v>
      </c>
      <c r="Q367" s="21">
        <v>1.5</v>
      </c>
      <c r="R367" s="20">
        <f t="shared" ca="1" si="992"/>
        <v>0.37100279569193689</v>
      </c>
      <c r="S367" s="22">
        <f t="shared" ca="1" si="993"/>
        <v>0.55650419353790537</v>
      </c>
      <c r="T367" s="21">
        <f ca="1">F367/21.463</f>
        <v>252.33900200344732</v>
      </c>
      <c r="U367" s="21">
        <f t="shared" ca="1" si="994"/>
        <v>9.0121072144088323</v>
      </c>
      <c r="V367" s="18">
        <f t="shared" ca="1" si="995"/>
        <v>107.64285714285714</v>
      </c>
      <c r="W367" s="76"/>
      <c r="X367" s="8">
        <v>5</v>
      </c>
      <c r="Y367" s="8" t="s">
        <v>40</v>
      </c>
      <c r="Z367" s="8">
        <f t="shared" ref="Z367:AI367" si="1022">SUM(D371)</f>
        <v>30</v>
      </c>
      <c r="AA367" s="9">
        <f t="shared" ca="1" si="1022"/>
        <v>30</v>
      </c>
      <c r="AB367" s="10">
        <f t="shared" ca="1" si="1022"/>
        <v>5916.1439999999902</v>
      </c>
      <c r="AC367" s="9">
        <f t="shared" ca="1" si="1022"/>
        <v>3501</v>
      </c>
      <c r="AD367" s="9">
        <f t="shared" ca="1" si="1022"/>
        <v>123</v>
      </c>
      <c r="AE367" s="9">
        <f t="shared" ca="1" si="1022"/>
        <v>3624</v>
      </c>
      <c r="AF367" s="9">
        <f t="shared" ca="1" si="1022"/>
        <v>3579</v>
      </c>
      <c r="AG367" s="9">
        <f t="shared" ca="1" si="1022"/>
        <v>162</v>
      </c>
      <c r="AH367" s="9">
        <f t="shared" ca="1" si="1022"/>
        <v>3741</v>
      </c>
      <c r="AI367" s="9">
        <f t="shared" ca="1" si="1022"/>
        <v>7365</v>
      </c>
      <c r="AJ367" s="11">
        <f t="shared" ca="1" si="1007"/>
        <v>197.20479999999966</v>
      </c>
      <c r="AK367" s="8">
        <f t="shared" ref="AK367:AK368" si="1023">SUM(O371)</f>
        <v>8239</v>
      </c>
      <c r="AL367" s="12">
        <f t="shared" ca="1" si="1009"/>
        <v>0.89391916494720236</v>
      </c>
      <c r="AM367" s="13">
        <f t="shared" ref="AM367:AM368" si="1024">SUM(Q371)</f>
        <v>1.5</v>
      </c>
      <c r="AN367" s="12">
        <f t="shared" ca="1" si="1011"/>
        <v>0.82993246952745026</v>
      </c>
      <c r="AO367" s="14">
        <f t="shared" ca="1" si="1012"/>
        <v>1.2448987042911754</v>
      </c>
      <c r="AP367" s="13">
        <f t="shared" ref="AP367:AQ367" ca="1" si="1025">SUM(T371)</f>
        <v>207.99999999999966</v>
      </c>
      <c r="AQ367" s="13">
        <f t="shared" ca="1" si="1025"/>
        <v>6.933333333333322</v>
      </c>
      <c r="AR367" s="9">
        <f t="shared" ca="1" si="1014"/>
        <v>245.5</v>
      </c>
      <c r="AS367" s="76"/>
      <c r="AT367" s="76"/>
    </row>
    <row r="368" spans="1:46" ht="15.75" customHeight="1" x14ac:dyDescent="0.25">
      <c r="A368" s="70"/>
      <c r="B368" s="16">
        <v>12</v>
      </c>
      <c r="C368" s="16" t="s">
        <v>41</v>
      </c>
      <c r="D368" s="17">
        <v>24</v>
      </c>
      <c r="E368" s="18">
        <f ca="1">IFERROR(__xludf.DUMMYFUNCTION("COUNT(IMPORTRANGE(""https://docs.google.com/spreadsheets/d/1oYscvfOJW7GMkxt8QcupWuzb3ohaYePd3Mt2V2ufHok/edit"",""14!d2:d25""))"),24)</f>
        <v>24</v>
      </c>
      <c r="F368" s="23">
        <f ca="1">IFERROR(__xludf.DUMMYFUNCTION("SUM(IMPORTRANGE(""https://docs.google.com/spreadsheets/d/1oYscvfOJW7GMkxt8QcupWuzb3ohaYePd3Mt2V2ufHok/edit"",""14!Q2:Q25""))"),4704.268)</f>
        <v>4704.268</v>
      </c>
      <c r="G368" s="18">
        <f ca="1">IFERROR(__xludf.DUMMYFUNCTION("IMPORTRANGE(""https://docs.google.com/spreadsheets/d/1oYscvfOJW7GMkxt8QcupWuzb3ohaYePd3Mt2V2ufHok/edit"",""14!e32"")"),1336)</f>
        <v>1336</v>
      </c>
      <c r="H368" s="18">
        <f ca="1">IFERROR(__xludf.DUMMYFUNCTION("IMPORTRANGE(""https://docs.google.com/spreadsheets/d/1oYscvfOJW7GMkxt8QcupWuzb3ohaYePd3Mt2V2ufHok/edit"",""14!e33"")"),0)</f>
        <v>0</v>
      </c>
      <c r="I368" s="18">
        <f t="shared" ca="1" si="987"/>
        <v>1336</v>
      </c>
      <c r="J368" s="18">
        <f ca="1">IFERROR(__xludf.DUMMYFUNCTION("IMPORTRANGE(""https://docs.google.com/spreadsheets/d/1oYscvfOJW7GMkxt8QcupWuzb3ohaYePd3Mt2V2ufHok/edit"",""14!e36"")"),1449)</f>
        <v>1449</v>
      </c>
      <c r="K368" s="18">
        <f ca="1">IFERROR(__xludf.DUMMYFUNCTION("IMPORTRANGE(""https://docs.google.com/spreadsheets/d/1oYscvfOJW7GMkxt8QcupWuzb3ohaYePd3Mt2V2ufHok/edit"",""14!e37"")"),840)</f>
        <v>840</v>
      </c>
      <c r="L368" s="18">
        <f t="shared" ca="1" si="1017"/>
        <v>2289</v>
      </c>
      <c r="M368" s="18">
        <f t="shared" ca="1" si="989"/>
        <v>3625</v>
      </c>
      <c r="N368" s="19">
        <f t="shared" ca="1" si="990"/>
        <v>196.01116666666667</v>
      </c>
      <c r="O368" s="16">
        <v>3801</v>
      </c>
      <c r="P368" s="20">
        <f t="shared" ca="1" si="991"/>
        <v>0.95369639568534592</v>
      </c>
      <c r="Q368" s="21">
        <v>1.5</v>
      </c>
      <c r="R368" s="20">
        <f t="shared" ca="1" si="992"/>
        <v>0.51371789759143538</v>
      </c>
      <c r="S368" s="22">
        <f t="shared" ca="1" si="993"/>
        <v>0.77057684638715307</v>
      </c>
      <c r="T368" s="21">
        <f ca="1">F368/29.628</f>
        <v>158.77777777777777</v>
      </c>
      <c r="U368" s="21">
        <f t="shared" ca="1" si="994"/>
        <v>6.6157407407407405</v>
      </c>
      <c r="V368" s="18">
        <f t="shared" ca="1" si="995"/>
        <v>151.04166666666666</v>
      </c>
      <c r="W368" s="76"/>
      <c r="X368" s="8">
        <v>6</v>
      </c>
      <c r="Y368" s="8" t="s">
        <v>42</v>
      </c>
      <c r="Z368" s="8">
        <f t="shared" ref="Z368:AI368" si="1026">SUM(D372)</f>
        <v>33</v>
      </c>
      <c r="AA368" s="9">
        <f t="shared" ca="1" si="1026"/>
        <v>33</v>
      </c>
      <c r="AB368" s="10">
        <f t="shared" ca="1" si="1026"/>
        <v>6458.7469999999903</v>
      </c>
      <c r="AC368" s="9">
        <f t="shared" ca="1" si="1026"/>
        <v>3620</v>
      </c>
      <c r="AD368" s="9">
        <f t="shared" ca="1" si="1026"/>
        <v>0</v>
      </c>
      <c r="AE368" s="9">
        <f t="shared" ca="1" si="1026"/>
        <v>3620</v>
      </c>
      <c r="AF368" s="9">
        <f t="shared" ca="1" si="1026"/>
        <v>3895</v>
      </c>
      <c r="AG368" s="9">
        <f t="shared" ca="1" si="1026"/>
        <v>216</v>
      </c>
      <c r="AH368" s="9">
        <f t="shared" ca="1" si="1026"/>
        <v>4111</v>
      </c>
      <c r="AI368" s="9">
        <f t="shared" ca="1" si="1026"/>
        <v>7731</v>
      </c>
      <c r="AJ368" s="11">
        <f t="shared" ca="1" si="1007"/>
        <v>195.71960606060577</v>
      </c>
      <c r="AK368" s="8">
        <f t="shared" si="1023"/>
        <v>9877</v>
      </c>
      <c r="AL368" s="12">
        <f t="shared" ca="1" si="1009"/>
        <v>0.7827275488508656</v>
      </c>
      <c r="AM368" s="13">
        <f t="shared" si="1024"/>
        <v>1.5</v>
      </c>
      <c r="AN368" s="12">
        <f t="shared" ca="1" si="1011"/>
        <v>0.79798759728473767</v>
      </c>
      <c r="AO368" s="14">
        <f t="shared" ca="1" si="1012"/>
        <v>1.1969813959271065</v>
      </c>
      <c r="AP368" s="13">
        <f t="shared" ref="AP368:AQ368" ca="1" si="1027">SUM(T372)</f>
        <v>246.94119671190938</v>
      </c>
      <c r="AQ368" s="13">
        <f t="shared" ca="1" si="1027"/>
        <v>7.4830665670275573</v>
      </c>
      <c r="AR368" s="9">
        <f t="shared" ca="1" si="1014"/>
        <v>234.27272727272728</v>
      </c>
      <c r="AS368" s="76"/>
      <c r="AT368" s="76"/>
    </row>
    <row r="369" spans="1:46" ht="15.75" customHeight="1" x14ac:dyDescent="0.25">
      <c r="A369" s="70"/>
      <c r="B369" s="16">
        <v>13</v>
      </c>
      <c r="C369" s="16" t="s">
        <v>43</v>
      </c>
      <c r="D369" s="17">
        <v>30</v>
      </c>
      <c r="E369" s="18">
        <f ca="1">IFERROR(__xludf.DUMMYFUNCTION("COUNT(IMPORTRANGE(""https://docs.google.com/spreadsheets/d/1AxBmuQEdOYAeRnZ4C8vO6kuTNp7X_SGhpLXuY0n4ln4/edit"",""14!d2:d31""))"),30)</f>
        <v>30</v>
      </c>
      <c r="F369" s="23">
        <f ca="1">IFERROR(__xludf.DUMMYFUNCTION("SUM(IMPORTRANGE(""https://docs.google.com/spreadsheets/d/1AxBmuQEdOYAeRnZ4C8vO6kuTNp7X_SGhpLXuY0n4ln4/edit"",""14!Q2:Q31""))"),6304.365)</f>
        <v>6304.3649999999998</v>
      </c>
      <c r="G369" s="18">
        <f ca="1">IFERROR(__xludf.DUMMYFUNCTION("IMPORTRANGE(""https://docs.google.com/spreadsheets/d/1AxBmuQEdOYAeRnZ4C8vO6kuTNp7X_SGhpLXuY0n4ln4/edit"",""14!e38"")"),2227)</f>
        <v>2227</v>
      </c>
      <c r="H369" s="18">
        <f ca="1">IFERROR(__xludf.DUMMYFUNCTION("IMPORTRANGE(""https://docs.google.com/spreadsheets/d/1AxBmuQEdOYAeRnZ4C8vO6kuTNp7X_SGhpLXuY0n4ln4/edit"",""14!e39"")"),0)</f>
        <v>0</v>
      </c>
      <c r="I369" s="18">
        <f t="shared" ca="1" si="987"/>
        <v>2227</v>
      </c>
      <c r="J369" s="18">
        <f ca="1">IFERROR(__xludf.DUMMYFUNCTION("IMPORTRANGE(""https://docs.google.com/spreadsheets/d/1AxBmuQEdOYAeRnZ4C8vO6kuTNp7X_SGhpLXuY0n4ln4/edit"",""14!e42"")"),3063)</f>
        <v>3063</v>
      </c>
      <c r="K369" s="18">
        <f ca="1">IFERROR(__xludf.DUMMYFUNCTION("IMPORTRANGE(""https://docs.google.com/spreadsheets/d/1AxBmuQEdOYAeRnZ4C8vO6kuTNp7X_SGhpLXuY0n4ln4/edit"",""14!e43"")"),350)</f>
        <v>350</v>
      </c>
      <c r="L369" s="18">
        <f t="shared" ca="1" si="1017"/>
        <v>3413</v>
      </c>
      <c r="M369" s="18">
        <f t="shared" ca="1" si="989"/>
        <v>5640</v>
      </c>
      <c r="N369" s="19">
        <f t="shared" ca="1" si="990"/>
        <v>210.1455</v>
      </c>
      <c r="O369" s="16">
        <v>8345</v>
      </c>
      <c r="P369" s="20">
        <f t="shared" ca="1" si="991"/>
        <v>0.67585380467345713</v>
      </c>
      <c r="Q369" s="21">
        <v>1.5</v>
      </c>
      <c r="R369" s="20">
        <f t="shared" ca="1" si="992"/>
        <v>0.59641216839443778</v>
      </c>
      <c r="S369" s="22">
        <f t="shared" ca="1" si="993"/>
        <v>0.89461825259165673</v>
      </c>
      <c r="T369" s="21">
        <f ca="1">F369/41.205</f>
        <v>153</v>
      </c>
      <c r="U369" s="21">
        <f t="shared" ca="1" si="994"/>
        <v>5.0999999999999996</v>
      </c>
      <c r="V369" s="18">
        <f t="shared" ca="1" si="995"/>
        <v>188</v>
      </c>
      <c r="W369" s="76"/>
      <c r="X369" s="24" t="s">
        <v>33</v>
      </c>
      <c r="Y369" s="24">
        <v>6</v>
      </c>
      <c r="Z369" s="24">
        <f t="shared" ref="Z369:AI369" si="1028">SUM(Z363:Z368)</f>
        <v>226</v>
      </c>
      <c r="AA369" s="25">
        <f t="shared" ca="1" si="1028"/>
        <v>222</v>
      </c>
      <c r="AB369" s="27">
        <f t="shared" ca="1" si="1028"/>
        <v>44534.539999999877</v>
      </c>
      <c r="AC369" s="25">
        <f t="shared" ca="1" si="1028"/>
        <v>18732</v>
      </c>
      <c r="AD369" s="25">
        <f t="shared" ca="1" si="1028"/>
        <v>272</v>
      </c>
      <c r="AE369" s="25">
        <f t="shared" ca="1" si="1028"/>
        <v>19004</v>
      </c>
      <c r="AF369" s="25">
        <f t="shared" ca="1" si="1028"/>
        <v>22213</v>
      </c>
      <c r="AG369" s="25">
        <f t="shared" ca="1" si="1028"/>
        <v>933</v>
      </c>
      <c r="AH369" s="25">
        <f t="shared" ca="1" si="1028"/>
        <v>23146</v>
      </c>
      <c r="AI369" s="25">
        <f t="shared" ca="1" si="1028"/>
        <v>42150</v>
      </c>
      <c r="AJ369" s="27">
        <f t="shared" ca="1" si="1007"/>
        <v>200.60603603603548</v>
      </c>
      <c r="AK369" s="24">
        <f>SUM(AK363:AK368)</f>
        <v>53273</v>
      </c>
      <c r="AL369" s="28">
        <f t="shared" ca="1" si="1009"/>
        <v>0.79120755354494776</v>
      </c>
      <c r="AM369" s="29">
        <v>1.5</v>
      </c>
      <c r="AN369" s="28">
        <f t="shared" ca="1" si="1011"/>
        <v>0.63097092728475646</v>
      </c>
      <c r="AO369" s="30">
        <f t="shared" ca="1" si="1012"/>
        <v>0.94645639092713463</v>
      </c>
      <c r="AP369" s="29">
        <f ca="1">SUM(AP363:AP368)</f>
        <v>1462.6682135334472</v>
      </c>
      <c r="AQ369" s="29">
        <f ca="1">AP369/AA369</f>
        <v>6.5885955564569691</v>
      </c>
      <c r="AR369" s="25">
        <f t="shared" ca="1" si="1014"/>
        <v>189.86486486486487</v>
      </c>
      <c r="AS369" s="76"/>
      <c r="AT369" s="76"/>
    </row>
    <row r="370" spans="1:46" ht="15.75" customHeight="1" x14ac:dyDescent="0.25">
      <c r="A370" s="70"/>
      <c r="B370" s="16">
        <v>14</v>
      </c>
      <c r="C370" s="16" t="s">
        <v>27</v>
      </c>
      <c r="D370" s="17">
        <v>30</v>
      </c>
      <c r="E370" s="18">
        <f ca="1">IFERROR(__xludf.DUMMYFUNCTION("COUNT(IMPORTRANGE(""https://docs.google.com/spreadsheets/d/1LsL4JuXvBtfJ-TVi4NFml9lV_pmd61b789A_nbO-QrA/edit"",""14!d2:d31""))"),29)</f>
        <v>29</v>
      </c>
      <c r="F370" s="23">
        <f ca="1">IFERROR(__xludf.DUMMYFUNCTION("SUM(IMPORTRANGE(""https://docs.google.com/spreadsheets/d/1LsL4JuXvBtfJ-TVi4NFml9lV_pmd61b789A_nbO-QrA/edit"",""14!Q2:Q31""))"),5345.84999999999)</f>
        <v>5345.8499999999904</v>
      </c>
      <c r="G370" s="18">
        <f ca="1">IFERROR(__xludf.DUMMYFUNCTION("IMPORTRANGE(""https://docs.google.com/spreadsheets/d/1LsL4JuXvBtfJ-TVi4NFml9lV_pmd61b789A_nbO-QrA/edit"",""14!e38"")"),2973)</f>
        <v>2973</v>
      </c>
      <c r="H370" s="18">
        <f ca="1">IFERROR(__xludf.DUMMYFUNCTION("IMPORTRANGE(""https://docs.google.com/spreadsheets/d/1LsL4JuXvBtfJ-TVi4NFml9lV_pmd61b789A_nbO-QrA/edit"",""14!e39"")"),0)</f>
        <v>0</v>
      </c>
      <c r="I370" s="18">
        <f t="shared" ca="1" si="987"/>
        <v>2973</v>
      </c>
      <c r="J370" s="18">
        <f ca="1">IFERROR(__xludf.DUMMYFUNCTION("IMPORTRANGE(""https://docs.google.com/spreadsheets/d/1LsL4JuXvBtfJ-TVi4NFml9lV_pmd61b789A_nbO-QrA/edit"",""14!e42"")"),2407)</f>
        <v>2407</v>
      </c>
      <c r="K370" s="18">
        <f ca="1">IFERROR(__xludf.DUMMYFUNCTION("IMPORTRANGE(""https://docs.google.com/spreadsheets/d/1LsL4JuXvBtfJ-TVi4NFml9lV_pmd61b789A_nbO-QrA/edit"",""14!e43"")"),0)</f>
        <v>0</v>
      </c>
      <c r="L370" s="18">
        <f t="shared" ca="1" si="1017"/>
        <v>2407</v>
      </c>
      <c r="M370" s="18">
        <f t="shared" ca="1" si="989"/>
        <v>5380</v>
      </c>
      <c r="N370" s="19">
        <f t="shared" ca="1" si="990"/>
        <v>184.33965517241347</v>
      </c>
      <c r="O370" s="16">
        <v>8101</v>
      </c>
      <c r="P370" s="20">
        <f t="shared" ca="1" si="991"/>
        <v>0.66411554129119865</v>
      </c>
      <c r="Q370" s="21">
        <v>1.5</v>
      </c>
      <c r="R370" s="20">
        <f t="shared" ca="1" si="992"/>
        <v>0.67092542190047855</v>
      </c>
      <c r="S370" s="22">
        <f t="shared" ca="1" si="993"/>
        <v>1.0063881328507178</v>
      </c>
      <c r="T370" s="21">
        <f ca="1">F370/19.985</f>
        <v>267.49311983987945</v>
      </c>
      <c r="U370" s="21">
        <f t="shared" ca="1" si="994"/>
        <v>9.2239006841337741</v>
      </c>
      <c r="V370" s="18">
        <f t="shared" ca="1" si="995"/>
        <v>185.51724137931035</v>
      </c>
      <c r="W370" s="76"/>
      <c r="X370" s="97" t="s">
        <v>44</v>
      </c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9"/>
      <c r="AS370" s="76"/>
      <c r="AT370" s="76"/>
    </row>
    <row r="371" spans="1:46" ht="15.75" customHeight="1" x14ac:dyDescent="0.25">
      <c r="A371" s="70"/>
      <c r="B371" s="16">
        <v>15</v>
      </c>
      <c r="C371" s="16" t="s">
        <v>40</v>
      </c>
      <c r="D371" s="17">
        <v>30</v>
      </c>
      <c r="E371" s="18">
        <f ca="1">IFERROR(__xludf.DUMMYFUNCTION("COUNT(IMPORTRANGE(""https://docs.google.com/spreadsheets/d/1Krav0MVlY0vbUNsFRDnb_kR72_tyuGnWBYbGjNZrl18/edit"",""14!d2:d31""))"),30)</f>
        <v>30</v>
      </c>
      <c r="F371" s="23">
        <f ca="1">IFERROR(__xludf.DUMMYFUNCTION("SUM(IMPORTRANGE(""https://docs.google.com/spreadsheets/d/1Krav0MVlY0vbUNsFRDnb_kR72_tyuGnWBYbGjNZrl18/edit"",""14!Q2:Q31""))"),5916.14399999999)</f>
        <v>5916.1439999999902</v>
      </c>
      <c r="G371" s="18">
        <f ca="1">IFERROR(__xludf.DUMMYFUNCTION("IMPORTRANGE(""https://docs.google.com/spreadsheets/d/1Krav0MVlY0vbUNsFRDnb_kR72_tyuGnWBYbGjNZrl18/edit"",""14!e38"")"),3501)</f>
        <v>3501</v>
      </c>
      <c r="H371" s="18">
        <f ca="1">IFERROR(__xludf.DUMMYFUNCTION("IMPORTRANGE(""https://docs.google.com/spreadsheets/d/1Krav0MVlY0vbUNsFRDnb_kR72_tyuGnWBYbGjNZrl18/edit"",""14!e39"")"),123)</f>
        <v>123</v>
      </c>
      <c r="I371" s="18">
        <f t="shared" ca="1" si="987"/>
        <v>3624</v>
      </c>
      <c r="J371" s="18">
        <f ca="1">IFERROR(__xludf.DUMMYFUNCTION("IMPORTRANGE(""https://docs.google.com/spreadsheets/d/1Krav0MVlY0vbUNsFRDnb_kR72_tyuGnWBYbGjNZrl18/edit"",""14!e42"")"),3579)</f>
        <v>3579</v>
      </c>
      <c r="K371" s="18">
        <f ca="1">IFERROR(__xludf.DUMMYFUNCTION("IMPORTRANGE(""https://docs.google.com/spreadsheets/d/1Krav0MVlY0vbUNsFRDnb_kR72_tyuGnWBYbGjNZrl18/edit"",""14!e43"")"),162)</f>
        <v>162</v>
      </c>
      <c r="L371" s="18">
        <f t="shared" ca="1" si="1017"/>
        <v>3741</v>
      </c>
      <c r="M371" s="18">
        <f t="shared" ca="1" si="989"/>
        <v>7365</v>
      </c>
      <c r="N371" s="19">
        <f t="shared" ca="1" si="990"/>
        <v>197.20479999999966</v>
      </c>
      <c r="O371" s="16">
        <v>8239</v>
      </c>
      <c r="P371" s="20">
        <f t="shared" ca="1" si="991"/>
        <v>0.89391916494720236</v>
      </c>
      <c r="Q371" s="21">
        <v>1.5</v>
      </c>
      <c r="R371" s="20">
        <f t="shared" ca="1" si="992"/>
        <v>0.82993246952745026</v>
      </c>
      <c r="S371" s="22">
        <f t="shared" ca="1" si="993"/>
        <v>1.2448987042911754</v>
      </c>
      <c r="T371" s="21">
        <f ca="1">F371/28.443</f>
        <v>207.99999999999966</v>
      </c>
      <c r="U371" s="21">
        <f t="shared" ca="1" si="994"/>
        <v>6.933333333333322</v>
      </c>
      <c r="V371" s="18">
        <f t="shared" ca="1" si="995"/>
        <v>245.5</v>
      </c>
      <c r="W371" s="76"/>
      <c r="X371" s="1" t="s">
        <v>2</v>
      </c>
      <c r="Y371" s="1" t="s">
        <v>3</v>
      </c>
      <c r="Z371" s="1" t="s">
        <v>4</v>
      </c>
      <c r="AA371" s="1" t="s">
        <v>5</v>
      </c>
      <c r="AB371" s="2" t="s">
        <v>6</v>
      </c>
      <c r="AC371" s="1" t="s">
        <v>7</v>
      </c>
      <c r="AD371" s="1" t="s">
        <v>8</v>
      </c>
      <c r="AE371" s="1" t="s">
        <v>9</v>
      </c>
      <c r="AF371" s="1" t="s">
        <v>10</v>
      </c>
      <c r="AG371" s="1" t="s">
        <v>11</v>
      </c>
      <c r="AH371" s="1" t="s">
        <v>12</v>
      </c>
      <c r="AI371" s="1" t="s">
        <v>13</v>
      </c>
      <c r="AJ371" s="2" t="s">
        <v>14</v>
      </c>
      <c r="AK371" s="1" t="s">
        <v>15</v>
      </c>
      <c r="AL371" s="1" t="s">
        <v>16</v>
      </c>
      <c r="AM371" s="3" t="s">
        <v>17</v>
      </c>
      <c r="AN371" s="4" t="s">
        <v>18</v>
      </c>
      <c r="AO371" s="5" t="s">
        <v>19</v>
      </c>
      <c r="AP371" s="6" t="s">
        <v>20</v>
      </c>
      <c r="AQ371" s="6" t="s">
        <v>21</v>
      </c>
      <c r="AR371" s="7" t="s">
        <v>22</v>
      </c>
      <c r="AS371" s="76"/>
      <c r="AT371" s="76"/>
    </row>
    <row r="372" spans="1:46" ht="15.75" customHeight="1" x14ac:dyDescent="0.25">
      <c r="A372" s="70"/>
      <c r="B372" s="16">
        <v>16</v>
      </c>
      <c r="C372" s="16" t="s">
        <v>42</v>
      </c>
      <c r="D372" s="17">
        <v>33</v>
      </c>
      <c r="E372" s="18">
        <f ca="1">IFERROR(__xludf.DUMMYFUNCTION("COUNT(IMPORTRANGE(""https://docs.google.com/spreadsheets/d/1uXtm-E8PG0CetlFmSpTX3RK0LNEMnpR-mxbET9AGD6w/edit"",""14!d2:d34""))"),33)</f>
        <v>33</v>
      </c>
      <c r="F372" s="23">
        <f ca="1">IFERROR(__xludf.DUMMYFUNCTION("SUM(IMPORTRANGE(""https://docs.google.com/spreadsheets/d/1uXtm-E8PG0CetlFmSpTX3RK0LNEMnpR-mxbET9AGD6w/edit"",""14!Q2:Q34""))"),6458.74699999999)</f>
        <v>6458.7469999999903</v>
      </c>
      <c r="G372" s="18">
        <f ca="1">IFERROR(__xludf.DUMMYFUNCTION("IMPORTRANGE(""https://docs.google.com/spreadsheets/d/1uXtm-E8PG0CetlFmSpTX3RK0LNEMnpR-mxbET9AGD6w/edit"",""14!e41"")"),3620)</f>
        <v>3620</v>
      </c>
      <c r="H372" s="18">
        <f ca="1">IFERROR(__xludf.DUMMYFUNCTION("IMPORTRANGE(""https://docs.google.com/spreadsheets/d/1uXtm-E8PG0CetlFmSpTX3RK0LNEMnpR-mxbET9AGD6w/edit"",""14!e42"")"),0)</f>
        <v>0</v>
      </c>
      <c r="I372" s="18">
        <f t="shared" ca="1" si="987"/>
        <v>3620</v>
      </c>
      <c r="J372" s="18">
        <f ca="1">IFERROR(__xludf.DUMMYFUNCTION("IMPORTRANGE(""https://docs.google.com/spreadsheets/d/1uXtm-E8PG0CetlFmSpTX3RK0LNEMnpR-mxbET9AGD6w/edit"",""14!e45"")"),3895)</f>
        <v>3895</v>
      </c>
      <c r="K372" s="18">
        <f ca="1">IFERROR(__xludf.DUMMYFUNCTION("IMPORTRANGE(""https://docs.google.com/spreadsheets/d/1uXtm-E8PG0CetlFmSpTX3RK0LNEMnpR-mxbET9AGD6w/edit"",""14!e46"")"),216)</f>
        <v>216</v>
      </c>
      <c r="L372" s="18">
        <f t="shared" ca="1" si="1017"/>
        <v>4111</v>
      </c>
      <c r="M372" s="18">
        <f t="shared" ca="1" si="989"/>
        <v>7731</v>
      </c>
      <c r="N372" s="19">
        <f t="shared" ca="1" si="990"/>
        <v>195.71960606060577</v>
      </c>
      <c r="O372" s="16">
        <v>9877</v>
      </c>
      <c r="P372" s="20">
        <f t="shared" ca="1" si="991"/>
        <v>0.7827275488508656</v>
      </c>
      <c r="Q372" s="21">
        <v>1.5</v>
      </c>
      <c r="R372" s="20">
        <f t="shared" ca="1" si="992"/>
        <v>0.79798759728473767</v>
      </c>
      <c r="S372" s="22">
        <f t="shared" ca="1" si="993"/>
        <v>1.1969813959271065</v>
      </c>
      <c r="T372" s="21">
        <f ca="1">F372/26.155</f>
        <v>246.94119671190938</v>
      </c>
      <c r="U372" s="21">
        <f t="shared" ca="1" si="994"/>
        <v>7.4830665670275573</v>
      </c>
      <c r="V372" s="18">
        <f t="shared" ca="1" si="995"/>
        <v>234.27272727272728</v>
      </c>
      <c r="W372" s="76"/>
      <c r="X372" s="8">
        <v>1</v>
      </c>
      <c r="Y372" s="8" t="s">
        <v>26</v>
      </c>
      <c r="Z372" s="8">
        <f t="shared" ref="Z372:AI372" si="1029">SUM(D357)</f>
        <v>20</v>
      </c>
      <c r="AA372" s="9">
        <f t="shared" ca="1" si="1029"/>
        <v>20</v>
      </c>
      <c r="AB372" s="11">
        <f t="shared" ca="1" si="1029"/>
        <v>3878.2469999999998</v>
      </c>
      <c r="AC372" s="9">
        <f t="shared" ca="1" si="1029"/>
        <v>2071</v>
      </c>
      <c r="AD372" s="9">
        <f t="shared" ca="1" si="1029"/>
        <v>0</v>
      </c>
      <c r="AE372" s="9">
        <f t="shared" ca="1" si="1029"/>
        <v>2071</v>
      </c>
      <c r="AF372" s="9">
        <f t="shared" ca="1" si="1029"/>
        <v>3050</v>
      </c>
      <c r="AG372" s="9">
        <f t="shared" ca="1" si="1029"/>
        <v>0</v>
      </c>
      <c r="AH372" s="9">
        <f t="shared" ca="1" si="1029"/>
        <v>3050</v>
      </c>
      <c r="AI372" s="9">
        <f t="shared" ca="1" si="1029"/>
        <v>5121</v>
      </c>
      <c r="AJ372" s="11">
        <f t="shared" ref="AJ372:AJ378" ca="1" si="1030">AB372/AA372</f>
        <v>193.91235</v>
      </c>
      <c r="AK372" s="8">
        <f>SUM(O357)</f>
        <v>5161</v>
      </c>
      <c r="AL372" s="12">
        <f t="shared" ref="AL372:AL378" ca="1" si="1031">AI372/AK372</f>
        <v>0.99224956403797715</v>
      </c>
      <c r="AM372" s="13">
        <f>SUM(Q357)</f>
        <v>1.5</v>
      </c>
      <c r="AN372" s="12">
        <f t="shared" ref="AN372:AN378" ca="1" si="1032">AO372/AM372</f>
        <v>0.88029462795948799</v>
      </c>
      <c r="AO372" s="14">
        <f t="shared" ref="AO372:AO378" ca="1" si="1033">AI372/AB372</f>
        <v>1.3204419419392319</v>
      </c>
      <c r="AP372" s="13">
        <f t="shared" ref="AP372:AQ372" ca="1" si="1034">SUM(T357)</f>
        <v>269.04245577523415</v>
      </c>
      <c r="AQ372" s="13">
        <f t="shared" ca="1" si="1034"/>
        <v>13.452122788761708</v>
      </c>
      <c r="AR372" s="9">
        <f t="shared" ref="AR372:AR378" ca="1" si="1035">AI372/AA372</f>
        <v>256.05</v>
      </c>
      <c r="AS372" s="76"/>
      <c r="AT372" s="76"/>
    </row>
    <row r="373" spans="1:46" ht="15.75" customHeight="1" x14ac:dyDescent="0.25">
      <c r="A373" s="70"/>
      <c r="B373" s="16">
        <v>17</v>
      </c>
      <c r="C373" s="16" t="s">
        <v>29</v>
      </c>
      <c r="D373" s="17">
        <v>30</v>
      </c>
      <c r="E373" s="18">
        <f ca="1">IFERROR(__xludf.DUMMYFUNCTION("COUNT(IMPORTRANGE(""https://docs.google.com/spreadsheets/d/12xcKI0lSnAsjEsxfm9K8Qx0B_89Gzsh816mowItkQao/edit"",""14!d2:d31""))"),28)</f>
        <v>28</v>
      </c>
      <c r="F373" s="23">
        <f ca="1">IFERROR(__xludf.DUMMYFUNCTION("SUM(IMPORTRANGE(""https://docs.google.com/spreadsheets/d/12xcKI0lSnAsjEsxfm9K8Qx0B_89Gzsh816mowItkQao/edit"",""14!Q2:Q31""))"),5572.132)</f>
        <v>5572.1319999999996</v>
      </c>
      <c r="G373" s="18">
        <f ca="1">IFERROR(__xludf.DUMMYFUNCTION("IMPORTRANGE(""https://docs.google.com/spreadsheets/d/12xcKI0lSnAsjEsxfm9K8Qx0B_89Gzsh816mowItkQao/edit"",""14!e38"")"),2895)</f>
        <v>2895</v>
      </c>
      <c r="H373" s="18">
        <f ca="1">IFERROR(__xludf.DUMMYFUNCTION("IMPORTRANGE(""https://docs.google.com/spreadsheets/d/12xcKI0lSnAsjEsxfm9K8Qx0B_89Gzsh816mowItkQao/edit"",""14!e39"")"),0)</f>
        <v>0</v>
      </c>
      <c r="I373" s="18">
        <f t="shared" ca="1" si="987"/>
        <v>2895</v>
      </c>
      <c r="J373" s="18">
        <f ca="1">IFERROR(__xludf.DUMMYFUNCTION("IMPORTRANGE(""https://docs.google.com/spreadsheets/d/12xcKI0lSnAsjEsxfm9K8Qx0B_89Gzsh816mowItkQao/edit"",""14!e42"")"),4023)</f>
        <v>4023</v>
      </c>
      <c r="K373" s="18">
        <f ca="1">IFERROR(__xludf.DUMMYFUNCTION("IMPORTRANGE(""https://docs.google.com/spreadsheets/d/12xcKI0lSnAsjEsxfm9K8Qx0B_89Gzsh816mowItkQao/edit"",""14!e43"")"),0)</f>
        <v>0</v>
      </c>
      <c r="L373" s="18">
        <f t="shared" ca="1" si="1017"/>
        <v>4023</v>
      </c>
      <c r="M373" s="18">
        <f t="shared" ca="1" si="989"/>
        <v>6918</v>
      </c>
      <c r="N373" s="19">
        <f t="shared" ca="1" si="990"/>
        <v>199.00471428571427</v>
      </c>
      <c r="O373" s="16">
        <v>9201</v>
      </c>
      <c r="P373" s="20">
        <f t="shared" ca="1" si="991"/>
        <v>0.7518747962178024</v>
      </c>
      <c r="Q373" s="21">
        <v>1.5</v>
      </c>
      <c r="R373" s="20">
        <f t="shared" ca="1" si="992"/>
        <v>0.82769037057987871</v>
      </c>
      <c r="S373" s="22">
        <f t="shared" ca="1" si="993"/>
        <v>1.241535555869818</v>
      </c>
      <c r="T373" s="21">
        <f ca="1">F373/26.038</f>
        <v>213.99999999999997</v>
      </c>
      <c r="U373" s="21">
        <f t="shared" ca="1" si="994"/>
        <v>7.6428571428571415</v>
      </c>
      <c r="V373" s="18">
        <f t="shared" ca="1" si="995"/>
        <v>247.07142857142858</v>
      </c>
      <c r="W373" s="76"/>
      <c r="X373" s="8">
        <v>2</v>
      </c>
      <c r="Y373" s="8" t="s">
        <v>32</v>
      </c>
      <c r="Z373" s="8">
        <f t="shared" ref="Z373:AI373" si="1036">SUM(D360)</f>
        <v>42</v>
      </c>
      <c r="AA373" s="9">
        <f t="shared" ca="1" si="1036"/>
        <v>41</v>
      </c>
      <c r="AB373" s="10">
        <f t="shared" ca="1" si="1036"/>
        <v>8179.0139999999901</v>
      </c>
      <c r="AC373" s="8">
        <f t="shared" ca="1" si="1036"/>
        <v>4663</v>
      </c>
      <c r="AD373" s="8">
        <f t="shared" ca="1" si="1036"/>
        <v>170</v>
      </c>
      <c r="AE373" s="9">
        <f t="shared" ca="1" si="1036"/>
        <v>4833</v>
      </c>
      <c r="AF373" s="8">
        <f t="shared" ca="1" si="1036"/>
        <v>5127</v>
      </c>
      <c r="AG373" s="8">
        <f t="shared" ca="1" si="1036"/>
        <v>343</v>
      </c>
      <c r="AH373" s="9">
        <f t="shared" ca="1" si="1036"/>
        <v>5470</v>
      </c>
      <c r="AI373" s="9">
        <f t="shared" ca="1" si="1036"/>
        <v>10303</v>
      </c>
      <c r="AJ373" s="11">
        <f t="shared" ca="1" si="1030"/>
        <v>199.48814634146316</v>
      </c>
      <c r="AK373" s="8">
        <f>SUM(O360)</f>
        <v>13817</v>
      </c>
      <c r="AL373" s="12">
        <f t="shared" ca="1" si="1031"/>
        <v>0.74567561699355867</v>
      </c>
      <c r="AM373" s="13">
        <f>SUM(Q360)</f>
        <v>1.5</v>
      </c>
      <c r="AN373" s="12">
        <f t="shared" ca="1" si="1032"/>
        <v>0.83979152825348813</v>
      </c>
      <c r="AO373" s="14">
        <f t="shared" ca="1" si="1033"/>
        <v>1.2596872923802322</v>
      </c>
      <c r="AP373" s="13">
        <f t="shared" ref="AP373:AQ373" ca="1" si="1037">SUM(T360)</f>
        <v>325.9999999999996</v>
      </c>
      <c r="AQ373" s="13">
        <f t="shared" ca="1" si="1037"/>
        <v>7.9512195121951121</v>
      </c>
      <c r="AR373" s="9">
        <f t="shared" ca="1" si="1035"/>
        <v>251.29268292682926</v>
      </c>
      <c r="AS373" s="76"/>
      <c r="AT373" s="76"/>
    </row>
    <row r="374" spans="1:46" ht="15.75" customHeight="1" x14ac:dyDescent="0.25">
      <c r="A374" s="70"/>
      <c r="B374" s="16">
        <v>18</v>
      </c>
      <c r="C374" s="16" t="s">
        <v>31</v>
      </c>
      <c r="D374" s="17">
        <v>15</v>
      </c>
      <c r="E374" s="18">
        <f ca="1">IFERROR(__xludf.DUMMYFUNCTION("COUNT(IMPORTRANGE(""https://docs.google.com/spreadsheets/d/1fgCFOFzOla4Qim6_-zG-lbYhLCItqv_kZiAHoErRgcM/edit"",""14!d2:d16""))"),14)</f>
        <v>14</v>
      </c>
      <c r="F374" s="19">
        <f ca="1">IFERROR(__xludf.DUMMYFUNCTION("SUM(IMPORTRANGE(""https://docs.google.com/spreadsheets/d/1fgCFOFzOla4Qim6_-zG-lbYhLCItqv_kZiAHoErRgcM/edit"",""14!Q2:Q16""))"),2651.365)</f>
        <v>2651.3649999999998</v>
      </c>
      <c r="G374" s="18">
        <f ca="1">IFERROR(__xludf.DUMMYFUNCTION("IMPORTRANGE(""https://docs.google.com/spreadsheets/d/1fgCFOFzOla4Qim6_-zG-lbYhLCItqv_kZiAHoErRgcM/edit"",""14!e23"")"),737)</f>
        <v>737</v>
      </c>
      <c r="H374" s="18">
        <f ca="1">IFERROR(__xludf.DUMMYFUNCTION("IMPORTRANGE(""https://docs.google.com/spreadsheets/d/1fgCFOFzOla4Qim6_-zG-lbYhLCItqv_kZiAHoErRgcM/edit"",""14!e24"")"),59)</f>
        <v>59</v>
      </c>
      <c r="I374" s="18">
        <f t="shared" ca="1" si="987"/>
        <v>796</v>
      </c>
      <c r="J374" s="18">
        <f ca="1">IFERROR(__xludf.DUMMYFUNCTION("IMPORTRANGE(""https://docs.google.com/spreadsheets/d/1fgCFOFzOla4Qim6_-zG-lbYhLCItqv_kZiAHoErRgcM/edit"",""14!e27"")"),1167)</f>
        <v>1167</v>
      </c>
      <c r="K374" s="18">
        <f ca="1">IFERROR(__xludf.DUMMYFUNCTION("IMPORTRANGE(""https://docs.google.com/spreadsheets/d/1fgCFOFzOla4Qim6_-zG-lbYhLCItqv_kZiAHoErRgcM/edit"",""14!e28"")"),30)</f>
        <v>30</v>
      </c>
      <c r="L374" s="18">
        <f t="shared" ca="1" si="1017"/>
        <v>1197</v>
      </c>
      <c r="M374" s="18">
        <f t="shared" ca="1" si="989"/>
        <v>1993</v>
      </c>
      <c r="N374" s="19">
        <f t="shared" ca="1" si="990"/>
        <v>189.38321428571427</v>
      </c>
      <c r="O374" s="16">
        <v>2717</v>
      </c>
      <c r="P374" s="20">
        <f t="shared" ca="1" si="991"/>
        <v>0.73352962826647039</v>
      </c>
      <c r="Q374" s="21">
        <v>1.5</v>
      </c>
      <c r="R374" s="20">
        <f t="shared" ca="1" si="992"/>
        <v>0.50112552087949669</v>
      </c>
      <c r="S374" s="22">
        <f t="shared" ca="1" si="993"/>
        <v>0.75168828131924503</v>
      </c>
      <c r="T374" s="21">
        <f ca="1">F374/43.465</f>
        <v>60.999999999999993</v>
      </c>
      <c r="U374" s="21">
        <f t="shared" ca="1" si="994"/>
        <v>4.3571428571428568</v>
      </c>
      <c r="V374" s="18">
        <f t="shared" ca="1" si="995"/>
        <v>142.35714285714286</v>
      </c>
      <c r="W374" s="76"/>
      <c r="X374" s="8">
        <v>3</v>
      </c>
      <c r="Y374" s="8" t="s">
        <v>36</v>
      </c>
      <c r="Z374" s="8">
        <f t="shared" ref="Z374:AI374" si="1038">SUM(D365)</f>
        <v>24</v>
      </c>
      <c r="AA374" s="9">
        <f t="shared" ca="1" si="1038"/>
        <v>23</v>
      </c>
      <c r="AB374" s="10">
        <f t="shared" ca="1" si="1038"/>
        <v>4593.942</v>
      </c>
      <c r="AC374" s="9">
        <f t="shared" ca="1" si="1038"/>
        <v>1582</v>
      </c>
      <c r="AD374" s="9">
        <f t="shared" ca="1" si="1038"/>
        <v>0</v>
      </c>
      <c r="AE374" s="9">
        <f t="shared" ca="1" si="1038"/>
        <v>1582</v>
      </c>
      <c r="AF374" s="9">
        <f t="shared" ca="1" si="1038"/>
        <v>1998</v>
      </c>
      <c r="AG374" s="9">
        <f t="shared" ca="1" si="1038"/>
        <v>0</v>
      </c>
      <c r="AH374" s="9">
        <f t="shared" ca="1" si="1038"/>
        <v>1998</v>
      </c>
      <c r="AI374" s="9">
        <f t="shared" ca="1" si="1038"/>
        <v>3580</v>
      </c>
      <c r="AJ374" s="11">
        <f t="shared" ca="1" si="1030"/>
        <v>199.73660869565217</v>
      </c>
      <c r="AK374" s="8">
        <f t="shared" ref="AK374:AK377" si="1039">SUM(O365)</f>
        <v>4796</v>
      </c>
      <c r="AL374" s="12">
        <f t="shared" ca="1" si="1031"/>
        <v>0.74645537948290241</v>
      </c>
      <c r="AM374" s="13">
        <f t="shared" ref="AM374:AM377" si="1040">SUM(Q365)</f>
        <v>1.5</v>
      </c>
      <c r="AN374" s="12">
        <f t="shared" ca="1" si="1032"/>
        <v>0.51952477124584218</v>
      </c>
      <c r="AO374" s="14">
        <f t="shared" ca="1" si="1033"/>
        <v>0.77928715686876326</v>
      </c>
      <c r="AP374" s="13">
        <f t="shared" ref="AP374:AQ374" ca="1" si="1041">SUM(T365)</f>
        <v>122.78671085689848</v>
      </c>
      <c r="AQ374" s="13">
        <f t="shared" ca="1" si="1041"/>
        <v>5.3385526459521078</v>
      </c>
      <c r="AR374" s="9">
        <f t="shared" ca="1" si="1035"/>
        <v>155.65217391304347</v>
      </c>
      <c r="AS374" s="76"/>
      <c r="AT374" s="76"/>
    </row>
    <row r="375" spans="1:46" ht="15.75" customHeight="1" x14ac:dyDescent="0.2">
      <c r="A375" s="70"/>
      <c r="B375" s="98" t="s">
        <v>33</v>
      </c>
      <c r="C375" s="98">
        <v>18</v>
      </c>
      <c r="D375" s="98">
        <f t="shared" ref="D375:M375" si="1042">SUM(D357:D374)</f>
        <v>580</v>
      </c>
      <c r="E375" s="74">
        <f t="shared" ca="1" si="1042"/>
        <v>567</v>
      </c>
      <c r="F375" s="99">
        <f t="shared" ca="1" si="1042"/>
        <v>111848.13699999981</v>
      </c>
      <c r="G375" s="74">
        <f t="shared" ca="1" si="1042"/>
        <v>43805</v>
      </c>
      <c r="H375" s="74">
        <f t="shared" ca="1" si="1042"/>
        <v>1016</v>
      </c>
      <c r="I375" s="74">
        <f t="shared" ca="1" si="1042"/>
        <v>44821</v>
      </c>
      <c r="J375" s="74">
        <f t="shared" ca="1" si="1042"/>
        <v>53383</v>
      </c>
      <c r="K375" s="74">
        <f t="shared" ca="1" si="1042"/>
        <v>2864</v>
      </c>
      <c r="L375" s="74">
        <f t="shared" ca="1" si="1042"/>
        <v>56247</v>
      </c>
      <c r="M375" s="74">
        <f t="shared" ca="1" si="1042"/>
        <v>101068</v>
      </c>
      <c r="N375" s="99">
        <f t="shared" ca="1" si="990"/>
        <v>197.26302821869456</v>
      </c>
      <c r="O375" s="98">
        <f>SUM(O357:O374)</f>
        <v>126399</v>
      </c>
      <c r="P375" s="69">
        <f t="shared" ca="1" si="991"/>
        <v>0.79959493350422073</v>
      </c>
      <c r="Q375" s="72">
        <v>1.5</v>
      </c>
      <c r="R375" s="69">
        <f t="shared" ca="1" si="992"/>
        <v>0.6024120604410852</v>
      </c>
      <c r="S375" s="73">
        <f t="shared" ca="1" si="993"/>
        <v>0.90361809066162779</v>
      </c>
      <c r="T375" s="72">
        <f ca="1">SUM(T357:T374)</f>
        <v>4133.7246435864117</v>
      </c>
      <c r="U375" s="72">
        <f t="shared" ca="1" si="994"/>
        <v>7.2905196535915548</v>
      </c>
      <c r="V375" s="74">
        <f t="shared" ca="1" si="995"/>
        <v>178.2504409171076</v>
      </c>
      <c r="W375" s="76"/>
      <c r="X375" s="8">
        <v>4</v>
      </c>
      <c r="Y375" s="8" t="s">
        <v>37</v>
      </c>
      <c r="Z375" s="8">
        <f t="shared" ref="Z375:AI375" si="1043">SUM(D366)</f>
        <v>30</v>
      </c>
      <c r="AA375" s="9">
        <f t="shared" ca="1" si="1043"/>
        <v>29</v>
      </c>
      <c r="AB375" s="10">
        <f t="shared" ca="1" si="1043"/>
        <v>5798.7059999999901</v>
      </c>
      <c r="AC375" s="9">
        <f t="shared" ca="1" si="1043"/>
        <v>2085</v>
      </c>
      <c r="AD375" s="9">
        <f t="shared" ca="1" si="1043"/>
        <v>0</v>
      </c>
      <c r="AE375" s="9">
        <f t="shared" ca="1" si="1043"/>
        <v>2085</v>
      </c>
      <c r="AF375" s="9">
        <f t="shared" ca="1" si="1043"/>
        <v>2864</v>
      </c>
      <c r="AG375" s="9">
        <f t="shared" ca="1" si="1043"/>
        <v>0</v>
      </c>
      <c r="AH375" s="9">
        <f t="shared" ca="1" si="1043"/>
        <v>2864</v>
      </c>
      <c r="AI375" s="9">
        <f t="shared" ca="1" si="1043"/>
        <v>4949</v>
      </c>
      <c r="AJ375" s="11">
        <f t="shared" ca="1" si="1030"/>
        <v>199.95537931034448</v>
      </c>
      <c r="AK375" s="8">
        <f t="shared" si="1039"/>
        <v>5887</v>
      </c>
      <c r="AL375" s="12">
        <f t="shared" ca="1" si="1031"/>
        <v>0.84066587395957193</v>
      </c>
      <c r="AM375" s="13">
        <f t="shared" si="1040"/>
        <v>1.5</v>
      </c>
      <c r="AN375" s="12">
        <f t="shared" ca="1" si="1032"/>
        <v>0.56897751555835718</v>
      </c>
      <c r="AO375" s="14">
        <f t="shared" ca="1" si="1033"/>
        <v>0.85346627333753577</v>
      </c>
      <c r="AP375" s="13">
        <f t="shared" ref="AP375:AQ375" ca="1" si="1044">SUM(T366)</f>
        <v>233.89424007744392</v>
      </c>
      <c r="AQ375" s="13">
        <f t="shared" ca="1" si="1044"/>
        <v>8.0653186233601346</v>
      </c>
      <c r="AR375" s="9">
        <f t="shared" ca="1" si="1035"/>
        <v>170.65517241379311</v>
      </c>
      <c r="AS375" s="76"/>
      <c r="AT375" s="76"/>
    </row>
    <row r="376" spans="1:46" ht="15.75" customHeight="1" x14ac:dyDescent="0.2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6"/>
      <c r="X376" s="8">
        <v>5</v>
      </c>
      <c r="Y376" s="8" t="s">
        <v>39</v>
      </c>
      <c r="Z376" s="8">
        <f t="shared" ref="Z376:AI376" si="1045">SUM(D367)</f>
        <v>28</v>
      </c>
      <c r="AA376" s="9">
        <f t="shared" ca="1" si="1045"/>
        <v>28</v>
      </c>
      <c r="AB376" s="10">
        <f t="shared" ca="1" si="1045"/>
        <v>5415.9519999999902</v>
      </c>
      <c r="AC376" s="9">
        <f t="shared" ca="1" si="1045"/>
        <v>1228</v>
      </c>
      <c r="AD376" s="9">
        <f t="shared" ca="1" si="1045"/>
        <v>0</v>
      </c>
      <c r="AE376" s="9">
        <f t="shared" ca="1" si="1045"/>
        <v>1228</v>
      </c>
      <c r="AF376" s="9">
        <f t="shared" ca="1" si="1045"/>
        <v>1609</v>
      </c>
      <c r="AG376" s="9">
        <f t="shared" ca="1" si="1045"/>
        <v>177</v>
      </c>
      <c r="AH376" s="9">
        <f t="shared" ca="1" si="1045"/>
        <v>1786</v>
      </c>
      <c r="AI376" s="9">
        <f t="shared" ca="1" si="1045"/>
        <v>3014</v>
      </c>
      <c r="AJ376" s="11">
        <f t="shared" ca="1" si="1030"/>
        <v>193.42685714285679</v>
      </c>
      <c r="AK376" s="8">
        <f t="shared" si="1039"/>
        <v>3569</v>
      </c>
      <c r="AL376" s="12">
        <f t="shared" ca="1" si="1031"/>
        <v>0.84449425609414397</v>
      </c>
      <c r="AM376" s="13">
        <f t="shared" si="1040"/>
        <v>1.5</v>
      </c>
      <c r="AN376" s="12">
        <f t="shared" ca="1" si="1032"/>
        <v>0.37100279569193689</v>
      </c>
      <c r="AO376" s="14">
        <f t="shared" ca="1" si="1033"/>
        <v>0.55650419353790537</v>
      </c>
      <c r="AP376" s="13">
        <f t="shared" ref="AP376:AQ376" ca="1" si="1046">SUM(T367)</f>
        <v>252.33900200344732</v>
      </c>
      <c r="AQ376" s="13">
        <f t="shared" ca="1" si="1046"/>
        <v>9.0121072144088323</v>
      </c>
      <c r="AR376" s="9">
        <f t="shared" ca="1" si="1035"/>
        <v>107.64285714285714</v>
      </c>
      <c r="AS376" s="76"/>
      <c r="AT376" s="76"/>
    </row>
    <row r="377" spans="1:46" ht="15.75" customHeight="1" x14ac:dyDescent="0.2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6"/>
      <c r="X377" s="8">
        <v>6</v>
      </c>
      <c r="Y377" s="8" t="s">
        <v>41</v>
      </c>
      <c r="Z377" s="8">
        <f t="shared" ref="Z377:AI377" si="1047">SUM(D368)</f>
        <v>24</v>
      </c>
      <c r="AA377" s="9">
        <f t="shared" ca="1" si="1047"/>
        <v>24</v>
      </c>
      <c r="AB377" s="10">
        <f t="shared" ca="1" si="1047"/>
        <v>4704.268</v>
      </c>
      <c r="AC377" s="9">
        <f t="shared" ca="1" si="1047"/>
        <v>1336</v>
      </c>
      <c r="AD377" s="9">
        <f t="shared" ca="1" si="1047"/>
        <v>0</v>
      </c>
      <c r="AE377" s="9">
        <f t="shared" ca="1" si="1047"/>
        <v>1336</v>
      </c>
      <c r="AF377" s="9">
        <f t="shared" ca="1" si="1047"/>
        <v>1449</v>
      </c>
      <c r="AG377" s="9">
        <f t="shared" ca="1" si="1047"/>
        <v>840</v>
      </c>
      <c r="AH377" s="9">
        <f t="shared" ca="1" si="1047"/>
        <v>2289</v>
      </c>
      <c r="AI377" s="9">
        <f t="shared" ca="1" si="1047"/>
        <v>3625</v>
      </c>
      <c r="AJ377" s="11">
        <f t="shared" ca="1" si="1030"/>
        <v>196.01116666666667</v>
      </c>
      <c r="AK377" s="8">
        <f t="shared" si="1039"/>
        <v>3801</v>
      </c>
      <c r="AL377" s="12">
        <f t="shared" ca="1" si="1031"/>
        <v>0.95369639568534592</v>
      </c>
      <c r="AM377" s="13">
        <f t="shared" si="1040"/>
        <v>1.5</v>
      </c>
      <c r="AN377" s="12">
        <f t="shared" ca="1" si="1032"/>
        <v>0.51371789759143538</v>
      </c>
      <c r="AO377" s="14">
        <f t="shared" ca="1" si="1033"/>
        <v>0.77057684638715307</v>
      </c>
      <c r="AP377" s="13">
        <f t="shared" ref="AP377:AQ377" ca="1" si="1048">SUM(T368)</f>
        <v>158.77777777777777</v>
      </c>
      <c r="AQ377" s="13">
        <f t="shared" ca="1" si="1048"/>
        <v>6.6157407407407405</v>
      </c>
      <c r="AR377" s="9">
        <f t="shared" ca="1" si="1035"/>
        <v>151.04166666666666</v>
      </c>
      <c r="AS377" s="76"/>
      <c r="AT377" s="76"/>
    </row>
    <row r="378" spans="1:46" ht="15.75" customHeight="1" x14ac:dyDescent="0.25">
      <c r="A378" s="110" t="s">
        <v>45</v>
      </c>
      <c r="B378" s="76"/>
      <c r="C378" s="76"/>
      <c r="D378" s="75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24" t="s">
        <v>33</v>
      </c>
      <c r="Y378" s="24">
        <v>6</v>
      </c>
      <c r="Z378" s="24">
        <f t="shared" ref="Z378:AI378" si="1049">SUM(Z372:Z377)</f>
        <v>168</v>
      </c>
      <c r="AA378" s="25">
        <f t="shared" ca="1" si="1049"/>
        <v>165</v>
      </c>
      <c r="AB378" s="27">
        <f t="shared" ca="1" si="1049"/>
        <v>32570.128999999972</v>
      </c>
      <c r="AC378" s="25">
        <f t="shared" ca="1" si="1049"/>
        <v>12965</v>
      </c>
      <c r="AD378" s="25">
        <f t="shared" ca="1" si="1049"/>
        <v>170</v>
      </c>
      <c r="AE378" s="25">
        <f t="shared" ca="1" si="1049"/>
        <v>13135</v>
      </c>
      <c r="AF378" s="25">
        <f t="shared" ca="1" si="1049"/>
        <v>16097</v>
      </c>
      <c r="AG378" s="25">
        <f t="shared" ca="1" si="1049"/>
        <v>1360</v>
      </c>
      <c r="AH378" s="25">
        <f t="shared" ca="1" si="1049"/>
        <v>17457</v>
      </c>
      <c r="AI378" s="25">
        <f t="shared" ca="1" si="1049"/>
        <v>30592</v>
      </c>
      <c r="AJ378" s="27">
        <f t="shared" ca="1" si="1030"/>
        <v>197.39472121212103</v>
      </c>
      <c r="AK378" s="24">
        <f>SUM(AK372:AK377)</f>
        <v>37031</v>
      </c>
      <c r="AL378" s="28">
        <f t="shared" ca="1" si="1031"/>
        <v>0.82611865734114664</v>
      </c>
      <c r="AM378" s="29">
        <v>1.5</v>
      </c>
      <c r="AN378" s="28">
        <f t="shared" ca="1" si="1032"/>
        <v>0.626177030697873</v>
      </c>
      <c r="AO378" s="30">
        <f t="shared" ca="1" si="1033"/>
        <v>0.93926554604680956</v>
      </c>
      <c r="AP378" s="29">
        <f ca="1">SUM(AP372:AP377)</f>
        <v>1362.8401864908012</v>
      </c>
      <c r="AQ378" s="29">
        <f ca="1">AP378/AA378</f>
        <v>8.259637493883643</v>
      </c>
      <c r="AR378" s="25">
        <f t="shared" ca="1" si="1035"/>
        <v>185.40606060606061</v>
      </c>
      <c r="AS378" s="76"/>
      <c r="AT378" s="76"/>
    </row>
    <row r="379" spans="1:46" ht="15.75" customHeight="1" x14ac:dyDescent="0.2">
      <c r="A379" s="110" t="s">
        <v>45</v>
      </c>
      <c r="B379" s="76"/>
      <c r="C379" s="76"/>
      <c r="D379" s="75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7" t="s">
        <v>1</v>
      </c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9"/>
      <c r="AS379" s="76"/>
      <c r="AT379" s="76"/>
    </row>
    <row r="380" spans="1:46" ht="15.75" customHeight="1" x14ac:dyDescent="0.2">
      <c r="A380" s="109">
        <v>46218</v>
      </c>
      <c r="B380" s="80" t="s">
        <v>2</v>
      </c>
      <c r="C380" s="80" t="s">
        <v>3</v>
      </c>
      <c r="D380" s="80" t="s">
        <v>4</v>
      </c>
      <c r="E380" s="80" t="s">
        <v>5</v>
      </c>
      <c r="F380" s="81" t="s">
        <v>6</v>
      </c>
      <c r="G380" s="80" t="s">
        <v>7</v>
      </c>
      <c r="H380" s="80" t="s">
        <v>8</v>
      </c>
      <c r="I380" s="80" t="s">
        <v>9</v>
      </c>
      <c r="J380" s="80" t="s">
        <v>10</v>
      </c>
      <c r="K380" s="80" t="s">
        <v>11</v>
      </c>
      <c r="L380" s="80" t="s">
        <v>12</v>
      </c>
      <c r="M380" s="80" t="s">
        <v>13</v>
      </c>
      <c r="N380" s="81" t="s">
        <v>14</v>
      </c>
      <c r="O380" s="80" t="s">
        <v>15</v>
      </c>
      <c r="P380" s="80" t="s">
        <v>16</v>
      </c>
      <c r="Q380" s="80" t="s">
        <v>17</v>
      </c>
      <c r="R380" s="80" t="s">
        <v>18</v>
      </c>
      <c r="S380" s="106" t="s">
        <v>19</v>
      </c>
      <c r="T380" s="107" t="s">
        <v>20</v>
      </c>
      <c r="U380" s="107" t="s">
        <v>21</v>
      </c>
      <c r="V380" s="105" t="s">
        <v>22</v>
      </c>
      <c r="W380" s="76"/>
      <c r="X380" s="1" t="s">
        <v>2</v>
      </c>
      <c r="Y380" s="1" t="s">
        <v>3</v>
      </c>
      <c r="Z380" s="1" t="s">
        <v>4</v>
      </c>
      <c r="AA380" s="1" t="s">
        <v>5</v>
      </c>
      <c r="AB380" s="2" t="s">
        <v>6</v>
      </c>
      <c r="AC380" s="1" t="s">
        <v>7</v>
      </c>
      <c r="AD380" s="1" t="s">
        <v>8</v>
      </c>
      <c r="AE380" s="1" t="s">
        <v>9</v>
      </c>
      <c r="AF380" s="1" t="s">
        <v>10</v>
      </c>
      <c r="AG380" s="1" t="s">
        <v>11</v>
      </c>
      <c r="AH380" s="1" t="s">
        <v>12</v>
      </c>
      <c r="AI380" s="1" t="s">
        <v>13</v>
      </c>
      <c r="AJ380" s="2" t="s">
        <v>14</v>
      </c>
      <c r="AK380" s="1" t="s">
        <v>15</v>
      </c>
      <c r="AL380" s="1" t="s">
        <v>16</v>
      </c>
      <c r="AM380" s="3" t="s">
        <v>17</v>
      </c>
      <c r="AN380" s="4" t="s">
        <v>18</v>
      </c>
      <c r="AO380" s="5" t="s">
        <v>19</v>
      </c>
      <c r="AP380" s="6" t="s">
        <v>20</v>
      </c>
      <c r="AQ380" s="6" t="s">
        <v>21</v>
      </c>
      <c r="AR380" s="7" t="s">
        <v>22</v>
      </c>
      <c r="AS380" s="76"/>
      <c r="AT380" s="76"/>
    </row>
    <row r="381" spans="1:46" ht="15.75" customHeight="1" x14ac:dyDescent="0.2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6"/>
      <c r="X381" s="8">
        <v>1</v>
      </c>
      <c r="Y381" s="8" t="s">
        <v>23</v>
      </c>
      <c r="Z381" s="8">
        <f t="shared" ref="Z381:AI381" si="1050">SUM(D389)</f>
        <v>35</v>
      </c>
      <c r="AA381" s="9">
        <f t="shared" ca="1" si="1050"/>
        <v>33</v>
      </c>
      <c r="AB381" s="10">
        <f t="shared" ca="1" si="1050"/>
        <v>6410.5999999999904</v>
      </c>
      <c r="AC381" s="9">
        <f t="shared" ca="1" si="1050"/>
        <v>1867</v>
      </c>
      <c r="AD381" s="9">
        <f t="shared" ca="1" si="1050"/>
        <v>0</v>
      </c>
      <c r="AE381" s="9">
        <f t="shared" ca="1" si="1050"/>
        <v>1867</v>
      </c>
      <c r="AF381" s="9">
        <f t="shared" ca="1" si="1050"/>
        <v>3170</v>
      </c>
      <c r="AG381" s="9">
        <f t="shared" ca="1" si="1050"/>
        <v>0</v>
      </c>
      <c r="AH381" s="9">
        <f t="shared" ca="1" si="1050"/>
        <v>3170</v>
      </c>
      <c r="AI381" s="9">
        <f t="shared" ca="1" si="1050"/>
        <v>5037</v>
      </c>
      <c r="AJ381" s="11">
        <f t="shared" ref="AJ381:AJ383" ca="1" si="1051">AB381/AA381</f>
        <v>194.26060606060577</v>
      </c>
      <c r="AK381" s="8">
        <f>SUM(O389)</f>
        <v>6853</v>
      </c>
      <c r="AL381" s="12">
        <f t="shared" ref="AL381:AL387" ca="1" si="1052">AI381/AK381</f>
        <v>0.73500656646724061</v>
      </c>
      <c r="AM381" s="13">
        <f t="shared" ref="AM381:AM383" si="1053">SUM(Q389)</f>
        <v>1.5</v>
      </c>
      <c r="AN381" s="12">
        <f t="shared" ref="AN381:AN387" ca="1" si="1054">AO381/AM381</f>
        <v>0.52381992325211446</v>
      </c>
      <c r="AO381" s="14">
        <f t="shared" ref="AO381:AO387" ca="1" si="1055">AI381/AB381</f>
        <v>0.78572988487817175</v>
      </c>
      <c r="AP381" s="13">
        <f t="shared" ref="AP381:AQ381" ca="1" si="1056">SUM(T389)</f>
        <v>189.99999999999972</v>
      </c>
      <c r="AQ381" s="13">
        <f t="shared" ca="1" si="1056"/>
        <v>5.7575757575757489</v>
      </c>
      <c r="AR381" s="9">
        <f t="shared" ref="AR381:AR387" ca="1" si="1057">AI381/AA381</f>
        <v>152.63636363636363</v>
      </c>
      <c r="AS381" s="76"/>
      <c r="AT381" s="76"/>
    </row>
    <row r="382" spans="1:46" ht="15.75" customHeight="1" x14ac:dyDescent="0.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6"/>
      <c r="X382" s="8">
        <v>2</v>
      </c>
      <c r="Y382" s="8" t="s">
        <v>24</v>
      </c>
      <c r="Z382" s="8">
        <f t="shared" ref="Z382:AI382" si="1058">SUM(D390)</f>
        <v>44</v>
      </c>
      <c r="AA382" s="9">
        <f t="shared" ca="1" si="1058"/>
        <v>42</v>
      </c>
      <c r="AB382" s="10">
        <f t="shared" ca="1" si="1058"/>
        <v>7987.3229999999903</v>
      </c>
      <c r="AC382" s="9">
        <f t="shared" ca="1" si="1058"/>
        <v>1117</v>
      </c>
      <c r="AD382" s="9">
        <f t="shared" ca="1" si="1058"/>
        <v>0</v>
      </c>
      <c r="AE382" s="9">
        <f t="shared" ca="1" si="1058"/>
        <v>1117</v>
      </c>
      <c r="AF382" s="9">
        <f t="shared" ca="1" si="1058"/>
        <v>1409</v>
      </c>
      <c r="AG382" s="9">
        <f t="shared" ca="1" si="1058"/>
        <v>0</v>
      </c>
      <c r="AH382" s="9">
        <f t="shared" ca="1" si="1058"/>
        <v>1409</v>
      </c>
      <c r="AI382" s="9">
        <f t="shared" ca="1" si="1058"/>
        <v>2526</v>
      </c>
      <c r="AJ382" s="11">
        <f t="shared" ca="1" si="1051"/>
        <v>190.17435714285691</v>
      </c>
      <c r="AK382" s="8">
        <v>1580</v>
      </c>
      <c r="AL382" s="15">
        <f t="shared" ca="1" si="1052"/>
        <v>1.59873417721519</v>
      </c>
      <c r="AM382" s="13">
        <f t="shared" si="1053"/>
        <v>1.5</v>
      </c>
      <c r="AN382" s="12">
        <f t="shared" ca="1" si="1054"/>
        <v>0.21083409297458011</v>
      </c>
      <c r="AO382" s="14">
        <f t="shared" ca="1" si="1055"/>
        <v>0.31625113946187017</v>
      </c>
      <c r="AP382" s="13">
        <f t="shared" ref="AP382:AQ382" ca="1" si="1059">SUM(T390)</f>
        <v>297.97884722999407</v>
      </c>
      <c r="AQ382" s="13">
        <f t="shared" ca="1" si="1059"/>
        <v>7.094734457857002</v>
      </c>
      <c r="AR382" s="9">
        <f t="shared" ca="1" si="1057"/>
        <v>60.142857142857146</v>
      </c>
      <c r="AS382" s="76"/>
      <c r="AT382" s="76"/>
    </row>
    <row r="383" spans="1:46" ht="15.75" customHeight="1" x14ac:dyDescent="0.2">
      <c r="A383" s="70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6"/>
      <c r="X383" s="8">
        <v>3</v>
      </c>
      <c r="Y383" s="8" t="s">
        <v>25</v>
      </c>
      <c r="Z383" s="8">
        <f t="shared" ref="Z383:AI383" si="1060">SUM(D391)</f>
        <v>32</v>
      </c>
      <c r="AA383" s="9">
        <f t="shared" ca="1" si="1060"/>
        <v>32</v>
      </c>
      <c r="AB383" s="10">
        <f t="shared" ca="1" si="1060"/>
        <v>6356.924</v>
      </c>
      <c r="AC383" s="9">
        <f t="shared" ca="1" si="1060"/>
        <v>2512</v>
      </c>
      <c r="AD383" s="9">
        <f t="shared" ca="1" si="1060"/>
        <v>602</v>
      </c>
      <c r="AE383" s="9">
        <f t="shared" ca="1" si="1060"/>
        <v>3114</v>
      </c>
      <c r="AF383" s="9">
        <f t="shared" ca="1" si="1060"/>
        <v>2943</v>
      </c>
      <c r="AG383" s="9">
        <f t="shared" ca="1" si="1060"/>
        <v>556</v>
      </c>
      <c r="AH383" s="9">
        <f t="shared" ca="1" si="1060"/>
        <v>3499</v>
      </c>
      <c r="AI383" s="9">
        <f t="shared" ca="1" si="1060"/>
        <v>6613</v>
      </c>
      <c r="AJ383" s="11">
        <f t="shared" ca="1" si="1051"/>
        <v>198.653875</v>
      </c>
      <c r="AK383" s="8">
        <f>SUM(O391)</f>
        <v>6622</v>
      </c>
      <c r="AL383" s="12">
        <f t="shared" ca="1" si="1052"/>
        <v>0.99864089398973122</v>
      </c>
      <c r="AM383" s="13">
        <f t="shared" si="1053"/>
        <v>1.5</v>
      </c>
      <c r="AN383" s="12">
        <f t="shared" ca="1" si="1054"/>
        <v>0.69352200319945101</v>
      </c>
      <c r="AO383" s="14">
        <f t="shared" ca="1" si="1055"/>
        <v>1.0402830047991765</v>
      </c>
      <c r="AP383" s="13">
        <f t="shared" ref="AP383:AQ383" ca="1" si="1061">SUM(T391)</f>
        <v>266.64949664429531</v>
      </c>
      <c r="AQ383" s="13">
        <f t="shared" ca="1" si="1061"/>
        <v>8.3327967701342285</v>
      </c>
      <c r="AR383" s="9">
        <f t="shared" ca="1" si="1057"/>
        <v>206.65625</v>
      </c>
      <c r="AS383" s="76"/>
      <c r="AT383" s="76"/>
    </row>
    <row r="384" spans="1:46" ht="15.75" customHeight="1" x14ac:dyDescent="0.25">
      <c r="A384" s="70"/>
      <c r="B384" s="16">
        <v>1</v>
      </c>
      <c r="C384" s="16" t="s">
        <v>26</v>
      </c>
      <c r="D384" s="17">
        <v>20</v>
      </c>
      <c r="E384" s="18">
        <f ca="1">IFERROR(__xludf.DUMMYFUNCTION("COUNT(IMPORTRANGE(""https://docs.google.com/spreadsheets/d/1z0o91thOT38lgejTE_Bd2p3v_9VCDdQRkUsMIVqpQCk/edit"",""15!d2:d21""))"),20)</f>
        <v>20</v>
      </c>
      <c r="F384" s="19">
        <f ca="1">IFERROR(__xludf.DUMMYFUNCTION("SUM(IMPORTRANGE(""https://docs.google.com/spreadsheets/d/1z0o91thOT38lgejTE_Bd2p3v_9VCDdQRkUsMIVqpQCk/edit"",""15!Q2:Q21""))"),3625.908)</f>
        <v>3625.9079999999999</v>
      </c>
      <c r="G384" s="18">
        <f ca="1">IFERROR(__xludf.DUMMYFUNCTION("IMPORTRANGE(""https://docs.google.com/spreadsheets/d/1z0o91thOT38lgejTE_Bd2p3v_9VCDdQRkUsMIVqpQCk/edit"",""15!e28"")"),2202)</f>
        <v>2202</v>
      </c>
      <c r="H384" s="18">
        <f ca="1">IFERROR(__xludf.DUMMYFUNCTION("IMPORTRANGE(""https://docs.google.com/spreadsheets/d/1z0o91thOT38lgejTE_Bd2p3v_9VCDdQRkUsMIVqpQCk/edit"",""15!e29"")"),0)</f>
        <v>0</v>
      </c>
      <c r="I384" s="18">
        <f t="shared" ref="I384:I401" ca="1" si="1062">SUM(G384:H384)</f>
        <v>2202</v>
      </c>
      <c r="J384" s="18">
        <f ca="1">IFERROR(__xludf.DUMMYFUNCTION("IMPORTRANGE(""https://docs.google.com/spreadsheets/d/1z0o91thOT38lgejTE_Bd2p3v_9VCDdQRkUsMIVqpQCk/edit"",""15!e32"")"),2361)</f>
        <v>2361</v>
      </c>
      <c r="K384" s="18">
        <f ca="1">IFERROR(__xludf.DUMMYFUNCTION("IMPORTRANGE(""https://docs.google.com/spreadsheets/d/1z0o91thOT38lgejTE_Bd2p3v_9VCDdQRkUsMIVqpQCk/edit"",""15!e33"")"),151)</f>
        <v>151</v>
      </c>
      <c r="L384" s="18">
        <f t="shared" ref="L384:L390" ca="1" si="1063">SUM(J384:K384)</f>
        <v>2512</v>
      </c>
      <c r="M384" s="18">
        <f t="shared" ref="M384:M401" ca="1" si="1064">SUM(I384+L384)</f>
        <v>4714</v>
      </c>
      <c r="N384" s="19">
        <f t="shared" ref="N384:N402" ca="1" si="1065">F384/E384</f>
        <v>181.2954</v>
      </c>
      <c r="O384" s="16">
        <v>5161</v>
      </c>
      <c r="P384" s="20">
        <f t="shared" ref="P384:P402" ca="1" si="1066">M384/O384</f>
        <v>0.91338887812439451</v>
      </c>
      <c r="Q384" s="21">
        <v>1.5</v>
      </c>
      <c r="R384" s="20">
        <f t="shared" ref="R384:R402" ca="1" si="1067">S384/Q384</f>
        <v>0.86672542895921978</v>
      </c>
      <c r="S384" s="22">
        <f t="shared" ref="S384:S402" ca="1" si="1068">M384/F384</f>
        <v>1.3000881434388296</v>
      </c>
      <c r="T384" s="21">
        <f ca="1">F384/14.415</f>
        <v>251.53714880332987</v>
      </c>
      <c r="U384" s="21">
        <f t="shared" ref="U384:U402" ca="1" si="1069">T384/E384</f>
        <v>12.576857440166494</v>
      </c>
      <c r="V384" s="18">
        <f t="shared" ref="V384:V402" ca="1" si="1070">M384/E384</f>
        <v>235.7</v>
      </c>
      <c r="W384" s="76"/>
      <c r="X384" s="8">
        <v>4</v>
      </c>
      <c r="Y384" s="8" t="s">
        <v>27</v>
      </c>
      <c r="Z384" s="8">
        <f t="shared" ref="Z384:AK384" si="1071">SUM(D397)</f>
        <v>30</v>
      </c>
      <c r="AA384" s="9">
        <f t="shared" ca="1" si="1071"/>
        <v>30</v>
      </c>
      <c r="AB384" s="10">
        <f t="shared" ca="1" si="1071"/>
        <v>5885.4449999999997</v>
      </c>
      <c r="AC384" s="9">
        <f t="shared" ca="1" si="1071"/>
        <v>2620</v>
      </c>
      <c r="AD384" s="9">
        <f t="shared" ca="1" si="1071"/>
        <v>62</v>
      </c>
      <c r="AE384" s="9">
        <f t="shared" ca="1" si="1071"/>
        <v>2682</v>
      </c>
      <c r="AF384" s="9">
        <f t="shared" ca="1" si="1071"/>
        <v>2896</v>
      </c>
      <c r="AG384" s="9">
        <f t="shared" ca="1" si="1071"/>
        <v>35</v>
      </c>
      <c r="AH384" s="9">
        <f t="shared" ca="1" si="1071"/>
        <v>2931</v>
      </c>
      <c r="AI384" s="9">
        <f t="shared" ca="1" si="1071"/>
        <v>5613</v>
      </c>
      <c r="AJ384" s="11">
        <f t="shared" ca="1" si="1071"/>
        <v>196.1815</v>
      </c>
      <c r="AK384" s="8">
        <f t="shared" si="1071"/>
        <v>8101</v>
      </c>
      <c r="AL384" s="12">
        <f t="shared" ca="1" si="1052"/>
        <v>0.69287742254042706</v>
      </c>
      <c r="AM384" s="13">
        <f>SUM(Q397)</f>
        <v>1.5</v>
      </c>
      <c r="AN384" s="12">
        <f t="shared" ca="1" si="1054"/>
        <v>0.63580578868717663</v>
      </c>
      <c r="AO384" s="14">
        <f t="shared" ca="1" si="1055"/>
        <v>0.95370868303076495</v>
      </c>
      <c r="AP384" s="13">
        <f t="shared" ref="AP384:AQ384" ca="1" si="1072">SUM(T397)</f>
        <v>294.49311983987991</v>
      </c>
      <c r="AQ384" s="13">
        <f t="shared" ca="1" si="1072"/>
        <v>9.8164373279959971</v>
      </c>
      <c r="AR384" s="9">
        <f t="shared" ca="1" si="1057"/>
        <v>187.1</v>
      </c>
      <c r="AS384" s="76"/>
      <c r="AT384" s="76"/>
    </row>
    <row r="385" spans="1:46" ht="15.75" customHeight="1" x14ac:dyDescent="0.25">
      <c r="A385" s="70"/>
      <c r="B385" s="16">
        <v>2</v>
      </c>
      <c r="C385" s="16" t="s">
        <v>28</v>
      </c>
      <c r="D385" s="17">
        <v>33</v>
      </c>
      <c r="E385" s="18">
        <f ca="1">IFERROR(__xludf.DUMMYFUNCTION("COUNT(IMPORTRANGE(""https://docs.google.com/spreadsheets/d/10a85iNN0y9GF6ngQfF1JXGAzFk-T7ywH4-TZtQcOTaE/edit"",""15!d2:d34""))"),32)</f>
        <v>32</v>
      </c>
      <c r="F385" s="19">
        <f ca="1">IFERROR(__xludf.DUMMYFUNCTION("SUM(IMPORTRANGE(""https://docs.google.com/spreadsheets/d/10a85iNN0y9GF6ngQfF1JXGAzFk-T7ywH4-TZtQcOTaE/edit"",""15!Q2:Q34""))"),6374.348)</f>
        <v>6374.348</v>
      </c>
      <c r="G385" s="18">
        <f ca="1">IFERROR(__xludf.DUMMYFUNCTION("IMPORTRANGE(""https://docs.google.com/spreadsheets/d/10a85iNN0y9GF6ngQfF1JXGAzFk-T7ywH4-TZtQcOTaE/edit"",""15!e41"")"),2759)</f>
        <v>2759</v>
      </c>
      <c r="H385" s="18">
        <f ca="1">IFERROR(__xludf.DUMMYFUNCTION("IMPORTRANGE(""https://docs.google.com/spreadsheets/d/10a85iNN0y9GF6ngQfF1JXGAzFk-T7ywH4-TZtQcOTaE/edit"",""15!e42"")"),173)</f>
        <v>173</v>
      </c>
      <c r="I385" s="18">
        <f t="shared" ca="1" si="1062"/>
        <v>2932</v>
      </c>
      <c r="J385" s="18">
        <f ca="1">IFERROR(__xludf.DUMMYFUNCTION("IMPORTRANGE(""https://docs.google.com/spreadsheets/d/10a85iNN0y9GF6ngQfF1JXGAzFk-T7ywH4-TZtQcOTaE/edit"",""15!e45"")"),3000)</f>
        <v>3000</v>
      </c>
      <c r="K385" s="18">
        <f ca="1">IFERROR(__xludf.DUMMYFUNCTION("IMPORTRANGE(""https://docs.google.com/spreadsheets/d/10a85iNN0y9GF6ngQfF1JXGAzFk-T7ywH4-TZtQcOTaE/edit"",""15!e46"")"),106)</f>
        <v>106</v>
      </c>
      <c r="L385" s="18">
        <f t="shared" ca="1" si="1063"/>
        <v>3106</v>
      </c>
      <c r="M385" s="18">
        <f t="shared" ca="1" si="1064"/>
        <v>6038</v>
      </c>
      <c r="N385" s="19">
        <f t="shared" ca="1" si="1065"/>
        <v>199.198375</v>
      </c>
      <c r="O385" s="16">
        <v>7315</v>
      </c>
      <c r="P385" s="20">
        <f t="shared" ca="1" si="1066"/>
        <v>0.82542720437457284</v>
      </c>
      <c r="Q385" s="21">
        <v>1.5</v>
      </c>
      <c r="R385" s="20">
        <f t="shared" ca="1" si="1067"/>
        <v>0.63148942187237556</v>
      </c>
      <c r="S385" s="22">
        <f t="shared" ca="1" si="1068"/>
        <v>0.94723413280856328</v>
      </c>
      <c r="T385" s="21">
        <f ca="1">F385/30.897</f>
        <v>206.30960934718581</v>
      </c>
      <c r="U385" s="21">
        <f t="shared" ca="1" si="1069"/>
        <v>6.4471752920995566</v>
      </c>
      <c r="V385" s="18">
        <f t="shared" ca="1" si="1070"/>
        <v>188.6875</v>
      </c>
      <c r="W385" s="76"/>
      <c r="X385" s="8">
        <v>5</v>
      </c>
      <c r="Y385" s="8" t="s">
        <v>29</v>
      </c>
      <c r="Z385" s="8">
        <f t="shared" ref="Z385:AI385" si="1073">SUM(D400)</f>
        <v>30</v>
      </c>
      <c r="AA385" s="9">
        <f t="shared" ca="1" si="1073"/>
        <v>27</v>
      </c>
      <c r="AB385" s="10">
        <f t="shared" ca="1" si="1073"/>
        <v>5285.7139999999999</v>
      </c>
      <c r="AC385" s="9">
        <f t="shared" ca="1" si="1073"/>
        <v>2710</v>
      </c>
      <c r="AD385" s="9">
        <f t="shared" ca="1" si="1073"/>
        <v>0</v>
      </c>
      <c r="AE385" s="9">
        <f t="shared" ca="1" si="1073"/>
        <v>2710</v>
      </c>
      <c r="AF385" s="9">
        <f t="shared" ca="1" si="1073"/>
        <v>4067</v>
      </c>
      <c r="AG385" s="9">
        <f t="shared" ca="1" si="1073"/>
        <v>0</v>
      </c>
      <c r="AH385" s="9">
        <f t="shared" ca="1" si="1073"/>
        <v>4067</v>
      </c>
      <c r="AI385" s="9">
        <f t="shared" ca="1" si="1073"/>
        <v>6777</v>
      </c>
      <c r="AJ385" s="11">
        <f t="shared" ref="AJ385:AJ387" ca="1" si="1074">AB385/AA385</f>
        <v>195.76718518518518</v>
      </c>
      <c r="AK385" s="8">
        <f t="shared" ref="AK385:AK386" si="1075">SUM(O400)</f>
        <v>9201</v>
      </c>
      <c r="AL385" s="12">
        <f t="shared" ca="1" si="1052"/>
        <v>0.73655037495924358</v>
      </c>
      <c r="AM385" s="13">
        <f t="shared" ref="AM385:AM386" si="1076">SUM(Q400)</f>
        <v>1.5</v>
      </c>
      <c r="AN385" s="12">
        <f t="shared" ca="1" si="1054"/>
        <v>0.85475680295982714</v>
      </c>
      <c r="AO385" s="14">
        <f t="shared" ca="1" si="1055"/>
        <v>1.2821352044397407</v>
      </c>
      <c r="AP385" s="13">
        <f t="shared" ref="AP385:AQ385" ca="1" si="1077">SUM(T400)</f>
        <v>203</v>
      </c>
      <c r="AQ385" s="13">
        <f t="shared" ca="1" si="1077"/>
        <v>7.5185185185185182</v>
      </c>
      <c r="AR385" s="9">
        <f t="shared" ca="1" si="1057"/>
        <v>251</v>
      </c>
      <c r="AS385" s="76"/>
      <c r="AT385" s="76"/>
    </row>
    <row r="386" spans="1:46" ht="15.75" customHeight="1" x14ac:dyDescent="0.25">
      <c r="A386" s="70"/>
      <c r="B386" s="16">
        <v>3</v>
      </c>
      <c r="C386" s="16" t="s">
        <v>30</v>
      </c>
      <c r="D386" s="17">
        <v>60</v>
      </c>
      <c r="E386" s="18">
        <f ca="1">IFERROR(__xludf.DUMMYFUNCTION("COUNT(IMPORTRANGE(""https://docs.google.com/spreadsheets/d/1WojVzHhpzodJL1e5UDHeu3A3u5MTSZwvxHu0BrwvL9w/edit"",""15!d2:d61""))"),59)</f>
        <v>59</v>
      </c>
      <c r="F386" s="23">
        <f ca="1">IFERROR(__xludf.DUMMYFUNCTION("SUM(IMPORTRANGE(""https://docs.google.com/spreadsheets/d/1WojVzHhpzodJL1e5UDHeu3A3u5MTSZwvxHu0BrwvL9w/edit"",""15!Q2:Q61""))"),11722.7879999999)</f>
        <v>11722.7879999999</v>
      </c>
      <c r="G386" s="18">
        <f ca="1">IFERROR(__xludf.DUMMYFUNCTION("IMPORTRANGE(""https://docs.google.com/spreadsheets/d/1WojVzHhpzodJL1e5UDHeu3A3u5MTSZwvxHu0BrwvL9w/edit"",""15!e68"")"),3385)</f>
        <v>3385</v>
      </c>
      <c r="H386" s="18">
        <f ca="1">IFERROR(__xludf.DUMMYFUNCTION("IMPORTRANGE(""https://docs.google.com/spreadsheets/d/1WojVzHhpzodJL1e5UDHeu3A3u5MTSZwvxHu0BrwvL9w/edit"",""15!e69"")"),0)</f>
        <v>0</v>
      </c>
      <c r="I386" s="18">
        <f t="shared" ca="1" si="1062"/>
        <v>3385</v>
      </c>
      <c r="J386" s="18">
        <f ca="1">IFERROR(__xludf.DUMMYFUNCTION("IMPORTRANGE(""https://docs.google.com/spreadsheets/d/1WojVzHhpzodJL1e5UDHeu3A3u5MTSZwvxHu0BrwvL9w/edit"",""15!e72"")"),5624)</f>
        <v>5624</v>
      </c>
      <c r="K386" s="18">
        <f ca="1">IFERROR(__xludf.DUMMYFUNCTION("IMPORTRANGE(""https://docs.google.com/spreadsheets/d/1WojVzHhpzodJL1e5UDHeu3A3u5MTSZwvxHu0BrwvL9w/edit"",""15!e73"")"),79)</f>
        <v>79</v>
      </c>
      <c r="L386" s="18">
        <f t="shared" ca="1" si="1063"/>
        <v>5703</v>
      </c>
      <c r="M386" s="18">
        <f t="shared" ca="1" si="1064"/>
        <v>9088</v>
      </c>
      <c r="N386" s="19">
        <f t="shared" ca="1" si="1065"/>
        <v>198.69132203389663</v>
      </c>
      <c r="O386" s="16">
        <v>11164</v>
      </c>
      <c r="P386" s="20">
        <f t="shared" ca="1" si="1066"/>
        <v>0.81404514510927983</v>
      </c>
      <c r="Q386" s="21">
        <v>1.5</v>
      </c>
      <c r="R386" s="20">
        <f t="shared" ca="1" si="1067"/>
        <v>0.51682813565055674</v>
      </c>
      <c r="S386" s="22">
        <f t="shared" ca="1" si="1068"/>
        <v>0.77524220347583506</v>
      </c>
      <c r="T386" s="21">
        <f ca="1">F386/29.603</f>
        <v>395.99999999999659</v>
      </c>
      <c r="U386" s="21">
        <f t="shared" ca="1" si="1069"/>
        <v>6.7118644067796032</v>
      </c>
      <c r="V386" s="18">
        <f t="shared" ca="1" si="1070"/>
        <v>154.03389830508473</v>
      </c>
      <c r="W386" s="76"/>
      <c r="X386" s="8">
        <v>6</v>
      </c>
      <c r="Y386" s="8" t="s">
        <v>31</v>
      </c>
      <c r="Z386" s="8">
        <f t="shared" ref="Z386:AI386" si="1078">SUM(D401)</f>
        <v>15</v>
      </c>
      <c r="AA386" s="9">
        <f t="shared" ca="1" si="1078"/>
        <v>15</v>
      </c>
      <c r="AB386" s="11">
        <f t="shared" ca="1" si="1078"/>
        <v>2955.62</v>
      </c>
      <c r="AC386" s="9">
        <f t="shared" ca="1" si="1078"/>
        <v>889</v>
      </c>
      <c r="AD386" s="9">
        <f t="shared" ca="1" si="1078"/>
        <v>79</v>
      </c>
      <c r="AE386" s="9">
        <f t="shared" ca="1" si="1078"/>
        <v>968</v>
      </c>
      <c r="AF386" s="9">
        <f t="shared" ca="1" si="1078"/>
        <v>1167</v>
      </c>
      <c r="AG386" s="9">
        <f t="shared" ca="1" si="1078"/>
        <v>0</v>
      </c>
      <c r="AH386" s="9">
        <f t="shared" ca="1" si="1078"/>
        <v>1167</v>
      </c>
      <c r="AI386" s="9">
        <f t="shared" ca="1" si="1078"/>
        <v>2135</v>
      </c>
      <c r="AJ386" s="11">
        <f t="shared" ca="1" si="1074"/>
        <v>197.04133333333331</v>
      </c>
      <c r="AK386" s="8">
        <f t="shared" si="1075"/>
        <v>2717</v>
      </c>
      <c r="AL386" s="12">
        <f t="shared" ca="1" si="1052"/>
        <v>0.78579315421420681</v>
      </c>
      <c r="AM386" s="13">
        <f t="shared" si="1076"/>
        <v>1.5</v>
      </c>
      <c r="AN386" s="12">
        <f t="shared" ca="1" si="1054"/>
        <v>0.48156844700378715</v>
      </c>
      <c r="AO386" s="14">
        <f t="shared" ca="1" si="1055"/>
        <v>0.72235267050568075</v>
      </c>
      <c r="AP386" s="13">
        <f t="shared" ref="AP386:AQ386" ca="1" si="1079">SUM(T401)</f>
        <v>67.999999999999986</v>
      </c>
      <c r="AQ386" s="13">
        <f t="shared" ca="1" si="1079"/>
        <v>4.5333333333333323</v>
      </c>
      <c r="AR386" s="9">
        <f t="shared" ca="1" si="1057"/>
        <v>142.33333333333334</v>
      </c>
      <c r="AS386" s="76"/>
      <c r="AT386" s="76"/>
    </row>
    <row r="387" spans="1:46" ht="15.75" customHeight="1" x14ac:dyDescent="0.25">
      <c r="A387" s="70"/>
      <c r="B387" s="16">
        <v>4</v>
      </c>
      <c r="C387" s="16" t="s">
        <v>32</v>
      </c>
      <c r="D387" s="17">
        <v>42</v>
      </c>
      <c r="E387" s="18">
        <f ca="1">IFERROR(__xludf.DUMMYFUNCTION("COUNT(IMPORTRANGE(""https://docs.google.com/spreadsheets/d/1vmCj5YcMSPHj1m64syDndQ6cqVL3yolcU03Y8KHmvdc/edit"",""15!d2:d43""))"),42)</f>
        <v>42</v>
      </c>
      <c r="F387" s="23">
        <f ca="1">IFERROR(__xludf.DUMMYFUNCTION("SUM(IMPORTRANGE(""https://docs.google.com/spreadsheets/d/1vmCj5YcMSPHj1m64syDndQ6cqVL3yolcU03Y8KHmvdc/edit"",""15!Q2:Q43""))"),8368.25599999999)</f>
        <v>8368.2559999999903</v>
      </c>
      <c r="G387" s="16">
        <f ca="1">IFERROR(__xludf.DUMMYFUNCTION("IMPORTRANGE(""https://docs.google.com/spreadsheets/d/1vmCj5YcMSPHj1m64syDndQ6cqVL3yolcU03Y8KHmvdc/edit"",""15!e50"")"),4806)</f>
        <v>4806</v>
      </c>
      <c r="H387" s="16">
        <f ca="1">IFERROR(__xludf.DUMMYFUNCTION("IMPORTRANGE(""https://docs.google.com/spreadsheets/d/1vmCj5YcMSPHj1m64syDndQ6cqVL3yolcU03Y8KHmvdc/edit"",""15!e51"")"),212)</f>
        <v>212</v>
      </c>
      <c r="I387" s="18">
        <f t="shared" ca="1" si="1062"/>
        <v>5018</v>
      </c>
      <c r="J387" s="16">
        <f ca="1">IFERROR(__xludf.DUMMYFUNCTION("IMPORTRANGE(""https://docs.google.com/spreadsheets/d/1vmCj5YcMSPHj1m64syDndQ6cqVL3yolcU03Y8KHmvdc/edit"",""15!e54"")"),5372)</f>
        <v>5372</v>
      </c>
      <c r="K387" s="16">
        <f ca="1">IFERROR(__xludf.DUMMYFUNCTION("IMPORTRANGE(""https://docs.google.com/spreadsheets/d/1vmCj5YcMSPHj1m64syDndQ6cqVL3yolcU03Y8KHmvdc/edit"",""15!e55"")"),230)</f>
        <v>230</v>
      </c>
      <c r="L387" s="18">
        <f t="shared" ca="1" si="1063"/>
        <v>5602</v>
      </c>
      <c r="M387" s="18">
        <f t="shared" ca="1" si="1064"/>
        <v>10620</v>
      </c>
      <c r="N387" s="19">
        <f t="shared" ca="1" si="1065"/>
        <v>199.24419047619025</v>
      </c>
      <c r="O387" s="16">
        <v>13817</v>
      </c>
      <c r="P387" s="20">
        <f t="shared" ca="1" si="1066"/>
        <v>0.76861836867626832</v>
      </c>
      <c r="Q387" s="21">
        <v>1.5</v>
      </c>
      <c r="R387" s="20">
        <f t="shared" ca="1" si="1067"/>
        <v>0.84605442280924581</v>
      </c>
      <c r="S387" s="22">
        <f t="shared" ca="1" si="1068"/>
        <v>1.2690816342138687</v>
      </c>
      <c r="T387" s="21">
        <f ca="1">F387/25.089</f>
        <v>333.54282753397865</v>
      </c>
      <c r="U387" s="21">
        <f t="shared" ca="1" si="1069"/>
        <v>7.9414958936661586</v>
      </c>
      <c r="V387" s="18">
        <f t="shared" ca="1" si="1070"/>
        <v>252.85714285714286</v>
      </c>
      <c r="W387" s="76"/>
      <c r="X387" s="24" t="s">
        <v>33</v>
      </c>
      <c r="Y387" s="24">
        <v>6</v>
      </c>
      <c r="Z387" s="24">
        <f t="shared" ref="Z387:AI387" si="1080">SUM(Z381:Z386)</f>
        <v>186</v>
      </c>
      <c r="AA387" s="25">
        <f t="shared" ca="1" si="1080"/>
        <v>179</v>
      </c>
      <c r="AB387" s="26">
        <f t="shared" ca="1" si="1080"/>
        <v>34881.625999999982</v>
      </c>
      <c r="AC387" s="25">
        <f t="shared" ca="1" si="1080"/>
        <v>11715</v>
      </c>
      <c r="AD387" s="25">
        <f t="shared" ca="1" si="1080"/>
        <v>743</v>
      </c>
      <c r="AE387" s="25">
        <f t="shared" ca="1" si="1080"/>
        <v>12458</v>
      </c>
      <c r="AF387" s="25">
        <f t="shared" ca="1" si="1080"/>
        <v>15652</v>
      </c>
      <c r="AG387" s="25">
        <f t="shared" ca="1" si="1080"/>
        <v>591</v>
      </c>
      <c r="AH387" s="25">
        <f t="shared" ca="1" si="1080"/>
        <v>16243</v>
      </c>
      <c r="AI387" s="25">
        <f t="shared" ca="1" si="1080"/>
        <v>28701</v>
      </c>
      <c r="AJ387" s="27">
        <f t="shared" ca="1" si="1074"/>
        <v>194.86941899441331</v>
      </c>
      <c r="AK387" s="24">
        <f>SUM(AK381:AK386)</f>
        <v>35074</v>
      </c>
      <c r="AL387" s="28">
        <f t="shared" ca="1" si="1052"/>
        <v>0.8182984546957861</v>
      </c>
      <c r="AM387" s="29">
        <v>1.5</v>
      </c>
      <c r="AN387" s="28">
        <f t="shared" ca="1" si="1054"/>
        <v>0.54854094244345175</v>
      </c>
      <c r="AO387" s="30">
        <f t="shared" ca="1" si="1055"/>
        <v>0.82281141366517763</v>
      </c>
      <c r="AP387" s="29">
        <f ca="1">SUM(AP381:AP386)</f>
        <v>1320.1214637141691</v>
      </c>
      <c r="AQ387" s="29">
        <f ca="1">AP387/AA387</f>
        <v>7.3749802442132353</v>
      </c>
      <c r="AR387" s="25">
        <f t="shared" ca="1" si="1057"/>
        <v>160.34078212290504</v>
      </c>
      <c r="AS387" s="76"/>
      <c r="AT387" s="76"/>
    </row>
    <row r="388" spans="1:46" ht="15.75" customHeight="1" x14ac:dyDescent="0.25">
      <c r="A388" s="70"/>
      <c r="B388" s="16">
        <v>5</v>
      </c>
      <c r="C388" s="16" t="s">
        <v>34</v>
      </c>
      <c r="D388" s="17">
        <v>40</v>
      </c>
      <c r="E388" s="18">
        <f ca="1">IFERROR(__xludf.DUMMYFUNCTION("COUNT(IMPORTRANGE(""https://docs.google.com/spreadsheets/d/14_Y-fpuq1wcec3DlT_1PBYekOC0YblQMrWVfO12YO3k/edit"",""15!d2:d41""))"),40)</f>
        <v>40</v>
      </c>
      <c r="F388" s="23">
        <f ca="1">IFERROR(__xludf.DUMMYFUNCTION("SUM(IMPORTRANGE(""https://docs.google.com/spreadsheets/d/14_Y-fpuq1wcec3DlT_1PBYekOC0YblQMrWVfO12YO3k/edit"",""15!Q2:Q41""))"),7865.589)</f>
        <v>7865.5889999999999</v>
      </c>
      <c r="G388" s="18">
        <f ca="1">IFERROR(__xludf.DUMMYFUNCTION("IMPORTRANGE(""https://docs.google.com/spreadsheets/d/14_Y-fpuq1wcec3DlT_1PBYekOC0YblQMrWVfO12YO3k/edit"",""15!e48"")"),2843)</f>
        <v>2843</v>
      </c>
      <c r="H388" s="18">
        <f ca="1">IFERROR(__xludf.DUMMYFUNCTION("IMPORTRANGE(""https://docs.google.com/spreadsheets/d/14_Y-fpuq1wcec3DlT_1PBYekOC0YblQMrWVfO12YO3k/edit"",""15!e49"")"),0)</f>
        <v>0</v>
      </c>
      <c r="I388" s="18">
        <f t="shared" ca="1" si="1062"/>
        <v>2843</v>
      </c>
      <c r="J388" s="18">
        <f ca="1">IFERROR(__xludf.DUMMYFUNCTION("IMPORTRANGE(""https://docs.google.com/spreadsheets/d/14_Y-fpuq1wcec3DlT_1PBYekOC0YblQMrWVfO12YO3k/edit"",""15!e52"")"),3582)</f>
        <v>3582</v>
      </c>
      <c r="K388" s="18">
        <f ca="1">IFERROR(__xludf.DUMMYFUNCTION("IMPORTRANGE(""https://docs.google.com/spreadsheets/d/14_Y-fpuq1wcec3DlT_1PBYekOC0YblQMrWVfO12YO3k/edit"",""15!e53"")"),88)</f>
        <v>88</v>
      </c>
      <c r="L388" s="18">
        <f t="shared" ca="1" si="1063"/>
        <v>3670</v>
      </c>
      <c r="M388" s="18">
        <f t="shared" ca="1" si="1064"/>
        <v>6513</v>
      </c>
      <c r="N388" s="19">
        <f t="shared" ca="1" si="1065"/>
        <v>196.639725</v>
      </c>
      <c r="O388" s="16">
        <v>9354</v>
      </c>
      <c r="P388" s="20">
        <f t="shared" ca="1" si="1066"/>
        <v>0.69627966645285444</v>
      </c>
      <c r="Q388" s="21">
        <v>1.5</v>
      </c>
      <c r="R388" s="20">
        <f t="shared" ca="1" si="1067"/>
        <v>0.55202477525840721</v>
      </c>
      <c r="S388" s="22">
        <f t="shared" ca="1" si="1068"/>
        <v>0.82803716288761087</v>
      </c>
      <c r="T388" s="21">
        <f ca="1">F388/30.713</f>
        <v>256.09966463712436</v>
      </c>
      <c r="U388" s="21">
        <f t="shared" ca="1" si="1069"/>
        <v>6.4024916159281089</v>
      </c>
      <c r="V388" s="18">
        <f t="shared" ca="1" si="1070"/>
        <v>162.82499999999999</v>
      </c>
      <c r="W388" s="76"/>
      <c r="X388" s="100" t="s">
        <v>35</v>
      </c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9"/>
      <c r="AS388" s="76"/>
      <c r="AT388" s="76"/>
    </row>
    <row r="389" spans="1:46" ht="15.75" customHeight="1" x14ac:dyDescent="0.25">
      <c r="A389" s="70"/>
      <c r="B389" s="16">
        <v>6</v>
      </c>
      <c r="C389" s="16" t="s">
        <v>23</v>
      </c>
      <c r="D389" s="17">
        <v>35</v>
      </c>
      <c r="E389" s="18">
        <f ca="1">IFERROR(__xludf.DUMMYFUNCTION("COUNT(IMPORTRANGE(""https://docs.google.com/spreadsheets/d/1lJqjdj05V4LOXuBOiTdE65GV4ZITyx1cMLcDdcuoUnE/edit"",""15!d2:d36""))"),33)</f>
        <v>33</v>
      </c>
      <c r="F389" s="23">
        <f ca="1">IFERROR(__xludf.DUMMYFUNCTION("SUM(IMPORTRANGE(""https://docs.google.com/spreadsheets/d/1lJqjdj05V4LOXuBOiTdE65GV4ZITyx1cMLcDdcuoUnE/edit"",""15!Q2:Q36""))"),6410.59999999999)</f>
        <v>6410.5999999999904</v>
      </c>
      <c r="G389" s="18">
        <f ca="1">IFERROR(__xludf.DUMMYFUNCTION("IMPORTRANGE(""https://docs.google.com/spreadsheets/d/1lJqjdj05V4LOXuBOiTdE65GV4ZITyx1cMLcDdcuoUnE/edit"",""15!e43"")"),1867)</f>
        <v>1867</v>
      </c>
      <c r="H389" s="18">
        <f ca="1">IFERROR(__xludf.DUMMYFUNCTION("IMPORTRANGE(""https://docs.google.com/spreadsheets/d/1lJqjdj05V4LOXuBOiTdE65GV4ZITyx1cMLcDdcuoUnE/edit"",""15!e44"")"),0)</f>
        <v>0</v>
      </c>
      <c r="I389" s="18">
        <f t="shared" ca="1" si="1062"/>
        <v>1867</v>
      </c>
      <c r="J389" s="18">
        <f ca="1">IFERROR(__xludf.DUMMYFUNCTION("IMPORTRANGE(""https://docs.google.com/spreadsheets/d/1lJqjdj05V4LOXuBOiTdE65GV4ZITyx1cMLcDdcuoUnE/edit"",""15!e47"")"),3170)</f>
        <v>3170</v>
      </c>
      <c r="K389" s="18">
        <f ca="1">IFERROR(__xludf.DUMMYFUNCTION("IMPORTRANGE(""https://docs.google.com/spreadsheets/d/1lJqjdj05V4LOXuBOiTdE65GV4ZITyx1cMLcDdcuoUnE/edit"",""15!e48"")"),0)</f>
        <v>0</v>
      </c>
      <c r="L389" s="18">
        <f t="shared" ca="1" si="1063"/>
        <v>3170</v>
      </c>
      <c r="M389" s="18">
        <f t="shared" ca="1" si="1064"/>
        <v>5037</v>
      </c>
      <c r="N389" s="19">
        <f t="shared" ca="1" si="1065"/>
        <v>194.26060606060577</v>
      </c>
      <c r="O389" s="16">
        <v>6853</v>
      </c>
      <c r="P389" s="20">
        <f t="shared" ca="1" si="1066"/>
        <v>0.73500656646724061</v>
      </c>
      <c r="Q389" s="21">
        <v>1.5</v>
      </c>
      <c r="R389" s="20">
        <f t="shared" ca="1" si="1067"/>
        <v>0.52381992325211446</v>
      </c>
      <c r="S389" s="22">
        <f t="shared" ca="1" si="1068"/>
        <v>0.78572988487817175</v>
      </c>
      <c r="T389" s="21">
        <f ca="1">F389/33.74</f>
        <v>189.99999999999972</v>
      </c>
      <c r="U389" s="21">
        <f t="shared" ca="1" si="1069"/>
        <v>5.7575757575757489</v>
      </c>
      <c r="V389" s="18">
        <f t="shared" ca="1" si="1070"/>
        <v>152.63636363636363</v>
      </c>
      <c r="W389" s="76"/>
      <c r="X389" s="1" t="s">
        <v>2</v>
      </c>
      <c r="Y389" s="1" t="s">
        <v>3</v>
      </c>
      <c r="Z389" s="1" t="s">
        <v>4</v>
      </c>
      <c r="AA389" s="1" t="s">
        <v>5</v>
      </c>
      <c r="AB389" s="2" t="s">
        <v>6</v>
      </c>
      <c r="AC389" s="1" t="s">
        <v>7</v>
      </c>
      <c r="AD389" s="1" t="s">
        <v>8</v>
      </c>
      <c r="AE389" s="1" t="s">
        <v>9</v>
      </c>
      <c r="AF389" s="1" t="s">
        <v>10</v>
      </c>
      <c r="AG389" s="1" t="s">
        <v>11</v>
      </c>
      <c r="AH389" s="1" t="s">
        <v>12</v>
      </c>
      <c r="AI389" s="1" t="s">
        <v>13</v>
      </c>
      <c r="AJ389" s="2" t="s">
        <v>14</v>
      </c>
      <c r="AK389" s="1" t="s">
        <v>15</v>
      </c>
      <c r="AL389" s="1" t="s">
        <v>16</v>
      </c>
      <c r="AM389" s="3" t="s">
        <v>17</v>
      </c>
      <c r="AN389" s="4" t="s">
        <v>18</v>
      </c>
      <c r="AO389" s="5" t="s">
        <v>19</v>
      </c>
      <c r="AP389" s="6" t="s">
        <v>20</v>
      </c>
      <c r="AQ389" s="6" t="s">
        <v>21</v>
      </c>
      <c r="AR389" s="7" t="s">
        <v>22</v>
      </c>
      <c r="AS389" s="76"/>
      <c r="AT389" s="76"/>
    </row>
    <row r="390" spans="1:46" ht="15.75" customHeight="1" x14ac:dyDescent="0.25">
      <c r="A390" s="70"/>
      <c r="B390" s="16">
        <v>7</v>
      </c>
      <c r="C390" s="16" t="s">
        <v>24</v>
      </c>
      <c r="D390" s="17">
        <v>44</v>
      </c>
      <c r="E390" s="31">
        <f ca="1">IFERROR(__xludf.DUMMYFUNCTION("COUNT(IMPORTRANGE(""https://docs.google.com/spreadsheets/d/1_7EEO26q9Yq-XhNFiy7I6Zh4Yg6uGjTs9y0UqNvPKcQ/edit"",""15!d2:d45""))"),42)</f>
        <v>42</v>
      </c>
      <c r="F390" s="32">
        <f ca="1">IFERROR(__xludf.DUMMYFUNCTION("SUM(IMPORTRANGE(""https://docs.google.com/spreadsheets/d/1_7EEO26q9Yq-XhNFiy7I6Zh4Yg6uGjTs9y0UqNvPKcQ/edit"",""15!Q2:Q45""))"),7987.32299999999)</f>
        <v>7987.3229999999903</v>
      </c>
      <c r="G390" s="31">
        <f ca="1">IFERROR(__xludf.DUMMYFUNCTION("IMPORTRANGE(""https://docs.google.com/spreadsheets/d/1_7EEO26q9Yq-XhNFiy7I6Zh4Yg6uGjTs9y0UqNvPKcQ/edit"",""15!e53"")"),1117)</f>
        <v>1117</v>
      </c>
      <c r="H390" s="31">
        <f ca="1">IFERROR(__xludf.DUMMYFUNCTION("IMPORTRANGE(""https://docs.google.com/spreadsheets/d/1_7EEO26q9Yq-XhNFiy7I6Zh4Yg6uGjTs9y0UqNvPKcQ/edit"",""15!e54"")"),0)</f>
        <v>0</v>
      </c>
      <c r="I390" s="31">
        <f t="shared" ca="1" si="1062"/>
        <v>1117</v>
      </c>
      <c r="J390" s="31">
        <f ca="1">IFERROR(__xludf.DUMMYFUNCTION("IMPORTRANGE(""https://docs.google.com/spreadsheets/d/1_7EEO26q9Yq-XhNFiy7I6Zh4Yg6uGjTs9y0UqNvPKcQ/edit"",""15!e57"")"),1409)</f>
        <v>1409</v>
      </c>
      <c r="K390" s="31">
        <f ca="1">IFERROR(__xludf.DUMMYFUNCTION("IMPORTRANGE(""https://docs.google.com/spreadsheets/d/1_7EEO26q9Yq-XhNFiy7I6Zh4Yg6uGjTs9y0UqNvPKcQ/edit"",""15!e58"")"),0)</f>
        <v>0</v>
      </c>
      <c r="L390" s="18">
        <f t="shared" ca="1" si="1063"/>
        <v>1409</v>
      </c>
      <c r="M390" s="18">
        <f t="shared" ca="1" si="1064"/>
        <v>2526</v>
      </c>
      <c r="N390" s="19">
        <f t="shared" ca="1" si="1065"/>
        <v>190.17435714285691</v>
      </c>
      <c r="O390" s="16">
        <v>1580</v>
      </c>
      <c r="P390" s="33">
        <f t="shared" ca="1" si="1066"/>
        <v>1.59873417721519</v>
      </c>
      <c r="Q390" s="21">
        <v>1.5</v>
      </c>
      <c r="R390" s="20">
        <f t="shared" ca="1" si="1067"/>
        <v>0.21083409297458011</v>
      </c>
      <c r="S390" s="22">
        <f t="shared" ca="1" si="1068"/>
        <v>0.31625113946187017</v>
      </c>
      <c r="T390" s="21">
        <f ca="1">F390/26.805</f>
        <v>297.97884722999407</v>
      </c>
      <c r="U390" s="21">
        <f t="shared" ca="1" si="1069"/>
        <v>7.094734457857002</v>
      </c>
      <c r="V390" s="18">
        <f t="shared" ca="1" si="1070"/>
        <v>60.142857142857146</v>
      </c>
      <c r="W390" s="76"/>
      <c r="X390" s="8">
        <v>1</v>
      </c>
      <c r="Y390" s="8" t="s">
        <v>28</v>
      </c>
      <c r="Z390" s="8">
        <f t="shared" ref="Z390:AI390" si="1081">SUM(D385)</f>
        <v>33</v>
      </c>
      <c r="AA390" s="9">
        <f t="shared" ca="1" si="1081"/>
        <v>32</v>
      </c>
      <c r="AB390" s="11">
        <f t="shared" ca="1" si="1081"/>
        <v>6374.348</v>
      </c>
      <c r="AC390" s="9">
        <f t="shared" ca="1" si="1081"/>
        <v>2759</v>
      </c>
      <c r="AD390" s="9">
        <f t="shared" ca="1" si="1081"/>
        <v>173</v>
      </c>
      <c r="AE390" s="9">
        <f t="shared" ca="1" si="1081"/>
        <v>2932</v>
      </c>
      <c r="AF390" s="9">
        <f t="shared" ca="1" si="1081"/>
        <v>3000</v>
      </c>
      <c r="AG390" s="9">
        <f t="shared" ca="1" si="1081"/>
        <v>106</v>
      </c>
      <c r="AH390" s="9">
        <f t="shared" ca="1" si="1081"/>
        <v>3106</v>
      </c>
      <c r="AI390" s="9">
        <f t="shared" ca="1" si="1081"/>
        <v>6038</v>
      </c>
      <c r="AJ390" s="11">
        <f t="shared" ref="AJ390:AJ396" ca="1" si="1082">AB390/AA390</f>
        <v>199.198375</v>
      </c>
      <c r="AK390" s="8">
        <f t="shared" ref="AK390:AK391" si="1083">SUM(O385)</f>
        <v>7315</v>
      </c>
      <c r="AL390" s="12">
        <f t="shared" ref="AL390:AL396" ca="1" si="1084">AI390/AK390</f>
        <v>0.82542720437457284</v>
      </c>
      <c r="AM390" s="13">
        <f t="shared" ref="AM390:AM391" si="1085">SUM(Q385)</f>
        <v>1.5</v>
      </c>
      <c r="AN390" s="12">
        <f t="shared" ref="AN390:AN396" ca="1" si="1086">AO390/AM390</f>
        <v>0.63148942187237556</v>
      </c>
      <c r="AO390" s="14">
        <f t="shared" ref="AO390:AO396" ca="1" si="1087">AI390/AB390</f>
        <v>0.94723413280856328</v>
      </c>
      <c r="AP390" s="13">
        <f t="shared" ref="AP390:AQ390" ca="1" si="1088">SUM(T385)</f>
        <v>206.30960934718581</v>
      </c>
      <c r="AQ390" s="13">
        <f t="shared" ca="1" si="1088"/>
        <v>6.4471752920995566</v>
      </c>
      <c r="AR390" s="9">
        <f t="shared" ref="AR390:AR396" ca="1" si="1089">AI390/AA390</f>
        <v>188.6875</v>
      </c>
      <c r="AS390" s="76"/>
      <c r="AT390" s="76"/>
    </row>
    <row r="391" spans="1:46" ht="15.75" customHeight="1" x14ac:dyDescent="0.25">
      <c r="A391" s="70"/>
      <c r="B391" s="16">
        <v>8</v>
      </c>
      <c r="C391" s="16" t="s">
        <v>25</v>
      </c>
      <c r="D391" s="34">
        <v>32</v>
      </c>
      <c r="E391" s="18">
        <f ca="1">IFERROR(__xludf.DUMMYFUNCTION("COUNT(IMPORTRANGE(""https://docs.google.com/spreadsheets/d/1vLOLpiE-XsbnCnwWPcoi87PlUSXfqIAAQn3kvqHfO6s/edit"",""15!d2:D33""))"),32)</f>
        <v>32</v>
      </c>
      <c r="F391" s="23">
        <f ca="1">IFERROR(__xludf.DUMMYFUNCTION("SUM(IMPORTRANGE(""https://docs.google.com/spreadsheets/d/1vLOLpiE-XsbnCnwWPcoi87PlUSXfqIAAQn3kvqHfO6s/edit"",""15!Q2:Q33""))"),6356.924)</f>
        <v>6356.924</v>
      </c>
      <c r="G391" s="18">
        <f ca="1">IFERROR(__xludf.DUMMYFUNCTION("IMPORTRANGE(""https://docs.google.com/spreadsheets/d/1vLOLpiE-XsbnCnwWPcoi87PlUSXfqIAAQn3kvqHfO6s/edit"",""15!e40"")"),2512)</f>
        <v>2512</v>
      </c>
      <c r="H391" s="18">
        <f ca="1">IFERROR(__xludf.DUMMYFUNCTION("IMPORTRANGE(""https://docs.google.com/spreadsheets/d/1vLOLpiE-XsbnCnwWPcoi87PlUSXfqIAAQn3kvqHfO6s/edit"",""15!e41"")"),602)</f>
        <v>602</v>
      </c>
      <c r="I391" s="18">
        <f t="shared" ca="1" si="1062"/>
        <v>3114</v>
      </c>
      <c r="J391" s="18">
        <f ca="1">IFERROR(__xludf.DUMMYFUNCTION("IMPORTRANGE(""https://docs.google.com/spreadsheets/d/1vLOLpiE-XsbnCnwWPcoi87PlUSXfqIAAQn3kvqHfO6s/edit"",""15!e44"")"),2943)</f>
        <v>2943</v>
      </c>
      <c r="K391" s="18">
        <f ca="1">IFERROR(__xludf.DUMMYFUNCTION("IMPORTRANGE(""https://docs.google.com/spreadsheets/d/1vLOLpiE-XsbnCnwWPcoi87PlUSXfqIAAQn3kvqHfO6s/edit"",""15!e45"")"),556)</f>
        <v>556</v>
      </c>
      <c r="L391" s="18">
        <f ca="1">J391+K391</f>
        <v>3499</v>
      </c>
      <c r="M391" s="18">
        <f t="shared" ca="1" si="1064"/>
        <v>6613</v>
      </c>
      <c r="N391" s="19">
        <f t="shared" ca="1" si="1065"/>
        <v>198.653875</v>
      </c>
      <c r="O391" s="16">
        <v>6622</v>
      </c>
      <c r="P391" s="20">
        <f t="shared" ca="1" si="1066"/>
        <v>0.99864089398973122</v>
      </c>
      <c r="Q391" s="21">
        <v>1.5</v>
      </c>
      <c r="R391" s="20">
        <f t="shared" ca="1" si="1067"/>
        <v>0.69352200319945101</v>
      </c>
      <c r="S391" s="22">
        <f t="shared" ca="1" si="1068"/>
        <v>1.0402830047991765</v>
      </c>
      <c r="T391" s="21">
        <f ca="1">F391/23.84</f>
        <v>266.64949664429531</v>
      </c>
      <c r="U391" s="21">
        <f t="shared" ca="1" si="1069"/>
        <v>8.3327967701342285</v>
      </c>
      <c r="V391" s="18">
        <f t="shared" ca="1" si="1070"/>
        <v>206.65625</v>
      </c>
      <c r="W391" s="76"/>
      <c r="X391" s="8">
        <v>2</v>
      </c>
      <c r="Y391" s="8" t="s">
        <v>30</v>
      </c>
      <c r="Z391" s="8">
        <f t="shared" ref="Z391:AI391" si="1090">SUM(D386)</f>
        <v>60</v>
      </c>
      <c r="AA391" s="9">
        <f t="shared" ca="1" si="1090"/>
        <v>59</v>
      </c>
      <c r="AB391" s="10">
        <f t="shared" ca="1" si="1090"/>
        <v>11722.7879999999</v>
      </c>
      <c r="AC391" s="9">
        <f t="shared" ca="1" si="1090"/>
        <v>3385</v>
      </c>
      <c r="AD391" s="9">
        <f t="shared" ca="1" si="1090"/>
        <v>0</v>
      </c>
      <c r="AE391" s="9">
        <f t="shared" ca="1" si="1090"/>
        <v>3385</v>
      </c>
      <c r="AF391" s="9">
        <f t="shared" ca="1" si="1090"/>
        <v>5624</v>
      </c>
      <c r="AG391" s="9">
        <f t="shared" ca="1" si="1090"/>
        <v>79</v>
      </c>
      <c r="AH391" s="9">
        <f t="shared" ca="1" si="1090"/>
        <v>5703</v>
      </c>
      <c r="AI391" s="9">
        <f t="shared" ca="1" si="1090"/>
        <v>9088</v>
      </c>
      <c r="AJ391" s="11">
        <f t="shared" ca="1" si="1082"/>
        <v>198.69132203389663</v>
      </c>
      <c r="AK391" s="8">
        <f t="shared" si="1083"/>
        <v>11164</v>
      </c>
      <c r="AL391" s="12">
        <f t="shared" ca="1" si="1084"/>
        <v>0.81404514510927983</v>
      </c>
      <c r="AM391" s="13">
        <f t="shared" si="1085"/>
        <v>1.5</v>
      </c>
      <c r="AN391" s="12">
        <f t="shared" ca="1" si="1086"/>
        <v>0.51682813565055674</v>
      </c>
      <c r="AO391" s="14">
        <f t="shared" ca="1" si="1087"/>
        <v>0.77524220347583506</v>
      </c>
      <c r="AP391" s="13">
        <f t="shared" ref="AP391:AQ391" ca="1" si="1091">SUM(T386)</f>
        <v>395.99999999999659</v>
      </c>
      <c r="AQ391" s="13">
        <f t="shared" ca="1" si="1091"/>
        <v>6.7118644067796032</v>
      </c>
      <c r="AR391" s="9">
        <f t="shared" ca="1" si="1089"/>
        <v>154.03389830508473</v>
      </c>
      <c r="AS391" s="76"/>
      <c r="AT391" s="76"/>
    </row>
    <row r="392" spans="1:46" ht="15.75" customHeight="1" x14ac:dyDescent="0.25">
      <c r="A392" s="70"/>
      <c r="B392" s="16">
        <v>9</v>
      </c>
      <c r="C392" s="16" t="s">
        <v>36</v>
      </c>
      <c r="D392" s="34">
        <v>24</v>
      </c>
      <c r="E392" s="18">
        <f ca="1">IFERROR(__xludf.DUMMYFUNCTION("COUNT(IMPORTRANGE(""https://docs.google.com/spreadsheets/d/1WJJVq25XDtGjt-J2JPxeKs3jIvDZtkIREC0lFPXwf74/edit"",""15!d2:d31""))"),23)</f>
        <v>23</v>
      </c>
      <c r="F392" s="23">
        <f ca="1">IFERROR(__xludf.DUMMYFUNCTION("SUM(IMPORTRANGE(""https://docs.google.com/spreadsheets/d/1WJJVq25XDtGjt-J2JPxeKs3jIvDZtkIREC0lFPXwf74/edit"",""15!Q2:Q31""))"),4595.538)</f>
        <v>4595.5379999999996</v>
      </c>
      <c r="G392" s="18">
        <f ca="1">IFERROR(__xludf.DUMMYFUNCTION("IMPORTRANGE(""https://docs.google.com/spreadsheets/d/1WJJVq25XDtGjt-J2JPxeKs3jIvDZtkIREC0lFPXwf74/edit"",""15!e38"")"),1694)</f>
        <v>1694</v>
      </c>
      <c r="H392" s="18">
        <f ca="1">IFERROR(__xludf.DUMMYFUNCTION("IMPORTRANGE(""https://docs.google.com/spreadsheets/d/1WJJVq25XDtGjt-J2JPxeKs3jIvDZtkIREC0lFPXwf74/edit"",""15!e39"")"),0)</f>
        <v>0</v>
      </c>
      <c r="I392" s="18">
        <f t="shared" ca="1" si="1062"/>
        <v>1694</v>
      </c>
      <c r="J392" s="18">
        <f ca="1">IFERROR(__xludf.DUMMYFUNCTION("IMPORTRANGE(""https://docs.google.com/spreadsheets/d/1WJJVq25XDtGjt-J2JPxeKs3jIvDZtkIREC0lFPXwf74/edit"",""15!e42"")"),1805)</f>
        <v>1805</v>
      </c>
      <c r="K392" s="18">
        <f ca="1">IFERROR(__xludf.DUMMYFUNCTION("IMPORTRANGE(""https://docs.google.com/spreadsheets/d/1WJJVq25XDtGjt-J2JPxeKs3jIvDZtkIREC0lFPXwf74/edit"",""15!e43"")"),0)</f>
        <v>0</v>
      </c>
      <c r="L392" s="18">
        <f t="shared" ref="L392:L401" ca="1" si="1092">SUM(J392:K392)</f>
        <v>1805</v>
      </c>
      <c r="M392" s="18">
        <f t="shared" ca="1" si="1064"/>
        <v>3499</v>
      </c>
      <c r="N392" s="19">
        <f t="shared" ca="1" si="1065"/>
        <v>199.80599999999998</v>
      </c>
      <c r="O392" s="16">
        <v>4796</v>
      </c>
      <c r="P392" s="20">
        <f t="shared" ca="1" si="1066"/>
        <v>0.7295663052543786</v>
      </c>
      <c r="Q392" s="21">
        <v>1.5</v>
      </c>
      <c r="R392" s="20">
        <f t="shared" ca="1" si="1067"/>
        <v>0.50759381527618019</v>
      </c>
      <c r="S392" s="22">
        <f t="shared" ca="1" si="1068"/>
        <v>0.76139072291427035</v>
      </c>
      <c r="T392" s="21">
        <f ca="1">F392/37.414</f>
        <v>122.82936868551877</v>
      </c>
      <c r="U392" s="21">
        <f t="shared" ca="1" si="1069"/>
        <v>5.3404073341529905</v>
      </c>
      <c r="V392" s="18">
        <f t="shared" ca="1" si="1070"/>
        <v>152.13043478260869</v>
      </c>
      <c r="W392" s="76"/>
      <c r="X392" s="8">
        <v>3</v>
      </c>
      <c r="Y392" s="8" t="s">
        <v>34</v>
      </c>
      <c r="Z392" s="8">
        <f t="shared" ref="Z392:AI392" si="1093">SUM(D388)</f>
        <v>40</v>
      </c>
      <c r="AA392" s="9">
        <f t="shared" ca="1" si="1093"/>
        <v>40</v>
      </c>
      <c r="AB392" s="10">
        <f t="shared" ca="1" si="1093"/>
        <v>7865.5889999999999</v>
      </c>
      <c r="AC392" s="9">
        <f t="shared" ca="1" si="1093"/>
        <v>2843</v>
      </c>
      <c r="AD392" s="9">
        <f t="shared" ca="1" si="1093"/>
        <v>0</v>
      </c>
      <c r="AE392" s="9">
        <f t="shared" ca="1" si="1093"/>
        <v>2843</v>
      </c>
      <c r="AF392" s="9">
        <f t="shared" ca="1" si="1093"/>
        <v>3582</v>
      </c>
      <c r="AG392" s="9">
        <f t="shared" ca="1" si="1093"/>
        <v>88</v>
      </c>
      <c r="AH392" s="9">
        <f t="shared" ca="1" si="1093"/>
        <v>3670</v>
      </c>
      <c r="AI392" s="9">
        <f t="shared" ca="1" si="1093"/>
        <v>6513</v>
      </c>
      <c r="AJ392" s="11">
        <f t="shared" ca="1" si="1082"/>
        <v>196.639725</v>
      </c>
      <c r="AK392" s="8">
        <f>SUM(O388)</f>
        <v>9354</v>
      </c>
      <c r="AL392" s="12">
        <f t="shared" ca="1" si="1084"/>
        <v>0.69627966645285444</v>
      </c>
      <c r="AM392" s="13">
        <f>SUM(Q388)</f>
        <v>1.5</v>
      </c>
      <c r="AN392" s="12">
        <f t="shared" ca="1" si="1086"/>
        <v>0.55202477525840721</v>
      </c>
      <c r="AO392" s="14">
        <f t="shared" ca="1" si="1087"/>
        <v>0.82803716288761087</v>
      </c>
      <c r="AP392" s="13">
        <f t="shared" ref="AP392:AQ392" ca="1" si="1094">SUM(T388)</f>
        <v>256.09966463712436</v>
      </c>
      <c r="AQ392" s="13">
        <f t="shared" ca="1" si="1094"/>
        <v>6.4024916159281089</v>
      </c>
      <c r="AR392" s="9">
        <f t="shared" ca="1" si="1089"/>
        <v>162.82499999999999</v>
      </c>
      <c r="AS392" s="76"/>
      <c r="AT392" s="76"/>
    </row>
    <row r="393" spans="1:46" ht="15.75" customHeight="1" x14ac:dyDescent="0.25">
      <c r="A393" s="70"/>
      <c r="B393" s="16">
        <v>10</v>
      </c>
      <c r="C393" s="16" t="s">
        <v>37</v>
      </c>
      <c r="D393" s="17">
        <v>30</v>
      </c>
      <c r="E393" s="18">
        <f ca="1">IFERROR(__xludf.DUMMYFUNCTION("COUNT(IMPORTRANGE(""https://docs.google.com/spreadsheets/d/1rJyYfywRpWJW0zvDJHLOJtqUQqffoCGaqTVxxTDgV0k/edit"",""15!d2:d31""))"),30)</f>
        <v>30</v>
      </c>
      <c r="F393" s="23">
        <f ca="1">IFERROR(__xludf.DUMMYFUNCTION("SUM(IMPORTRANGE(""https://docs.google.com/spreadsheets/d/1rJyYfywRpWJW0zvDJHLOJtqUQqffoCGaqTVxxTDgV0k/edit"",""15!Q2:Q31""))"),5093.21999999999)</f>
        <v>5093.2199999999903</v>
      </c>
      <c r="G393" s="18">
        <f ca="1">IFERROR(__xludf.DUMMYFUNCTION("(IMPORTRANGE(""https://docs.google.com/spreadsheets/d/1rJyYfywRpWJW0zvDJHLOJtqUQqffoCGaqTVxxTDgV0k/edit"",""15!e38""))"),2042)</f>
        <v>2042</v>
      </c>
      <c r="H393" s="18">
        <f ca="1">IFERROR(__xludf.DUMMYFUNCTION("(IMPORTRANGE(""https://docs.google.com/spreadsheets/d/1rJyYfywRpWJW0zvDJHLOJtqUQqffoCGaqTVxxTDgV0k/edit"",""15!e39""))"),0)</f>
        <v>0</v>
      </c>
      <c r="I393" s="18">
        <f t="shared" ca="1" si="1062"/>
        <v>2042</v>
      </c>
      <c r="J393" s="18">
        <f ca="1">IFERROR(__xludf.DUMMYFUNCTION("(IMPORTRANGE(""https://docs.google.com/spreadsheets/d/1rJyYfywRpWJW0zvDJHLOJtqUQqffoCGaqTVxxTDgV0k/edit"",""15!e42""))"),2645)</f>
        <v>2645</v>
      </c>
      <c r="K393" s="18">
        <f ca="1">IFERROR(__xludf.DUMMYFUNCTION("(IMPORTRANGE(""https://docs.google.com/spreadsheets/d/1rJyYfywRpWJW0zvDJHLOJtqUQqffoCGaqTVxxTDgV0k/edit"",""15!e43""))"),0)</f>
        <v>0</v>
      </c>
      <c r="L393" s="18">
        <f t="shared" ca="1" si="1092"/>
        <v>2645</v>
      </c>
      <c r="M393" s="18">
        <f t="shared" ca="1" si="1064"/>
        <v>4687</v>
      </c>
      <c r="N393" s="19">
        <f t="shared" ca="1" si="1065"/>
        <v>169.77399999999969</v>
      </c>
      <c r="O393" s="16">
        <v>5887</v>
      </c>
      <c r="P393" s="20">
        <f t="shared" ca="1" si="1066"/>
        <v>0.79616103278410055</v>
      </c>
      <c r="Q393" s="21">
        <v>1.5</v>
      </c>
      <c r="R393" s="20">
        <f t="shared" ca="1" si="1067"/>
        <v>0.61349532646668958</v>
      </c>
      <c r="S393" s="22">
        <f t="shared" ca="1" si="1068"/>
        <v>0.92024298970003438</v>
      </c>
      <c r="T393" s="21">
        <f ca="1">F393/24.792</f>
        <v>205.4380445304933</v>
      </c>
      <c r="U393" s="21">
        <f t="shared" ca="1" si="1069"/>
        <v>6.8479348176831101</v>
      </c>
      <c r="V393" s="18">
        <f t="shared" ca="1" si="1070"/>
        <v>156.23333333333332</v>
      </c>
      <c r="W393" s="76"/>
      <c r="X393" s="8">
        <v>4</v>
      </c>
      <c r="Y393" s="8" t="s">
        <v>38</v>
      </c>
      <c r="Z393" s="8">
        <f t="shared" ref="Z393:AI393" si="1095">SUM(D396)</f>
        <v>30</v>
      </c>
      <c r="AA393" s="9">
        <f t="shared" ca="1" si="1095"/>
        <v>30</v>
      </c>
      <c r="AB393" s="10">
        <f t="shared" ca="1" si="1095"/>
        <v>6140.576</v>
      </c>
      <c r="AC393" s="9">
        <f t="shared" ca="1" si="1095"/>
        <v>2334</v>
      </c>
      <c r="AD393" s="9">
        <f t="shared" ca="1" si="1095"/>
        <v>40</v>
      </c>
      <c r="AE393" s="9">
        <f t="shared" ca="1" si="1095"/>
        <v>2374</v>
      </c>
      <c r="AF393" s="9">
        <f t="shared" ca="1" si="1095"/>
        <v>2692</v>
      </c>
      <c r="AG393" s="9">
        <f t="shared" ca="1" si="1095"/>
        <v>105</v>
      </c>
      <c r="AH393" s="9">
        <f t="shared" ca="1" si="1095"/>
        <v>2797</v>
      </c>
      <c r="AI393" s="9">
        <f t="shared" ca="1" si="1095"/>
        <v>5171</v>
      </c>
      <c r="AJ393" s="11">
        <f t="shared" ca="1" si="1082"/>
        <v>204.68586666666667</v>
      </c>
      <c r="AK393" s="8">
        <v>7324</v>
      </c>
      <c r="AL393" s="12">
        <f t="shared" ca="1" si="1084"/>
        <v>0.70603495357728019</v>
      </c>
      <c r="AM393" s="13">
        <f>SUM(Q396)</f>
        <v>1.5</v>
      </c>
      <c r="AN393" s="12">
        <f t="shared" ca="1" si="1086"/>
        <v>0.56140227453146629</v>
      </c>
      <c r="AO393" s="14">
        <f t="shared" ca="1" si="1087"/>
        <v>0.8421034117971995</v>
      </c>
      <c r="AP393" s="13">
        <f t="shared" ref="AP393:AQ393" ca="1" si="1096">SUM(T396)</f>
        <v>149.025021235287</v>
      </c>
      <c r="AQ393" s="13">
        <f t="shared" ca="1" si="1096"/>
        <v>4.9675007078429001</v>
      </c>
      <c r="AR393" s="9">
        <f t="shared" ca="1" si="1089"/>
        <v>172.36666666666667</v>
      </c>
      <c r="AS393" s="76"/>
      <c r="AT393" s="76"/>
    </row>
    <row r="394" spans="1:46" ht="15.75" customHeight="1" x14ac:dyDescent="0.25">
      <c r="A394" s="70"/>
      <c r="B394" s="16">
        <v>12</v>
      </c>
      <c r="C394" s="16" t="s">
        <v>39</v>
      </c>
      <c r="D394" s="17">
        <v>28</v>
      </c>
      <c r="E394" s="18">
        <f ca="1">IFERROR(__xludf.DUMMYFUNCTION("COUNT(IMPORTRANGE(""https://docs.google.com/spreadsheets/d/1uaTn2DZCfr7O1PvovOd0wElzVz8kpl_iPfnrkNPp0Is/edit"",""15!d2:d29""))"),28)</f>
        <v>28</v>
      </c>
      <c r="F394" s="23">
        <f ca="1">IFERROR(__xludf.DUMMYFUNCTION("SUM(IMPORTRANGE(""https://docs.google.com/spreadsheets/d/1uaTn2DZCfr7O1PvovOd0wElzVz8kpl_iPfnrkNPp0Is/edit"",""15!Q2:Q29""))"),4910.66199999999)</f>
        <v>4910.6619999999903</v>
      </c>
      <c r="G394" s="18">
        <f ca="1">IFERROR(__xludf.DUMMYFUNCTION("IMPORTRANGE(""https://docs.google.com/spreadsheets/d/1uaTn2DZCfr7O1PvovOd0wElzVz8kpl_iPfnrkNPp0Is/edit"",""15!e36"")"),1188)</f>
        <v>1188</v>
      </c>
      <c r="H394" s="18">
        <f ca="1">IFERROR(__xludf.DUMMYFUNCTION("(IMPORTRANGE(""https://docs.google.com/spreadsheets/d/1uaTn2DZCfr7O1PvovOd0wElzVz8kpl_iPfnrkNPp0Is/edit"",""15!e37""))"),0)</f>
        <v>0</v>
      </c>
      <c r="I394" s="18">
        <f t="shared" ca="1" si="1062"/>
        <v>1188</v>
      </c>
      <c r="J394" s="18">
        <f ca="1">IFERROR(__xludf.DUMMYFUNCTION("IMPORTRANGE(""https://docs.google.com/spreadsheets/d/1uaTn2DZCfr7O1PvovOd0wElzVz8kpl_iPfnrkNPp0Is/edit"",""15!e40"")"),1533)</f>
        <v>1533</v>
      </c>
      <c r="K394" s="18">
        <f ca="1">IFERROR(__xludf.DUMMYFUNCTION("IMPORTRANGE(""https://docs.google.com/spreadsheets/d/1uaTn2DZCfr7O1PvovOd0wElzVz8kpl_iPfnrkNPp0Is/edit"",""15!e41"")"),31)</f>
        <v>31</v>
      </c>
      <c r="L394" s="18">
        <f t="shared" ca="1" si="1092"/>
        <v>1564</v>
      </c>
      <c r="M394" s="18">
        <f t="shared" ca="1" si="1064"/>
        <v>2752</v>
      </c>
      <c r="N394" s="19">
        <f t="shared" ca="1" si="1065"/>
        <v>175.38078571428537</v>
      </c>
      <c r="O394" s="16">
        <v>3569</v>
      </c>
      <c r="P394" s="20">
        <f t="shared" ca="1" si="1066"/>
        <v>0.77108433734939763</v>
      </c>
      <c r="Q394" s="21">
        <v>1.5</v>
      </c>
      <c r="R394" s="20">
        <f t="shared" ca="1" si="1067"/>
        <v>0.37360882639991727</v>
      </c>
      <c r="S394" s="22">
        <f t="shared" ca="1" si="1068"/>
        <v>0.56041323959987588</v>
      </c>
      <c r="T394" s="21">
        <f ca="1">F394/21.463</f>
        <v>228.79662675301637</v>
      </c>
      <c r="U394" s="21">
        <f t="shared" ca="1" si="1069"/>
        <v>8.1713080983220134</v>
      </c>
      <c r="V394" s="18">
        <f t="shared" ca="1" si="1070"/>
        <v>98.285714285714292</v>
      </c>
      <c r="W394" s="76"/>
      <c r="X394" s="8">
        <v>5</v>
      </c>
      <c r="Y394" s="8" t="s">
        <v>40</v>
      </c>
      <c r="Z394" s="8">
        <f t="shared" ref="Z394:AI394" si="1097">SUM(D398)</f>
        <v>30</v>
      </c>
      <c r="AA394" s="9">
        <f t="shared" ca="1" si="1097"/>
        <v>30</v>
      </c>
      <c r="AB394" s="10">
        <f t="shared" ca="1" si="1097"/>
        <v>5830.8149999999896</v>
      </c>
      <c r="AC394" s="9">
        <f t="shared" ca="1" si="1097"/>
        <v>3032</v>
      </c>
      <c r="AD394" s="9">
        <f t="shared" ca="1" si="1097"/>
        <v>0</v>
      </c>
      <c r="AE394" s="9">
        <f t="shared" ca="1" si="1097"/>
        <v>3032</v>
      </c>
      <c r="AF394" s="9">
        <f t="shared" ca="1" si="1097"/>
        <v>4114</v>
      </c>
      <c r="AG394" s="9">
        <f t="shared" ca="1" si="1097"/>
        <v>124</v>
      </c>
      <c r="AH394" s="9">
        <f t="shared" ca="1" si="1097"/>
        <v>4238</v>
      </c>
      <c r="AI394" s="9">
        <f t="shared" ca="1" si="1097"/>
        <v>7270</v>
      </c>
      <c r="AJ394" s="11">
        <f t="shared" ca="1" si="1082"/>
        <v>194.36049999999966</v>
      </c>
      <c r="AK394" s="8">
        <f t="shared" ref="AK394:AK395" si="1098">SUM(O398)</f>
        <v>8239</v>
      </c>
      <c r="AL394" s="12">
        <f t="shared" ca="1" si="1084"/>
        <v>0.88238863939798517</v>
      </c>
      <c r="AM394" s="13">
        <f t="shared" ref="AM394:AM395" si="1099">SUM(Q398)</f>
        <v>1.5</v>
      </c>
      <c r="AN394" s="12">
        <f t="shared" ca="1" si="1086"/>
        <v>0.83121599067483276</v>
      </c>
      <c r="AO394" s="14">
        <f t="shared" ca="1" si="1087"/>
        <v>1.2468239860122492</v>
      </c>
      <c r="AP394" s="13">
        <f t="shared" ref="AP394:AQ394" ca="1" si="1100">SUM(T398)</f>
        <v>204.99999999999963</v>
      </c>
      <c r="AQ394" s="13">
        <f t="shared" ca="1" si="1100"/>
        <v>6.8333333333333206</v>
      </c>
      <c r="AR394" s="9">
        <f t="shared" ca="1" si="1089"/>
        <v>242.33333333333334</v>
      </c>
      <c r="AS394" s="76"/>
      <c r="AT394" s="76"/>
    </row>
    <row r="395" spans="1:46" ht="15.75" customHeight="1" x14ac:dyDescent="0.25">
      <c r="A395" s="70"/>
      <c r="B395" s="16">
        <v>12</v>
      </c>
      <c r="C395" s="16" t="s">
        <v>41</v>
      </c>
      <c r="D395" s="17">
        <v>24</v>
      </c>
      <c r="E395" s="18">
        <f ca="1">IFERROR(__xludf.DUMMYFUNCTION("COUNT(IMPORTRANGE(""https://docs.google.com/spreadsheets/d/1oYscvfOJW7GMkxt8QcupWuzb3ohaYePd3Mt2V2ufHok/edit"",""15!d2:d25""))"),24)</f>
        <v>24</v>
      </c>
      <c r="F395" s="23">
        <f ca="1">IFERROR(__xludf.DUMMYFUNCTION("SUM(IMPORTRANGE(""https://docs.google.com/spreadsheets/d/1oYscvfOJW7GMkxt8QcupWuzb3ohaYePd3Mt2V2ufHok/edit"",""15!Q2:Q25""))"),4628.552)</f>
        <v>4628.5519999999997</v>
      </c>
      <c r="G395" s="18">
        <f ca="1">IFERROR(__xludf.DUMMYFUNCTION("IMPORTRANGE(""https://docs.google.com/spreadsheets/d/1oYscvfOJW7GMkxt8QcupWuzb3ohaYePd3Mt2V2ufHok/edit"",""15!e32"")"),1320)</f>
        <v>1320</v>
      </c>
      <c r="H395" s="18">
        <f ca="1">IFERROR(__xludf.DUMMYFUNCTION("IMPORTRANGE(""https://docs.google.com/spreadsheets/d/1oYscvfOJW7GMkxt8QcupWuzb3ohaYePd3Mt2V2ufHok/edit"",""15!e33"")"),0)</f>
        <v>0</v>
      </c>
      <c r="I395" s="18">
        <f t="shared" ca="1" si="1062"/>
        <v>1320</v>
      </c>
      <c r="J395" s="18">
        <f ca="1">IFERROR(__xludf.DUMMYFUNCTION("IMPORTRANGE(""https://docs.google.com/spreadsheets/d/1oYscvfOJW7GMkxt8QcupWuzb3ohaYePd3Mt2V2ufHok/edit"",""15!e36"")"),1760)</f>
        <v>1760</v>
      </c>
      <c r="K395" s="18">
        <f ca="1">IFERROR(__xludf.DUMMYFUNCTION("IMPORTRANGE(""https://docs.google.com/spreadsheets/d/1oYscvfOJW7GMkxt8QcupWuzb3ohaYePd3Mt2V2ufHok/edit"",""15!e37"")"),75)</f>
        <v>75</v>
      </c>
      <c r="L395" s="18">
        <f t="shared" ca="1" si="1092"/>
        <v>1835</v>
      </c>
      <c r="M395" s="18">
        <f t="shared" ca="1" si="1064"/>
        <v>3155</v>
      </c>
      <c r="N395" s="19">
        <f t="shared" ca="1" si="1065"/>
        <v>192.85633333333331</v>
      </c>
      <c r="O395" s="16">
        <v>3801</v>
      </c>
      <c r="P395" s="20">
        <f t="shared" ca="1" si="1066"/>
        <v>0.83004472507234939</v>
      </c>
      <c r="Q395" s="21">
        <v>1.5</v>
      </c>
      <c r="R395" s="20">
        <f t="shared" ca="1" si="1067"/>
        <v>0.45442577577897653</v>
      </c>
      <c r="S395" s="22">
        <f t="shared" ca="1" si="1068"/>
        <v>0.68163866366846482</v>
      </c>
      <c r="T395" s="21">
        <f ca="1">F395/29.628</f>
        <v>156.2222222222222</v>
      </c>
      <c r="U395" s="21">
        <f t="shared" ca="1" si="1069"/>
        <v>6.5092592592592586</v>
      </c>
      <c r="V395" s="18">
        <f t="shared" ca="1" si="1070"/>
        <v>131.45833333333334</v>
      </c>
      <c r="W395" s="76"/>
      <c r="X395" s="8">
        <v>6</v>
      </c>
      <c r="Y395" s="8" t="s">
        <v>42</v>
      </c>
      <c r="Z395" s="8">
        <f t="shared" ref="Z395:AI395" si="1101">SUM(D399)</f>
        <v>33</v>
      </c>
      <c r="AA395" s="9">
        <f t="shared" ca="1" si="1101"/>
        <v>33</v>
      </c>
      <c r="AB395" s="10">
        <f t="shared" ca="1" si="1101"/>
        <v>6292.5859999999902</v>
      </c>
      <c r="AC395" s="9">
        <f t="shared" ca="1" si="1101"/>
        <v>3577</v>
      </c>
      <c r="AD395" s="9">
        <f t="shared" ca="1" si="1101"/>
        <v>0</v>
      </c>
      <c r="AE395" s="9">
        <f t="shared" ca="1" si="1101"/>
        <v>3577</v>
      </c>
      <c r="AF395" s="9">
        <f t="shared" ca="1" si="1101"/>
        <v>4140</v>
      </c>
      <c r="AG395" s="9">
        <f t="shared" ca="1" si="1101"/>
        <v>0</v>
      </c>
      <c r="AH395" s="9">
        <f t="shared" ca="1" si="1101"/>
        <v>4140</v>
      </c>
      <c r="AI395" s="9">
        <f t="shared" ca="1" si="1101"/>
        <v>7717</v>
      </c>
      <c r="AJ395" s="11">
        <f t="shared" ca="1" si="1082"/>
        <v>190.68442424242394</v>
      </c>
      <c r="AK395" s="8">
        <f t="shared" si="1098"/>
        <v>9877</v>
      </c>
      <c r="AL395" s="12">
        <f t="shared" ca="1" si="1084"/>
        <v>0.78131011440720866</v>
      </c>
      <c r="AM395" s="13">
        <f t="shared" si="1099"/>
        <v>1.5</v>
      </c>
      <c r="AN395" s="12">
        <f t="shared" ca="1" si="1086"/>
        <v>0.81757590069753105</v>
      </c>
      <c r="AO395" s="14">
        <f t="shared" ca="1" si="1087"/>
        <v>1.2263638510462966</v>
      </c>
      <c r="AP395" s="13">
        <f t="shared" ref="AP395:AQ395" ca="1" si="1102">SUM(T399)</f>
        <v>240.58826228254597</v>
      </c>
      <c r="AQ395" s="13">
        <f t="shared" ca="1" si="1102"/>
        <v>7.2905534025013932</v>
      </c>
      <c r="AR395" s="9">
        <f t="shared" ca="1" si="1089"/>
        <v>233.84848484848484</v>
      </c>
      <c r="AS395" s="76"/>
      <c r="AT395" s="76"/>
    </row>
    <row r="396" spans="1:46" ht="15.75" customHeight="1" x14ac:dyDescent="0.25">
      <c r="A396" s="70"/>
      <c r="B396" s="16">
        <v>13</v>
      </c>
      <c r="C396" s="16" t="s">
        <v>43</v>
      </c>
      <c r="D396" s="17">
        <v>30</v>
      </c>
      <c r="E396" s="18">
        <f ca="1">IFERROR(__xludf.DUMMYFUNCTION("COUNT(IMPORTRANGE(""https://docs.google.com/spreadsheets/d/1AxBmuQEdOYAeRnZ4C8vO6kuTNp7X_SGhpLXuY0n4ln4/edit"",""15!d2:d31""))"),30)</f>
        <v>30</v>
      </c>
      <c r="F396" s="23">
        <f ca="1">IFERROR(__xludf.DUMMYFUNCTION("SUM(IMPORTRANGE(""https://docs.google.com/spreadsheets/d/1AxBmuQEdOYAeRnZ4C8vO6kuTNp7X_SGhpLXuY0n4ln4/edit"",""15!Q2:Q31""))"),6140.576)</f>
        <v>6140.576</v>
      </c>
      <c r="G396" s="18">
        <f ca="1">IFERROR(__xludf.DUMMYFUNCTION("IMPORTRANGE(""https://docs.google.com/spreadsheets/d/1AxBmuQEdOYAeRnZ4C8vO6kuTNp7X_SGhpLXuY0n4ln4/edit"",""15!e38"")"),2334)</f>
        <v>2334</v>
      </c>
      <c r="H396" s="18">
        <f ca="1">IFERROR(__xludf.DUMMYFUNCTION("IMPORTRANGE(""https://docs.google.com/spreadsheets/d/1AxBmuQEdOYAeRnZ4C8vO6kuTNp7X_SGhpLXuY0n4ln4/edit"",""15!e39"")"),40)</f>
        <v>40</v>
      </c>
      <c r="I396" s="18">
        <f t="shared" ca="1" si="1062"/>
        <v>2374</v>
      </c>
      <c r="J396" s="18">
        <f ca="1">IFERROR(__xludf.DUMMYFUNCTION("IMPORTRANGE(""https://docs.google.com/spreadsheets/d/1AxBmuQEdOYAeRnZ4C8vO6kuTNp7X_SGhpLXuY0n4ln4/edit"",""15!e42"")"),2692)</f>
        <v>2692</v>
      </c>
      <c r="K396" s="18">
        <f ca="1">IFERROR(__xludf.DUMMYFUNCTION("IMPORTRANGE(""https://docs.google.com/spreadsheets/d/1AxBmuQEdOYAeRnZ4C8vO6kuTNp7X_SGhpLXuY0n4ln4/edit"",""15!e43"")"),105)</f>
        <v>105</v>
      </c>
      <c r="L396" s="18">
        <f t="shared" ca="1" si="1092"/>
        <v>2797</v>
      </c>
      <c r="M396" s="18">
        <f t="shared" ca="1" si="1064"/>
        <v>5171</v>
      </c>
      <c r="N396" s="19">
        <f t="shared" ca="1" si="1065"/>
        <v>204.68586666666667</v>
      </c>
      <c r="O396" s="16">
        <v>8345</v>
      </c>
      <c r="P396" s="20">
        <f t="shared" ca="1" si="1066"/>
        <v>0.61965248651887361</v>
      </c>
      <c r="Q396" s="21">
        <v>1.5</v>
      </c>
      <c r="R396" s="20">
        <f t="shared" ca="1" si="1067"/>
        <v>0.56140227453146629</v>
      </c>
      <c r="S396" s="22">
        <f t="shared" ca="1" si="1068"/>
        <v>0.8421034117971995</v>
      </c>
      <c r="T396" s="21">
        <f ca="1">F396/41.205</f>
        <v>149.025021235287</v>
      </c>
      <c r="U396" s="21">
        <f t="shared" ca="1" si="1069"/>
        <v>4.9675007078429001</v>
      </c>
      <c r="V396" s="18">
        <f t="shared" ca="1" si="1070"/>
        <v>172.36666666666667</v>
      </c>
      <c r="W396" s="76"/>
      <c r="X396" s="24" t="s">
        <v>33</v>
      </c>
      <c r="Y396" s="24">
        <v>6</v>
      </c>
      <c r="Z396" s="24">
        <f t="shared" ref="Z396:AI396" si="1103">SUM(Z390:Z395)</f>
        <v>226</v>
      </c>
      <c r="AA396" s="25">
        <f t="shared" ca="1" si="1103"/>
        <v>224</v>
      </c>
      <c r="AB396" s="27">
        <f t="shared" ca="1" si="1103"/>
        <v>44226.701999999881</v>
      </c>
      <c r="AC396" s="25">
        <f t="shared" ca="1" si="1103"/>
        <v>17930</v>
      </c>
      <c r="AD396" s="25">
        <f t="shared" ca="1" si="1103"/>
        <v>213</v>
      </c>
      <c r="AE396" s="25">
        <f t="shared" ca="1" si="1103"/>
        <v>18143</v>
      </c>
      <c r="AF396" s="25">
        <f t="shared" ca="1" si="1103"/>
        <v>23152</v>
      </c>
      <c r="AG396" s="25">
        <f t="shared" ca="1" si="1103"/>
        <v>502</v>
      </c>
      <c r="AH396" s="25">
        <f t="shared" ca="1" si="1103"/>
        <v>23654</v>
      </c>
      <c r="AI396" s="25">
        <f t="shared" ca="1" si="1103"/>
        <v>41797</v>
      </c>
      <c r="AJ396" s="27">
        <f t="shared" ca="1" si="1082"/>
        <v>197.44063392857089</v>
      </c>
      <c r="AK396" s="24">
        <f>SUM(AK390:AK395)</f>
        <v>53273</v>
      </c>
      <c r="AL396" s="28">
        <f t="shared" ca="1" si="1084"/>
        <v>0.78458130760422728</v>
      </c>
      <c r="AM396" s="29">
        <v>1.5</v>
      </c>
      <c r="AN396" s="28">
        <f t="shared" ca="1" si="1086"/>
        <v>0.63004170346382016</v>
      </c>
      <c r="AO396" s="30">
        <f t="shared" ca="1" si="1087"/>
        <v>0.94506255519573024</v>
      </c>
      <c r="AP396" s="29">
        <f ca="1">SUM(AP390:AP395)</f>
        <v>1453.0225575021393</v>
      </c>
      <c r="AQ396" s="29">
        <f ca="1">AP396/AA396</f>
        <v>6.4867078459916936</v>
      </c>
      <c r="AR396" s="25">
        <f t="shared" ca="1" si="1089"/>
        <v>186.59375</v>
      </c>
      <c r="AS396" s="76"/>
      <c r="AT396" s="76"/>
    </row>
    <row r="397" spans="1:46" ht="15.75" customHeight="1" x14ac:dyDescent="0.25">
      <c r="A397" s="70"/>
      <c r="B397" s="16">
        <v>14</v>
      </c>
      <c r="C397" s="16" t="s">
        <v>27</v>
      </c>
      <c r="D397" s="17">
        <v>30</v>
      </c>
      <c r="E397" s="18">
        <f ca="1">IFERROR(__xludf.DUMMYFUNCTION("COUNT(IMPORTRANGE(""https://docs.google.com/spreadsheets/d/1LsL4JuXvBtfJ-TVi4NFml9lV_pmd61b789A_nbO-QrA/edit"",""15!d2:d31""))"),30)</f>
        <v>30</v>
      </c>
      <c r="F397" s="23">
        <f ca="1">IFERROR(__xludf.DUMMYFUNCTION("SUM(IMPORTRANGE(""https://docs.google.com/spreadsheets/d/1LsL4JuXvBtfJ-TVi4NFml9lV_pmd61b789A_nbO-QrA/edit"",""15!Q2:Q31""))"),5885.445)</f>
        <v>5885.4449999999997</v>
      </c>
      <c r="G397" s="18">
        <f ca="1">IFERROR(__xludf.DUMMYFUNCTION("IMPORTRANGE(""https://docs.google.com/spreadsheets/d/1LsL4JuXvBtfJ-TVi4NFml9lV_pmd61b789A_nbO-QrA/edit"",""15!e38"")"),2620)</f>
        <v>2620</v>
      </c>
      <c r="H397" s="18">
        <f ca="1">IFERROR(__xludf.DUMMYFUNCTION("IMPORTRANGE(""https://docs.google.com/spreadsheets/d/1LsL4JuXvBtfJ-TVi4NFml9lV_pmd61b789A_nbO-QrA/edit"",""15!e39"")"),62)</f>
        <v>62</v>
      </c>
      <c r="I397" s="18">
        <f t="shared" ca="1" si="1062"/>
        <v>2682</v>
      </c>
      <c r="J397" s="18">
        <f ca="1">IFERROR(__xludf.DUMMYFUNCTION("IMPORTRANGE(""https://docs.google.com/spreadsheets/d/1LsL4JuXvBtfJ-TVi4NFml9lV_pmd61b789A_nbO-QrA/edit"",""15!e42"")"),2896)</f>
        <v>2896</v>
      </c>
      <c r="K397" s="18">
        <f ca="1">IFERROR(__xludf.DUMMYFUNCTION("IMPORTRANGE(""https://docs.google.com/spreadsheets/d/1LsL4JuXvBtfJ-TVi4NFml9lV_pmd61b789A_nbO-QrA/edit"",""15!e43"")"),35)</f>
        <v>35</v>
      </c>
      <c r="L397" s="18">
        <f t="shared" ca="1" si="1092"/>
        <v>2931</v>
      </c>
      <c r="M397" s="18">
        <f t="shared" ca="1" si="1064"/>
        <v>5613</v>
      </c>
      <c r="N397" s="19">
        <f t="shared" ca="1" si="1065"/>
        <v>196.1815</v>
      </c>
      <c r="O397" s="16">
        <v>8101</v>
      </c>
      <c r="P397" s="20">
        <f t="shared" ca="1" si="1066"/>
        <v>0.69287742254042706</v>
      </c>
      <c r="Q397" s="21">
        <v>1.5</v>
      </c>
      <c r="R397" s="20">
        <f t="shared" ca="1" si="1067"/>
        <v>0.63580578868717663</v>
      </c>
      <c r="S397" s="22">
        <f t="shared" ca="1" si="1068"/>
        <v>0.95370868303076495</v>
      </c>
      <c r="T397" s="21">
        <f ca="1">F397/19.985</f>
        <v>294.49311983987991</v>
      </c>
      <c r="U397" s="21">
        <f t="shared" ca="1" si="1069"/>
        <v>9.8164373279959971</v>
      </c>
      <c r="V397" s="18">
        <f t="shared" ca="1" si="1070"/>
        <v>187.1</v>
      </c>
      <c r="W397" s="76"/>
      <c r="X397" s="97" t="s">
        <v>44</v>
      </c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9"/>
      <c r="AS397" s="76"/>
      <c r="AT397" s="76"/>
    </row>
    <row r="398" spans="1:46" ht="15.75" customHeight="1" x14ac:dyDescent="0.25">
      <c r="A398" s="70"/>
      <c r="B398" s="16">
        <v>15</v>
      </c>
      <c r="C398" s="16" t="s">
        <v>40</v>
      </c>
      <c r="D398" s="17">
        <v>30</v>
      </c>
      <c r="E398" s="18">
        <f ca="1">IFERROR(__xludf.DUMMYFUNCTION("COUNT(IMPORTRANGE(""https://docs.google.com/spreadsheets/d/1Krav0MVlY0vbUNsFRDnb_kR72_tyuGnWBYbGjNZrl18/edit"",""15!d2:d31""))"),30)</f>
        <v>30</v>
      </c>
      <c r="F398" s="23">
        <f ca="1">IFERROR(__xludf.DUMMYFUNCTION("SUM(IMPORTRANGE(""https://docs.google.com/spreadsheets/d/1Krav0MVlY0vbUNsFRDnb_kR72_tyuGnWBYbGjNZrl18/edit"",""15!Q2:Q31""))"),5830.81499999999)</f>
        <v>5830.8149999999896</v>
      </c>
      <c r="G398" s="18">
        <f ca="1">IFERROR(__xludf.DUMMYFUNCTION("IMPORTRANGE(""https://docs.google.com/spreadsheets/d/1Krav0MVlY0vbUNsFRDnb_kR72_tyuGnWBYbGjNZrl18/edit"",""15!e38"")"),3032)</f>
        <v>3032</v>
      </c>
      <c r="H398" s="18">
        <f ca="1">IFERROR(__xludf.DUMMYFUNCTION("IMPORTRANGE(""https://docs.google.com/spreadsheets/d/1Krav0MVlY0vbUNsFRDnb_kR72_tyuGnWBYbGjNZrl18/edit"",""15!e39"")"),0)</f>
        <v>0</v>
      </c>
      <c r="I398" s="18">
        <f t="shared" ca="1" si="1062"/>
        <v>3032</v>
      </c>
      <c r="J398" s="18">
        <f ca="1">IFERROR(__xludf.DUMMYFUNCTION("IMPORTRANGE(""https://docs.google.com/spreadsheets/d/1Krav0MVlY0vbUNsFRDnb_kR72_tyuGnWBYbGjNZrl18/edit"",""15!e42"")"),4114)</f>
        <v>4114</v>
      </c>
      <c r="K398" s="18">
        <f ca="1">IFERROR(__xludf.DUMMYFUNCTION("IMPORTRANGE(""https://docs.google.com/spreadsheets/d/1Krav0MVlY0vbUNsFRDnb_kR72_tyuGnWBYbGjNZrl18/edit"",""15!e43"")"),124)</f>
        <v>124</v>
      </c>
      <c r="L398" s="18">
        <f t="shared" ca="1" si="1092"/>
        <v>4238</v>
      </c>
      <c r="M398" s="18">
        <f t="shared" ca="1" si="1064"/>
        <v>7270</v>
      </c>
      <c r="N398" s="19">
        <f t="shared" ca="1" si="1065"/>
        <v>194.36049999999966</v>
      </c>
      <c r="O398" s="16">
        <v>8239</v>
      </c>
      <c r="P398" s="20">
        <f t="shared" ca="1" si="1066"/>
        <v>0.88238863939798517</v>
      </c>
      <c r="Q398" s="21">
        <v>1.5</v>
      </c>
      <c r="R398" s="20">
        <f t="shared" ca="1" si="1067"/>
        <v>0.83121599067483276</v>
      </c>
      <c r="S398" s="22">
        <f t="shared" ca="1" si="1068"/>
        <v>1.2468239860122492</v>
      </c>
      <c r="T398" s="21">
        <f ca="1">F398/28.443</f>
        <v>204.99999999999963</v>
      </c>
      <c r="U398" s="21">
        <f t="shared" ca="1" si="1069"/>
        <v>6.8333333333333206</v>
      </c>
      <c r="V398" s="18">
        <f t="shared" ca="1" si="1070"/>
        <v>242.33333333333334</v>
      </c>
      <c r="W398" s="76"/>
      <c r="X398" s="1" t="s">
        <v>2</v>
      </c>
      <c r="Y398" s="1" t="s">
        <v>3</v>
      </c>
      <c r="Z398" s="1" t="s">
        <v>4</v>
      </c>
      <c r="AA398" s="1" t="s">
        <v>5</v>
      </c>
      <c r="AB398" s="2" t="s">
        <v>6</v>
      </c>
      <c r="AC398" s="1" t="s">
        <v>7</v>
      </c>
      <c r="AD398" s="1" t="s">
        <v>8</v>
      </c>
      <c r="AE398" s="1" t="s">
        <v>9</v>
      </c>
      <c r="AF398" s="1" t="s">
        <v>10</v>
      </c>
      <c r="AG398" s="1" t="s">
        <v>11</v>
      </c>
      <c r="AH398" s="1" t="s">
        <v>12</v>
      </c>
      <c r="AI398" s="1" t="s">
        <v>13</v>
      </c>
      <c r="AJ398" s="2" t="s">
        <v>14</v>
      </c>
      <c r="AK398" s="1" t="s">
        <v>15</v>
      </c>
      <c r="AL398" s="1" t="s">
        <v>16</v>
      </c>
      <c r="AM398" s="3" t="s">
        <v>17</v>
      </c>
      <c r="AN398" s="4" t="s">
        <v>18</v>
      </c>
      <c r="AO398" s="5" t="s">
        <v>19</v>
      </c>
      <c r="AP398" s="6" t="s">
        <v>20</v>
      </c>
      <c r="AQ398" s="6" t="s">
        <v>21</v>
      </c>
      <c r="AR398" s="7" t="s">
        <v>22</v>
      </c>
      <c r="AS398" s="76"/>
      <c r="AT398" s="76"/>
    </row>
    <row r="399" spans="1:46" ht="15.75" customHeight="1" x14ac:dyDescent="0.25">
      <c r="A399" s="70"/>
      <c r="B399" s="16">
        <v>16</v>
      </c>
      <c r="C399" s="16" t="s">
        <v>42</v>
      </c>
      <c r="D399" s="17">
        <v>33</v>
      </c>
      <c r="E399" s="18">
        <f ca="1">IFERROR(__xludf.DUMMYFUNCTION("COUNT(IMPORTRANGE(""https://docs.google.com/spreadsheets/d/1uXtm-E8PG0CetlFmSpTX3RK0LNEMnpR-mxbET9AGD6w/edit"",""15!d2:d34""))"),33)</f>
        <v>33</v>
      </c>
      <c r="F399" s="23">
        <f ca="1">IFERROR(__xludf.DUMMYFUNCTION("SUM(IMPORTRANGE(""https://docs.google.com/spreadsheets/d/1uXtm-E8PG0CetlFmSpTX3RK0LNEMnpR-mxbET9AGD6w/edit"",""15!Q2:Q34""))"),6292.58599999999)</f>
        <v>6292.5859999999902</v>
      </c>
      <c r="G399" s="18">
        <f ca="1">IFERROR(__xludf.DUMMYFUNCTION("IMPORTRANGE(""https://docs.google.com/spreadsheets/d/1uXtm-E8PG0CetlFmSpTX3RK0LNEMnpR-mxbET9AGD6w/edit"",""15!e41"")"),3577)</f>
        <v>3577</v>
      </c>
      <c r="H399" s="18">
        <f ca="1">IFERROR(__xludf.DUMMYFUNCTION("IMPORTRANGE(""https://docs.google.com/spreadsheets/d/1uXtm-E8PG0CetlFmSpTX3RK0LNEMnpR-mxbET9AGD6w/edit"",""15!e42"")"),0)</f>
        <v>0</v>
      </c>
      <c r="I399" s="18">
        <f t="shared" ca="1" si="1062"/>
        <v>3577</v>
      </c>
      <c r="J399" s="18">
        <f ca="1">IFERROR(__xludf.DUMMYFUNCTION("IMPORTRANGE(""https://docs.google.com/spreadsheets/d/1uXtm-E8PG0CetlFmSpTX3RK0LNEMnpR-mxbET9AGD6w/edit"",""15!e45"")"),4140)</f>
        <v>4140</v>
      </c>
      <c r="K399" s="18">
        <f ca="1">IFERROR(__xludf.DUMMYFUNCTION("IMPORTRANGE(""https://docs.google.com/spreadsheets/d/1uXtm-E8PG0CetlFmSpTX3RK0LNEMnpR-mxbET9AGD6w/edit"",""15!e46"")"),0)</f>
        <v>0</v>
      </c>
      <c r="L399" s="18">
        <f t="shared" ca="1" si="1092"/>
        <v>4140</v>
      </c>
      <c r="M399" s="18">
        <f t="shared" ca="1" si="1064"/>
        <v>7717</v>
      </c>
      <c r="N399" s="19">
        <f t="shared" ca="1" si="1065"/>
        <v>190.68442424242394</v>
      </c>
      <c r="O399" s="16">
        <v>9877</v>
      </c>
      <c r="P399" s="20">
        <f t="shared" ca="1" si="1066"/>
        <v>0.78131011440720866</v>
      </c>
      <c r="Q399" s="21">
        <v>1.5</v>
      </c>
      <c r="R399" s="20">
        <f t="shared" ca="1" si="1067"/>
        <v>0.81757590069753105</v>
      </c>
      <c r="S399" s="22">
        <f t="shared" ca="1" si="1068"/>
        <v>1.2263638510462966</v>
      </c>
      <c r="T399" s="21">
        <f ca="1">F399/26.155</f>
        <v>240.58826228254597</v>
      </c>
      <c r="U399" s="21">
        <f t="shared" ca="1" si="1069"/>
        <v>7.2905534025013932</v>
      </c>
      <c r="V399" s="18">
        <f t="shared" ca="1" si="1070"/>
        <v>233.84848484848484</v>
      </c>
      <c r="W399" s="76"/>
      <c r="X399" s="8">
        <v>1</v>
      </c>
      <c r="Y399" s="8" t="s">
        <v>26</v>
      </c>
      <c r="Z399" s="8">
        <f t="shared" ref="Z399:AI399" si="1104">SUM(D384)</f>
        <v>20</v>
      </c>
      <c r="AA399" s="9">
        <f t="shared" ca="1" si="1104"/>
        <v>20</v>
      </c>
      <c r="AB399" s="11">
        <f t="shared" ca="1" si="1104"/>
        <v>3625.9079999999999</v>
      </c>
      <c r="AC399" s="9">
        <f t="shared" ca="1" si="1104"/>
        <v>2202</v>
      </c>
      <c r="AD399" s="9">
        <f t="shared" ca="1" si="1104"/>
        <v>0</v>
      </c>
      <c r="AE399" s="9">
        <f t="shared" ca="1" si="1104"/>
        <v>2202</v>
      </c>
      <c r="AF399" s="9">
        <f t="shared" ca="1" si="1104"/>
        <v>2361</v>
      </c>
      <c r="AG399" s="9">
        <f t="shared" ca="1" si="1104"/>
        <v>151</v>
      </c>
      <c r="AH399" s="9">
        <f t="shared" ca="1" si="1104"/>
        <v>2512</v>
      </c>
      <c r="AI399" s="9">
        <f t="shared" ca="1" si="1104"/>
        <v>4714</v>
      </c>
      <c r="AJ399" s="11">
        <f t="shared" ref="AJ399:AJ405" ca="1" si="1105">AB399/AA399</f>
        <v>181.2954</v>
      </c>
      <c r="AK399" s="8">
        <f>SUM(O384)</f>
        <v>5161</v>
      </c>
      <c r="AL399" s="12">
        <f t="shared" ref="AL399:AL405" ca="1" si="1106">AI399/AK399</f>
        <v>0.91338887812439451</v>
      </c>
      <c r="AM399" s="13">
        <f>SUM(Q384)</f>
        <v>1.5</v>
      </c>
      <c r="AN399" s="12">
        <f t="shared" ref="AN399:AN405" ca="1" si="1107">AO399/AM399</f>
        <v>0.86672542895921978</v>
      </c>
      <c r="AO399" s="14">
        <f t="shared" ref="AO399:AO405" ca="1" si="1108">AI399/AB399</f>
        <v>1.3000881434388296</v>
      </c>
      <c r="AP399" s="13">
        <f t="shared" ref="AP399:AQ399" ca="1" si="1109">SUM(T384)</f>
        <v>251.53714880332987</v>
      </c>
      <c r="AQ399" s="13">
        <f t="shared" ca="1" si="1109"/>
        <v>12.576857440166494</v>
      </c>
      <c r="AR399" s="9">
        <f t="shared" ref="AR399:AR405" ca="1" si="1110">AI399/AA399</f>
        <v>235.7</v>
      </c>
      <c r="AS399" s="76"/>
      <c r="AT399" s="76"/>
    </row>
    <row r="400" spans="1:46" ht="15.75" customHeight="1" x14ac:dyDescent="0.25">
      <c r="A400" s="70"/>
      <c r="B400" s="16">
        <v>17</v>
      </c>
      <c r="C400" s="16" t="s">
        <v>29</v>
      </c>
      <c r="D400" s="17">
        <v>30</v>
      </c>
      <c r="E400" s="18">
        <f ca="1">IFERROR(__xludf.DUMMYFUNCTION("COUNT(IMPORTRANGE(""https://docs.google.com/spreadsheets/d/12xcKI0lSnAsjEsxfm9K8Qx0B_89Gzsh816mowItkQao/edit"",""15!d2:d31""))"),27)</f>
        <v>27</v>
      </c>
      <c r="F400" s="23">
        <f ca="1">IFERROR(__xludf.DUMMYFUNCTION("SUM(IMPORTRANGE(""https://docs.google.com/spreadsheets/d/12xcKI0lSnAsjEsxfm9K8Qx0B_89Gzsh816mowItkQao/edit"",""15!Q2:Q31""))"),5285.714)</f>
        <v>5285.7139999999999</v>
      </c>
      <c r="G400" s="18">
        <f ca="1">IFERROR(__xludf.DUMMYFUNCTION("IMPORTRANGE(""https://docs.google.com/spreadsheets/d/12xcKI0lSnAsjEsxfm9K8Qx0B_89Gzsh816mowItkQao/edit"",""15!e38"")"),2710)</f>
        <v>2710</v>
      </c>
      <c r="H400" s="18">
        <f ca="1">IFERROR(__xludf.DUMMYFUNCTION("IMPORTRANGE(""https://docs.google.com/spreadsheets/d/12xcKI0lSnAsjEsxfm9K8Qx0B_89Gzsh816mowItkQao/edit"",""15!e39"")"),0)</f>
        <v>0</v>
      </c>
      <c r="I400" s="18">
        <f t="shared" ca="1" si="1062"/>
        <v>2710</v>
      </c>
      <c r="J400" s="18">
        <f ca="1">IFERROR(__xludf.DUMMYFUNCTION("IMPORTRANGE(""https://docs.google.com/spreadsheets/d/12xcKI0lSnAsjEsxfm9K8Qx0B_89Gzsh816mowItkQao/edit"",""15!e42"")"),4067)</f>
        <v>4067</v>
      </c>
      <c r="K400" s="18">
        <f ca="1">IFERROR(__xludf.DUMMYFUNCTION("IMPORTRANGE(""https://docs.google.com/spreadsheets/d/12xcKI0lSnAsjEsxfm9K8Qx0B_89Gzsh816mowItkQao/edit"",""15!e43"")"),0)</f>
        <v>0</v>
      </c>
      <c r="L400" s="18">
        <f t="shared" ca="1" si="1092"/>
        <v>4067</v>
      </c>
      <c r="M400" s="18">
        <f t="shared" ca="1" si="1064"/>
        <v>6777</v>
      </c>
      <c r="N400" s="19">
        <f t="shared" ca="1" si="1065"/>
        <v>195.76718518518518</v>
      </c>
      <c r="O400" s="16">
        <v>9201</v>
      </c>
      <c r="P400" s="20">
        <f t="shared" ca="1" si="1066"/>
        <v>0.73655037495924358</v>
      </c>
      <c r="Q400" s="21">
        <v>1.5</v>
      </c>
      <c r="R400" s="20">
        <f t="shared" ca="1" si="1067"/>
        <v>0.85475680295982714</v>
      </c>
      <c r="S400" s="22">
        <f t="shared" ca="1" si="1068"/>
        <v>1.2821352044397407</v>
      </c>
      <c r="T400" s="21">
        <f ca="1">F400/26.038</f>
        <v>203</v>
      </c>
      <c r="U400" s="21">
        <f t="shared" ca="1" si="1069"/>
        <v>7.5185185185185182</v>
      </c>
      <c r="V400" s="18">
        <f t="shared" ca="1" si="1070"/>
        <v>251</v>
      </c>
      <c r="W400" s="76"/>
      <c r="X400" s="8">
        <v>2</v>
      </c>
      <c r="Y400" s="8" t="s">
        <v>32</v>
      </c>
      <c r="Z400" s="8">
        <f t="shared" ref="Z400:AI400" si="1111">SUM(D387)</f>
        <v>42</v>
      </c>
      <c r="AA400" s="9">
        <f t="shared" ca="1" si="1111"/>
        <v>42</v>
      </c>
      <c r="AB400" s="10">
        <f t="shared" ca="1" si="1111"/>
        <v>8368.2559999999903</v>
      </c>
      <c r="AC400" s="8">
        <f t="shared" ca="1" si="1111"/>
        <v>4806</v>
      </c>
      <c r="AD400" s="8">
        <f t="shared" ca="1" si="1111"/>
        <v>212</v>
      </c>
      <c r="AE400" s="9">
        <f t="shared" ca="1" si="1111"/>
        <v>5018</v>
      </c>
      <c r="AF400" s="8">
        <f t="shared" ca="1" si="1111"/>
        <v>5372</v>
      </c>
      <c r="AG400" s="8">
        <f t="shared" ca="1" si="1111"/>
        <v>230</v>
      </c>
      <c r="AH400" s="9">
        <f t="shared" ca="1" si="1111"/>
        <v>5602</v>
      </c>
      <c r="AI400" s="9">
        <f t="shared" ca="1" si="1111"/>
        <v>10620</v>
      </c>
      <c r="AJ400" s="11">
        <f t="shared" ca="1" si="1105"/>
        <v>199.24419047619025</v>
      </c>
      <c r="AK400" s="8">
        <f>SUM(O387)</f>
        <v>13817</v>
      </c>
      <c r="AL400" s="12">
        <f t="shared" ca="1" si="1106"/>
        <v>0.76861836867626832</v>
      </c>
      <c r="AM400" s="13">
        <f>SUM(Q387)</f>
        <v>1.5</v>
      </c>
      <c r="AN400" s="12">
        <f t="shared" ca="1" si="1107"/>
        <v>0.84605442280924581</v>
      </c>
      <c r="AO400" s="14">
        <f t="shared" ca="1" si="1108"/>
        <v>1.2690816342138687</v>
      </c>
      <c r="AP400" s="13">
        <f t="shared" ref="AP400:AQ400" ca="1" si="1112">SUM(T387)</f>
        <v>333.54282753397865</v>
      </c>
      <c r="AQ400" s="13">
        <f t="shared" ca="1" si="1112"/>
        <v>7.9414958936661586</v>
      </c>
      <c r="AR400" s="9">
        <f t="shared" ca="1" si="1110"/>
        <v>252.85714285714286</v>
      </c>
      <c r="AS400" s="76"/>
      <c r="AT400" s="76"/>
    </row>
    <row r="401" spans="1:46" ht="15.75" customHeight="1" x14ac:dyDescent="0.25">
      <c r="A401" s="70"/>
      <c r="B401" s="16">
        <v>18</v>
      </c>
      <c r="C401" s="16" t="s">
        <v>31</v>
      </c>
      <c r="D401" s="17">
        <v>15</v>
      </c>
      <c r="E401" s="18">
        <f ca="1">IFERROR(__xludf.DUMMYFUNCTION("COUNT(IMPORTRANGE(""https://docs.google.com/spreadsheets/d/1fgCFOFzOla4Qim6_-zG-lbYhLCItqv_kZiAHoErRgcM/edit"",""15!d2:d16""))"),15)</f>
        <v>15</v>
      </c>
      <c r="F401" s="19">
        <f ca="1">IFERROR(__xludf.DUMMYFUNCTION("SUM(IMPORTRANGE(""https://docs.google.com/spreadsheets/d/1fgCFOFzOla4Qim6_-zG-lbYhLCItqv_kZiAHoErRgcM/edit"",""15!Q2:Q16""))"),2955.62)</f>
        <v>2955.62</v>
      </c>
      <c r="G401" s="18">
        <f ca="1">IFERROR(__xludf.DUMMYFUNCTION("IMPORTRANGE(""https://docs.google.com/spreadsheets/d/1fgCFOFzOla4Qim6_-zG-lbYhLCItqv_kZiAHoErRgcM/edit"",""15!e23"")"),889)</f>
        <v>889</v>
      </c>
      <c r="H401" s="18">
        <f ca="1">IFERROR(__xludf.DUMMYFUNCTION("IMPORTRANGE(""https://docs.google.com/spreadsheets/d/1fgCFOFzOla4Qim6_-zG-lbYhLCItqv_kZiAHoErRgcM/edit"",""15!e24"")"),79)</f>
        <v>79</v>
      </c>
      <c r="I401" s="18">
        <f t="shared" ca="1" si="1062"/>
        <v>968</v>
      </c>
      <c r="J401" s="18">
        <f ca="1">IFERROR(__xludf.DUMMYFUNCTION("IMPORTRANGE(""https://docs.google.com/spreadsheets/d/1fgCFOFzOla4Qim6_-zG-lbYhLCItqv_kZiAHoErRgcM/edit"",""15!e27"")"),1167)</f>
        <v>1167</v>
      </c>
      <c r="K401" s="18">
        <f ca="1">IFERROR(__xludf.DUMMYFUNCTION("IMPORTRANGE(""https://docs.google.com/spreadsheets/d/1fgCFOFzOla4Qim6_-zG-lbYhLCItqv_kZiAHoErRgcM/edit"",""15!e28"")"),0)</f>
        <v>0</v>
      </c>
      <c r="L401" s="18">
        <f t="shared" ca="1" si="1092"/>
        <v>1167</v>
      </c>
      <c r="M401" s="18">
        <f t="shared" ca="1" si="1064"/>
        <v>2135</v>
      </c>
      <c r="N401" s="19">
        <f t="shared" ca="1" si="1065"/>
        <v>197.04133333333331</v>
      </c>
      <c r="O401" s="16">
        <v>2717</v>
      </c>
      <c r="P401" s="20">
        <f t="shared" ca="1" si="1066"/>
        <v>0.78579315421420681</v>
      </c>
      <c r="Q401" s="21">
        <v>1.5</v>
      </c>
      <c r="R401" s="20">
        <f t="shared" ca="1" si="1067"/>
        <v>0.48156844700378715</v>
      </c>
      <c r="S401" s="22">
        <f t="shared" ca="1" si="1068"/>
        <v>0.72235267050568075</v>
      </c>
      <c r="T401" s="21">
        <f ca="1">F401/43.465</f>
        <v>67.999999999999986</v>
      </c>
      <c r="U401" s="21">
        <f t="shared" ca="1" si="1069"/>
        <v>4.5333333333333323</v>
      </c>
      <c r="V401" s="18">
        <f t="shared" ca="1" si="1070"/>
        <v>142.33333333333334</v>
      </c>
      <c r="W401" s="76"/>
      <c r="X401" s="8">
        <v>3</v>
      </c>
      <c r="Y401" s="8" t="s">
        <v>36</v>
      </c>
      <c r="Z401" s="8">
        <f t="shared" ref="Z401:AI401" si="1113">SUM(D392)</f>
        <v>24</v>
      </c>
      <c r="AA401" s="9">
        <f t="shared" ca="1" si="1113"/>
        <v>23</v>
      </c>
      <c r="AB401" s="10">
        <f t="shared" ca="1" si="1113"/>
        <v>4595.5379999999996</v>
      </c>
      <c r="AC401" s="9">
        <f t="shared" ca="1" si="1113"/>
        <v>1694</v>
      </c>
      <c r="AD401" s="9">
        <f t="shared" ca="1" si="1113"/>
        <v>0</v>
      </c>
      <c r="AE401" s="9">
        <f t="shared" ca="1" si="1113"/>
        <v>1694</v>
      </c>
      <c r="AF401" s="9">
        <f t="shared" ca="1" si="1113"/>
        <v>1805</v>
      </c>
      <c r="AG401" s="9">
        <f t="shared" ca="1" si="1113"/>
        <v>0</v>
      </c>
      <c r="AH401" s="9">
        <f t="shared" ca="1" si="1113"/>
        <v>1805</v>
      </c>
      <c r="AI401" s="9">
        <f t="shared" ca="1" si="1113"/>
        <v>3499</v>
      </c>
      <c r="AJ401" s="11">
        <f t="shared" ca="1" si="1105"/>
        <v>199.80599999999998</v>
      </c>
      <c r="AK401" s="8">
        <f t="shared" ref="AK401:AK404" si="1114">SUM(O392)</f>
        <v>4796</v>
      </c>
      <c r="AL401" s="12">
        <f t="shared" ca="1" si="1106"/>
        <v>0.7295663052543786</v>
      </c>
      <c r="AM401" s="13">
        <f t="shared" ref="AM401:AM404" si="1115">SUM(Q392)</f>
        <v>1.5</v>
      </c>
      <c r="AN401" s="12">
        <f t="shared" ca="1" si="1107"/>
        <v>0.50759381527618019</v>
      </c>
      <c r="AO401" s="14">
        <f t="shared" ca="1" si="1108"/>
        <v>0.76139072291427035</v>
      </c>
      <c r="AP401" s="13">
        <f t="shared" ref="AP401:AQ401" ca="1" si="1116">SUM(T392)</f>
        <v>122.82936868551877</v>
      </c>
      <c r="AQ401" s="13">
        <f t="shared" ca="1" si="1116"/>
        <v>5.3404073341529905</v>
      </c>
      <c r="AR401" s="9">
        <f t="shared" ca="1" si="1110"/>
        <v>152.13043478260869</v>
      </c>
      <c r="AS401" s="76"/>
      <c r="AT401" s="76"/>
    </row>
    <row r="402" spans="1:46" ht="15.75" customHeight="1" x14ac:dyDescent="0.2">
      <c r="A402" s="70"/>
      <c r="B402" s="98" t="s">
        <v>33</v>
      </c>
      <c r="C402" s="98">
        <v>18</v>
      </c>
      <c r="D402" s="98">
        <f t="shared" ref="D402:M402" si="1117">SUM(D384:D401)</f>
        <v>580</v>
      </c>
      <c r="E402" s="74">
        <f t="shared" ca="1" si="1117"/>
        <v>570</v>
      </c>
      <c r="F402" s="99">
        <f t="shared" ca="1" si="1117"/>
        <v>110330.46399999983</v>
      </c>
      <c r="G402" s="74">
        <f t="shared" ca="1" si="1117"/>
        <v>42897</v>
      </c>
      <c r="H402" s="74">
        <f t="shared" ca="1" si="1117"/>
        <v>1168</v>
      </c>
      <c r="I402" s="74">
        <f t="shared" ca="1" si="1117"/>
        <v>44065</v>
      </c>
      <c r="J402" s="74">
        <f t="shared" ca="1" si="1117"/>
        <v>54280</v>
      </c>
      <c r="K402" s="74">
        <f t="shared" ca="1" si="1117"/>
        <v>1580</v>
      </c>
      <c r="L402" s="74">
        <f t="shared" ca="1" si="1117"/>
        <v>55860</v>
      </c>
      <c r="M402" s="74">
        <f t="shared" ca="1" si="1117"/>
        <v>99925</v>
      </c>
      <c r="N402" s="99">
        <f t="shared" ca="1" si="1065"/>
        <v>193.56221754385936</v>
      </c>
      <c r="O402" s="98">
        <f>SUM(O384:O401)</f>
        <v>126399</v>
      </c>
      <c r="P402" s="69">
        <f t="shared" ca="1" si="1066"/>
        <v>0.79055214044414912</v>
      </c>
      <c r="Q402" s="72">
        <v>1.5</v>
      </c>
      <c r="R402" s="69">
        <f t="shared" ca="1" si="1067"/>
        <v>0.60379213728917847</v>
      </c>
      <c r="S402" s="73">
        <f t="shared" ca="1" si="1068"/>
        <v>0.90568820593376775</v>
      </c>
      <c r="T402" s="72">
        <f ca="1">SUM(T384:T401)</f>
        <v>4071.5102597448677</v>
      </c>
      <c r="U402" s="72">
        <f t="shared" ca="1" si="1069"/>
        <v>7.14300045569275</v>
      </c>
      <c r="V402" s="74">
        <f t="shared" ca="1" si="1070"/>
        <v>175.30701754385964</v>
      </c>
      <c r="W402" s="76"/>
      <c r="X402" s="8">
        <v>4</v>
      </c>
      <c r="Y402" s="8" t="s">
        <v>37</v>
      </c>
      <c r="Z402" s="8">
        <f t="shared" ref="Z402:AI402" si="1118">SUM(D393)</f>
        <v>30</v>
      </c>
      <c r="AA402" s="9">
        <f t="shared" ca="1" si="1118"/>
        <v>30</v>
      </c>
      <c r="AB402" s="10">
        <f t="shared" ca="1" si="1118"/>
        <v>5093.2199999999903</v>
      </c>
      <c r="AC402" s="9">
        <f t="shared" ca="1" si="1118"/>
        <v>2042</v>
      </c>
      <c r="AD402" s="9">
        <f t="shared" ca="1" si="1118"/>
        <v>0</v>
      </c>
      <c r="AE402" s="9">
        <f t="shared" ca="1" si="1118"/>
        <v>2042</v>
      </c>
      <c r="AF402" s="9">
        <f t="shared" ca="1" si="1118"/>
        <v>2645</v>
      </c>
      <c r="AG402" s="9">
        <f t="shared" ca="1" si="1118"/>
        <v>0</v>
      </c>
      <c r="AH402" s="9">
        <f t="shared" ca="1" si="1118"/>
        <v>2645</v>
      </c>
      <c r="AI402" s="9">
        <f t="shared" ca="1" si="1118"/>
        <v>4687</v>
      </c>
      <c r="AJ402" s="11">
        <f t="shared" ca="1" si="1105"/>
        <v>169.77399999999969</v>
      </c>
      <c r="AK402" s="8">
        <f t="shared" si="1114"/>
        <v>5887</v>
      </c>
      <c r="AL402" s="12">
        <f t="shared" ca="1" si="1106"/>
        <v>0.79616103278410055</v>
      </c>
      <c r="AM402" s="13">
        <f t="shared" si="1115"/>
        <v>1.5</v>
      </c>
      <c r="AN402" s="12">
        <f t="shared" ca="1" si="1107"/>
        <v>0.61349532646668958</v>
      </c>
      <c r="AO402" s="14">
        <f t="shared" ca="1" si="1108"/>
        <v>0.92024298970003438</v>
      </c>
      <c r="AP402" s="13">
        <f t="shared" ref="AP402:AQ402" ca="1" si="1119">SUM(T393)</f>
        <v>205.4380445304933</v>
      </c>
      <c r="AQ402" s="13">
        <f t="shared" ca="1" si="1119"/>
        <v>6.8479348176831101</v>
      </c>
      <c r="AR402" s="9">
        <f t="shared" ca="1" si="1110"/>
        <v>156.23333333333332</v>
      </c>
      <c r="AS402" s="76"/>
      <c r="AT402" s="76"/>
    </row>
    <row r="403" spans="1:46" ht="15.75" customHeight="1" x14ac:dyDescent="0.2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6"/>
      <c r="X403" s="8">
        <v>5</v>
      </c>
      <c r="Y403" s="8" t="s">
        <v>39</v>
      </c>
      <c r="Z403" s="8">
        <f t="shared" ref="Z403:AI403" si="1120">SUM(D394)</f>
        <v>28</v>
      </c>
      <c r="AA403" s="9">
        <f t="shared" ca="1" si="1120"/>
        <v>28</v>
      </c>
      <c r="AB403" s="10">
        <f t="shared" ca="1" si="1120"/>
        <v>4910.6619999999903</v>
      </c>
      <c r="AC403" s="9">
        <f t="shared" ca="1" si="1120"/>
        <v>1188</v>
      </c>
      <c r="AD403" s="9">
        <f t="shared" ca="1" si="1120"/>
        <v>0</v>
      </c>
      <c r="AE403" s="9">
        <f t="shared" ca="1" si="1120"/>
        <v>1188</v>
      </c>
      <c r="AF403" s="9">
        <f t="shared" ca="1" si="1120"/>
        <v>1533</v>
      </c>
      <c r="AG403" s="9">
        <f t="shared" ca="1" si="1120"/>
        <v>31</v>
      </c>
      <c r="AH403" s="9">
        <f t="shared" ca="1" si="1120"/>
        <v>1564</v>
      </c>
      <c r="AI403" s="9">
        <f t="shared" ca="1" si="1120"/>
        <v>2752</v>
      </c>
      <c r="AJ403" s="11">
        <f t="shared" ca="1" si="1105"/>
        <v>175.38078571428537</v>
      </c>
      <c r="AK403" s="8">
        <f t="shared" si="1114"/>
        <v>3569</v>
      </c>
      <c r="AL403" s="12">
        <f t="shared" ca="1" si="1106"/>
        <v>0.77108433734939763</v>
      </c>
      <c r="AM403" s="13">
        <f t="shared" si="1115"/>
        <v>1.5</v>
      </c>
      <c r="AN403" s="12">
        <f t="shared" ca="1" si="1107"/>
        <v>0.37360882639991727</v>
      </c>
      <c r="AO403" s="14">
        <f t="shared" ca="1" si="1108"/>
        <v>0.56041323959987588</v>
      </c>
      <c r="AP403" s="13">
        <f t="shared" ref="AP403:AQ403" ca="1" si="1121">SUM(T394)</f>
        <v>228.79662675301637</v>
      </c>
      <c r="AQ403" s="13">
        <f t="shared" ca="1" si="1121"/>
        <v>8.1713080983220134</v>
      </c>
      <c r="AR403" s="9">
        <f t="shared" ca="1" si="1110"/>
        <v>98.285714285714292</v>
      </c>
      <c r="AS403" s="76"/>
      <c r="AT403" s="76"/>
    </row>
    <row r="404" spans="1:46" ht="15.75" customHeight="1" x14ac:dyDescent="0.2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6"/>
      <c r="X404" s="8">
        <v>6</v>
      </c>
      <c r="Y404" s="8" t="s">
        <v>41</v>
      </c>
      <c r="Z404" s="8">
        <f t="shared" ref="Z404:AI404" si="1122">SUM(D395)</f>
        <v>24</v>
      </c>
      <c r="AA404" s="9">
        <f t="shared" ca="1" si="1122"/>
        <v>24</v>
      </c>
      <c r="AB404" s="10">
        <f t="shared" ca="1" si="1122"/>
        <v>4628.5519999999997</v>
      </c>
      <c r="AC404" s="9">
        <f t="shared" ca="1" si="1122"/>
        <v>1320</v>
      </c>
      <c r="AD404" s="9">
        <f t="shared" ca="1" si="1122"/>
        <v>0</v>
      </c>
      <c r="AE404" s="9">
        <f t="shared" ca="1" si="1122"/>
        <v>1320</v>
      </c>
      <c r="AF404" s="9">
        <f t="shared" ca="1" si="1122"/>
        <v>1760</v>
      </c>
      <c r="AG404" s="9">
        <f t="shared" ca="1" si="1122"/>
        <v>75</v>
      </c>
      <c r="AH404" s="9">
        <f t="shared" ca="1" si="1122"/>
        <v>1835</v>
      </c>
      <c r="AI404" s="9">
        <f t="shared" ca="1" si="1122"/>
        <v>3155</v>
      </c>
      <c r="AJ404" s="11">
        <f t="shared" ca="1" si="1105"/>
        <v>192.85633333333331</v>
      </c>
      <c r="AK404" s="8">
        <f t="shared" si="1114"/>
        <v>3801</v>
      </c>
      <c r="AL404" s="12">
        <f t="shared" ca="1" si="1106"/>
        <v>0.83004472507234939</v>
      </c>
      <c r="AM404" s="13">
        <f t="shared" si="1115"/>
        <v>1.5</v>
      </c>
      <c r="AN404" s="12">
        <f t="shared" ca="1" si="1107"/>
        <v>0.45442577577897653</v>
      </c>
      <c r="AO404" s="14">
        <f t="shared" ca="1" si="1108"/>
        <v>0.68163866366846482</v>
      </c>
      <c r="AP404" s="13">
        <f t="shared" ref="AP404:AQ404" ca="1" si="1123">SUM(T395)</f>
        <v>156.2222222222222</v>
      </c>
      <c r="AQ404" s="13">
        <f t="shared" ca="1" si="1123"/>
        <v>6.5092592592592586</v>
      </c>
      <c r="AR404" s="9">
        <f t="shared" ca="1" si="1110"/>
        <v>131.45833333333334</v>
      </c>
      <c r="AS404" s="76"/>
      <c r="AT404" s="76"/>
    </row>
    <row r="405" spans="1:46" ht="15.75" customHeight="1" x14ac:dyDescent="0.25">
      <c r="A405" s="110" t="s">
        <v>45</v>
      </c>
      <c r="B405" s="76"/>
      <c r="C405" s="76"/>
      <c r="D405" s="75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24" t="s">
        <v>33</v>
      </c>
      <c r="Y405" s="24">
        <v>6</v>
      </c>
      <c r="Z405" s="24">
        <f t="shared" ref="Z405:AI405" si="1124">SUM(Z399:Z404)</f>
        <v>168</v>
      </c>
      <c r="AA405" s="25">
        <f t="shared" ca="1" si="1124"/>
        <v>167</v>
      </c>
      <c r="AB405" s="27">
        <f t="shared" ca="1" si="1124"/>
        <v>31222.135999999969</v>
      </c>
      <c r="AC405" s="25">
        <f t="shared" ca="1" si="1124"/>
        <v>13252</v>
      </c>
      <c r="AD405" s="25">
        <f t="shared" ca="1" si="1124"/>
        <v>212</v>
      </c>
      <c r="AE405" s="25">
        <f t="shared" ca="1" si="1124"/>
        <v>13464</v>
      </c>
      <c r="AF405" s="25">
        <f t="shared" ca="1" si="1124"/>
        <v>15476</v>
      </c>
      <c r="AG405" s="25">
        <f t="shared" ca="1" si="1124"/>
        <v>487</v>
      </c>
      <c r="AH405" s="25">
        <f t="shared" ca="1" si="1124"/>
        <v>15963</v>
      </c>
      <c r="AI405" s="25">
        <f t="shared" ca="1" si="1124"/>
        <v>29427</v>
      </c>
      <c r="AJ405" s="27">
        <f t="shared" ca="1" si="1105"/>
        <v>186.95889820359264</v>
      </c>
      <c r="AK405" s="24">
        <f>SUM(AK399:AK404)</f>
        <v>37031</v>
      </c>
      <c r="AL405" s="28">
        <f t="shared" ca="1" si="1106"/>
        <v>0.79465852934028247</v>
      </c>
      <c r="AM405" s="29">
        <v>1.5</v>
      </c>
      <c r="AN405" s="28">
        <f t="shared" ca="1" si="1107"/>
        <v>0.62833625476488919</v>
      </c>
      <c r="AO405" s="30">
        <f t="shared" ca="1" si="1108"/>
        <v>0.94250438214733379</v>
      </c>
      <c r="AP405" s="29">
        <f ca="1">SUM(AP399:AP404)</f>
        <v>1298.3662385285591</v>
      </c>
      <c r="AQ405" s="29">
        <f ca="1">AP405/AA405</f>
        <v>7.7746481349015513</v>
      </c>
      <c r="AR405" s="25">
        <f t="shared" ca="1" si="1110"/>
        <v>176.20958083832335</v>
      </c>
      <c r="AS405" s="76"/>
      <c r="AT405" s="76"/>
    </row>
    <row r="406" spans="1:46" ht="15.75" customHeight="1" x14ac:dyDescent="0.2">
      <c r="A406" s="110" t="s">
        <v>45</v>
      </c>
      <c r="B406" s="76"/>
      <c r="C406" s="76"/>
      <c r="D406" s="75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7" t="s">
        <v>1</v>
      </c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9"/>
      <c r="AS406" s="76"/>
      <c r="AT406" s="76"/>
    </row>
    <row r="407" spans="1:46" ht="15.75" customHeight="1" x14ac:dyDescent="0.2">
      <c r="A407" s="109">
        <v>46219</v>
      </c>
      <c r="B407" s="80" t="s">
        <v>2</v>
      </c>
      <c r="C407" s="80" t="s">
        <v>3</v>
      </c>
      <c r="D407" s="80" t="s">
        <v>4</v>
      </c>
      <c r="E407" s="80" t="s">
        <v>5</v>
      </c>
      <c r="F407" s="81" t="s">
        <v>6</v>
      </c>
      <c r="G407" s="80" t="s">
        <v>7</v>
      </c>
      <c r="H407" s="80" t="s">
        <v>8</v>
      </c>
      <c r="I407" s="80" t="s">
        <v>9</v>
      </c>
      <c r="J407" s="80" t="s">
        <v>10</v>
      </c>
      <c r="K407" s="80" t="s">
        <v>11</v>
      </c>
      <c r="L407" s="80" t="s">
        <v>12</v>
      </c>
      <c r="M407" s="80" t="s">
        <v>13</v>
      </c>
      <c r="N407" s="81" t="s">
        <v>14</v>
      </c>
      <c r="O407" s="80" t="s">
        <v>15</v>
      </c>
      <c r="P407" s="80" t="s">
        <v>16</v>
      </c>
      <c r="Q407" s="80" t="s">
        <v>17</v>
      </c>
      <c r="R407" s="80" t="s">
        <v>18</v>
      </c>
      <c r="S407" s="106" t="s">
        <v>19</v>
      </c>
      <c r="T407" s="107" t="s">
        <v>20</v>
      </c>
      <c r="U407" s="107" t="s">
        <v>21</v>
      </c>
      <c r="V407" s="105" t="s">
        <v>22</v>
      </c>
      <c r="W407" s="76"/>
      <c r="X407" s="1" t="s">
        <v>2</v>
      </c>
      <c r="Y407" s="1" t="s">
        <v>3</v>
      </c>
      <c r="Z407" s="1" t="s">
        <v>4</v>
      </c>
      <c r="AA407" s="1" t="s">
        <v>5</v>
      </c>
      <c r="AB407" s="2" t="s">
        <v>6</v>
      </c>
      <c r="AC407" s="1" t="s">
        <v>7</v>
      </c>
      <c r="AD407" s="1" t="s">
        <v>8</v>
      </c>
      <c r="AE407" s="1" t="s">
        <v>9</v>
      </c>
      <c r="AF407" s="1" t="s">
        <v>10</v>
      </c>
      <c r="AG407" s="1" t="s">
        <v>11</v>
      </c>
      <c r="AH407" s="1" t="s">
        <v>12</v>
      </c>
      <c r="AI407" s="1" t="s">
        <v>13</v>
      </c>
      <c r="AJ407" s="2" t="s">
        <v>14</v>
      </c>
      <c r="AK407" s="1" t="s">
        <v>15</v>
      </c>
      <c r="AL407" s="1" t="s">
        <v>16</v>
      </c>
      <c r="AM407" s="3" t="s">
        <v>17</v>
      </c>
      <c r="AN407" s="4" t="s">
        <v>18</v>
      </c>
      <c r="AO407" s="5" t="s">
        <v>19</v>
      </c>
      <c r="AP407" s="6" t="s">
        <v>20</v>
      </c>
      <c r="AQ407" s="6" t="s">
        <v>21</v>
      </c>
      <c r="AR407" s="7" t="s">
        <v>22</v>
      </c>
      <c r="AS407" s="76"/>
      <c r="AT407" s="76"/>
    </row>
    <row r="408" spans="1:46" ht="15.75" customHeight="1" x14ac:dyDescent="0.2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6"/>
      <c r="X408" s="8">
        <v>1</v>
      </c>
      <c r="Y408" s="8" t="s">
        <v>23</v>
      </c>
      <c r="Z408" s="8">
        <f t="shared" ref="Z408:AI408" si="1125">SUM(D416)</f>
        <v>35</v>
      </c>
      <c r="AA408" s="9">
        <f t="shared" ca="1" si="1125"/>
        <v>35</v>
      </c>
      <c r="AB408" s="10">
        <f t="shared" ca="1" si="1125"/>
        <v>6631.7039999999897</v>
      </c>
      <c r="AC408" s="9">
        <f t="shared" ca="1" si="1125"/>
        <v>1799</v>
      </c>
      <c r="AD408" s="9">
        <f t="shared" ca="1" si="1125"/>
        <v>0</v>
      </c>
      <c r="AE408" s="9">
        <f t="shared" ca="1" si="1125"/>
        <v>1799</v>
      </c>
      <c r="AF408" s="9">
        <f t="shared" ca="1" si="1125"/>
        <v>3360</v>
      </c>
      <c r="AG408" s="9">
        <f t="shared" ca="1" si="1125"/>
        <v>0</v>
      </c>
      <c r="AH408" s="9">
        <f t="shared" ca="1" si="1125"/>
        <v>3360</v>
      </c>
      <c r="AI408" s="9">
        <f t="shared" ca="1" si="1125"/>
        <v>5159</v>
      </c>
      <c r="AJ408" s="11">
        <f t="shared" ref="AJ408:AJ410" ca="1" si="1126">AB408/AA408</f>
        <v>189.47725714285684</v>
      </c>
      <c r="AK408" s="8">
        <f>SUM(O416)</f>
        <v>6853</v>
      </c>
      <c r="AL408" s="12">
        <f t="shared" ref="AL408:AL414" ca="1" si="1127">AI408/AK408</f>
        <v>0.7528089887640449</v>
      </c>
      <c r="AM408" s="13">
        <f t="shared" ref="AM408:AM410" si="1128">SUM(Q416)</f>
        <v>1.5</v>
      </c>
      <c r="AN408" s="12">
        <f t="shared" ref="AN408:AN414" ca="1" si="1129">AO408/AM408</f>
        <v>0.51861984994103161</v>
      </c>
      <c r="AO408" s="14">
        <f t="shared" ref="AO408:AO414" ca="1" si="1130">AI408/AB408</f>
        <v>0.77792977491154736</v>
      </c>
      <c r="AP408" s="13">
        <f t="shared" ref="AP408:AQ408" ca="1" si="1131">SUM(T416)</f>
        <v>196.55317131001746</v>
      </c>
      <c r="AQ408" s="13">
        <f t="shared" ca="1" si="1131"/>
        <v>5.6158048945719274</v>
      </c>
      <c r="AR408" s="9">
        <f t="shared" ref="AR408:AR414" ca="1" si="1132">AI408/AA408</f>
        <v>147.4</v>
      </c>
      <c r="AS408" s="76"/>
      <c r="AT408" s="76"/>
    </row>
    <row r="409" spans="1:46" ht="15.75" customHeight="1" x14ac:dyDescent="0.2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6"/>
      <c r="X409" s="8">
        <v>2</v>
      </c>
      <c r="Y409" s="8" t="s">
        <v>24</v>
      </c>
      <c r="Z409" s="8">
        <f t="shared" ref="Z409:AI409" si="1133">SUM(D417)</f>
        <v>44</v>
      </c>
      <c r="AA409" s="9">
        <f t="shared" ca="1" si="1133"/>
        <v>43</v>
      </c>
      <c r="AB409" s="10">
        <f t="shared" ca="1" si="1133"/>
        <v>8491.9629999999906</v>
      </c>
      <c r="AC409" s="9">
        <f t="shared" ca="1" si="1133"/>
        <v>962</v>
      </c>
      <c r="AD409" s="9">
        <f t="shared" ca="1" si="1133"/>
        <v>26</v>
      </c>
      <c r="AE409" s="9">
        <f t="shared" ca="1" si="1133"/>
        <v>988</v>
      </c>
      <c r="AF409" s="9">
        <f t="shared" ca="1" si="1133"/>
        <v>1392</v>
      </c>
      <c r="AG409" s="9">
        <f t="shared" ca="1" si="1133"/>
        <v>70</v>
      </c>
      <c r="AH409" s="9">
        <f t="shared" ca="1" si="1133"/>
        <v>1462</v>
      </c>
      <c r="AI409" s="9">
        <f t="shared" ca="1" si="1133"/>
        <v>2450</v>
      </c>
      <c r="AJ409" s="11">
        <f t="shared" ca="1" si="1126"/>
        <v>197.48751162790677</v>
      </c>
      <c r="AK409" s="8">
        <v>1580</v>
      </c>
      <c r="AL409" s="15">
        <f t="shared" ca="1" si="1127"/>
        <v>1.5506329113924051</v>
      </c>
      <c r="AM409" s="13">
        <f t="shared" si="1128"/>
        <v>1.5</v>
      </c>
      <c r="AN409" s="12">
        <f t="shared" ca="1" si="1129"/>
        <v>0.19233872466629154</v>
      </c>
      <c r="AO409" s="14">
        <f t="shared" ca="1" si="1130"/>
        <v>0.28850808699943731</v>
      </c>
      <c r="AP409" s="13">
        <f t="shared" ref="AP409:AQ409" ca="1" si="1134">SUM(T417)</f>
        <v>316.80518559970119</v>
      </c>
      <c r="AQ409" s="13">
        <f t="shared" ca="1" si="1134"/>
        <v>7.3675624558070041</v>
      </c>
      <c r="AR409" s="9">
        <f t="shared" ca="1" si="1132"/>
        <v>56.97674418604651</v>
      </c>
      <c r="AS409" s="76"/>
      <c r="AT409" s="76"/>
    </row>
    <row r="410" spans="1:46" ht="15.75" customHeight="1" x14ac:dyDescent="0.2">
      <c r="A410" s="70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6"/>
      <c r="X410" s="8">
        <v>3</v>
      </c>
      <c r="Y410" s="8" t="s">
        <v>25</v>
      </c>
      <c r="Z410" s="8">
        <f t="shared" ref="Z410:AI410" si="1135">SUM(D418)</f>
        <v>32</v>
      </c>
      <c r="AA410" s="9">
        <f t="shared" ca="1" si="1135"/>
        <v>32</v>
      </c>
      <c r="AB410" s="10">
        <f t="shared" ca="1" si="1135"/>
        <v>6201.08</v>
      </c>
      <c r="AC410" s="9">
        <f t="shared" ca="1" si="1135"/>
        <v>2204</v>
      </c>
      <c r="AD410" s="9">
        <f t="shared" ca="1" si="1135"/>
        <v>526</v>
      </c>
      <c r="AE410" s="9">
        <f t="shared" ca="1" si="1135"/>
        <v>2730</v>
      </c>
      <c r="AF410" s="9">
        <f t="shared" ca="1" si="1135"/>
        <v>3426</v>
      </c>
      <c r="AG410" s="9">
        <f t="shared" ca="1" si="1135"/>
        <v>432</v>
      </c>
      <c r="AH410" s="9">
        <f t="shared" ca="1" si="1135"/>
        <v>3858</v>
      </c>
      <c r="AI410" s="9">
        <f t="shared" ca="1" si="1135"/>
        <v>6588</v>
      </c>
      <c r="AJ410" s="11">
        <f t="shared" ca="1" si="1126"/>
        <v>193.78375</v>
      </c>
      <c r="AK410" s="8">
        <f>SUM(O418)</f>
        <v>6622</v>
      </c>
      <c r="AL410" s="12">
        <f t="shared" ca="1" si="1127"/>
        <v>0.99486559951676234</v>
      </c>
      <c r="AM410" s="13">
        <f t="shared" si="1128"/>
        <v>1.5</v>
      </c>
      <c r="AN410" s="12">
        <f t="shared" ca="1" si="1129"/>
        <v>0.70826372180329888</v>
      </c>
      <c r="AO410" s="14">
        <f t="shared" ca="1" si="1130"/>
        <v>1.0623955827049483</v>
      </c>
      <c r="AP410" s="13">
        <f t="shared" ref="AP410:AQ410" ca="1" si="1136">SUM(T418)</f>
        <v>260.11241610738256</v>
      </c>
      <c r="AQ410" s="13">
        <f t="shared" ca="1" si="1136"/>
        <v>8.1285130033557049</v>
      </c>
      <c r="AR410" s="9">
        <f t="shared" ca="1" si="1132"/>
        <v>205.875</v>
      </c>
      <c r="AS410" s="76"/>
      <c r="AT410" s="76"/>
    </row>
    <row r="411" spans="1:46" ht="15.75" customHeight="1" x14ac:dyDescent="0.25">
      <c r="A411" s="70"/>
      <c r="B411" s="16">
        <v>1</v>
      </c>
      <c r="C411" s="16" t="s">
        <v>26</v>
      </c>
      <c r="D411" s="17">
        <v>20</v>
      </c>
      <c r="E411" s="18">
        <f ca="1">IFERROR(__xludf.DUMMYFUNCTION("COUNT(IMPORTRANGE(""https://docs.google.com/spreadsheets/d/1z0o91thOT38lgejTE_Bd2p3v_9VCDdQRkUsMIVqpQCk/edit"",""16!d2:d21""))"),20)</f>
        <v>20</v>
      </c>
      <c r="F411" s="19">
        <f ca="1">IFERROR(__xludf.DUMMYFUNCTION("SUM(IMPORTRANGE(""https://docs.google.com/spreadsheets/d/1z0o91thOT38lgejTE_Bd2p3v_9VCDdQRkUsMIVqpQCk/edit"",""16!Q2:Q21""))"),3748.51199999999)</f>
        <v>3748.5119999999902</v>
      </c>
      <c r="G411" s="18">
        <f ca="1">IFERROR(__xludf.DUMMYFUNCTION("IMPORTRANGE(""https://docs.google.com/spreadsheets/d/1z0o91thOT38lgejTE_Bd2p3v_9VCDdQRkUsMIVqpQCk/edit"",""16!e28"")"),2066)</f>
        <v>2066</v>
      </c>
      <c r="H411" s="18">
        <f ca="1">IFERROR(__xludf.DUMMYFUNCTION("IMPORTRANGE(""https://docs.google.com/spreadsheets/d/1z0o91thOT38lgejTE_Bd2p3v_9VCDdQRkUsMIVqpQCk/edit"",""16!e29"")"),0)</f>
        <v>0</v>
      </c>
      <c r="I411" s="18">
        <f t="shared" ref="I411:I428" ca="1" si="1137">SUM(G411:H411)</f>
        <v>2066</v>
      </c>
      <c r="J411" s="18">
        <f ca="1">IFERROR(__xludf.DUMMYFUNCTION("IMPORTRANGE(""https://docs.google.com/spreadsheets/d/1z0o91thOT38lgejTE_Bd2p3v_9VCDdQRkUsMIVqpQCk/edit"",""16!e32"")"),2723)</f>
        <v>2723</v>
      </c>
      <c r="K411" s="18">
        <f ca="1">IFERROR(__xludf.DUMMYFUNCTION("IMPORTRANGE(""https://docs.google.com/spreadsheets/d/1z0o91thOT38lgejTE_Bd2p3v_9VCDdQRkUsMIVqpQCk/edit"",""16!e33"")"),189)</f>
        <v>189</v>
      </c>
      <c r="L411" s="18">
        <f t="shared" ref="L411:L417" ca="1" si="1138">SUM(J411:K411)</f>
        <v>2912</v>
      </c>
      <c r="M411" s="18">
        <f t="shared" ref="M411:M428" ca="1" si="1139">SUM(I411+L411)</f>
        <v>4978</v>
      </c>
      <c r="N411" s="19">
        <f t="shared" ref="N411:N429" ca="1" si="1140">F411/E411</f>
        <v>187.42559999999952</v>
      </c>
      <c r="O411" s="16">
        <v>5161</v>
      </c>
      <c r="P411" s="20">
        <f t="shared" ref="P411:P429" ca="1" si="1141">M411/O411</f>
        <v>0.96454175547374543</v>
      </c>
      <c r="Q411" s="21">
        <v>1.5</v>
      </c>
      <c r="R411" s="20">
        <f t="shared" ref="R411:R429" ca="1" si="1142">S411/Q411</f>
        <v>0.8853290763552778</v>
      </c>
      <c r="S411" s="22">
        <f t="shared" ref="S411:S429" ca="1" si="1143">M411/F411</f>
        <v>1.3279936145329168</v>
      </c>
      <c r="T411" s="21">
        <f ca="1">F411/14.415</f>
        <v>260.04245577523346</v>
      </c>
      <c r="U411" s="21">
        <f t="shared" ref="U411:U429" ca="1" si="1144">T411/E411</f>
        <v>13.002122788761673</v>
      </c>
      <c r="V411" s="18">
        <f t="shared" ref="V411:V429" ca="1" si="1145">M411/E411</f>
        <v>248.9</v>
      </c>
      <c r="W411" s="76"/>
      <c r="X411" s="8">
        <v>4</v>
      </c>
      <c r="Y411" s="8" t="s">
        <v>27</v>
      </c>
      <c r="Z411" s="8">
        <f t="shared" ref="Z411:AK411" si="1146">SUM(D424)</f>
        <v>30</v>
      </c>
      <c r="AA411" s="9">
        <f t="shared" ca="1" si="1146"/>
        <v>29</v>
      </c>
      <c r="AB411" s="10">
        <f t="shared" ca="1" si="1146"/>
        <v>5345.85</v>
      </c>
      <c r="AC411" s="9">
        <f t="shared" ca="1" si="1146"/>
        <v>2255</v>
      </c>
      <c r="AD411" s="9">
        <f t="shared" ca="1" si="1146"/>
        <v>0</v>
      </c>
      <c r="AE411" s="9">
        <f t="shared" ca="1" si="1146"/>
        <v>2255</v>
      </c>
      <c r="AF411" s="9">
        <f t="shared" ca="1" si="1146"/>
        <v>2961</v>
      </c>
      <c r="AG411" s="9">
        <f t="shared" ca="1" si="1146"/>
        <v>0</v>
      </c>
      <c r="AH411" s="9">
        <f t="shared" ca="1" si="1146"/>
        <v>2961</v>
      </c>
      <c r="AI411" s="9">
        <f t="shared" ca="1" si="1146"/>
        <v>5216</v>
      </c>
      <c r="AJ411" s="11">
        <f t="shared" ca="1" si="1146"/>
        <v>184.33965517241381</v>
      </c>
      <c r="AK411" s="8">
        <f t="shared" si="1146"/>
        <v>8101</v>
      </c>
      <c r="AL411" s="12">
        <f t="shared" ca="1" si="1127"/>
        <v>0.6438711270213554</v>
      </c>
      <c r="AM411" s="13">
        <f>SUM(Q424)</f>
        <v>1.5</v>
      </c>
      <c r="AN411" s="12">
        <f t="shared" ca="1" si="1129"/>
        <v>0.65047342019198695</v>
      </c>
      <c r="AO411" s="14">
        <f t="shared" ca="1" si="1130"/>
        <v>0.97571013028798037</v>
      </c>
      <c r="AP411" s="13">
        <f t="shared" ref="AP411:AQ411" ca="1" si="1147">SUM(T424)</f>
        <v>267.49311983987991</v>
      </c>
      <c r="AQ411" s="13">
        <f t="shared" ca="1" si="1147"/>
        <v>9.2239006841337901</v>
      </c>
      <c r="AR411" s="9">
        <f t="shared" ca="1" si="1132"/>
        <v>179.86206896551724</v>
      </c>
      <c r="AS411" s="76"/>
      <c r="AT411" s="76"/>
    </row>
    <row r="412" spans="1:46" ht="15.75" customHeight="1" x14ac:dyDescent="0.25">
      <c r="A412" s="70"/>
      <c r="B412" s="16">
        <v>2</v>
      </c>
      <c r="C412" s="16" t="s">
        <v>28</v>
      </c>
      <c r="D412" s="17">
        <v>33</v>
      </c>
      <c r="E412" s="18">
        <f ca="1">IFERROR(__xludf.DUMMYFUNCTION("COUNT(IMPORTRANGE(""https://docs.google.com/spreadsheets/d/10a85iNN0y9GF6ngQfF1JXGAzFk-T7ywH4-TZtQcOTaE/edit"",""16!d2:d34""))"),32)</f>
        <v>32</v>
      </c>
      <c r="F412" s="19">
        <f ca="1">IFERROR(__xludf.DUMMYFUNCTION("SUM(IMPORTRANGE(""https://docs.google.com/spreadsheets/d/10a85iNN0y9GF6ngQfF1JXGAzFk-T7ywH4-TZtQcOTaE/edit"",""16!Q2:Q34""))"),6281.657)</f>
        <v>6281.6570000000002</v>
      </c>
      <c r="G412" s="18">
        <f ca="1">IFERROR(__xludf.DUMMYFUNCTION("IMPORTRANGE(""https://docs.google.com/spreadsheets/d/10a85iNN0y9GF6ngQfF1JXGAzFk-T7ywH4-TZtQcOTaE/edit"",""16!e41"")"),2729)</f>
        <v>2729</v>
      </c>
      <c r="H412" s="18">
        <f ca="1">IFERROR(__xludf.DUMMYFUNCTION("IMPORTRANGE(""https://docs.google.com/spreadsheets/d/10a85iNN0y9GF6ngQfF1JXGAzFk-T7ywH4-TZtQcOTaE/edit"",""16!e42"")"),115)</f>
        <v>115</v>
      </c>
      <c r="I412" s="18">
        <f t="shared" ca="1" si="1137"/>
        <v>2844</v>
      </c>
      <c r="J412" s="18">
        <f ca="1">IFERROR(__xludf.DUMMYFUNCTION("IMPORTRANGE(""https://docs.google.com/spreadsheets/d/10a85iNN0y9GF6ngQfF1JXGAzFk-T7ywH4-TZtQcOTaE/edit"",""16!e45"")"),3054)</f>
        <v>3054</v>
      </c>
      <c r="K412" s="18">
        <f ca="1">IFERROR(__xludf.DUMMYFUNCTION("IMPORTRANGE(""https://docs.google.com/spreadsheets/d/10a85iNN0y9GF6ngQfF1JXGAzFk-T7ywH4-TZtQcOTaE/edit"",""16!e46"")"),128)</f>
        <v>128</v>
      </c>
      <c r="L412" s="18">
        <f t="shared" ca="1" si="1138"/>
        <v>3182</v>
      </c>
      <c r="M412" s="18">
        <f t="shared" ca="1" si="1139"/>
        <v>6026</v>
      </c>
      <c r="N412" s="19">
        <f t="shared" ca="1" si="1140"/>
        <v>196.30178125</v>
      </c>
      <c r="O412" s="16">
        <v>7315</v>
      </c>
      <c r="P412" s="20">
        <f t="shared" ca="1" si="1141"/>
        <v>0.82378673957621329</v>
      </c>
      <c r="Q412" s="21">
        <v>1.5</v>
      </c>
      <c r="R412" s="20">
        <f t="shared" ca="1" si="1142"/>
        <v>0.63953401679418875</v>
      </c>
      <c r="S412" s="22">
        <f t="shared" ca="1" si="1143"/>
        <v>0.95930102519128313</v>
      </c>
      <c r="T412" s="21">
        <f ca="1">F412/30.897</f>
        <v>203.30960934718581</v>
      </c>
      <c r="U412" s="21">
        <f t="shared" ca="1" si="1144"/>
        <v>6.3534252920995566</v>
      </c>
      <c r="V412" s="18">
        <f t="shared" ca="1" si="1145"/>
        <v>188.3125</v>
      </c>
      <c r="W412" s="76"/>
      <c r="X412" s="8">
        <v>5</v>
      </c>
      <c r="Y412" s="8" t="s">
        <v>29</v>
      </c>
      <c r="Z412" s="8">
        <f t="shared" ref="Z412:AI412" si="1148">SUM(D427)</f>
        <v>30</v>
      </c>
      <c r="AA412" s="9">
        <f t="shared" ca="1" si="1148"/>
        <v>28</v>
      </c>
      <c r="AB412" s="10">
        <f t="shared" ca="1" si="1148"/>
        <v>5467.9799999999896</v>
      </c>
      <c r="AC412" s="9">
        <f t="shared" ca="1" si="1148"/>
        <v>2456</v>
      </c>
      <c r="AD412" s="9">
        <f t="shared" ca="1" si="1148"/>
        <v>0</v>
      </c>
      <c r="AE412" s="9">
        <f t="shared" ca="1" si="1148"/>
        <v>2456</v>
      </c>
      <c r="AF412" s="9">
        <f t="shared" ca="1" si="1148"/>
        <v>4334</v>
      </c>
      <c r="AG412" s="9">
        <f t="shared" ca="1" si="1148"/>
        <v>0</v>
      </c>
      <c r="AH412" s="9">
        <f t="shared" ca="1" si="1148"/>
        <v>4334</v>
      </c>
      <c r="AI412" s="9">
        <f t="shared" ca="1" si="1148"/>
        <v>6790</v>
      </c>
      <c r="AJ412" s="11">
        <f t="shared" ref="AJ412:AJ414" ca="1" si="1149">AB412/AA412</f>
        <v>195.28499999999963</v>
      </c>
      <c r="AK412" s="8">
        <f t="shared" ref="AK412:AK413" si="1150">SUM(O427)</f>
        <v>9201</v>
      </c>
      <c r="AL412" s="12">
        <f t="shared" ca="1" si="1127"/>
        <v>0.73796326486251496</v>
      </c>
      <c r="AM412" s="13">
        <f t="shared" ref="AM412:AM413" si="1151">SUM(Q427)</f>
        <v>1.5</v>
      </c>
      <c r="AN412" s="12">
        <f t="shared" ca="1" si="1129"/>
        <v>0.82784989459849445</v>
      </c>
      <c r="AO412" s="14">
        <f t="shared" ca="1" si="1130"/>
        <v>1.2417748418977417</v>
      </c>
      <c r="AP412" s="13">
        <f t="shared" ref="AP412:AQ412" ca="1" si="1152">SUM(T427)</f>
        <v>209.9999999999996</v>
      </c>
      <c r="AQ412" s="13">
        <f t="shared" ca="1" si="1152"/>
        <v>7.4999999999999858</v>
      </c>
      <c r="AR412" s="9">
        <f t="shared" ca="1" si="1132"/>
        <v>242.5</v>
      </c>
      <c r="AS412" s="76"/>
      <c r="AT412" s="76"/>
    </row>
    <row r="413" spans="1:46" ht="15.75" customHeight="1" x14ac:dyDescent="0.25">
      <c r="A413" s="70"/>
      <c r="B413" s="16">
        <v>3</v>
      </c>
      <c r="C413" s="16" t="s">
        <v>30</v>
      </c>
      <c r="D413" s="17">
        <v>60</v>
      </c>
      <c r="E413" s="18">
        <f ca="1">IFERROR(__xludf.DUMMYFUNCTION("COUNT(IMPORTRANGE(""https://docs.google.com/spreadsheets/d/1WojVzHhpzodJL1e5UDHeu3A3u5MTSZwvxHu0BrwvL9w/edit"",""16!d2:d61""))"),60)</f>
        <v>60</v>
      </c>
      <c r="F413" s="23">
        <f ca="1">IFERROR(__xludf.DUMMYFUNCTION("SUM(IMPORTRANGE(""https://docs.google.com/spreadsheets/d/1WojVzHhpzodJL1e5UDHeu3A3u5MTSZwvxHu0BrwvL9w/edit"",""16!Q2:Q61""))"),11722.7879999999)</f>
        <v>11722.7879999999</v>
      </c>
      <c r="G413" s="18">
        <f ca="1">IFERROR(__xludf.DUMMYFUNCTION("IMPORTRANGE(""https://docs.google.com/spreadsheets/d/1WojVzHhpzodJL1e5UDHeu3A3u5MTSZwvxHu0BrwvL9w/edit"",""16!e68"")"),3443)</f>
        <v>3443</v>
      </c>
      <c r="H413" s="18">
        <f ca="1">IFERROR(__xludf.DUMMYFUNCTION("IMPORTRANGE(""https://docs.google.com/spreadsheets/d/1WojVzHhpzodJL1e5UDHeu3A3u5MTSZwvxHu0BrwvL9w/edit"",""16!e69"")"),0)</f>
        <v>0</v>
      </c>
      <c r="I413" s="18">
        <f t="shared" ca="1" si="1137"/>
        <v>3443</v>
      </c>
      <c r="J413" s="18">
        <f ca="1">IFERROR(__xludf.DUMMYFUNCTION("IMPORTRANGE(""https://docs.google.com/spreadsheets/d/1WojVzHhpzodJL1e5UDHeu3A3u5MTSZwvxHu0BrwvL9w/edit"",""16!e72"")"),5407)</f>
        <v>5407</v>
      </c>
      <c r="K413" s="18">
        <f ca="1">IFERROR(__xludf.DUMMYFUNCTION("IMPORTRANGE(""https://docs.google.com/spreadsheets/d/1WojVzHhpzodJL1e5UDHeu3A3u5MTSZwvxHu0BrwvL9w/edit"",""16!e73"")"),77)</f>
        <v>77</v>
      </c>
      <c r="L413" s="18">
        <f t="shared" ca="1" si="1138"/>
        <v>5484</v>
      </c>
      <c r="M413" s="18">
        <f t="shared" ca="1" si="1139"/>
        <v>8927</v>
      </c>
      <c r="N413" s="19">
        <f t="shared" ca="1" si="1140"/>
        <v>195.37979999999834</v>
      </c>
      <c r="O413" s="16">
        <v>11164</v>
      </c>
      <c r="P413" s="20">
        <f t="shared" ca="1" si="1141"/>
        <v>0.79962379075600143</v>
      </c>
      <c r="Q413" s="21">
        <v>1.5</v>
      </c>
      <c r="R413" s="20">
        <f t="shared" ca="1" si="1142"/>
        <v>0.50767217946220511</v>
      </c>
      <c r="S413" s="22">
        <f t="shared" ca="1" si="1143"/>
        <v>0.76150826919330761</v>
      </c>
      <c r="T413" s="21">
        <f ca="1">F413/29.603</f>
        <v>395.99999999999659</v>
      </c>
      <c r="U413" s="21">
        <f t="shared" ca="1" si="1144"/>
        <v>6.5999999999999428</v>
      </c>
      <c r="V413" s="18">
        <f t="shared" ca="1" si="1145"/>
        <v>148.78333333333333</v>
      </c>
      <c r="W413" s="76"/>
      <c r="X413" s="8">
        <v>6</v>
      </c>
      <c r="Y413" s="8" t="s">
        <v>31</v>
      </c>
      <c r="Z413" s="8">
        <f t="shared" ref="Z413:AI413" si="1153">SUM(D428)</f>
        <v>15</v>
      </c>
      <c r="AA413" s="9">
        <f t="shared" ca="1" si="1153"/>
        <v>14</v>
      </c>
      <c r="AB413" s="11">
        <f t="shared" ca="1" si="1153"/>
        <v>2825.2249999999999</v>
      </c>
      <c r="AC413" s="9">
        <f t="shared" ca="1" si="1153"/>
        <v>966</v>
      </c>
      <c r="AD413" s="9">
        <f t="shared" ca="1" si="1153"/>
        <v>6</v>
      </c>
      <c r="AE413" s="9">
        <f t="shared" ca="1" si="1153"/>
        <v>972</v>
      </c>
      <c r="AF413" s="9">
        <f t="shared" ca="1" si="1153"/>
        <v>1108</v>
      </c>
      <c r="AG413" s="9">
        <f t="shared" ca="1" si="1153"/>
        <v>0</v>
      </c>
      <c r="AH413" s="9">
        <f t="shared" ca="1" si="1153"/>
        <v>1108</v>
      </c>
      <c r="AI413" s="9">
        <f t="shared" ca="1" si="1153"/>
        <v>2080</v>
      </c>
      <c r="AJ413" s="11">
        <f t="shared" ca="1" si="1149"/>
        <v>201.8017857142857</v>
      </c>
      <c r="AK413" s="8">
        <f t="shared" si="1150"/>
        <v>2717</v>
      </c>
      <c r="AL413" s="12">
        <f t="shared" ca="1" si="1127"/>
        <v>0.76555023923444976</v>
      </c>
      <c r="AM413" s="13">
        <f t="shared" si="1151"/>
        <v>1.5</v>
      </c>
      <c r="AN413" s="12">
        <f t="shared" ca="1" si="1129"/>
        <v>0.49081636565819248</v>
      </c>
      <c r="AO413" s="14">
        <f t="shared" ca="1" si="1130"/>
        <v>0.73622454848728869</v>
      </c>
      <c r="AP413" s="13">
        <f t="shared" ref="AP413:AQ413" ca="1" si="1154">SUM(T428)</f>
        <v>64.999999999999986</v>
      </c>
      <c r="AQ413" s="13">
        <f t="shared" ca="1" si="1154"/>
        <v>4.6428571428571415</v>
      </c>
      <c r="AR413" s="9">
        <f t="shared" ca="1" si="1132"/>
        <v>148.57142857142858</v>
      </c>
      <c r="AS413" s="76"/>
      <c r="AT413" s="76"/>
    </row>
    <row r="414" spans="1:46" ht="15.75" customHeight="1" x14ac:dyDescent="0.25">
      <c r="A414" s="70"/>
      <c r="B414" s="16">
        <v>4</v>
      </c>
      <c r="C414" s="16" t="s">
        <v>32</v>
      </c>
      <c r="D414" s="17">
        <v>42</v>
      </c>
      <c r="E414" s="18">
        <f ca="1">IFERROR(__xludf.DUMMYFUNCTION("COUNT(IMPORTRANGE(""https://docs.google.com/spreadsheets/d/1vmCj5YcMSPHj1m64syDndQ6cqVL3yolcU03Y8KHmvdc/edit"",""16!d2:d43""))"),41)</f>
        <v>41</v>
      </c>
      <c r="F414" s="23">
        <f ca="1">IFERROR(__xludf.DUMMYFUNCTION("SUM(IMPORTRANGE(""https://docs.google.com/spreadsheets/d/1vmCj5YcMSPHj1m64syDndQ6cqVL3yolcU03Y8KHmvdc/edit"",""16!Q2:Q43""))"),8229.19199999999)</f>
        <v>8229.19199999999</v>
      </c>
      <c r="G414" s="16">
        <f ca="1">IFERROR(__xludf.DUMMYFUNCTION("IMPORTRANGE(""https://docs.google.com/spreadsheets/d/1vmCj5YcMSPHj1m64syDndQ6cqVL3yolcU03Y8KHmvdc/edit"",""16!e50"")"),4865)</f>
        <v>4865</v>
      </c>
      <c r="H414" s="16">
        <f ca="1">IFERROR(__xludf.DUMMYFUNCTION("IMPORTRANGE(""https://docs.google.com/spreadsheets/d/1vmCj5YcMSPHj1m64syDndQ6cqVL3yolcU03Y8KHmvdc/edit"",""16!e51"")"),110)</f>
        <v>110</v>
      </c>
      <c r="I414" s="18">
        <f t="shared" ca="1" si="1137"/>
        <v>4975</v>
      </c>
      <c r="J414" s="16">
        <f ca="1">IFERROR(__xludf.DUMMYFUNCTION("IMPORTRANGE(""https://docs.google.com/spreadsheets/d/1vmCj5YcMSPHj1m64syDndQ6cqVL3yolcU03Y8KHmvdc/edit"",""16!e54"")"),5826)</f>
        <v>5826</v>
      </c>
      <c r="K414" s="16">
        <f ca="1">IFERROR(__xludf.DUMMYFUNCTION("IMPORTRANGE(""https://docs.google.com/spreadsheets/d/1vmCj5YcMSPHj1m64syDndQ6cqVL3yolcU03Y8KHmvdc/edit"",""16!e55"")"),0)</f>
        <v>0</v>
      </c>
      <c r="L414" s="18">
        <f t="shared" ca="1" si="1138"/>
        <v>5826</v>
      </c>
      <c r="M414" s="18">
        <f t="shared" ca="1" si="1139"/>
        <v>10801</v>
      </c>
      <c r="N414" s="19">
        <f t="shared" ca="1" si="1140"/>
        <v>200.71199999999976</v>
      </c>
      <c r="O414" s="16">
        <v>13817</v>
      </c>
      <c r="P414" s="20">
        <f t="shared" ca="1" si="1141"/>
        <v>0.78171817326481874</v>
      </c>
      <c r="Q414" s="21">
        <v>1.5</v>
      </c>
      <c r="R414" s="20">
        <f t="shared" ca="1" si="1142"/>
        <v>0.87501502780183948</v>
      </c>
      <c r="S414" s="22">
        <f t="shared" ca="1" si="1143"/>
        <v>1.3125225417027593</v>
      </c>
      <c r="T414" s="21">
        <f ca="1">F414/25.089</f>
        <v>327.9999999999996</v>
      </c>
      <c r="U414" s="21">
        <f t="shared" ca="1" si="1144"/>
        <v>7.9999999999999902</v>
      </c>
      <c r="V414" s="18">
        <f t="shared" ca="1" si="1145"/>
        <v>263.4390243902439</v>
      </c>
      <c r="W414" s="76"/>
      <c r="X414" s="24" t="s">
        <v>33</v>
      </c>
      <c r="Y414" s="24">
        <v>6</v>
      </c>
      <c r="Z414" s="24">
        <f t="shared" ref="Z414:AI414" si="1155">SUM(Z408:Z413)</f>
        <v>186</v>
      </c>
      <c r="AA414" s="25">
        <f t="shared" ca="1" si="1155"/>
        <v>181</v>
      </c>
      <c r="AB414" s="26">
        <f t="shared" ca="1" si="1155"/>
        <v>34963.801999999967</v>
      </c>
      <c r="AC414" s="25">
        <f t="shared" ca="1" si="1155"/>
        <v>10642</v>
      </c>
      <c r="AD414" s="25">
        <f t="shared" ca="1" si="1155"/>
        <v>558</v>
      </c>
      <c r="AE414" s="25">
        <f t="shared" ca="1" si="1155"/>
        <v>11200</v>
      </c>
      <c r="AF414" s="25">
        <f t="shared" ca="1" si="1155"/>
        <v>16581</v>
      </c>
      <c r="AG414" s="25">
        <f t="shared" ca="1" si="1155"/>
        <v>502</v>
      </c>
      <c r="AH414" s="25">
        <f t="shared" ca="1" si="1155"/>
        <v>17083</v>
      </c>
      <c r="AI414" s="25">
        <f t="shared" ca="1" si="1155"/>
        <v>28283</v>
      </c>
      <c r="AJ414" s="27">
        <f t="shared" ca="1" si="1149"/>
        <v>193.17017679557992</v>
      </c>
      <c r="AK414" s="24">
        <f>SUM(AK408:AK413)</f>
        <v>35074</v>
      </c>
      <c r="AL414" s="28">
        <f t="shared" ca="1" si="1127"/>
        <v>0.80638079489080228</v>
      </c>
      <c r="AM414" s="29">
        <v>1.5</v>
      </c>
      <c r="AN414" s="28">
        <f t="shared" ca="1" si="1129"/>
        <v>0.53928154991077204</v>
      </c>
      <c r="AO414" s="30">
        <f t="shared" ca="1" si="1130"/>
        <v>0.808922324866158</v>
      </c>
      <c r="AP414" s="29">
        <f ca="1">SUM(AP408:AP413)</f>
        <v>1315.9638928569807</v>
      </c>
      <c r="AQ414" s="29">
        <f ca="1">AP414/AA414</f>
        <v>7.2705187450661919</v>
      </c>
      <c r="AR414" s="25">
        <f t="shared" ca="1" si="1132"/>
        <v>156.25966850828729</v>
      </c>
      <c r="AS414" s="76"/>
      <c r="AT414" s="76"/>
    </row>
    <row r="415" spans="1:46" ht="15.75" customHeight="1" x14ac:dyDescent="0.25">
      <c r="A415" s="70"/>
      <c r="B415" s="16">
        <v>5</v>
      </c>
      <c r="C415" s="16" t="s">
        <v>34</v>
      </c>
      <c r="D415" s="17">
        <v>40</v>
      </c>
      <c r="E415" s="18">
        <f ca="1">IFERROR(__xludf.DUMMYFUNCTION("COUNT(IMPORTRANGE(""https://docs.google.com/spreadsheets/d/14_Y-fpuq1wcec3DlT_1PBYekOC0YblQMrWVfO12YO3k/edit"",""16!d2:d41""))"),39)</f>
        <v>39</v>
      </c>
      <c r="F415" s="23">
        <f ca="1">IFERROR(__xludf.DUMMYFUNCTION("SUM(IMPORTRANGE(""https://docs.google.com/spreadsheets/d/14_Y-fpuq1wcec3DlT_1PBYekOC0YblQMrWVfO12YO3k/edit"",""16!Q2:Q41""))"),7298.649)</f>
        <v>7298.6490000000003</v>
      </c>
      <c r="G415" s="18">
        <f ca="1">IFERROR(__xludf.DUMMYFUNCTION("IMPORTRANGE(""https://docs.google.com/spreadsheets/d/14_Y-fpuq1wcec3DlT_1PBYekOC0YblQMrWVfO12YO3k/edit"",""16!e48"")"),3025)</f>
        <v>3025</v>
      </c>
      <c r="H415" s="18">
        <f ca="1">IFERROR(__xludf.DUMMYFUNCTION("IMPORTRANGE(""https://docs.google.com/spreadsheets/d/14_Y-fpuq1wcec3DlT_1PBYekOC0YblQMrWVfO12YO3k/edit"",""16!e49"")"),0)</f>
        <v>0</v>
      </c>
      <c r="I415" s="18">
        <f t="shared" ca="1" si="1137"/>
        <v>3025</v>
      </c>
      <c r="J415" s="18">
        <f ca="1">IFERROR(__xludf.DUMMYFUNCTION("IMPORTRANGE(""https://docs.google.com/spreadsheets/d/14_Y-fpuq1wcec3DlT_1PBYekOC0YblQMrWVfO12YO3k/edit"",""16!e52"")"),2972)</f>
        <v>2972</v>
      </c>
      <c r="K415" s="18">
        <f ca="1">IFERROR(__xludf.DUMMYFUNCTION("IMPORTRANGE(""https://docs.google.com/spreadsheets/d/14_Y-fpuq1wcec3DlT_1PBYekOC0YblQMrWVfO12YO3k/edit"",""16!e53"")"),63)</f>
        <v>63</v>
      </c>
      <c r="L415" s="18">
        <f t="shared" ca="1" si="1138"/>
        <v>3035</v>
      </c>
      <c r="M415" s="18">
        <f t="shared" ca="1" si="1139"/>
        <v>6060</v>
      </c>
      <c r="N415" s="19">
        <f t="shared" ca="1" si="1140"/>
        <v>187.14484615384617</v>
      </c>
      <c r="O415" s="16">
        <v>9354</v>
      </c>
      <c r="P415" s="20">
        <f t="shared" ca="1" si="1141"/>
        <v>0.64785118665811414</v>
      </c>
      <c r="Q415" s="21">
        <v>1.5</v>
      </c>
      <c r="R415" s="20">
        <f t="shared" ca="1" si="1142"/>
        <v>0.55352709796018418</v>
      </c>
      <c r="S415" s="22">
        <f t="shared" ca="1" si="1143"/>
        <v>0.83029064694027621</v>
      </c>
      <c r="T415" s="21">
        <f ca="1">F415/30.713</f>
        <v>237.64038029498909</v>
      </c>
      <c r="U415" s="21">
        <f t="shared" ca="1" si="1144"/>
        <v>6.0933430844868992</v>
      </c>
      <c r="V415" s="18">
        <f t="shared" ca="1" si="1145"/>
        <v>155.38461538461539</v>
      </c>
      <c r="W415" s="76"/>
      <c r="X415" s="100" t="s">
        <v>35</v>
      </c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9"/>
      <c r="AS415" s="76"/>
      <c r="AT415" s="76"/>
    </row>
    <row r="416" spans="1:46" ht="15.75" customHeight="1" x14ac:dyDescent="0.25">
      <c r="A416" s="70"/>
      <c r="B416" s="16">
        <v>6</v>
      </c>
      <c r="C416" s="16" t="s">
        <v>23</v>
      </c>
      <c r="D416" s="17">
        <v>35</v>
      </c>
      <c r="E416" s="18">
        <f ca="1">IFERROR(__xludf.DUMMYFUNCTION("COUNT(IMPORTRANGE(""https://docs.google.com/spreadsheets/d/1lJqjdj05V4LOXuBOiTdE65GV4ZITyx1cMLcDdcuoUnE/edit"",""16!d2:d36""))"),35)</f>
        <v>35</v>
      </c>
      <c r="F416" s="23">
        <f ca="1">IFERROR(__xludf.DUMMYFUNCTION("SUM(IMPORTRANGE(""https://docs.google.com/spreadsheets/d/1lJqjdj05V4LOXuBOiTdE65GV4ZITyx1cMLcDdcuoUnE/edit"",""16!Q2:Q36""))"),6631.70399999999)</f>
        <v>6631.7039999999897</v>
      </c>
      <c r="G416" s="18">
        <f ca="1">IFERROR(__xludf.DUMMYFUNCTION("IMPORTRANGE(""https://docs.google.com/spreadsheets/d/1lJqjdj05V4LOXuBOiTdE65GV4ZITyx1cMLcDdcuoUnE/edit"",""16!e43"")"),1799)</f>
        <v>1799</v>
      </c>
      <c r="H416" s="18">
        <f ca="1">IFERROR(__xludf.DUMMYFUNCTION("IMPORTRANGE(""https://docs.google.com/spreadsheets/d/1lJqjdj05V4LOXuBOiTdE65GV4ZITyx1cMLcDdcuoUnE/edit"",""16!e44"")"),0)</f>
        <v>0</v>
      </c>
      <c r="I416" s="18">
        <f t="shared" ca="1" si="1137"/>
        <v>1799</v>
      </c>
      <c r="J416" s="18">
        <f ca="1">IFERROR(__xludf.DUMMYFUNCTION("IMPORTRANGE(""https://docs.google.com/spreadsheets/d/1lJqjdj05V4LOXuBOiTdE65GV4ZITyx1cMLcDdcuoUnE/edit"",""16!e47"")"),3360)</f>
        <v>3360</v>
      </c>
      <c r="K416" s="18">
        <f ca="1">IFERROR(__xludf.DUMMYFUNCTION("IMPORTRANGE(""https://docs.google.com/spreadsheets/d/1lJqjdj05V4LOXuBOiTdE65GV4ZITyx1cMLcDdcuoUnE/edit"",""16!e48"")"),0)</f>
        <v>0</v>
      </c>
      <c r="L416" s="18">
        <f t="shared" ca="1" si="1138"/>
        <v>3360</v>
      </c>
      <c r="M416" s="18">
        <f t="shared" ca="1" si="1139"/>
        <v>5159</v>
      </c>
      <c r="N416" s="19">
        <f t="shared" ca="1" si="1140"/>
        <v>189.47725714285684</v>
      </c>
      <c r="O416" s="16">
        <v>6853</v>
      </c>
      <c r="P416" s="20">
        <f t="shared" ca="1" si="1141"/>
        <v>0.7528089887640449</v>
      </c>
      <c r="Q416" s="21">
        <v>1.5</v>
      </c>
      <c r="R416" s="20">
        <f t="shared" ca="1" si="1142"/>
        <v>0.51861984994103161</v>
      </c>
      <c r="S416" s="22">
        <f t="shared" ca="1" si="1143"/>
        <v>0.77792977491154736</v>
      </c>
      <c r="T416" s="21">
        <f ca="1">F416/33.74</f>
        <v>196.55317131001746</v>
      </c>
      <c r="U416" s="21">
        <f t="shared" ca="1" si="1144"/>
        <v>5.6158048945719274</v>
      </c>
      <c r="V416" s="18">
        <f t="shared" ca="1" si="1145"/>
        <v>147.4</v>
      </c>
      <c r="W416" s="76"/>
      <c r="X416" s="1" t="s">
        <v>2</v>
      </c>
      <c r="Y416" s="1" t="s">
        <v>3</v>
      </c>
      <c r="Z416" s="1" t="s">
        <v>4</v>
      </c>
      <c r="AA416" s="1" t="s">
        <v>5</v>
      </c>
      <c r="AB416" s="2" t="s">
        <v>6</v>
      </c>
      <c r="AC416" s="1" t="s">
        <v>7</v>
      </c>
      <c r="AD416" s="1" t="s">
        <v>8</v>
      </c>
      <c r="AE416" s="1" t="s">
        <v>9</v>
      </c>
      <c r="AF416" s="1" t="s">
        <v>10</v>
      </c>
      <c r="AG416" s="1" t="s">
        <v>11</v>
      </c>
      <c r="AH416" s="1" t="s">
        <v>12</v>
      </c>
      <c r="AI416" s="1" t="s">
        <v>13</v>
      </c>
      <c r="AJ416" s="2" t="s">
        <v>14</v>
      </c>
      <c r="AK416" s="1" t="s">
        <v>15</v>
      </c>
      <c r="AL416" s="1" t="s">
        <v>16</v>
      </c>
      <c r="AM416" s="3" t="s">
        <v>17</v>
      </c>
      <c r="AN416" s="4" t="s">
        <v>18</v>
      </c>
      <c r="AO416" s="5" t="s">
        <v>19</v>
      </c>
      <c r="AP416" s="6" t="s">
        <v>20</v>
      </c>
      <c r="AQ416" s="6" t="s">
        <v>21</v>
      </c>
      <c r="AR416" s="7" t="s">
        <v>22</v>
      </c>
      <c r="AS416" s="76"/>
      <c r="AT416" s="76"/>
    </row>
    <row r="417" spans="1:46" ht="15.75" customHeight="1" x14ac:dyDescent="0.25">
      <c r="A417" s="70"/>
      <c r="B417" s="16">
        <v>7</v>
      </c>
      <c r="C417" s="16" t="s">
        <v>24</v>
      </c>
      <c r="D417" s="17">
        <v>44</v>
      </c>
      <c r="E417" s="31">
        <f ca="1">IFERROR(__xludf.DUMMYFUNCTION("COUNT(IMPORTRANGE(""https://docs.google.com/spreadsheets/d/1_7EEO26q9Yq-XhNFiy7I6Zh4Yg6uGjTs9y0UqNvPKcQ/edit"",""16!d2:d45""))"),43)</f>
        <v>43</v>
      </c>
      <c r="F417" s="32">
        <f ca="1">IFERROR(__xludf.DUMMYFUNCTION("SUM(IMPORTRANGE(""https://docs.google.com/spreadsheets/d/1_7EEO26q9Yq-XhNFiy7I6Zh4Yg6uGjTs9y0UqNvPKcQ/edit"",""16!Q2:Q45""))"),8491.96299999999)</f>
        <v>8491.9629999999906</v>
      </c>
      <c r="G417" s="31">
        <f ca="1">IFERROR(__xludf.DUMMYFUNCTION("IMPORTRANGE(""https://docs.google.com/spreadsheets/d/1_7EEO26q9Yq-XhNFiy7I6Zh4Yg6uGjTs9y0UqNvPKcQ/edit"",""16!e53"")"),962)</f>
        <v>962</v>
      </c>
      <c r="H417" s="31">
        <f ca="1">IFERROR(__xludf.DUMMYFUNCTION("IMPORTRANGE(""https://docs.google.com/spreadsheets/d/1_7EEO26q9Yq-XhNFiy7I6Zh4Yg6uGjTs9y0UqNvPKcQ/edit"",""16!e54"")"),26)</f>
        <v>26</v>
      </c>
      <c r="I417" s="31">
        <f t="shared" ca="1" si="1137"/>
        <v>988</v>
      </c>
      <c r="J417" s="31">
        <f ca="1">IFERROR(__xludf.DUMMYFUNCTION("IMPORTRANGE(""https://docs.google.com/spreadsheets/d/1_7EEO26q9Yq-XhNFiy7I6Zh4Yg6uGjTs9y0UqNvPKcQ/edit"",""16!e57"")"),1392)</f>
        <v>1392</v>
      </c>
      <c r="K417" s="31">
        <f ca="1">IFERROR(__xludf.DUMMYFUNCTION("IMPORTRANGE(""https://docs.google.com/spreadsheets/d/1_7EEO26q9Yq-XhNFiy7I6Zh4Yg6uGjTs9y0UqNvPKcQ/edit"",""16!e58"")"),70)</f>
        <v>70</v>
      </c>
      <c r="L417" s="18">
        <f t="shared" ca="1" si="1138"/>
        <v>1462</v>
      </c>
      <c r="M417" s="18">
        <f t="shared" ca="1" si="1139"/>
        <v>2450</v>
      </c>
      <c r="N417" s="19">
        <f t="shared" ca="1" si="1140"/>
        <v>197.48751162790677</v>
      </c>
      <c r="O417" s="16">
        <v>1580</v>
      </c>
      <c r="P417" s="33">
        <f t="shared" ca="1" si="1141"/>
        <v>1.5506329113924051</v>
      </c>
      <c r="Q417" s="21">
        <v>1.5</v>
      </c>
      <c r="R417" s="20">
        <f t="shared" ca="1" si="1142"/>
        <v>0.19233872466629154</v>
      </c>
      <c r="S417" s="22">
        <f t="shared" ca="1" si="1143"/>
        <v>0.28850808699943731</v>
      </c>
      <c r="T417" s="21">
        <f ca="1">F417/26.805</f>
        <v>316.80518559970119</v>
      </c>
      <c r="U417" s="21">
        <f t="shared" ca="1" si="1144"/>
        <v>7.3675624558070041</v>
      </c>
      <c r="V417" s="18">
        <f t="shared" ca="1" si="1145"/>
        <v>56.97674418604651</v>
      </c>
      <c r="W417" s="76"/>
      <c r="X417" s="8">
        <v>1</v>
      </c>
      <c r="Y417" s="8" t="s">
        <v>28</v>
      </c>
      <c r="Z417" s="8">
        <f t="shared" ref="Z417:AI417" si="1156">SUM(D412)</f>
        <v>33</v>
      </c>
      <c r="AA417" s="9">
        <f t="shared" ca="1" si="1156"/>
        <v>32</v>
      </c>
      <c r="AB417" s="11">
        <f t="shared" ca="1" si="1156"/>
        <v>6281.6570000000002</v>
      </c>
      <c r="AC417" s="9">
        <f t="shared" ca="1" si="1156"/>
        <v>2729</v>
      </c>
      <c r="AD417" s="9">
        <f t="shared" ca="1" si="1156"/>
        <v>115</v>
      </c>
      <c r="AE417" s="9">
        <f t="shared" ca="1" si="1156"/>
        <v>2844</v>
      </c>
      <c r="AF417" s="9">
        <f t="shared" ca="1" si="1156"/>
        <v>3054</v>
      </c>
      <c r="AG417" s="9">
        <f t="shared" ca="1" si="1156"/>
        <v>128</v>
      </c>
      <c r="AH417" s="9">
        <f t="shared" ca="1" si="1156"/>
        <v>3182</v>
      </c>
      <c r="AI417" s="9">
        <f t="shared" ca="1" si="1156"/>
        <v>6026</v>
      </c>
      <c r="AJ417" s="11">
        <f t="shared" ref="AJ417:AJ423" ca="1" si="1157">AB417/AA417</f>
        <v>196.30178125</v>
      </c>
      <c r="AK417" s="8">
        <f t="shared" ref="AK417:AK418" si="1158">SUM(O412)</f>
        <v>7315</v>
      </c>
      <c r="AL417" s="12">
        <f t="shared" ref="AL417:AL423" ca="1" si="1159">AI417/AK417</f>
        <v>0.82378673957621329</v>
      </c>
      <c r="AM417" s="13">
        <f t="shared" ref="AM417:AM418" si="1160">SUM(Q412)</f>
        <v>1.5</v>
      </c>
      <c r="AN417" s="12">
        <f t="shared" ref="AN417:AN423" ca="1" si="1161">AO417/AM417</f>
        <v>0.63953401679418875</v>
      </c>
      <c r="AO417" s="14">
        <f t="shared" ref="AO417:AO423" ca="1" si="1162">AI417/AB417</f>
        <v>0.95930102519128313</v>
      </c>
      <c r="AP417" s="13">
        <f t="shared" ref="AP417:AQ417" ca="1" si="1163">SUM(T412)</f>
        <v>203.30960934718581</v>
      </c>
      <c r="AQ417" s="13">
        <f t="shared" ca="1" si="1163"/>
        <v>6.3534252920995566</v>
      </c>
      <c r="AR417" s="9">
        <f t="shared" ref="AR417:AR423" ca="1" si="1164">AI417/AA417</f>
        <v>188.3125</v>
      </c>
      <c r="AS417" s="76"/>
      <c r="AT417" s="76"/>
    </row>
    <row r="418" spans="1:46" ht="15.75" customHeight="1" x14ac:dyDescent="0.25">
      <c r="A418" s="70"/>
      <c r="B418" s="16">
        <v>8</v>
      </c>
      <c r="C418" s="16" t="s">
        <v>25</v>
      </c>
      <c r="D418" s="34">
        <v>32</v>
      </c>
      <c r="E418" s="18">
        <f ca="1">IFERROR(__xludf.DUMMYFUNCTION("COUNT(IMPORTRANGE(""https://docs.google.com/spreadsheets/d/1vLOLpiE-XsbnCnwWPcoi87PlUSXfqIAAQn3kvqHfO6s/edit"",""16!d2:D33""))"),32)</f>
        <v>32</v>
      </c>
      <c r="F418" s="23">
        <f ca="1">IFERROR(__xludf.DUMMYFUNCTION("SUM(IMPORTRANGE(""https://docs.google.com/spreadsheets/d/1vLOLpiE-XsbnCnwWPcoi87PlUSXfqIAAQn3kvqHfO6s/edit"",""16!Q2:Q33""))"),6201.08)</f>
        <v>6201.08</v>
      </c>
      <c r="G418" s="18">
        <f ca="1">IFERROR(__xludf.DUMMYFUNCTION("IMPORTRANGE(""https://docs.google.com/spreadsheets/d/1vLOLpiE-XsbnCnwWPcoi87PlUSXfqIAAQn3kvqHfO6s/edit"",""16!e40"")"),2204)</f>
        <v>2204</v>
      </c>
      <c r="H418" s="18">
        <f ca="1">IFERROR(__xludf.DUMMYFUNCTION("IMPORTRANGE(""https://docs.google.com/spreadsheets/d/1vLOLpiE-XsbnCnwWPcoi87PlUSXfqIAAQn3kvqHfO6s/edit"",""16!e41"")"),526)</f>
        <v>526</v>
      </c>
      <c r="I418" s="18">
        <f t="shared" ca="1" si="1137"/>
        <v>2730</v>
      </c>
      <c r="J418" s="18">
        <f ca="1">IFERROR(__xludf.DUMMYFUNCTION("IMPORTRANGE(""https://docs.google.com/spreadsheets/d/1vLOLpiE-XsbnCnwWPcoi87PlUSXfqIAAQn3kvqHfO6s/edit"",""16!e44"")"),3426)</f>
        <v>3426</v>
      </c>
      <c r="K418" s="18">
        <f ca="1">IFERROR(__xludf.DUMMYFUNCTION("IMPORTRANGE(""https://docs.google.com/spreadsheets/d/1vLOLpiE-XsbnCnwWPcoi87PlUSXfqIAAQn3kvqHfO6s/edit"",""16!e45"")"),432)</f>
        <v>432</v>
      </c>
      <c r="L418" s="18">
        <f ca="1">J418+K418</f>
        <v>3858</v>
      </c>
      <c r="M418" s="18">
        <f t="shared" ca="1" si="1139"/>
        <v>6588</v>
      </c>
      <c r="N418" s="19">
        <f t="shared" ca="1" si="1140"/>
        <v>193.78375</v>
      </c>
      <c r="O418" s="16">
        <v>6622</v>
      </c>
      <c r="P418" s="20">
        <f t="shared" ca="1" si="1141"/>
        <v>0.99486559951676234</v>
      </c>
      <c r="Q418" s="21">
        <v>1.5</v>
      </c>
      <c r="R418" s="20">
        <f t="shared" ca="1" si="1142"/>
        <v>0.70826372180329888</v>
      </c>
      <c r="S418" s="22">
        <f t="shared" ca="1" si="1143"/>
        <v>1.0623955827049483</v>
      </c>
      <c r="T418" s="21">
        <f ca="1">F418/23.84</f>
        <v>260.11241610738256</v>
      </c>
      <c r="U418" s="21">
        <f t="shared" ca="1" si="1144"/>
        <v>8.1285130033557049</v>
      </c>
      <c r="V418" s="18">
        <f t="shared" ca="1" si="1145"/>
        <v>205.875</v>
      </c>
      <c r="W418" s="76"/>
      <c r="X418" s="8">
        <v>2</v>
      </c>
      <c r="Y418" s="8" t="s">
        <v>30</v>
      </c>
      <c r="Z418" s="8">
        <f t="shared" ref="Z418:AI418" si="1165">SUM(D413)</f>
        <v>60</v>
      </c>
      <c r="AA418" s="9">
        <f t="shared" ca="1" si="1165"/>
        <v>60</v>
      </c>
      <c r="AB418" s="10">
        <f t="shared" ca="1" si="1165"/>
        <v>11722.7879999999</v>
      </c>
      <c r="AC418" s="9">
        <f t="shared" ca="1" si="1165"/>
        <v>3443</v>
      </c>
      <c r="AD418" s="9">
        <f t="shared" ca="1" si="1165"/>
        <v>0</v>
      </c>
      <c r="AE418" s="9">
        <f t="shared" ca="1" si="1165"/>
        <v>3443</v>
      </c>
      <c r="AF418" s="9">
        <f t="shared" ca="1" si="1165"/>
        <v>5407</v>
      </c>
      <c r="AG418" s="9">
        <f t="shared" ca="1" si="1165"/>
        <v>77</v>
      </c>
      <c r="AH418" s="9">
        <f t="shared" ca="1" si="1165"/>
        <v>5484</v>
      </c>
      <c r="AI418" s="9">
        <f t="shared" ca="1" si="1165"/>
        <v>8927</v>
      </c>
      <c r="AJ418" s="11">
        <f t="shared" ca="1" si="1157"/>
        <v>195.37979999999834</v>
      </c>
      <c r="AK418" s="8">
        <f t="shared" si="1158"/>
        <v>11164</v>
      </c>
      <c r="AL418" s="12">
        <f t="shared" ca="1" si="1159"/>
        <v>0.79962379075600143</v>
      </c>
      <c r="AM418" s="13">
        <f t="shared" si="1160"/>
        <v>1.5</v>
      </c>
      <c r="AN418" s="12">
        <f t="shared" ca="1" si="1161"/>
        <v>0.50767217946220511</v>
      </c>
      <c r="AO418" s="14">
        <f t="shared" ca="1" si="1162"/>
        <v>0.76150826919330761</v>
      </c>
      <c r="AP418" s="13">
        <f t="shared" ref="AP418:AQ418" ca="1" si="1166">SUM(T413)</f>
        <v>395.99999999999659</v>
      </c>
      <c r="AQ418" s="13">
        <f t="shared" ca="1" si="1166"/>
        <v>6.5999999999999428</v>
      </c>
      <c r="AR418" s="9">
        <f t="shared" ca="1" si="1164"/>
        <v>148.78333333333333</v>
      </c>
      <c r="AS418" s="76"/>
      <c r="AT418" s="76"/>
    </row>
    <row r="419" spans="1:46" ht="15.75" customHeight="1" x14ac:dyDescent="0.25">
      <c r="A419" s="70"/>
      <c r="B419" s="16">
        <v>9</v>
      </c>
      <c r="C419" s="16" t="s">
        <v>36</v>
      </c>
      <c r="D419" s="34">
        <v>29</v>
      </c>
      <c r="E419" s="18">
        <f ca="1">IFERROR(__xludf.DUMMYFUNCTION("COUNT(IMPORTRANGE(""https://docs.google.com/spreadsheets/d/1WJJVq25XDtGjt-J2JPxeKs3jIvDZtkIREC0lFPXwf74/edit"",""16!d2:d31""))"),28)</f>
        <v>28</v>
      </c>
      <c r="F419" s="23">
        <f ca="1">IFERROR(__xludf.DUMMYFUNCTION("SUM(IMPORTRANGE(""https://docs.google.com/spreadsheets/d/1WJJVq25XDtGjt-J2JPxeKs3jIvDZtkIREC0lFPXwf74/edit"",""16!Q2:Q31""))"),5454.46399999999)</f>
        <v>5454.4639999999899</v>
      </c>
      <c r="G419" s="18">
        <f ca="1">IFERROR(__xludf.DUMMYFUNCTION("IMPORTRANGE(""https://docs.google.com/spreadsheets/d/1WJJVq25XDtGjt-J2JPxeKs3jIvDZtkIREC0lFPXwf74/edit"",""16!e38"")"),1503)</f>
        <v>1503</v>
      </c>
      <c r="H419" s="18">
        <f ca="1">IFERROR(__xludf.DUMMYFUNCTION("IMPORTRANGE(""https://docs.google.com/spreadsheets/d/1WJJVq25XDtGjt-J2JPxeKs3jIvDZtkIREC0lFPXwf74/edit"",""16!e39"")"),0)</f>
        <v>0</v>
      </c>
      <c r="I419" s="18">
        <f t="shared" ca="1" si="1137"/>
        <v>1503</v>
      </c>
      <c r="J419" s="18">
        <f ca="1">IFERROR(__xludf.DUMMYFUNCTION("IMPORTRANGE(""https://docs.google.com/spreadsheets/d/1WJJVq25XDtGjt-J2JPxeKs3jIvDZtkIREC0lFPXwf74/edit"",""16!e42"")"),2086)</f>
        <v>2086</v>
      </c>
      <c r="K419" s="18">
        <f ca="1">IFERROR(__xludf.DUMMYFUNCTION("IMPORTRANGE(""https://docs.google.com/spreadsheets/d/1WJJVq25XDtGjt-J2JPxeKs3jIvDZtkIREC0lFPXwf74/edit"",""16!e43"")"),0)</f>
        <v>0</v>
      </c>
      <c r="L419" s="18">
        <f t="shared" ref="L419:L428" ca="1" si="1167">SUM(J419:K419)</f>
        <v>2086</v>
      </c>
      <c r="M419" s="18">
        <f t="shared" ca="1" si="1139"/>
        <v>3589</v>
      </c>
      <c r="N419" s="19">
        <f t="shared" ca="1" si="1140"/>
        <v>194.80228571428535</v>
      </c>
      <c r="O419" s="16">
        <v>4796</v>
      </c>
      <c r="P419" s="20">
        <f t="shared" ca="1" si="1141"/>
        <v>0.74833194328607178</v>
      </c>
      <c r="Q419" s="21">
        <v>1.5</v>
      </c>
      <c r="R419" s="20">
        <f t="shared" ca="1" si="1142"/>
        <v>0.43866210624300961</v>
      </c>
      <c r="S419" s="22">
        <f t="shared" ca="1" si="1143"/>
        <v>0.65799315936451441</v>
      </c>
      <c r="T419" s="21">
        <f ca="1">F419/37.414</f>
        <v>145.78671085689822</v>
      </c>
      <c r="U419" s="21">
        <f t="shared" ca="1" si="1144"/>
        <v>5.2066682448892223</v>
      </c>
      <c r="V419" s="18">
        <f t="shared" ca="1" si="1145"/>
        <v>128.17857142857142</v>
      </c>
      <c r="W419" s="76"/>
      <c r="X419" s="8">
        <v>3</v>
      </c>
      <c r="Y419" s="8" t="s">
        <v>34</v>
      </c>
      <c r="Z419" s="8">
        <f t="shared" ref="Z419:AI419" si="1168">SUM(D415)</f>
        <v>40</v>
      </c>
      <c r="AA419" s="9">
        <f t="shared" ca="1" si="1168"/>
        <v>39</v>
      </c>
      <c r="AB419" s="10">
        <f t="shared" ca="1" si="1168"/>
        <v>7298.6490000000003</v>
      </c>
      <c r="AC419" s="9">
        <f t="shared" ca="1" si="1168"/>
        <v>3025</v>
      </c>
      <c r="AD419" s="9">
        <f t="shared" ca="1" si="1168"/>
        <v>0</v>
      </c>
      <c r="AE419" s="9">
        <f t="shared" ca="1" si="1168"/>
        <v>3025</v>
      </c>
      <c r="AF419" s="9">
        <f t="shared" ca="1" si="1168"/>
        <v>2972</v>
      </c>
      <c r="AG419" s="9">
        <f t="shared" ca="1" si="1168"/>
        <v>63</v>
      </c>
      <c r="AH419" s="9">
        <f t="shared" ca="1" si="1168"/>
        <v>3035</v>
      </c>
      <c r="AI419" s="9">
        <f t="shared" ca="1" si="1168"/>
        <v>6060</v>
      </c>
      <c r="AJ419" s="11">
        <f t="shared" ca="1" si="1157"/>
        <v>187.14484615384617</v>
      </c>
      <c r="AK419" s="8">
        <f>SUM(O415)</f>
        <v>9354</v>
      </c>
      <c r="AL419" s="12">
        <f t="shared" ca="1" si="1159"/>
        <v>0.64785118665811414</v>
      </c>
      <c r="AM419" s="13">
        <f>SUM(Q415)</f>
        <v>1.5</v>
      </c>
      <c r="AN419" s="12">
        <f t="shared" ca="1" si="1161"/>
        <v>0.55352709796018418</v>
      </c>
      <c r="AO419" s="14">
        <f t="shared" ca="1" si="1162"/>
        <v>0.83029064694027621</v>
      </c>
      <c r="AP419" s="13">
        <f t="shared" ref="AP419:AQ419" ca="1" si="1169">SUM(T415)</f>
        <v>237.64038029498909</v>
      </c>
      <c r="AQ419" s="13">
        <f t="shared" ca="1" si="1169"/>
        <v>6.0933430844868992</v>
      </c>
      <c r="AR419" s="9">
        <f t="shared" ca="1" si="1164"/>
        <v>155.38461538461539</v>
      </c>
      <c r="AS419" s="76"/>
      <c r="AT419" s="76"/>
    </row>
    <row r="420" spans="1:46" ht="15.75" customHeight="1" x14ac:dyDescent="0.25">
      <c r="A420" s="70"/>
      <c r="B420" s="16">
        <v>10</v>
      </c>
      <c r="C420" s="16" t="s">
        <v>37</v>
      </c>
      <c r="D420" s="17">
        <v>30</v>
      </c>
      <c r="E420" s="18">
        <f ca="1">IFERROR(__xludf.DUMMYFUNCTION("COUNT(IMPORTRANGE(""https://docs.google.com/spreadsheets/d/1rJyYfywRpWJW0zvDJHLOJtqUQqffoCGaqTVxxTDgV0k/edit"",""16!d2:d31""))"),30)</f>
        <v>30</v>
      </c>
      <c r="F420" s="23">
        <f ca="1">IFERROR(__xludf.DUMMYFUNCTION("SUM(IMPORTRANGE(""https://docs.google.com/spreadsheets/d/1rJyYfywRpWJW0zvDJHLOJtqUQqffoCGaqTVxxTDgV0k/edit"",""16!Q2:Q31""))"),5724.33)</f>
        <v>5724.33</v>
      </c>
      <c r="G420" s="18">
        <f ca="1">IFERROR(__xludf.DUMMYFUNCTION("(IMPORTRANGE(""https://docs.google.com/spreadsheets/d/1rJyYfywRpWJW0zvDJHLOJtqUQqffoCGaqTVxxTDgV0k/edit"",""16!e38""))"),2179)</f>
        <v>2179</v>
      </c>
      <c r="H420" s="18">
        <f ca="1">IFERROR(__xludf.DUMMYFUNCTION("(IMPORTRANGE(""https://docs.google.com/spreadsheets/d/1rJyYfywRpWJW0zvDJHLOJtqUQqffoCGaqTVxxTDgV0k/edit"",""16!e39""))"),0)</f>
        <v>0</v>
      </c>
      <c r="I420" s="18">
        <f t="shared" ca="1" si="1137"/>
        <v>2179</v>
      </c>
      <c r="J420" s="18">
        <f ca="1">IFERROR(__xludf.DUMMYFUNCTION("(IMPORTRANGE(""https://docs.google.com/spreadsheets/d/1rJyYfywRpWJW0zvDJHLOJtqUQqffoCGaqTVxxTDgV0k/edit"",""16!e42""))"),2787)</f>
        <v>2787</v>
      </c>
      <c r="K420" s="18">
        <f ca="1">IFERROR(__xludf.DUMMYFUNCTION("(IMPORTRANGE(""https://docs.google.com/spreadsheets/d/1rJyYfywRpWJW0zvDJHLOJtqUQqffoCGaqTVxxTDgV0k/edit"",""16!e43""))"),0)</f>
        <v>0</v>
      </c>
      <c r="L420" s="18">
        <f t="shared" ca="1" si="1167"/>
        <v>2787</v>
      </c>
      <c r="M420" s="18">
        <f t="shared" ca="1" si="1139"/>
        <v>4966</v>
      </c>
      <c r="N420" s="19">
        <f t="shared" ca="1" si="1140"/>
        <v>190.81100000000001</v>
      </c>
      <c r="O420" s="16">
        <v>5887</v>
      </c>
      <c r="P420" s="20">
        <f t="shared" ca="1" si="1141"/>
        <v>0.84355359266179719</v>
      </c>
      <c r="Q420" s="21">
        <v>1.5</v>
      </c>
      <c r="R420" s="20">
        <f t="shared" ca="1" si="1142"/>
        <v>0.57835007182791121</v>
      </c>
      <c r="S420" s="22">
        <f t="shared" ca="1" si="1143"/>
        <v>0.86752510774186675</v>
      </c>
      <c r="T420" s="21">
        <f ca="1">F420/24.792</f>
        <v>230.89424007744432</v>
      </c>
      <c r="U420" s="21">
        <f t="shared" ca="1" si="1144"/>
        <v>7.6964746692481443</v>
      </c>
      <c r="V420" s="18">
        <f t="shared" ca="1" si="1145"/>
        <v>165.53333333333333</v>
      </c>
      <c r="W420" s="76"/>
      <c r="X420" s="8">
        <v>4</v>
      </c>
      <c r="Y420" s="8" t="s">
        <v>38</v>
      </c>
      <c r="Z420" s="8">
        <f t="shared" ref="Z420:AI420" si="1170">SUM(D423)</f>
        <v>30</v>
      </c>
      <c r="AA420" s="9">
        <f t="shared" ca="1" si="1170"/>
        <v>30</v>
      </c>
      <c r="AB420" s="10">
        <f t="shared" ca="1" si="1170"/>
        <v>6180.74999999999</v>
      </c>
      <c r="AC420" s="9">
        <f t="shared" ca="1" si="1170"/>
        <v>2381</v>
      </c>
      <c r="AD420" s="9">
        <f t="shared" ca="1" si="1170"/>
        <v>0</v>
      </c>
      <c r="AE420" s="9">
        <f t="shared" ca="1" si="1170"/>
        <v>2381</v>
      </c>
      <c r="AF420" s="9">
        <f t="shared" ca="1" si="1170"/>
        <v>2700</v>
      </c>
      <c r="AG420" s="9">
        <f t="shared" ca="1" si="1170"/>
        <v>64</v>
      </c>
      <c r="AH420" s="9">
        <f t="shared" ca="1" si="1170"/>
        <v>2764</v>
      </c>
      <c r="AI420" s="9">
        <f t="shared" ca="1" si="1170"/>
        <v>5145</v>
      </c>
      <c r="AJ420" s="11">
        <f t="shared" ca="1" si="1157"/>
        <v>206.02499999999966</v>
      </c>
      <c r="AK420" s="8">
        <v>7324</v>
      </c>
      <c r="AL420" s="12">
        <f t="shared" ca="1" si="1159"/>
        <v>0.70248498088476241</v>
      </c>
      <c r="AM420" s="13">
        <f>SUM(Q423)</f>
        <v>1.5</v>
      </c>
      <c r="AN420" s="12">
        <f t="shared" ca="1" si="1161"/>
        <v>0.5549488330704212</v>
      </c>
      <c r="AO420" s="14">
        <f t="shared" ca="1" si="1162"/>
        <v>0.83242324960563174</v>
      </c>
      <c r="AP420" s="13">
        <f t="shared" ref="AP420:AQ420" ca="1" si="1171">SUM(T423)</f>
        <v>149.99999999999977</v>
      </c>
      <c r="AQ420" s="13">
        <f t="shared" ca="1" si="1171"/>
        <v>4.999999999999992</v>
      </c>
      <c r="AR420" s="9">
        <f t="shared" ca="1" si="1164"/>
        <v>171.5</v>
      </c>
      <c r="AS420" s="76"/>
      <c r="AT420" s="76"/>
    </row>
    <row r="421" spans="1:46" ht="15.75" customHeight="1" x14ac:dyDescent="0.25">
      <c r="A421" s="70"/>
      <c r="B421" s="16">
        <v>12</v>
      </c>
      <c r="C421" s="16" t="s">
        <v>39</v>
      </c>
      <c r="D421" s="17">
        <v>28</v>
      </c>
      <c r="E421" s="18">
        <f ca="1">IFERROR(__xludf.DUMMYFUNCTION("COUNT(IMPORTRANGE(""https://docs.google.com/spreadsheets/d/1uaTn2DZCfr7O1PvovOd0wElzVz8kpl_iPfnrkNPp0Is/edit"",""16!d2:d29""))"),27)</f>
        <v>27</v>
      </c>
      <c r="F421" s="23">
        <f ca="1">IFERROR(__xludf.DUMMYFUNCTION("SUM(IMPORTRANGE(""https://docs.google.com/spreadsheets/d/1uaTn2DZCfr7O1PvovOd0wElzVz8kpl_iPfnrkNPp0Is/edit"",""16!Q2:Q29""))"),4342.802)</f>
        <v>4342.8019999999997</v>
      </c>
      <c r="G421" s="18">
        <f ca="1">IFERROR(__xludf.DUMMYFUNCTION("IMPORTRANGE(""https://docs.google.com/spreadsheets/d/1uaTn2DZCfr7O1PvovOd0wElzVz8kpl_iPfnrkNPp0Is/edit"",""16!e36"")"),846)</f>
        <v>846</v>
      </c>
      <c r="H421" s="18">
        <f ca="1">IFERROR(__xludf.DUMMYFUNCTION("(IMPORTRANGE(""https://docs.google.com/spreadsheets/d/1uaTn2DZCfr7O1PvovOd0wElzVz8kpl_iPfnrkNPp0Is/edit"",""16!e37""))"),0)</f>
        <v>0</v>
      </c>
      <c r="I421" s="18">
        <f t="shared" ca="1" si="1137"/>
        <v>846</v>
      </c>
      <c r="J421" s="18">
        <f ca="1">IFERROR(__xludf.DUMMYFUNCTION("IMPORTRANGE(""https://docs.google.com/spreadsheets/d/1uaTn2DZCfr7O1PvovOd0wElzVz8kpl_iPfnrkNPp0Is/edit"",""16!e40"")"),1544)</f>
        <v>1544</v>
      </c>
      <c r="K421" s="18">
        <f ca="1">IFERROR(__xludf.DUMMYFUNCTION("IMPORTRANGE(""https://docs.google.com/spreadsheets/d/1uaTn2DZCfr7O1PvovOd0wElzVz8kpl_iPfnrkNPp0Is/edit"",""16!e41"")"),0)</f>
        <v>0</v>
      </c>
      <c r="L421" s="18">
        <f t="shared" ca="1" si="1167"/>
        <v>1544</v>
      </c>
      <c r="M421" s="18">
        <f t="shared" ca="1" si="1139"/>
        <v>2390</v>
      </c>
      <c r="N421" s="19">
        <f t="shared" ca="1" si="1140"/>
        <v>160.8445185185185</v>
      </c>
      <c r="O421" s="16">
        <v>3569</v>
      </c>
      <c r="P421" s="20">
        <f t="shared" ca="1" si="1141"/>
        <v>0.66965536564864103</v>
      </c>
      <c r="Q421" s="21">
        <v>1.5</v>
      </c>
      <c r="R421" s="20">
        <f t="shared" ca="1" si="1142"/>
        <v>0.36689062345769702</v>
      </c>
      <c r="S421" s="22">
        <f t="shared" ca="1" si="1143"/>
        <v>0.55033593518654556</v>
      </c>
      <c r="T421" s="21">
        <f ca="1">F421/21.463</f>
        <v>202.33900200344777</v>
      </c>
      <c r="U421" s="21">
        <f t="shared" ca="1" si="1144"/>
        <v>7.4940371112388062</v>
      </c>
      <c r="V421" s="18">
        <f t="shared" ca="1" si="1145"/>
        <v>88.518518518518519</v>
      </c>
      <c r="W421" s="76"/>
      <c r="X421" s="8">
        <v>5</v>
      </c>
      <c r="Y421" s="8" t="s">
        <v>40</v>
      </c>
      <c r="Z421" s="8">
        <f t="shared" ref="Z421:AI421" si="1172">SUM(D425)</f>
        <v>30</v>
      </c>
      <c r="AA421" s="9">
        <f t="shared" ca="1" si="1172"/>
        <v>30</v>
      </c>
      <c r="AB421" s="10">
        <f t="shared" ca="1" si="1172"/>
        <v>5944.5869999999904</v>
      </c>
      <c r="AC421" s="9">
        <f t="shared" ca="1" si="1172"/>
        <v>3497</v>
      </c>
      <c r="AD421" s="9">
        <f t="shared" ca="1" si="1172"/>
        <v>159</v>
      </c>
      <c r="AE421" s="9">
        <f t="shared" ca="1" si="1172"/>
        <v>3656</v>
      </c>
      <c r="AF421" s="9">
        <f t="shared" ca="1" si="1172"/>
        <v>3587</v>
      </c>
      <c r="AG421" s="9">
        <f t="shared" ca="1" si="1172"/>
        <v>135</v>
      </c>
      <c r="AH421" s="9">
        <f t="shared" ca="1" si="1172"/>
        <v>3722</v>
      </c>
      <c r="AI421" s="9">
        <f t="shared" ca="1" si="1172"/>
        <v>7378</v>
      </c>
      <c r="AJ421" s="11">
        <f t="shared" ca="1" si="1157"/>
        <v>198.15289999999968</v>
      </c>
      <c r="AK421" s="8">
        <f t="shared" ref="AK421:AK422" si="1173">SUM(O425)</f>
        <v>8239</v>
      </c>
      <c r="AL421" s="12">
        <f t="shared" ca="1" si="1159"/>
        <v>0.89549702633814787</v>
      </c>
      <c r="AM421" s="13">
        <f t="shared" ref="AM421:AM422" si="1174">SUM(Q425)</f>
        <v>1.5</v>
      </c>
      <c r="AN421" s="12">
        <f t="shared" ca="1" si="1161"/>
        <v>0.82741940973639971</v>
      </c>
      <c r="AO421" s="14">
        <f t="shared" ca="1" si="1162"/>
        <v>1.2411291146045995</v>
      </c>
      <c r="AP421" s="13">
        <f t="shared" ref="AP421:AQ421" ca="1" si="1175">SUM(T425)</f>
        <v>208.99999999999966</v>
      </c>
      <c r="AQ421" s="13">
        <f t="shared" ca="1" si="1175"/>
        <v>6.9666666666666552</v>
      </c>
      <c r="AR421" s="9">
        <f t="shared" ca="1" si="1164"/>
        <v>245.93333333333334</v>
      </c>
      <c r="AS421" s="76"/>
      <c r="AT421" s="76"/>
    </row>
    <row r="422" spans="1:46" ht="15.75" customHeight="1" x14ac:dyDescent="0.25">
      <c r="A422" s="70"/>
      <c r="B422" s="16">
        <v>12</v>
      </c>
      <c r="C422" s="16" t="s">
        <v>41</v>
      </c>
      <c r="D422" s="17">
        <v>24</v>
      </c>
      <c r="E422" s="18">
        <f ca="1">IFERROR(__xludf.DUMMYFUNCTION("COUNT(IMPORTRANGE(""https://docs.google.com/spreadsheets/d/1oYscvfOJW7GMkxt8QcupWuzb3ohaYePd3Mt2V2ufHok/edit"",""16!d2:d25""))"),24)</f>
        <v>24</v>
      </c>
      <c r="F422" s="23">
        <f ca="1">IFERROR(__xludf.DUMMYFUNCTION("SUM(IMPORTRANGE(""https://docs.google.com/spreadsheets/d/1oYscvfOJW7GMkxt8QcupWuzb3ohaYePd3Mt2V2ufHok/edit"",""16!Q2:Q25""))"),4687.808)</f>
        <v>4687.808</v>
      </c>
      <c r="G422" s="18">
        <f ca="1">IFERROR(__xludf.DUMMYFUNCTION("IMPORTRANGE(""https://docs.google.com/spreadsheets/d/1oYscvfOJW7GMkxt8QcupWuzb3ohaYePd3Mt2V2ufHok/edit"",""16!e32"")"),1214)</f>
        <v>1214</v>
      </c>
      <c r="H422" s="18">
        <f ca="1">IFERROR(__xludf.DUMMYFUNCTION("IMPORTRANGE(""https://docs.google.com/spreadsheets/d/1oYscvfOJW7GMkxt8QcupWuzb3ohaYePd3Mt2V2ufHok/edit"",""16!e33"")"),0)</f>
        <v>0</v>
      </c>
      <c r="I422" s="18">
        <f t="shared" ca="1" si="1137"/>
        <v>1214</v>
      </c>
      <c r="J422" s="18">
        <f ca="1">IFERROR(__xludf.DUMMYFUNCTION("IMPORTRANGE(""https://docs.google.com/spreadsheets/d/1oYscvfOJW7GMkxt8QcupWuzb3ohaYePd3Mt2V2ufHok/edit"",""16!e36"")"),1420)</f>
        <v>1420</v>
      </c>
      <c r="K422" s="18">
        <f ca="1">IFERROR(__xludf.DUMMYFUNCTION("IMPORTRANGE(""https://docs.google.com/spreadsheets/d/1oYscvfOJW7GMkxt8QcupWuzb3ohaYePd3Mt2V2ufHok/edit"",""16!e37"")"),168)</f>
        <v>168</v>
      </c>
      <c r="L422" s="18">
        <f t="shared" ca="1" si="1167"/>
        <v>1588</v>
      </c>
      <c r="M422" s="18">
        <f t="shared" ca="1" si="1139"/>
        <v>2802</v>
      </c>
      <c r="N422" s="19">
        <f t="shared" ca="1" si="1140"/>
        <v>195.32533333333333</v>
      </c>
      <c r="O422" s="16">
        <v>3801</v>
      </c>
      <c r="P422" s="20">
        <f t="shared" ca="1" si="1141"/>
        <v>0.73717442778216258</v>
      </c>
      <c r="Q422" s="21">
        <v>1.5</v>
      </c>
      <c r="R422" s="20">
        <f t="shared" ca="1" si="1142"/>
        <v>0.39848048384234169</v>
      </c>
      <c r="S422" s="22">
        <f t="shared" ca="1" si="1143"/>
        <v>0.59772072576351254</v>
      </c>
      <c r="T422" s="21">
        <f ca="1">F422/29.628</f>
        <v>158.22222222222223</v>
      </c>
      <c r="U422" s="21">
        <f t="shared" ca="1" si="1144"/>
        <v>6.5925925925925926</v>
      </c>
      <c r="V422" s="18">
        <f t="shared" ca="1" si="1145"/>
        <v>116.75</v>
      </c>
      <c r="W422" s="76"/>
      <c r="X422" s="8">
        <v>6</v>
      </c>
      <c r="Y422" s="8" t="s">
        <v>42</v>
      </c>
      <c r="Z422" s="8">
        <f t="shared" ref="Z422:AI422" si="1176">SUM(D426)</f>
        <v>33</v>
      </c>
      <c r="AA422" s="9">
        <f t="shared" ca="1" si="1176"/>
        <v>32</v>
      </c>
      <c r="AB422" s="10">
        <f t="shared" ca="1" si="1176"/>
        <v>6223.3519999999899</v>
      </c>
      <c r="AC422" s="9">
        <f t="shared" ca="1" si="1176"/>
        <v>3170</v>
      </c>
      <c r="AD422" s="9">
        <f t="shared" ca="1" si="1176"/>
        <v>0</v>
      </c>
      <c r="AE422" s="9">
        <f t="shared" ca="1" si="1176"/>
        <v>3170</v>
      </c>
      <c r="AF422" s="9">
        <f t="shared" ca="1" si="1176"/>
        <v>4378</v>
      </c>
      <c r="AG422" s="9">
        <f t="shared" ca="1" si="1176"/>
        <v>59</v>
      </c>
      <c r="AH422" s="9">
        <f t="shared" ca="1" si="1176"/>
        <v>4437</v>
      </c>
      <c r="AI422" s="9">
        <f t="shared" ca="1" si="1176"/>
        <v>7607</v>
      </c>
      <c r="AJ422" s="11">
        <f t="shared" ca="1" si="1157"/>
        <v>194.47974999999968</v>
      </c>
      <c r="AK422" s="8">
        <f t="shared" si="1173"/>
        <v>9877</v>
      </c>
      <c r="AL422" s="12">
        <f t="shared" ca="1" si="1159"/>
        <v>0.77017312949276096</v>
      </c>
      <c r="AM422" s="13">
        <f t="shared" si="1174"/>
        <v>1.5</v>
      </c>
      <c r="AN422" s="12">
        <f t="shared" ca="1" si="1161"/>
        <v>0.81488775395210522</v>
      </c>
      <c r="AO422" s="14">
        <f t="shared" ca="1" si="1162"/>
        <v>1.2223316309281578</v>
      </c>
      <c r="AP422" s="13">
        <f t="shared" ref="AP422:AQ422" ca="1" si="1177">SUM(T426)</f>
        <v>237.94119671190938</v>
      </c>
      <c r="AQ422" s="13">
        <f t="shared" ca="1" si="1177"/>
        <v>7.4356623972471683</v>
      </c>
      <c r="AR422" s="9">
        <f t="shared" ca="1" si="1164"/>
        <v>237.71875</v>
      </c>
      <c r="AS422" s="76"/>
      <c r="AT422" s="76"/>
    </row>
    <row r="423" spans="1:46" ht="15.75" customHeight="1" x14ac:dyDescent="0.25">
      <c r="A423" s="70"/>
      <c r="B423" s="16">
        <v>13</v>
      </c>
      <c r="C423" s="16" t="s">
        <v>43</v>
      </c>
      <c r="D423" s="17">
        <v>30</v>
      </c>
      <c r="E423" s="18">
        <f ca="1">IFERROR(__xludf.DUMMYFUNCTION("COUNT(IMPORTRANGE(""https://docs.google.com/spreadsheets/d/1AxBmuQEdOYAeRnZ4C8vO6kuTNp7X_SGhpLXuY0n4ln4/edit"",""16!d2:d31""))"),30)</f>
        <v>30</v>
      </c>
      <c r="F423" s="23">
        <f ca="1">IFERROR(__xludf.DUMMYFUNCTION("SUM(IMPORTRANGE(""https://docs.google.com/spreadsheets/d/1AxBmuQEdOYAeRnZ4C8vO6kuTNp7X_SGhpLXuY0n4ln4/edit"",""16!Q2:Q31""))"),6180.74999999999)</f>
        <v>6180.74999999999</v>
      </c>
      <c r="G423" s="18">
        <f ca="1">IFERROR(__xludf.DUMMYFUNCTION("IMPORTRANGE(""https://docs.google.com/spreadsheets/d/1AxBmuQEdOYAeRnZ4C8vO6kuTNp7X_SGhpLXuY0n4ln4/edit"",""16!e38"")"),2381)</f>
        <v>2381</v>
      </c>
      <c r="H423" s="18">
        <f ca="1">IFERROR(__xludf.DUMMYFUNCTION("IMPORTRANGE(""https://docs.google.com/spreadsheets/d/1AxBmuQEdOYAeRnZ4C8vO6kuTNp7X_SGhpLXuY0n4ln4/edit"",""16!e39"")"),0)</f>
        <v>0</v>
      </c>
      <c r="I423" s="18">
        <f t="shared" ca="1" si="1137"/>
        <v>2381</v>
      </c>
      <c r="J423" s="18">
        <f ca="1">IFERROR(__xludf.DUMMYFUNCTION("IMPORTRANGE(""https://docs.google.com/spreadsheets/d/1AxBmuQEdOYAeRnZ4C8vO6kuTNp7X_SGhpLXuY0n4ln4/edit"",""16!e42"")"),2700)</f>
        <v>2700</v>
      </c>
      <c r="K423" s="18">
        <f ca="1">IFERROR(__xludf.DUMMYFUNCTION("IMPORTRANGE(""https://docs.google.com/spreadsheets/d/1AxBmuQEdOYAeRnZ4C8vO6kuTNp7X_SGhpLXuY0n4ln4/edit"",""16!e43"")"),64)</f>
        <v>64</v>
      </c>
      <c r="L423" s="18">
        <f t="shared" ca="1" si="1167"/>
        <v>2764</v>
      </c>
      <c r="M423" s="18">
        <f t="shared" ca="1" si="1139"/>
        <v>5145</v>
      </c>
      <c r="N423" s="19">
        <f t="shared" ca="1" si="1140"/>
        <v>206.02499999999966</v>
      </c>
      <c r="O423" s="16">
        <v>8345</v>
      </c>
      <c r="P423" s="20">
        <f t="shared" ca="1" si="1141"/>
        <v>0.61653684841222289</v>
      </c>
      <c r="Q423" s="21">
        <v>1.5</v>
      </c>
      <c r="R423" s="20">
        <f t="shared" ca="1" si="1142"/>
        <v>0.5549488330704212</v>
      </c>
      <c r="S423" s="22">
        <f t="shared" ca="1" si="1143"/>
        <v>0.83242324960563174</v>
      </c>
      <c r="T423" s="21">
        <f ca="1">F423/41.205</f>
        <v>149.99999999999977</v>
      </c>
      <c r="U423" s="21">
        <f t="shared" ca="1" si="1144"/>
        <v>4.999999999999992</v>
      </c>
      <c r="V423" s="18">
        <f t="shared" ca="1" si="1145"/>
        <v>171.5</v>
      </c>
      <c r="W423" s="76"/>
      <c r="X423" s="24" t="s">
        <v>33</v>
      </c>
      <c r="Y423" s="24">
        <v>6</v>
      </c>
      <c r="Z423" s="24">
        <f t="shared" ref="Z423:AI423" si="1178">SUM(Z417:Z422)</f>
        <v>226</v>
      </c>
      <c r="AA423" s="25">
        <f t="shared" ca="1" si="1178"/>
        <v>223</v>
      </c>
      <c r="AB423" s="27">
        <f t="shared" ca="1" si="1178"/>
        <v>43651.782999999872</v>
      </c>
      <c r="AC423" s="25">
        <f t="shared" ca="1" si="1178"/>
        <v>18245</v>
      </c>
      <c r="AD423" s="25">
        <f t="shared" ca="1" si="1178"/>
        <v>274</v>
      </c>
      <c r="AE423" s="25">
        <f t="shared" ca="1" si="1178"/>
        <v>18519</v>
      </c>
      <c r="AF423" s="25">
        <f t="shared" ca="1" si="1178"/>
        <v>22098</v>
      </c>
      <c r="AG423" s="25">
        <f t="shared" ca="1" si="1178"/>
        <v>526</v>
      </c>
      <c r="AH423" s="25">
        <f t="shared" ca="1" si="1178"/>
        <v>22624</v>
      </c>
      <c r="AI423" s="25">
        <f t="shared" ca="1" si="1178"/>
        <v>41143</v>
      </c>
      <c r="AJ423" s="27">
        <f t="shared" ca="1" si="1157"/>
        <v>195.74790582959585</v>
      </c>
      <c r="AK423" s="24">
        <f>SUM(AK417:AK422)</f>
        <v>53273</v>
      </c>
      <c r="AL423" s="28">
        <f t="shared" ca="1" si="1159"/>
        <v>0.77230491994068284</v>
      </c>
      <c r="AM423" s="29">
        <v>1.5</v>
      </c>
      <c r="AN423" s="28">
        <f t="shared" ca="1" si="1161"/>
        <v>0.62835157653621498</v>
      </c>
      <c r="AO423" s="30">
        <f t="shared" ca="1" si="1162"/>
        <v>0.94252736480432242</v>
      </c>
      <c r="AP423" s="29">
        <f ca="1">SUM(AP417:AP422)</f>
        <v>1433.8911863540804</v>
      </c>
      <c r="AQ423" s="29">
        <f ca="1">AP423/AA423</f>
        <v>6.4300053199734553</v>
      </c>
      <c r="AR423" s="25">
        <f t="shared" ca="1" si="1164"/>
        <v>184.49775784753362</v>
      </c>
      <c r="AS423" s="76"/>
      <c r="AT423" s="76"/>
    </row>
    <row r="424" spans="1:46" ht="15.75" customHeight="1" x14ac:dyDescent="0.25">
      <c r="A424" s="70"/>
      <c r="B424" s="16">
        <v>14</v>
      </c>
      <c r="C424" s="16" t="s">
        <v>27</v>
      </c>
      <c r="D424" s="17">
        <v>30</v>
      </c>
      <c r="E424" s="18">
        <f ca="1">IFERROR(__xludf.DUMMYFUNCTION("COUNT(IMPORTRANGE(""https://docs.google.com/spreadsheets/d/1LsL4JuXvBtfJ-TVi4NFml9lV_pmd61b789A_nbO-QrA/edit"",""16!d2:d31""))"),29)</f>
        <v>29</v>
      </c>
      <c r="F424" s="23">
        <f ca="1">IFERROR(__xludf.DUMMYFUNCTION("SUM(IMPORTRANGE(""https://docs.google.com/spreadsheets/d/1LsL4JuXvBtfJ-TVi4NFml9lV_pmd61b789A_nbO-QrA/edit"",""16!Q2:Q31""))"),5345.85)</f>
        <v>5345.85</v>
      </c>
      <c r="G424" s="18">
        <f ca="1">IFERROR(__xludf.DUMMYFUNCTION("IMPORTRANGE(""https://docs.google.com/spreadsheets/d/1LsL4JuXvBtfJ-TVi4NFml9lV_pmd61b789A_nbO-QrA/edit"",""16!e38"")"),2255)</f>
        <v>2255</v>
      </c>
      <c r="H424" s="18">
        <f ca="1">IFERROR(__xludf.DUMMYFUNCTION("IMPORTRANGE(""https://docs.google.com/spreadsheets/d/1LsL4JuXvBtfJ-TVi4NFml9lV_pmd61b789A_nbO-QrA/edit"",""16!e39"")"),0)</f>
        <v>0</v>
      </c>
      <c r="I424" s="18">
        <f t="shared" ca="1" si="1137"/>
        <v>2255</v>
      </c>
      <c r="J424" s="18">
        <f ca="1">IFERROR(__xludf.DUMMYFUNCTION("IMPORTRANGE(""https://docs.google.com/spreadsheets/d/1LsL4JuXvBtfJ-TVi4NFml9lV_pmd61b789A_nbO-QrA/edit"",""16!e42"")"),2961)</f>
        <v>2961</v>
      </c>
      <c r="K424" s="18">
        <f ca="1">IFERROR(__xludf.DUMMYFUNCTION("IMPORTRANGE(""https://docs.google.com/spreadsheets/d/1LsL4JuXvBtfJ-TVi4NFml9lV_pmd61b789A_nbO-QrA/edit"",""16!e43"")"),0)</f>
        <v>0</v>
      </c>
      <c r="L424" s="18">
        <f t="shared" ca="1" si="1167"/>
        <v>2961</v>
      </c>
      <c r="M424" s="18">
        <f t="shared" ca="1" si="1139"/>
        <v>5216</v>
      </c>
      <c r="N424" s="19">
        <f t="shared" ca="1" si="1140"/>
        <v>184.33965517241381</v>
      </c>
      <c r="O424" s="16">
        <v>8101</v>
      </c>
      <c r="P424" s="20">
        <f t="shared" ca="1" si="1141"/>
        <v>0.6438711270213554</v>
      </c>
      <c r="Q424" s="21">
        <v>1.5</v>
      </c>
      <c r="R424" s="20">
        <f t="shared" ca="1" si="1142"/>
        <v>0.65047342019198695</v>
      </c>
      <c r="S424" s="22">
        <f t="shared" ca="1" si="1143"/>
        <v>0.97571013028798037</v>
      </c>
      <c r="T424" s="21">
        <f ca="1">F424/19.985</f>
        <v>267.49311983987991</v>
      </c>
      <c r="U424" s="21">
        <f t="shared" ca="1" si="1144"/>
        <v>9.2239006841337901</v>
      </c>
      <c r="V424" s="18">
        <f t="shared" ca="1" si="1145"/>
        <v>179.86206896551724</v>
      </c>
      <c r="W424" s="76"/>
      <c r="X424" s="97" t="s">
        <v>44</v>
      </c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9"/>
      <c r="AS424" s="76"/>
      <c r="AT424" s="76"/>
    </row>
    <row r="425" spans="1:46" ht="15.75" customHeight="1" x14ac:dyDescent="0.25">
      <c r="A425" s="70"/>
      <c r="B425" s="16">
        <v>15</v>
      </c>
      <c r="C425" s="16" t="s">
        <v>40</v>
      </c>
      <c r="D425" s="17">
        <v>30</v>
      </c>
      <c r="E425" s="18">
        <f ca="1">IFERROR(__xludf.DUMMYFUNCTION("COUNT(IMPORTRANGE(""https://docs.google.com/spreadsheets/d/1Krav0MVlY0vbUNsFRDnb_kR72_tyuGnWBYbGjNZrl18/edit"",""16!d2:d31""))"),30)</f>
        <v>30</v>
      </c>
      <c r="F425" s="23">
        <f ca="1">IFERROR(__xludf.DUMMYFUNCTION("SUM(IMPORTRANGE(""https://docs.google.com/spreadsheets/d/1Krav0MVlY0vbUNsFRDnb_kR72_tyuGnWBYbGjNZrl18/edit"",""16!Q2:Q31""))"),5944.58699999999)</f>
        <v>5944.5869999999904</v>
      </c>
      <c r="G425" s="18">
        <f ca="1">IFERROR(__xludf.DUMMYFUNCTION("IMPORTRANGE(""https://docs.google.com/spreadsheets/d/1Krav0MVlY0vbUNsFRDnb_kR72_tyuGnWBYbGjNZrl18/edit"",""16!e38"")"),3497)</f>
        <v>3497</v>
      </c>
      <c r="H425" s="18">
        <f ca="1">IFERROR(__xludf.DUMMYFUNCTION("IMPORTRANGE(""https://docs.google.com/spreadsheets/d/1Krav0MVlY0vbUNsFRDnb_kR72_tyuGnWBYbGjNZrl18/edit"",""16!e39"")"),159)</f>
        <v>159</v>
      </c>
      <c r="I425" s="18">
        <f t="shared" ca="1" si="1137"/>
        <v>3656</v>
      </c>
      <c r="J425" s="18">
        <f ca="1">IFERROR(__xludf.DUMMYFUNCTION("IMPORTRANGE(""https://docs.google.com/spreadsheets/d/1Krav0MVlY0vbUNsFRDnb_kR72_tyuGnWBYbGjNZrl18/edit"",""16!e42"")"),3587)</f>
        <v>3587</v>
      </c>
      <c r="K425" s="18">
        <f ca="1">IFERROR(__xludf.DUMMYFUNCTION("IMPORTRANGE(""https://docs.google.com/spreadsheets/d/1Krav0MVlY0vbUNsFRDnb_kR72_tyuGnWBYbGjNZrl18/edit"",""16!e43"")"),135)</f>
        <v>135</v>
      </c>
      <c r="L425" s="18">
        <f t="shared" ca="1" si="1167"/>
        <v>3722</v>
      </c>
      <c r="M425" s="18">
        <f t="shared" ca="1" si="1139"/>
        <v>7378</v>
      </c>
      <c r="N425" s="19">
        <f t="shared" ca="1" si="1140"/>
        <v>198.15289999999968</v>
      </c>
      <c r="O425" s="16">
        <v>8239</v>
      </c>
      <c r="P425" s="20">
        <f t="shared" ca="1" si="1141"/>
        <v>0.89549702633814787</v>
      </c>
      <c r="Q425" s="21">
        <v>1.5</v>
      </c>
      <c r="R425" s="20">
        <f t="shared" ca="1" si="1142"/>
        <v>0.82741940973639971</v>
      </c>
      <c r="S425" s="22">
        <f t="shared" ca="1" si="1143"/>
        <v>1.2411291146045995</v>
      </c>
      <c r="T425" s="21">
        <f ca="1">F425/28.443</f>
        <v>208.99999999999966</v>
      </c>
      <c r="U425" s="21">
        <f t="shared" ca="1" si="1144"/>
        <v>6.9666666666666552</v>
      </c>
      <c r="V425" s="18">
        <f t="shared" ca="1" si="1145"/>
        <v>245.93333333333334</v>
      </c>
      <c r="W425" s="76"/>
      <c r="X425" s="1" t="s">
        <v>2</v>
      </c>
      <c r="Y425" s="1" t="s">
        <v>3</v>
      </c>
      <c r="Z425" s="1" t="s">
        <v>4</v>
      </c>
      <c r="AA425" s="1" t="s">
        <v>5</v>
      </c>
      <c r="AB425" s="2" t="s">
        <v>6</v>
      </c>
      <c r="AC425" s="1" t="s">
        <v>7</v>
      </c>
      <c r="AD425" s="1" t="s">
        <v>8</v>
      </c>
      <c r="AE425" s="1" t="s">
        <v>9</v>
      </c>
      <c r="AF425" s="1" t="s">
        <v>10</v>
      </c>
      <c r="AG425" s="1" t="s">
        <v>11</v>
      </c>
      <c r="AH425" s="1" t="s">
        <v>12</v>
      </c>
      <c r="AI425" s="1" t="s">
        <v>13</v>
      </c>
      <c r="AJ425" s="2" t="s">
        <v>14</v>
      </c>
      <c r="AK425" s="1" t="s">
        <v>15</v>
      </c>
      <c r="AL425" s="1" t="s">
        <v>16</v>
      </c>
      <c r="AM425" s="3" t="s">
        <v>17</v>
      </c>
      <c r="AN425" s="4" t="s">
        <v>18</v>
      </c>
      <c r="AO425" s="5" t="s">
        <v>19</v>
      </c>
      <c r="AP425" s="6" t="s">
        <v>20</v>
      </c>
      <c r="AQ425" s="6" t="s">
        <v>21</v>
      </c>
      <c r="AR425" s="7" t="s">
        <v>22</v>
      </c>
      <c r="AS425" s="76"/>
      <c r="AT425" s="76"/>
    </row>
    <row r="426" spans="1:46" ht="15.75" customHeight="1" x14ac:dyDescent="0.25">
      <c r="A426" s="70"/>
      <c r="B426" s="16">
        <v>16</v>
      </c>
      <c r="C426" s="16" t="s">
        <v>42</v>
      </c>
      <c r="D426" s="17">
        <v>33</v>
      </c>
      <c r="E426" s="18">
        <f ca="1">IFERROR(__xludf.DUMMYFUNCTION("COUNT(IMPORTRANGE(""https://docs.google.com/spreadsheets/d/1uXtm-E8PG0CetlFmSpTX3RK0LNEMnpR-mxbET9AGD6w/edit"",""16!d2:d34""))"),32)</f>
        <v>32</v>
      </c>
      <c r="F426" s="23">
        <f ca="1">IFERROR(__xludf.DUMMYFUNCTION("SUM(IMPORTRANGE(""https://docs.google.com/spreadsheets/d/1uXtm-E8PG0CetlFmSpTX3RK0LNEMnpR-mxbET9AGD6w/edit"",""16!Q2:Q34""))"),6223.35199999999)</f>
        <v>6223.3519999999899</v>
      </c>
      <c r="G426" s="18">
        <f ca="1">IFERROR(__xludf.DUMMYFUNCTION("IMPORTRANGE(""https://docs.google.com/spreadsheets/d/1uXtm-E8PG0CetlFmSpTX3RK0LNEMnpR-mxbET9AGD6w/edit"",""16!e41"")"),3170)</f>
        <v>3170</v>
      </c>
      <c r="H426" s="18">
        <f ca="1">IFERROR(__xludf.DUMMYFUNCTION("IMPORTRANGE(""https://docs.google.com/spreadsheets/d/1uXtm-E8PG0CetlFmSpTX3RK0LNEMnpR-mxbET9AGD6w/edit"",""16!e42"")"),0)</f>
        <v>0</v>
      </c>
      <c r="I426" s="18">
        <f t="shared" ca="1" si="1137"/>
        <v>3170</v>
      </c>
      <c r="J426" s="18">
        <f ca="1">IFERROR(__xludf.DUMMYFUNCTION("IMPORTRANGE(""https://docs.google.com/spreadsheets/d/1uXtm-E8PG0CetlFmSpTX3RK0LNEMnpR-mxbET9AGD6w/edit"",""16!e45"")"),4378)</f>
        <v>4378</v>
      </c>
      <c r="K426" s="18">
        <f ca="1">IFERROR(__xludf.DUMMYFUNCTION("IMPORTRANGE(""https://docs.google.com/spreadsheets/d/1uXtm-E8PG0CetlFmSpTX3RK0LNEMnpR-mxbET9AGD6w/edit"",""16!e46"")"),59)</f>
        <v>59</v>
      </c>
      <c r="L426" s="18">
        <f t="shared" ca="1" si="1167"/>
        <v>4437</v>
      </c>
      <c r="M426" s="18">
        <f t="shared" ca="1" si="1139"/>
        <v>7607</v>
      </c>
      <c r="N426" s="19">
        <f t="shared" ca="1" si="1140"/>
        <v>194.47974999999968</v>
      </c>
      <c r="O426" s="16">
        <v>9877</v>
      </c>
      <c r="P426" s="20">
        <f t="shared" ca="1" si="1141"/>
        <v>0.77017312949276096</v>
      </c>
      <c r="Q426" s="21">
        <v>1.5</v>
      </c>
      <c r="R426" s="20">
        <f t="shared" ca="1" si="1142"/>
        <v>0.81488775395210522</v>
      </c>
      <c r="S426" s="22">
        <f t="shared" ca="1" si="1143"/>
        <v>1.2223316309281578</v>
      </c>
      <c r="T426" s="21">
        <f ca="1">F426/26.155</f>
        <v>237.94119671190938</v>
      </c>
      <c r="U426" s="21">
        <f t="shared" ca="1" si="1144"/>
        <v>7.4356623972471683</v>
      </c>
      <c r="V426" s="18">
        <f t="shared" ca="1" si="1145"/>
        <v>237.71875</v>
      </c>
      <c r="W426" s="76"/>
      <c r="X426" s="8">
        <v>1</v>
      </c>
      <c r="Y426" s="8" t="s">
        <v>26</v>
      </c>
      <c r="Z426" s="8">
        <f t="shared" ref="Z426:AI426" si="1179">SUM(D411)</f>
        <v>20</v>
      </c>
      <c r="AA426" s="9">
        <f t="shared" ca="1" si="1179"/>
        <v>20</v>
      </c>
      <c r="AB426" s="11">
        <f t="shared" ca="1" si="1179"/>
        <v>3748.5119999999902</v>
      </c>
      <c r="AC426" s="9">
        <f t="shared" ca="1" si="1179"/>
        <v>2066</v>
      </c>
      <c r="AD426" s="9">
        <f t="shared" ca="1" si="1179"/>
        <v>0</v>
      </c>
      <c r="AE426" s="9">
        <f t="shared" ca="1" si="1179"/>
        <v>2066</v>
      </c>
      <c r="AF426" s="9">
        <f t="shared" ca="1" si="1179"/>
        <v>2723</v>
      </c>
      <c r="AG426" s="9">
        <f t="shared" ca="1" si="1179"/>
        <v>189</v>
      </c>
      <c r="AH426" s="9">
        <f t="shared" ca="1" si="1179"/>
        <v>2912</v>
      </c>
      <c r="AI426" s="9">
        <f t="shared" ca="1" si="1179"/>
        <v>4978</v>
      </c>
      <c r="AJ426" s="11">
        <f t="shared" ref="AJ426:AJ432" ca="1" si="1180">AB426/AA426</f>
        <v>187.42559999999952</v>
      </c>
      <c r="AK426" s="8">
        <f>SUM(O411)</f>
        <v>5161</v>
      </c>
      <c r="AL426" s="12">
        <f t="shared" ref="AL426:AL432" ca="1" si="1181">AI426/AK426</f>
        <v>0.96454175547374543</v>
      </c>
      <c r="AM426" s="13">
        <f>SUM(Q411)</f>
        <v>1.5</v>
      </c>
      <c r="AN426" s="12">
        <f t="shared" ref="AN426:AN432" ca="1" si="1182">AO426/AM426</f>
        <v>0.8853290763552778</v>
      </c>
      <c r="AO426" s="14">
        <f t="shared" ref="AO426:AO432" ca="1" si="1183">AI426/AB426</f>
        <v>1.3279936145329168</v>
      </c>
      <c r="AP426" s="13">
        <f t="shared" ref="AP426:AQ426" ca="1" si="1184">SUM(T411)</f>
        <v>260.04245577523346</v>
      </c>
      <c r="AQ426" s="13">
        <f t="shared" ca="1" si="1184"/>
        <v>13.002122788761673</v>
      </c>
      <c r="AR426" s="9">
        <f t="shared" ref="AR426:AR432" ca="1" si="1185">AI426/AA426</f>
        <v>248.9</v>
      </c>
      <c r="AS426" s="76"/>
      <c r="AT426" s="76"/>
    </row>
    <row r="427" spans="1:46" ht="15.75" customHeight="1" x14ac:dyDescent="0.25">
      <c r="A427" s="70"/>
      <c r="B427" s="16">
        <v>17</v>
      </c>
      <c r="C427" s="16" t="s">
        <v>29</v>
      </c>
      <c r="D427" s="17">
        <v>30</v>
      </c>
      <c r="E427" s="18">
        <f ca="1">IFERROR(__xludf.DUMMYFUNCTION("COUNT(IMPORTRANGE(""https://docs.google.com/spreadsheets/d/12xcKI0lSnAsjEsxfm9K8Qx0B_89Gzsh816mowItkQao/edit"",""16!d2:d31""))"),28)</f>
        <v>28</v>
      </c>
      <c r="F427" s="23">
        <f ca="1">IFERROR(__xludf.DUMMYFUNCTION("SUM(IMPORTRANGE(""https://docs.google.com/spreadsheets/d/12xcKI0lSnAsjEsxfm9K8Qx0B_89Gzsh816mowItkQao/edit"",""16!Q2:Q31""))"),5467.97999999999)</f>
        <v>5467.9799999999896</v>
      </c>
      <c r="G427" s="18">
        <f ca="1">IFERROR(__xludf.DUMMYFUNCTION("IMPORTRANGE(""https://docs.google.com/spreadsheets/d/12xcKI0lSnAsjEsxfm9K8Qx0B_89Gzsh816mowItkQao/edit"",""16!e38"")"),2456)</f>
        <v>2456</v>
      </c>
      <c r="H427" s="18">
        <f ca="1">IFERROR(__xludf.DUMMYFUNCTION("IMPORTRANGE(""https://docs.google.com/spreadsheets/d/12xcKI0lSnAsjEsxfm9K8Qx0B_89Gzsh816mowItkQao/edit"",""16!e39"")"),0)</f>
        <v>0</v>
      </c>
      <c r="I427" s="18">
        <f t="shared" ca="1" si="1137"/>
        <v>2456</v>
      </c>
      <c r="J427" s="18">
        <f ca="1">IFERROR(__xludf.DUMMYFUNCTION("IMPORTRANGE(""https://docs.google.com/spreadsheets/d/12xcKI0lSnAsjEsxfm9K8Qx0B_89Gzsh816mowItkQao/edit"",""16!e42"")"),4334)</f>
        <v>4334</v>
      </c>
      <c r="K427" s="18">
        <f ca="1">IFERROR(__xludf.DUMMYFUNCTION("IMPORTRANGE(""https://docs.google.com/spreadsheets/d/12xcKI0lSnAsjEsxfm9K8Qx0B_89Gzsh816mowItkQao/edit"",""16!e43"")"),0)</f>
        <v>0</v>
      </c>
      <c r="L427" s="18">
        <f t="shared" ca="1" si="1167"/>
        <v>4334</v>
      </c>
      <c r="M427" s="18">
        <f t="shared" ca="1" si="1139"/>
        <v>6790</v>
      </c>
      <c r="N427" s="19">
        <f t="shared" ca="1" si="1140"/>
        <v>195.28499999999963</v>
      </c>
      <c r="O427" s="16">
        <v>9201</v>
      </c>
      <c r="P427" s="20">
        <f t="shared" ca="1" si="1141"/>
        <v>0.73796326486251496</v>
      </c>
      <c r="Q427" s="21">
        <v>1.5</v>
      </c>
      <c r="R427" s="20">
        <f t="shared" ca="1" si="1142"/>
        <v>0.82784989459849445</v>
      </c>
      <c r="S427" s="22">
        <f t="shared" ca="1" si="1143"/>
        <v>1.2417748418977417</v>
      </c>
      <c r="T427" s="21">
        <f ca="1">F427/26.038</f>
        <v>209.9999999999996</v>
      </c>
      <c r="U427" s="21">
        <f t="shared" ca="1" si="1144"/>
        <v>7.4999999999999858</v>
      </c>
      <c r="V427" s="18">
        <f t="shared" ca="1" si="1145"/>
        <v>242.5</v>
      </c>
      <c r="W427" s="76"/>
      <c r="X427" s="8">
        <v>2</v>
      </c>
      <c r="Y427" s="8" t="s">
        <v>32</v>
      </c>
      <c r="Z427" s="8">
        <f t="shared" ref="Z427:AI427" si="1186">SUM(D414)</f>
        <v>42</v>
      </c>
      <c r="AA427" s="9">
        <f t="shared" ca="1" si="1186"/>
        <v>41</v>
      </c>
      <c r="AB427" s="10">
        <f t="shared" ca="1" si="1186"/>
        <v>8229.19199999999</v>
      </c>
      <c r="AC427" s="8">
        <f t="shared" ca="1" si="1186"/>
        <v>4865</v>
      </c>
      <c r="AD427" s="8">
        <f t="shared" ca="1" si="1186"/>
        <v>110</v>
      </c>
      <c r="AE427" s="9">
        <f t="shared" ca="1" si="1186"/>
        <v>4975</v>
      </c>
      <c r="AF427" s="8">
        <f t="shared" ca="1" si="1186"/>
        <v>5826</v>
      </c>
      <c r="AG427" s="8">
        <f t="shared" ca="1" si="1186"/>
        <v>0</v>
      </c>
      <c r="AH427" s="9">
        <f t="shared" ca="1" si="1186"/>
        <v>5826</v>
      </c>
      <c r="AI427" s="9">
        <f t="shared" ca="1" si="1186"/>
        <v>10801</v>
      </c>
      <c r="AJ427" s="11">
        <f t="shared" ca="1" si="1180"/>
        <v>200.71199999999976</v>
      </c>
      <c r="AK427" s="8">
        <f>SUM(O414)</f>
        <v>13817</v>
      </c>
      <c r="AL427" s="12">
        <f t="shared" ca="1" si="1181"/>
        <v>0.78171817326481874</v>
      </c>
      <c r="AM427" s="13">
        <f>SUM(Q414)</f>
        <v>1.5</v>
      </c>
      <c r="AN427" s="12">
        <f t="shared" ca="1" si="1182"/>
        <v>0.87501502780183948</v>
      </c>
      <c r="AO427" s="14">
        <f t="shared" ca="1" si="1183"/>
        <v>1.3125225417027593</v>
      </c>
      <c r="AP427" s="13">
        <f t="shared" ref="AP427:AQ427" ca="1" si="1187">SUM(T414)</f>
        <v>327.9999999999996</v>
      </c>
      <c r="AQ427" s="13">
        <f t="shared" ca="1" si="1187"/>
        <v>7.9999999999999902</v>
      </c>
      <c r="AR427" s="9">
        <f t="shared" ca="1" si="1185"/>
        <v>263.4390243902439</v>
      </c>
      <c r="AS427" s="76"/>
      <c r="AT427" s="76"/>
    </row>
    <row r="428" spans="1:46" ht="15.75" customHeight="1" x14ac:dyDescent="0.25">
      <c r="A428" s="70"/>
      <c r="B428" s="16">
        <v>18</v>
      </c>
      <c r="C428" s="16" t="s">
        <v>31</v>
      </c>
      <c r="D428" s="17">
        <v>15</v>
      </c>
      <c r="E428" s="18">
        <f ca="1">IFERROR(__xludf.DUMMYFUNCTION("COUNT(IMPORTRANGE(""https://docs.google.com/spreadsheets/d/1fgCFOFzOla4Qim6_-zG-lbYhLCItqv_kZiAHoErRgcM/edit"",""16!d2:d16""))"),14)</f>
        <v>14</v>
      </c>
      <c r="F428" s="19">
        <f ca="1">IFERROR(__xludf.DUMMYFUNCTION("SUM(IMPORTRANGE(""https://docs.google.com/spreadsheets/d/1fgCFOFzOla4Qim6_-zG-lbYhLCItqv_kZiAHoErRgcM/edit"",""16!Q2:Q16""))"),2825.225)</f>
        <v>2825.2249999999999</v>
      </c>
      <c r="G428" s="18">
        <f ca="1">IFERROR(__xludf.DUMMYFUNCTION("IMPORTRANGE(""https://docs.google.com/spreadsheets/d/1fgCFOFzOla4Qim6_-zG-lbYhLCItqv_kZiAHoErRgcM/edit"",""16!e23"")"),966)</f>
        <v>966</v>
      </c>
      <c r="H428" s="18">
        <f ca="1">IFERROR(__xludf.DUMMYFUNCTION("IMPORTRANGE(""https://docs.google.com/spreadsheets/d/1fgCFOFzOla4Qim6_-zG-lbYhLCItqv_kZiAHoErRgcM/edit"",""16!e24"")"),6)</f>
        <v>6</v>
      </c>
      <c r="I428" s="18">
        <f t="shared" ca="1" si="1137"/>
        <v>972</v>
      </c>
      <c r="J428" s="18">
        <f ca="1">IFERROR(__xludf.DUMMYFUNCTION("IMPORTRANGE(""https://docs.google.com/spreadsheets/d/1fgCFOFzOla4Qim6_-zG-lbYhLCItqv_kZiAHoErRgcM/edit"",""16!e27"")"),1108)</f>
        <v>1108</v>
      </c>
      <c r="K428" s="18">
        <f ca="1">IFERROR(__xludf.DUMMYFUNCTION("IMPORTRANGE(""https://docs.google.com/spreadsheets/d/1fgCFOFzOla4Qim6_-zG-lbYhLCItqv_kZiAHoErRgcM/edit"",""16!e28"")"),0)</f>
        <v>0</v>
      </c>
      <c r="L428" s="18">
        <f t="shared" ca="1" si="1167"/>
        <v>1108</v>
      </c>
      <c r="M428" s="18">
        <f t="shared" ca="1" si="1139"/>
        <v>2080</v>
      </c>
      <c r="N428" s="19">
        <f t="shared" ca="1" si="1140"/>
        <v>201.8017857142857</v>
      </c>
      <c r="O428" s="16">
        <v>2717</v>
      </c>
      <c r="P428" s="20">
        <f t="shared" ca="1" si="1141"/>
        <v>0.76555023923444976</v>
      </c>
      <c r="Q428" s="21">
        <v>1.5</v>
      </c>
      <c r="R428" s="20">
        <f t="shared" ca="1" si="1142"/>
        <v>0.49081636565819248</v>
      </c>
      <c r="S428" s="22">
        <f t="shared" ca="1" si="1143"/>
        <v>0.73622454848728869</v>
      </c>
      <c r="T428" s="21">
        <f ca="1">F428/43.465</f>
        <v>64.999999999999986</v>
      </c>
      <c r="U428" s="21">
        <f t="shared" ca="1" si="1144"/>
        <v>4.6428571428571415</v>
      </c>
      <c r="V428" s="18">
        <f t="shared" ca="1" si="1145"/>
        <v>148.57142857142858</v>
      </c>
      <c r="W428" s="76"/>
      <c r="X428" s="8">
        <v>3</v>
      </c>
      <c r="Y428" s="8" t="s">
        <v>36</v>
      </c>
      <c r="Z428" s="8">
        <f t="shared" ref="Z428:AI428" si="1188">SUM(D419)</f>
        <v>29</v>
      </c>
      <c r="AA428" s="9">
        <f t="shared" ca="1" si="1188"/>
        <v>28</v>
      </c>
      <c r="AB428" s="10">
        <f t="shared" ca="1" si="1188"/>
        <v>5454.4639999999899</v>
      </c>
      <c r="AC428" s="9">
        <f t="shared" ca="1" si="1188"/>
        <v>1503</v>
      </c>
      <c r="AD428" s="9">
        <f t="shared" ca="1" si="1188"/>
        <v>0</v>
      </c>
      <c r="AE428" s="9">
        <f t="shared" ca="1" si="1188"/>
        <v>1503</v>
      </c>
      <c r="AF428" s="9">
        <f t="shared" ca="1" si="1188"/>
        <v>2086</v>
      </c>
      <c r="AG428" s="9">
        <f t="shared" ca="1" si="1188"/>
        <v>0</v>
      </c>
      <c r="AH428" s="9">
        <f t="shared" ca="1" si="1188"/>
        <v>2086</v>
      </c>
      <c r="AI428" s="9">
        <f t="shared" ca="1" si="1188"/>
        <v>3589</v>
      </c>
      <c r="AJ428" s="11">
        <f t="shared" ca="1" si="1180"/>
        <v>194.80228571428535</v>
      </c>
      <c r="AK428" s="8">
        <f t="shared" ref="AK428:AK431" si="1189">SUM(O419)</f>
        <v>4796</v>
      </c>
      <c r="AL428" s="12">
        <f t="shared" ca="1" si="1181"/>
        <v>0.74833194328607178</v>
      </c>
      <c r="AM428" s="13">
        <f t="shared" ref="AM428:AM431" si="1190">SUM(Q419)</f>
        <v>1.5</v>
      </c>
      <c r="AN428" s="12">
        <f t="shared" ca="1" si="1182"/>
        <v>0.43866210624300961</v>
      </c>
      <c r="AO428" s="14">
        <f t="shared" ca="1" si="1183"/>
        <v>0.65799315936451441</v>
      </c>
      <c r="AP428" s="13">
        <f t="shared" ref="AP428:AQ428" ca="1" si="1191">SUM(T419)</f>
        <v>145.78671085689822</v>
      </c>
      <c r="AQ428" s="13">
        <f t="shared" ca="1" si="1191"/>
        <v>5.2066682448892223</v>
      </c>
      <c r="AR428" s="9">
        <f t="shared" ca="1" si="1185"/>
        <v>128.17857142857142</v>
      </c>
      <c r="AS428" s="76"/>
      <c r="AT428" s="76"/>
    </row>
    <row r="429" spans="1:46" ht="15.75" customHeight="1" x14ac:dyDescent="0.2">
      <c r="A429" s="70"/>
      <c r="B429" s="98" t="s">
        <v>33</v>
      </c>
      <c r="C429" s="98">
        <v>18</v>
      </c>
      <c r="D429" s="98">
        <f t="shared" ref="D429:M429" si="1192">SUM(D411:D428)</f>
        <v>585</v>
      </c>
      <c r="E429" s="74">
        <f t="shared" ca="1" si="1192"/>
        <v>574</v>
      </c>
      <c r="F429" s="99">
        <f t="shared" ca="1" si="1192"/>
        <v>110802.69299999981</v>
      </c>
      <c r="G429" s="74">
        <f t="shared" ca="1" si="1192"/>
        <v>41560</v>
      </c>
      <c r="H429" s="74">
        <f t="shared" ca="1" si="1192"/>
        <v>942</v>
      </c>
      <c r="I429" s="74">
        <f t="shared" ca="1" si="1192"/>
        <v>42502</v>
      </c>
      <c r="J429" s="74">
        <f t="shared" ca="1" si="1192"/>
        <v>55065</v>
      </c>
      <c r="K429" s="74">
        <f t="shared" ca="1" si="1192"/>
        <v>1385</v>
      </c>
      <c r="L429" s="74">
        <f t="shared" ca="1" si="1192"/>
        <v>56450</v>
      </c>
      <c r="M429" s="74">
        <f t="shared" ca="1" si="1192"/>
        <v>98952</v>
      </c>
      <c r="N429" s="99">
        <f t="shared" ca="1" si="1140"/>
        <v>193.03605052264774</v>
      </c>
      <c r="O429" s="98">
        <f>SUM(O411:O428)</f>
        <v>126399</v>
      </c>
      <c r="P429" s="69">
        <f t="shared" ca="1" si="1141"/>
        <v>0.78285429473334445</v>
      </c>
      <c r="Q429" s="72">
        <v>1.5</v>
      </c>
      <c r="R429" s="69">
        <f t="shared" ca="1" si="1142"/>
        <v>0.59536459100321781</v>
      </c>
      <c r="S429" s="73">
        <f t="shared" ca="1" si="1143"/>
        <v>0.89304688650482678</v>
      </c>
      <c r="T429" s="72">
        <f ca="1">SUM(T411:T428)</f>
        <v>4075.1397101463062</v>
      </c>
      <c r="U429" s="72">
        <f t="shared" ca="1" si="1144"/>
        <v>7.0995465333559347</v>
      </c>
      <c r="V429" s="74">
        <f t="shared" ca="1" si="1145"/>
        <v>172.39024390243901</v>
      </c>
      <c r="W429" s="76"/>
      <c r="X429" s="8">
        <v>4</v>
      </c>
      <c r="Y429" s="8" t="s">
        <v>37</v>
      </c>
      <c r="Z429" s="8">
        <f t="shared" ref="Z429:AI429" si="1193">SUM(D420)</f>
        <v>30</v>
      </c>
      <c r="AA429" s="9">
        <f t="shared" ca="1" si="1193"/>
        <v>30</v>
      </c>
      <c r="AB429" s="10">
        <f t="shared" ca="1" si="1193"/>
        <v>5724.33</v>
      </c>
      <c r="AC429" s="9">
        <f t="shared" ca="1" si="1193"/>
        <v>2179</v>
      </c>
      <c r="AD429" s="9">
        <f t="shared" ca="1" si="1193"/>
        <v>0</v>
      </c>
      <c r="AE429" s="9">
        <f t="shared" ca="1" si="1193"/>
        <v>2179</v>
      </c>
      <c r="AF429" s="9">
        <f t="shared" ca="1" si="1193"/>
        <v>2787</v>
      </c>
      <c r="AG429" s="9">
        <f t="shared" ca="1" si="1193"/>
        <v>0</v>
      </c>
      <c r="AH429" s="9">
        <f t="shared" ca="1" si="1193"/>
        <v>2787</v>
      </c>
      <c r="AI429" s="9">
        <f t="shared" ca="1" si="1193"/>
        <v>4966</v>
      </c>
      <c r="AJ429" s="11">
        <f t="shared" ca="1" si="1180"/>
        <v>190.81100000000001</v>
      </c>
      <c r="AK429" s="8">
        <f t="shared" si="1189"/>
        <v>5887</v>
      </c>
      <c r="AL429" s="12">
        <f t="shared" ca="1" si="1181"/>
        <v>0.84355359266179719</v>
      </c>
      <c r="AM429" s="13">
        <f t="shared" si="1190"/>
        <v>1.5</v>
      </c>
      <c r="AN429" s="12">
        <f t="shared" ca="1" si="1182"/>
        <v>0.57835007182791121</v>
      </c>
      <c r="AO429" s="14">
        <f t="shared" ca="1" si="1183"/>
        <v>0.86752510774186675</v>
      </c>
      <c r="AP429" s="13">
        <f t="shared" ref="AP429:AQ429" ca="1" si="1194">SUM(T420)</f>
        <v>230.89424007744432</v>
      </c>
      <c r="AQ429" s="13">
        <f t="shared" ca="1" si="1194"/>
        <v>7.6964746692481443</v>
      </c>
      <c r="AR429" s="9">
        <f t="shared" ca="1" si="1185"/>
        <v>165.53333333333333</v>
      </c>
      <c r="AS429" s="76"/>
      <c r="AT429" s="76"/>
    </row>
    <row r="430" spans="1:46" ht="15.75" customHeight="1" x14ac:dyDescent="0.2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6"/>
      <c r="X430" s="8">
        <v>5</v>
      </c>
      <c r="Y430" s="8" t="s">
        <v>39</v>
      </c>
      <c r="Z430" s="8">
        <f t="shared" ref="Z430:AI430" si="1195">SUM(D421)</f>
        <v>28</v>
      </c>
      <c r="AA430" s="9">
        <f t="shared" ca="1" si="1195"/>
        <v>27</v>
      </c>
      <c r="AB430" s="10">
        <f t="shared" ca="1" si="1195"/>
        <v>4342.8019999999997</v>
      </c>
      <c r="AC430" s="9">
        <f t="shared" ca="1" si="1195"/>
        <v>846</v>
      </c>
      <c r="AD430" s="9">
        <f t="shared" ca="1" si="1195"/>
        <v>0</v>
      </c>
      <c r="AE430" s="9">
        <f t="shared" ca="1" si="1195"/>
        <v>846</v>
      </c>
      <c r="AF430" s="9">
        <f t="shared" ca="1" si="1195"/>
        <v>1544</v>
      </c>
      <c r="AG430" s="9">
        <f t="shared" ca="1" si="1195"/>
        <v>0</v>
      </c>
      <c r="AH430" s="9">
        <f t="shared" ca="1" si="1195"/>
        <v>1544</v>
      </c>
      <c r="AI430" s="9">
        <f t="shared" ca="1" si="1195"/>
        <v>2390</v>
      </c>
      <c r="AJ430" s="11">
        <f t="shared" ca="1" si="1180"/>
        <v>160.8445185185185</v>
      </c>
      <c r="AK430" s="8">
        <f t="shared" si="1189"/>
        <v>3569</v>
      </c>
      <c r="AL430" s="12">
        <f t="shared" ca="1" si="1181"/>
        <v>0.66965536564864103</v>
      </c>
      <c r="AM430" s="13">
        <f t="shared" si="1190"/>
        <v>1.5</v>
      </c>
      <c r="AN430" s="12">
        <f t="shared" ca="1" si="1182"/>
        <v>0.36689062345769702</v>
      </c>
      <c r="AO430" s="14">
        <f t="shared" ca="1" si="1183"/>
        <v>0.55033593518654556</v>
      </c>
      <c r="AP430" s="13">
        <f t="shared" ref="AP430:AQ430" ca="1" si="1196">SUM(T421)</f>
        <v>202.33900200344777</v>
      </c>
      <c r="AQ430" s="13">
        <f t="shared" ca="1" si="1196"/>
        <v>7.4940371112388062</v>
      </c>
      <c r="AR430" s="9">
        <f t="shared" ca="1" si="1185"/>
        <v>88.518518518518519</v>
      </c>
      <c r="AS430" s="76"/>
      <c r="AT430" s="76"/>
    </row>
    <row r="431" spans="1:46" ht="15.75" customHeight="1" x14ac:dyDescent="0.2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6"/>
      <c r="X431" s="8">
        <v>6</v>
      </c>
      <c r="Y431" s="8" t="s">
        <v>41</v>
      </c>
      <c r="Z431" s="8">
        <f t="shared" ref="Z431:AI431" si="1197">SUM(D422)</f>
        <v>24</v>
      </c>
      <c r="AA431" s="9">
        <f t="shared" ca="1" si="1197"/>
        <v>24</v>
      </c>
      <c r="AB431" s="10">
        <f t="shared" ca="1" si="1197"/>
        <v>4687.808</v>
      </c>
      <c r="AC431" s="9">
        <f t="shared" ca="1" si="1197"/>
        <v>1214</v>
      </c>
      <c r="AD431" s="9">
        <f t="shared" ca="1" si="1197"/>
        <v>0</v>
      </c>
      <c r="AE431" s="9">
        <f t="shared" ca="1" si="1197"/>
        <v>1214</v>
      </c>
      <c r="AF431" s="9">
        <f t="shared" ca="1" si="1197"/>
        <v>1420</v>
      </c>
      <c r="AG431" s="9">
        <f t="shared" ca="1" si="1197"/>
        <v>168</v>
      </c>
      <c r="AH431" s="9">
        <f t="shared" ca="1" si="1197"/>
        <v>1588</v>
      </c>
      <c r="AI431" s="9">
        <f t="shared" ca="1" si="1197"/>
        <v>2802</v>
      </c>
      <c r="AJ431" s="11">
        <f t="shared" ca="1" si="1180"/>
        <v>195.32533333333333</v>
      </c>
      <c r="AK431" s="8">
        <f t="shared" si="1189"/>
        <v>3801</v>
      </c>
      <c r="AL431" s="12">
        <f t="shared" ca="1" si="1181"/>
        <v>0.73717442778216258</v>
      </c>
      <c r="AM431" s="13">
        <f t="shared" si="1190"/>
        <v>1.5</v>
      </c>
      <c r="AN431" s="12">
        <f t="shared" ca="1" si="1182"/>
        <v>0.39848048384234169</v>
      </c>
      <c r="AO431" s="14">
        <f t="shared" ca="1" si="1183"/>
        <v>0.59772072576351254</v>
      </c>
      <c r="AP431" s="13">
        <f t="shared" ref="AP431:AQ431" ca="1" si="1198">SUM(T422)</f>
        <v>158.22222222222223</v>
      </c>
      <c r="AQ431" s="13">
        <f t="shared" ca="1" si="1198"/>
        <v>6.5925925925925926</v>
      </c>
      <c r="AR431" s="9">
        <f t="shared" ca="1" si="1185"/>
        <v>116.75</v>
      </c>
      <c r="AS431" s="76"/>
      <c r="AT431" s="76"/>
    </row>
    <row r="432" spans="1:46" ht="15.75" customHeight="1" x14ac:dyDescent="0.25">
      <c r="A432" s="110" t="s">
        <v>45</v>
      </c>
      <c r="B432" s="76"/>
      <c r="C432" s="76"/>
      <c r="D432" s="75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24" t="s">
        <v>33</v>
      </c>
      <c r="Y432" s="24">
        <v>6</v>
      </c>
      <c r="Z432" s="24">
        <f t="shared" ref="Z432:AI432" si="1199">SUM(Z426:Z431)</f>
        <v>173</v>
      </c>
      <c r="AA432" s="25">
        <f t="shared" ca="1" si="1199"/>
        <v>170</v>
      </c>
      <c r="AB432" s="27">
        <f t="shared" ca="1" si="1199"/>
        <v>32187.107999999971</v>
      </c>
      <c r="AC432" s="25">
        <f t="shared" ca="1" si="1199"/>
        <v>12673</v>
      </c>
      <c r="AD432" s="25">
        <f t="shared" ca="1" si="1199"/>
        <v>110</v>
      </c>
      <c r="AE432" s="25">
        <f t="shared" ca="1" si="1199"/>
        <v>12783</v>
      </c>
      <c r="AF432" s="25">
        <f t="shared" ca="1" si="1199"/>
        <v>16386</v>
      </c>
      <c r="AG432" s="25">
        <f t="shared" ca="1" si="1199"/>
        <v>357</v>
      </c>
      <c r="AH432" s="25">
        <f t="shared" ca="1" si="1199"/>
        <v>16743</v>
      </c>
      <c r="AI432" s="25">
        <f t="shared" ca="1" si="1199"/>
        <v>29526</v>
      </c>
      <c r="AJ432" s="27">
        <f t="shared" ca="1" si="1180"/>
        <v>189.33592941176454</v>
      </c>
      <c r="AK432" s="24">
        <f>SUM(AK426:AK431)</f>
        <v>37031</v>
      </c>
      <c r="AL432" s="28">
        <f t="shared" ca="1" si="1181"/>
        <v>0.79733196511031301</v>
      </c>
      <c r="AM432" s="29">
        <v>1.5</v>
      </c>
      <c r="AN432" s="28">
        <f t="shared" ca="1" si="1182"/>
        <v>0.61154919541078423</v>
      </c>
      <c r="AO432" s="30">
        <f t="shared" ca="1" si="1183"/>
        <v>0.9173237931161764</v>
      </c>
      <c r="AP432" s="29">
        <f ca="1">SUM(AP426:AP431)</f>
        <v>1325.2846309352456</v>
      </c>
      <c r="AQ432" s="29">
        <f ca="1">AP432/AA432</f>
        <v>7.7957919466779151</v>
      </c>
      <c r="AR432" s="25">
        <f t="shared" ca="1" si="1185"/>
        <v>173.68235294117648</v>
      </c>
      <c r="AS432" s="76"/>
      <c r="AT432" s="76"/>
    </row>
    <row r="433" spans="1:46" ht="15.75" customHeight="1" x14ac:dyDescent="0.2">
      <c r="A433" s="110" t="s">
        <v>45</v>
      </c>
      <c r="B433" s="76"/>
      <c r="C433" s="76"/>
      <c r="D433" s="75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7" t="s">
        <v>1</v>
      </c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9"/>
      <c r="AS433" s="76"/>
      <c r="AT433" s="76"/>
    </row>
    <row r="434" spans="1:46" ht="15.75" customHeight="1" x14ac:dyDescent="0.2">
      <c r="A434" s="109">
        <v>46220</v>
      </c>
      <c r="B434" s="80" t="s">
        <v>2</v>
      </c>
      <c r="C434" s="80" t="s">
        <v>3</v>
      </c>
      <c r="D434" s="80" t="s">
        <v>4</v>
      </c>
      <c r="E434" s="80" t="s">
        <v>5</v>
      </c>
      <c r="F434" s="81" t="s">
        <v>6</v>
      </c>
      <c r="G434" s="80" t="s">
        <v>7</v>
      </c>
      <c r="H434" s="80" t="s">
        <v>8</v>
      </c>
      <c r="I434" s="80" t="s">
        <v>9</v>
      </c>
      <c r="J434" s="80" t="s">
        <v>10</v>
      </c>
      <c r="K434" s="80" t="s">
        <v>11</v>
      </c>
      <c r="L434" s="80" t="s">
        <v>12</v>
      </c>
      <c r="M434" s="80" t="s">
        <v>13</v>
      </c>
      <c r="N434" s="81" t="s">
        <v>14</v>
      </c>
      <c r="O434" s="80" t="s">
        <v>15</v>
      </c>
      <c r="P434" s="80" t="s">
        <v>16</v>
      </c>
      <c r="Q434" s="80" t="s">
        <v>17</v>
      </c>
      <c r="R434" s="80" t="s">
        <v>18</v>
      </c>
      <c r="S434" s="106" t="s">
        <v>19</v>
      </c>
      <c r="T434" s="107" t="s">
        <v>20</v>
      </c>
      <c r="U434" s="107" t="s">
        <v>21</v>
      </c>
      <c r="V434" s="105" t="s">
        <v>22</v>
      </c>
      <c r="W434" s="76"/>
      <c r="X434" s="1" t="s">
        <v>2</v>
      </c>
      <c r="Y434" s="1" t="s">
        <v>3</v>
      </c>
      <c r="Z434" s="1" t="s">
        <v>4</v>
      </c>
      <c r="AA434" s="1" t="s">
        <v>5</v>
      </c>
      <c r="AB434" s="2" t="s">
        <v>6</v>
      </c>
      <c r="AC434" s="1" t="s">
        <v>7</v>
      </c>
      <c r="AD434" s="1" t="s">
        <v>8</v>
      </c>
      <c r="AE434" s="1" t="s">
        <v>9</v>
      </c>
      <c r="AF434" s="1" t="s">
        <v>10</v>
      </c>
      <c r="AG434" s="1" t="s">
        <v>11</v>
      </c>
      <c r="AH434" s="1" t="s">
        <v>12</v>
      </c>
      <c r="AI434" s="1" t="s">
        <v>13</v>
      </c>
      <c r="AJ434" s="2" t="s">
        <v>14</v>
      </c>
      <c r="AK434" s="1" t="s">
        <v>15</v>
      </c>
      <c r="AL434" s="1" t="s">
        <v>16</v>
      </c>
      <c r="AM434" s="3" t="s">
        <v>17</v>
      </c>
      <c r="AN434" s="4" t="s">
        <v>18</v>
      </c>
      <c r="AO434" s="5" t="s">
        <v>19</v>
      </c>
      <c r="AP434" s="6" t="s">
        <v>20</v>
      </c>
      <c r="AQ434" s="6" t="s">
        <v>21</v>
      </c>
      <c r="AR434" s="7" t="s">
        <v>22</v>
      </c>
      <c r="AS434" s="76"/>
      <c r="AT434" s="76"/>
    </row>
    <row r="435" spans="1:46" ht="15.75" customHeight="1" x14ac:dyDescent="0.2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6"/>
      <c r="X435" s="8">
        <v>1</v>
      </c>
      <c r="Y435" s="8" t="s">
        <v>23</v>
      </c>
      <c r="Z435" s="8">
        <f t="shared" ref="Z435:AI435" si="1200">SUM(D443)</f>
        <v>35</v>
      </c>
      <c r="AA435" s="9">
        <f t="shared" ca="1" si="1200"/>
        <v>34</v>
      </c>
      <c r="AB435" s="10">
        <f t="shared" ca="1" si="1200"/>
        <v>6646.7799999999897</v>
      </c>
      <c r="AC435" s="9">
        <f t="shared" ca="1" si="1200"/>
        <v>1831</v>
      </c>
      <c r="AD435" s="9">
        <f t="shared" ca="1" si="1200"/>
        <v>0</v>
      </c>
      <c r="AE435" s="9">
        <f t="shared" ca="1" si="1200"/>
        <v>1831</v>
      </c>
      <c r="AF435" s="9">
        <f t="shared" ca="1" si="1200"/>
        <v>3063</v>
      </c>
      <c r="AG435" s="9">
        <f t="shared" ca="1" si="1200"/>
        <v>0</v>
      </c>
      <c r="AH435" s="9">
        <f t="shared" ca="1" si="1200"/>
        <v>3063</v>
      </c>
      <c r="AI435" s="9">
        <f t="shared" ca="1" si="1200"/>
        <v>4894</v>
      </c>
      <c r="AJ435" s="11">
        <f t="shared" ref="AJ435:AJ437" ca="1" si="1201">AB435/AA435</f>
        <v>195.4935294117644</v>
      </c>
      <c r="AK435" s="8">
        <f>SUM(O443)</f>
        <v>6853</v>
      </c>
      <c r="AL435" s="12">
        <f t="shared" ref="AL435:AL441" ca="1" si="1202">AI435/AK435</f>
        <v>0.71413979279147821</v>
      </c>
      <c r="AM435" s="13">
        <f t="shared" ref="AM435:AM437" si="1203">SUM(Q443)</f>
        <v>1.5</v>
      </c>
      <c r="AN435" s="12">
        <f t="shared" ref="AN435:AN441" ca="1" si="1204">AO435/AM435</f>
        <v>0.49086424805193968</v>
      </c>
      <c r="AO435" s="14">
        <f t="shared" ref="AO435:AO441" ca="1" si="1205">AI435/AB435</f>
        <v>0.73629637207790954</v>
      </c>
      <c r="AP435" s="13">
        <f t="shared" ref="AP435:AQ435" ca="1" si="1206">SUM(T443)</f>
        <v>196.99999999999969</v>
      </c>
      <c r="AQ435" s="13">
        <f t="shared" ca="1" si="1206"/>
        <v>5.7941176470588145</v>
      </c>
      <c r="AR435" s="9">
        <f t="shared" ref="AR435:AR441" ca="1" si="1207">AI435/AA435</f>
        <v>143.94117647058823</v>
      </c>
      <c r="AS435" s="76"/>
      <c r="AT435" s="76"/>
    </row>
    <row r="436" spans="1:46" ht="15.75" customHeight="1" x14ac:dyDescent="0.2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6"/>
      <c r="X436" s="8">
        <v>2</v>
      </c>
      <c r="Y436" s="8" t="s">
        <v>24</v>
      </c>
      <c r="Z436" s="8">
        <f t="shared" ref="Z436:AI436" si="1208">SUM(D444)</f>
        <v>44</v>
      </c>
      <c r="AA436" s="9">
        <f t="shared" ca="1" si="1208"/>
        <v>44</v>
      </c>
      <c r="AB436" s="10">
        <f t="shared" ca="1" si="1208"/>
        <v>8491.9629999999906</v>
      </c>
      <c r="AC436" s="9">
        <f t="shared" ca="1" si="1208"/>
        <v>1137</v>
      </c>
      <c r="AD436" s="9">
        <f t="shared" ca="1" si="1208"/>
        <v>0</v>
      </c>
      <c r="AE436" s="9">
        <f t="shared" ca="1" si="1208"/>
        <v>1137</v>
      </c>
      <c r="AF436" s="9">
        <f t="shared" ca="1" si="1208"/>
        <v>1313</v>
      </c>
      <c r="AG436" s="9">
        <f t="shared" ca="1" si="1208"/>
        <v>0</v>
      </c>
      <c r="AH436" s="9">
        <f t="shared" ca="1" si="1208"/>
        <v>1313</v>
      </c>
      <c r="AI436" s="9">
        <f t="shared" ca="1" si="1208"/>
        <v>2450</v>
      </c>
      <c r="AJ436" s="11">
        <f t="shared" ca="1" si="1201"/>
        <v>192.99915909090888</v>
      </c>
      <c r="AK436" s="8">
        <v>1580</v>
      </c>
      <c r="AL436" s="15">
        <f t="shared" ca="1" si="1202"/>
        <v>1.5506329113924051</v>
      </c>
      <c r="AM436" s="13">
        <f t="shared" si="1203"/>
        <v>1.5</v>
      </c>
      <c r="AN436" s="12">
        <f t="shared" ca="1" si="1204"/>
        <v>0.19233872466629154</v>
      </c>
      <c r="AO436" s="14">
        <f t="shared" ca="1" si="1205"/>
        <v>0.28850808699943731</v>
      </c>
      <c r="AP436" s="13">
        <f t="shared" ref="AP436:AQ436" ca="1" si="1209">SUM(T444)</f>
        <v>316.80518559970119</v>
      </c>
      <c r="AQ436" s="13">
        <f t="shared" ca="1" si="1209"/>
        <v>7.2001178545386635</v>
      </c>
      <c r="AR436" s="9">
        <f t="shared" ca="1" si="1207"/>
        <v>55.68181818181818</v>
      </c>
      <c r="AS436" s="76"/>
      <c r="AT436" s="76"/>
    </row>
    <row r="437" spans="1:46" ht="15.75" customHeight="1" x14ac:dyDescent="0.2">
      <c r="A437" s="70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6"/>
      <c r="X437" s="8">
        <v>3</v>
      </c>
      <c r="Y437" s="8" t="s">
        <v>25</v>
      </c>
      <c r="Z437" s="8">
        <f t="shared" ref="Z437:AI437" si="1210">SUM(D445)</f>
        <v>32</v>
      </c>
      <c r="AA437" s="9">
        <f t="shared" ca="1" si="1210"/>
        <v>31</v>
      </c>
      <c r="AB437" s="10">
        <f t="shared" ca="1" si="1210"/>
        <v>6129.56</v>
      </c>
      <c r="AC437" s="9">
        <f t="shared" ca="1" si="1210"/>
        <v>2341</v>
      </c>
      <c r="AD437" s="9">
        <f t="shared" ca="1" si="1210"/>
        <v>444</v>
      </c>
      <c r="AE437" s="9">
        <f t="shared" ca="1" si="1210"/>
        <v>2785</v>
      </c>
      <c r="AF437" s="9">
        <f t="shared" ca="1" si="1210"/>
        <v>3187</v>
      </c>
      <c r="AG437" s="9">
        <f t="shared" ca="1" si="1210"/>
        <v>639</v>
      </c>
      <c r="AH437" s="9">
        <f t="shared" ca="1" si="1210"/>
        <v>3826</v>
      </c>
      <c r="AI437" s="9">
        <f t="shared" ca="1" si="1210"/>
        <v>6611</v>
      </c>
      <c r="AJ437" s="11">
        <f t="shared" ca="1" si="1201"/>
        <v>197.72774193548389</v>
      </c>
      <c r="AK437" s="8">
        <f>SUM(O445)</f>
        <v>6622</v>
      </c>
      <c r="AL437" s="12">
        <f t="shared" ca="1" si="1202"/>
        <v>0.99833887043189373</v>
      </c>
      <c r="AM437" s="13">
        <f t="shared" si="1203"/>
        <v>1.5</v>
      </c>
      <c r="AN437" s="12">
        <f t="shared" ca="1" si="1204"/>
        <v>0.71902931586171492</v>
      </c>
      <c r="AO437" s="14">
        <f t="shared" ca="1" si="1205"/>
        <v>1.0785439737925724</v>
      </c>
      <c r="AP437" s="13">
        <f t="shared" ref="AP437:AQ437" ca="1" si="1211">SUM(T445)</f>
        <v>257.11241610738256</v>
      </c>
      <c r="AQ437" s="13">
        <f t="shared" ca="1" si="1211"/>
        <v>8.29394890668976</v>
      </c>
      <c r="AR437" s="9">
        <f t="shared" ca="1" si="1207"/>
        <v>213.25806451612902</v>
      </c>
      <c r="AS437" s="76"/>
      <c r="AT437" s="76"/>
    </row>
    <row r="438" spans="1:46" ht="15.75" customHeight="1" x14ac:dyDescent="0.25">
      <c r="A438" s="70"/>
      <c r="B438" s="16">
        <v>1</v>
      </c>
      <c r="C438" s="16" t="s">
        <v>26</v>
      </c>
      <c r="D438" s="17">
        <v>20</v>
      </c>
      <c r="E438" s="18">
        <f ca="1">IFERROR(__xludf.DUMMYFUNCTION("COUNT(IMPORTRANGE(""https://docs.google.com/spreadsheets/d/1z0o91thOT38lgejTE_Bd2p3v_9VCDdQRkUsMIVqpQCk/edit"",""17!d2:d21""))"),19)</f>
        <v>19</v>
      </c>
      <c r="F438" s="19">
        <f ca="1">IFERROR(__xludf.DUMMYFUNCTION("SUM(IMPORTRANGE(""https://docs.google.com/spreadsheets/d/1z0o91thOT38lgejTE_Bd2p3v_9VCDdQRkUsMIVqpQCk/edit"",""17!Q2:Q21""))"),3416.814)</f>
        <v>3416.8139999999999</v>
      </c>
      <c r="G438" s="18">
        <f ca="1">IFERROR(__xludf.DUMMYFUNCTION("IMPORTRANGE(""https://docs.google.com/spreadsheets/d/1z0o91thOT38lgejTE_Bd2p3v_9VCDdQRkUsMIVqpQCk/edit"",""17!e28"")"),2162)</f>
        <v>2162</v>
      </c>
      <c r="H438" s="18">
        <f ca="1">IFERROR(__xludf.DUMMYFUNCTION("IMPORTRANGE(""https://docs.google.com/spreadsheets/d/1z0o91thOT38lgejTE_Bd2p3v_9VCDdQRkUsMIVqpQCk/edit"",""17!e29"")"),0)</f>
        <v>0</v>
      </c>
      <c r="I438" s="18">
        <f t="shared" ref="I438:I455" ca="1" si="1212">SUM(G438:H438)</f>
        <v>2162</v>
      </c>
      <c r="J438" s="18">
        <f ca="1">IFERROR(__xludf.DUMMYFUNCTION("IMPORTRANGE(""https://docs.google.com/spreadsheets/d/1z0o91thOT38lgejTE_Bd2p3v_9VCDdQRkUsMIVqpQCk/edit"",""17!e32"")"),2612)</f>
        <v>2612</v>
      </c>
      <c r="K438" s="18">
        <f ca="1">IFERROR(__xludf.DUMMYFUNCTION("IMPORTRANGE(""https://docs.google.com/spreadsheets/d/1z0o91thOT38lgejTE_Bd2p3v_9VCDdQRkUsMIVqpQCk/edit"",""17!e33"")"),0)</f>
        <v>0</v>
      </c>
      <c r="L438" s="18">
        <f t="shared" ref="L438:L444" ca="1" si="1213">SUM(J438:K438)</f>
        <v>2612</v>
      </c>
      <c r="M438" s="18">
        <f t="shared" ref="M438:M455" ca="1" si="1214">SUM(I438+L438)</f>
        <v>4774</v>
      </c>
      <c r="N438" s="19">
        <f t="shared" ref="N438:N456" ca="1" si="1215">F438/E438</f>
        <v>179.83231578947368</v>
      </c>
      <c r="O438" s="16">
        <v>5161</v>
      </c>
      <c r="P438" s="20">
        <f t="shared" ref="P438:P456" ca="1" si="1216">M438/O438</f>
        <v>0.92501453206742879</v>
      </c>
      <c r="Q438" s="21">
        <v>1.5</v>
      </c>
      <c r="R438" s="20">
        <f t="shared" ref="R438:R456" ca="1" si="1217">S438/Q438</f>
        <v>0.9314720282305875</v>
      </c>
      <c r="S438" s="22">
        <f t="shared" ref="S438:S456" ca="1" si="1218">M438/F438</f>
        <v>1.3972080423458813</v>
      </c>
      <c r="T438" s="21">
        <f ca="1">F438/14.415</f>
        <v>237.0318418314256</v>
      </c>
      <c r="U438" s="21">
        <f t="shared" ref="U438:U456" ca="1" si="1219">T438/E438</f>
        <v>12.475360096390821</v>
      </c>
      <c r="V438" s="18">
        <f t="shared" ref="V438:V456" ca="1" si="1220">M438/E438</f>
        <v>251.26315789473685</v>
      </c>
      <c r="W438" s="76"/>
      <c r="X438" s="8">
        <v>4</v>
      </c>
      <c r="Y438" s="8" t="s">
        <v>27</v>
      </c>
      <c r="Z438" s="8">
        <f t="shared" ref="Z438:AK438" si="1221">SUM(D451)</f>
        <v>30</v>
      </c>
      <c r="AA438" s="9">
        <f t="shared" ca="1" si="1221"/>
        <v>27</v>
      </c>
      <c r="AB438" s="10">
        <f t="shared" ca="1" si="1221"/>
        <v>5172.0079999999998</v>
      </c>
      <c r="AC438" s="9">
        <f t="shared" ca="1" si="1221"/>
        <v>2470</v>
      </c>
      <c r="AD438" s="9">
        <f t="shared" ca="1" si="1221"/>
        <v>53</v>
      </c>
      <c r="AE438" s="9">
        <f t="shared" ca="1" si="1221"/>
        <v>2523</v>
      </c>
      <c r="AF438" s="9">
        <f t="shared" ca="1" si="1221"/>
        <v>2954</v>
      </c>
      <c r="AG438" s="9">
        <f t="shared" ca="1" si="1221"/>
        <v>0</v>
      </c>
      <c r="AH438" s="9">
        <f t="shared" ca="1" si="1221"/>
        <v>2954</v>
      </c>
      <c r="AI438" s="9">
        <f t="shared" ca="1" si="1221"/>
        <v>5477</v>
      </c>
      <c r="AJ438" s="11">
        <f t="shared" ca="1" si="1221"/>
        <v>191.55585185185186</v>
      </c>
      <c r="AK438" s="8">
        <f t="shared" si="1221"/>
        <v>8101</v>
      </c>
      <c r="AL438" s="12">
        <f t="shared" ca="1" si="1202"/>
        <v>0.67608937168250838</v>
      </c>
      <c r="AM438" s="13">
        <f>SUM(Q451)</f>
        <v>1.5</v>
      </c>
      <c r="AN438" s="12">
        <f t="shared" ca="1" si="1204"/>
        <v>0.70597983091544592</v>
      </c>
      <c r="AO438" s="14">
        <f t="shared" ca="1" si="1205"/>
        <v>1.0589697463731689</v>
      </c>
      <c r="AP438" s="13">
        <f t="shared" ref="AP438:AQ438" ca="1" si="1222">SUM(T451)</f>
        <v>258.79449587190391</v>
      </c>
      <c r="AQ438" s="13">
        <f t="shared" ca="1" si="1222"/>
        <v>9.5849813285890342</v>
      </c>
      <c r="AR438" s="9">
        <f t="shared" ca="1" si="1207"/>
        <v>202.85185185185185</v>
      </c>
      <c r="AS438" s="76"/>
      <c r="AT438" s="76"/>
    </row>
    <row r="439" spans="1:46" ht="15.75" customHeight="1" x14ac:dyDescent="0.25">
      <c r="A439" s="70"/>
      <c r="B439" s="16">
        <v>2</v>
      </c>
      <c r="C439" s="16" t="s">
        <v>28</v>
      </c>
      <c r="D439" s="17">
        <v>33</v>
      </c>
      <c r="E439" s="18">
        <f ca="1">IFERROR(__xludf.DUMMYFUNCTION("COUNT(IMPORTRANGE(""https://docs.google.com/spreadsheets/d/10a85iNN0y9GF6ngQfF1JXGAzFk-T7ywH4-TZtQcOTaE/edit"",""17!d2:d34""))"),33)</f>
        <v>33</v>
      </c>
      <c r="F439" s="19">
        <f ca="1">IFERROR(__xludf.DUMMYFUNCTION("SUM(IMPORTRANGE(""https://docs.google.com/spreadsheets/d/10a85iNN0y9GF6ngQfF1JXGAzFk-T7ywH4-TZtQcOTaE/edit"",""17!Q2:Q34""))"),548.625)</f>
        <v>548.625</v>
      </c>
      <c r="G439" s="18">
        <f ca="1">IFERROR(__xludf.DUMMYFUNCTION("IMPORTRANGE(""https://docs.google.com/spreadsheets/d/10a85iNN0y9GF6ngQfF1JXGAzFk-T7ywH4-TZtQcOTaE/edit"",""17!e41"")"),2910)</f>
        <v>2910</v>
      </c>
      <c r="H439" s="18">
        <f ca="1">IFERROR(__xludf.DUMMYFUNCTION("IMPORTRANGE(""https://docs.google.com/spreadsheets/d/10a85iNN0y9GF6ngQfF1JXGAzFk-T7ywH4-TZtQcOTaE/edit"",""17!e42"")"),106)</f>
        <v>106</v>
      </c>
      <c r="I439" s="18">
        <f t="shared" ca="1" si="1212"/>
        <v>3016</v>
      </c>
      <c r="J439" s="18">
        <f ca="1">IFERROR(__xludf.DUMMYFUNCTION("IMPORTRANGE(""https://docs.google.com/spreadsheets/d/10a85iNN0y9GF6ngQfF1JXGAzFk-T7ywH4-TZtQcOTaE/edit"",""17!e45"")"),2886)</f>
        <v>2886</v>
      </c>
      <c r="K439" s="18">
        <f ca="1">IFERROR(__xludf.DUMMYFUNCTION("IMPORTRANGE(""https://docs.google.com/spreadsheets/d/10a85iNN0y9GF6ngQfF1JXGAzFk-T7ywH4-TZtQcOTaE/edit"",""17!e46"")"),218)</f>
        <v>218</v>
      </c>
      <c r="L439" s="18">
        <f t="shared" ca="1" si="1213"/>
        <v>3104</v>
      </c>
      <c r="M439" s="18">
        <f t="shared" ca="1" si="1214"/>
        <v>6120</v>
      </c>
      <c r="N439" s="19">
        <f t="shared" ca="1" si="1215"/>
        <v>16.625</v>
      </c>
      <c r="O439" s="16">
        <v>7315</v>
      </c>
      <c r="P439" s="20">
        <f t="shared" ca="1" si="1216"/>
        <v>0.83663704716336296</v>
      </c>
      <c r="Q439" s="21">
        <v>1.5</v>
      </c>
      <c r="R439" s="20">
        <f t="shared" ca="1" si="1217"/>
        <v>7.4367737525632265</v>
      </c>
      <c r="S439" s="22">
        <f t="shared" ca="1" si="1218"/>
        <v>11.15516062884484</v>
      </c>
      <c r="T439" s="21">
        <f ca="1">F439/30.897</f>
        <v>17.756578308573648</v>
      </c>
      <c r="U439" s="21">
        <f t="shared" ca="1" si="1219"/>
        <v>0.53807813056283782</v>
      </c>
      <c r="V439" s="18">
        <f t="shared" ca="1" si="1220"/>
        <v>185.45454545454547</v>
      </c>
      <c r="W439" s="76"/>
      <c r="X439" s="8">
        <v>5</v>
      </c>
      <c r="Y439" s="8" t="s">
        <v>29</v>
      </c>
      <c r="Z439" s="8">
        <f t="shared" ref="Z439:AI439" si="1223">SUM(D454)</f>
        <v>30</v>
      </c>
      <c r="AA439" s="9">
        <f t="shared" ca="1" si="1223"/>
        <v>27</v>
      </c>
      <c r="AB439" s="10">
        <f t="shared" ca="1" si="1223"/>
        <v>5337.78999999999</v>
      </c>
      <c r="AC439" s="9">
        <f t="shared" ca="1" si="1223"/>
        <v>2603</v>
      </c>
      <c r="AD439" s="9">
        <f t="shared" ca="1" si="1223"/>
        <v>0</v>
      </c>
      <c r="AE439" s="9">
        <f t="shared" ca="1" si="1223"/>
        <v>2603</v>
      </c>
      <c r="AF439" s="9">
        <f t="shared" ca="1" si="1223"/>
        <v>4065</v>
      </c>
      <c r="AG439" s="9">
        <f t="shared" ca="1" si="1223"/>
        <v>0</v>
      </c>
      <c r="AH439" s="9">
        <f t="shared" ca="1" si="1223"/>
        <v>4065</v>
      </c>
      <c r="AI439" s="9">
        <f t="shared" ca="1" si="1223"/>
        <v>6668</v>
      </c>
      <c r="AJ439" s="11">
        <f t="shared" ref="AJ439:AJ441" ca="1" si="1224">AB439/AA439</f>
        <v>197.69592592592556</v>
      </c>
      <c r="AK439" s="8">
        <f t="shared" ref="AK439:AK440" si="1225">SUM(O454)</f>
        <v>9201</v>
      </c>
      <c r="AL439" s="12">
        <f t="shared" ca="1" si="1202"/>
        <v>0.72470383653950654</v>
      </c>
      <c r="AM439" s="13">
        <f t="shared" ref="AM439:AM440" si="1226">SUM(Q454)</f>
        <v>1.5</v>
      </c>
      <c r="AN439" s="12">
        <f t="shared" ca="1" si="1204"/>
        <v>0.8328040880838965</v>
      </c>
      <c r="AO439" s="14">
        <f t="shared" ca="1" si="1205"/>
        <v>1.2492061321258447</v>
      </c>
      <c r="AP439" s="13">
        <f t="shared" ref="AP439:AQ439" ca="1" si="1227">SUM(T454)</f>
        <v>204.9999999999996</v>
      </c>
      <c r="AQ439" s="13">
        <f t="shared" ca="1" si="1227"/>
        <v>7.5925925925925775</v>
      </c>
      <c r="AR439" s="9">
        <f t="shared" ca="1" si="1207"/>
        <v>246.96296296296296</v>
      </c>
      <c r="AS439" s="76"/>
      <c r="AT439" s="76"/>
    </row>
    <row r="440" spans="1:46" ht="15.75" customHeight="1" x14ac:dyDescent="0.25">
      <c r="A440" s="70"/>
      <c r="B440" s="16">
        <v>3</v>
      </c>
      <c r="C440" s="16" t="s">
        <v>30</v>
      </c>
      <c r="D440" s="17">
        <v>60</v>
      </c>
      <c r="E440" s="18">
        <f ca="1">IFERROR(__xludf.DUMMYFUNCTION("COUNT(IMPORTRANGE(""https://docs.google.com/spreadsheets/d/1WojVzHhpzodJL1e5UDHeu3A3u5MTSZwvxHu0BrwvL9w/edit"",""17!d2:d61""))"),57)</f>
        <v>57</v>
      </c>
      <c r="F440" s="23">
        <f ca="1">IFERROR(__xludf.DUMMYFUNCTION("SUM(IMPORTRANGE(""https://docs.google.com/spreadsheets/d/1WojVzHhpzodJL1e5UDHeu3A3u5MTSZwvxHu0BrwvL9w/edit"",""17!Q2:Q61""))"),11189.9339999999)</f>
        <v>11189.933999999899</v>
      </c>
      <c r="G440" s="18">
        <f ca="1">IFERROR(__xludf.DUMMYFUNCTION("IMPORTRANGE(""https://docs.google.com/spreadsheets/d/1WojVzHhpzodJL1e5UDHeu3A3u5MTSZwvxHu0BrwvL9w/edit"",""17!e68"")"),3281)</f>
        <v>3281</v>
      </c>
      <c r="H440" s="18">
        <f ca="1">IFERROR(__xludf.DUMMYFUNCTION("IMPORTRANGE(""https://docs.google.com/spreadsheets/d/1WojVzHhpzodJL1e5UDHeu3A3u5MTSZwvxHu0BrwvL9w/edit"",""17!e69"")"),0)</f>
        <v>0</v>
      </c>
      <c r="I440" s="18">
        <f t="shared" ca="1" si="1212"/>
        <v>3281</v>
      </c>
      <c r="J440" s="18">
        <f ca="1">IFERROR(__xludf.DUMMYFUNCTION("IMPORTRANGE(""https://docs.google.com/spreadsheets/d/1WojVzHhpzodJL1e5UDHeu3A3u5MTSZwvxHu0BrwvL9w/edit"",""17!e72"")"),5185)</f>
        <v>5185</v>
      </c>
      <c r="K440" s="18">
        <f ca="1">IFERROR(__xludf.DUMMYFUNCTION("IMPORTRANGE(""https://docs.google.com/spreadsheets/d/1WojVzHhpzodJL1e5UDHeu3A3u5MTSZwvxHu0BrwvL9w/edit"",""17!e73"")"),52)</f>
        <v>52</v>
      </c>
      <c r="L440" s="18">
        <f t="shared" ca="1" si="1213"/>
        <v>5237</v>
      </c>
      <c r="M440" s="18">
        <f t="shared" ca="1" si="1214"/>
        <v>8518</v>
      </c>
      <c r="N440" s="19">
        <f t="shared" ca="1" si="1215"/>
        <v>196.31463157894561</v>
      </c>
      <c r="O440" s="16">
        <v>11164</v>
      </c>
      <c r="P440" s="20">
        <f t="shared" ca="1" si="1216"/>
        <v>0.76298817628090287</v>
      </c>
      <c r="Q440" s="21">
        <v>1.5</v>
      </c>
      <c r="R440" s="20">
        <f t="shared" ca="1" si="1217"/>
        <v>0.50747990709031143</v>
      </c>
      <c r="S440" s="22">
        <f t="shared" ca="1" si="1218"/>
        <v>0.7612198606354672</v>
      </c>
      <c r="T440" s="21">
        <f ca="1">F440/29.603</f>
        <v>377.99999999999659</v>
      </c>
      <c r="U440" s="21">
        <f t="shared" ca="1" si="1219"/>
        <v>6.6315789473683608</v>
      </c>
      <c r="V440" s="18">
        <f t="shared" ca="1" si="1220"/>
        <v>149.43859649122808</v>
      </c>
      <c r="W440" s="76"/>
      <c r="X440" s="8">
        <v>6</v>
      </c>
      <c r="Y440" s="8" t="s">
        <v>31</v>
      </c>
      <c r="Z440" s="8">
        <f t="shared" ref="Z440:AI440" si="1228">SUM(D455)</f>
        <v>15</v>
      </c>
      <c r="AA440" s="9">
        <f t="shared" ca="1" si="1228"/>
        <v>14</v>
      </c>
      <c r="AB440" s="11">
        <f t="shared" ca="1" si="1228"/>
        <v>2738.2950000000001</v>
      </c>
      <c r="AC440" s="9">
        <f t="shared" ca="1" si="1228"/>
        <v>854</v>
      </c>
      <c r="AD440" s="9">
        <f t="shared" ca="1" si="1228"/>
        <v>68</v>
      </c>
      <c r="AE440" s="9">
        <f t="shared" ca="1" si="1228"/>
        <v>922</v>
      </c>
      <c r="AF440" s="9">
        <f t="shared" ca="1" si="1228"/>
        <v>1018</v>
      </c>
      <c r="AG440" s="9">
        <f t="shared" ca="1" si="1228"/>
        <v>0</v>
      </c>
      <c r="AH440" s="9">
        <f t="shared" ca="1" si="1228"/>
        <v>1018</v>
      </c>
      <c r="AI440" s="9">
        <f t="shared" ca="1" si="1228"/>
        <v>1940</v>
      </c>
      <c r="AJ440" s="11">
        <f t="shared" ca="1" si="1224"/>
        <v>195.5925</v>
      </c>
      <c r="AK440" s="8">
        <f t="shared" si="1225"/>
        <v>2717</v>
      </c>
      <c r="AL440" s="12">
        <f t="shared" ca="1" si="1202"/>
        <v>0.71402281928597722</v>
      </c>
      <c r="AM440" s="13">
        <f t="shared" si="1226"/>
        <v>1.5</v>
      </c>
      <c r="AN440" s="12">
        <f t="shared" ca="1" si="1204"/>
        <v>0.47231336774647481</v>
      </c>
      <c r="AO440" s="14">
        <f t="shared" ca="1" si="1205"/>
        <v>0.70847005161971222</v>
      </c>
      <c r="AP440" s="13">
        <f t="shared" ref="AP440:AQ440" ca="1" si="1229">SUM(T455)</f>
        <v>63</v>
      </c>
      <c r="AQ440" s="13">
        <f t="shared" ca="1" si="1229"/>
        <v>4.5</v>
      </c>
      <c r="AR440" s="9">
        <f t="shared" ca="1" si="1207"/>
        <v>138.57142857142858</v>
      </c>
      <c r="AS440" s="76"/>
      <c r="AT440" s="76"/>
    </row>
    <row r="441" spans="1:46" ht="15.75" customHeight="1" x14ac:dyDescent="0.25">
      <c r="A441" s="70"/>
      <c r="B441" s="16">
        <v>4</v>
      </c>
      <c r="C441" s="16" t="s">
        <v>32</v>
      </c>
      <c r="D441" s="17">
        <v>42</v>
      </c>
      <c r="E441" s="18">
        <f ca="1">IFERROR(__xludf.DUMMYFUNCTION("COUNT(IMPORTRANGE(""https://docs.google.com/spreadsheets/d/1vmCj5YcMSPHj1m64syDndQ6cqVL3yolcU03Y8KHmvdc/edit"",""17!d2:d43""))"),41)</f>
        <v>41</v>
      </c>
      <c r="F441" s="23">
        <f ca="1">IFERROR(__xludf.DUMMYFUNCTION("SUM(IMPORTRANGE(""https://docs.google.com/spreadsheets/d/1vmCj5YcMSPHj1m64syDndQ6cqVL3yolcU03Y8KHmvdc/edit"",""17!Q2:Q43""))"),8103.74699999999)</f>
        <v>8103.7469999999903</v>
      </c>
      <c r="G441" s="16">
        <f ca="1">IFERROR(__xludf.DUMMYFUNCTION("IMPORTRANGE(""https://docs.google.com/spreadsheets/d/1vmCj5YcMSPHj1m64syDndQ6cqVL3yolcU03Y8KHmvdc/edit"",""17!e50"")"),4673)</f>
        <v>4673</v>
      </c>
      <c r="H441" s="16">
        <f ca="1">IFERROR(__xludf.DUMMYFUNCTION("IMPORTRANGE(""https://docs.google.com/spreadsheets/d/1vmCj5YcMSPHj1m64syDndQ6cqVL3yolcU03Y8KHmvdc/edit"",""17!e51"")"),178)</f>
        <v>178</v>
      </c>
      <c r="I441" s="18">
        <f t="shared" ca="1" si="1212"/>
        <v>4851</v>
      </c>
      <c r="J441" s="16">
        <f ca="1">IFERROR(__xludf.DUMMYFUNCTION("IMPORTRANGE(""https://docs.google.com/spreadsheets/d/1vmCj5YcMSPHj1m64syDndQ6cqVL3yolcU03Y8KHmvdc/edit"",""17!e54"")"),5476)</f>
        <v>5476</v>
      </c>
      <c r="K441" s="16">
        <f ca="1">IFERROR(__xludf.DUMMYFUNCTION("IMPORTRANGE(""https://docs.google.com/spreadsheets/d/1vmCj5YcMSPHj1m64syDndQ6cqVL3yolcU03Y8KHmvdc/edit"",""17!e55"")"),0)</f>
        <v>0</v>
      </c>
      <c r="L441" s="18">
        <f t="shared" ca="1" si="1213"/>
        <v>5476</v>
      </c>
      <c r="M441" s="18">
        <f t="shared" ca="1" si="1214"/>
        <v>10327</v>
      </c>
      <c r="N441" s="19">
        <f t="shared" ca="1" si="1215"/>
        <v>197.6523658536583</v>
      </c>
      <c r="O441" s="16">
        <v>13817</v>
      </c>
      <c r="P441" s="20">
        <f t="shared" ca="1" si="1216"/>
        <v>0.74741260765723383</v>
      </c>
      <c r="Q441" s="21">
        <v>1.5</v>
      </c>
      <c r="R441" s="20">
        <f t="shared" ca="1" si="1217"/>
        <v>0.84956584486987008</v>
      </c>
      <c r="S441" s="22">
        <f t="shared" ca="1" si="1218"/>
        <v>1.2743487673048051</v>
      </c>
      <c r="T441" s="21">
        <f ca="1">F441/25.089</f>
        <v>322.99999999999966</v>
      </c>
      <c r="U441" s="21">
        <f t="shared" ca="1" si="1219"/>
        <v>7.8780487804877968</v>
      </c>
      <c r="V441" s="18">
        <f t="shared" ca="1" si="1220"/>
        <v>251.8780487804878</v>
      </c>
      <c r="W441" s="76"/>
      <c r="X441" s="24" t="s">
        <v>33</v>
      </c>
      <c r="Y441" s="24">
        <v>6</v>
      </c>
      <c r="Z441" s="24">
        <f t="shared" ref="Z441:AI441" si="1230">SUM(Z435:Z440)</f>
        <v>186</v>
      </c>
      <c r="AA441" s="25">
        <f t="shared" ca="1" si="1230"/>
        <v>177</v>
      </c>
      <c r="AB441" s="26">
        <f t="shared" ca="1" si="1230"/>
        <v>34516.395999999972</v>
      </c>
      <c r="AC441" s="25">
        <f t="shared" ca="1" si="1230"/>
        <v>11236</v>
      </c>
      <c r="AD441" s="25">
        <f t="shared" ca="1" si="1230"/>
        <v>565</v>
      </c>
      <c r="AE441" s="25">
        <f t="shared" ca="1" si="1230"/>
        <v>11801</v>
      </c>
      <c r="AF441" s="25">
        <f t="shared" ca="1" si="1230"/>
        <v>15600</v>
      </c>
      <c r="AG441" s="25">
        <f t="shared" ca="1" si="1230"/>
        <v>639</v>
      </c>
      <c r="AH441" s="25">
        <f t="shared" ca="1" si="1230"/>
        <v>16239</v>
      </c>
      <c r="AI441" s="25">
        <f t="shared" ca="1" si="1230"/>
        <v>28040</v>
      </c>
      <c r="AJ441" s="27">
        <f t="shared" ca="1" si="1224"/>
        <v>195.00788700564956</v>
      </c>
      <c r="AK441" s="24">
        <f>SUM(AK435:AK440)</f>
        <v>35074</v>
      </c>
      <c r="AL441" s="28">
        <f t="shared" ca="1" si="1202"/>
        <v>0.7994525859611108</v>
      </c>
      <c r="AM441" s="29">
        <v>1.5</v>
      </c>
      <c r="AN441" s="28">
        <f t="shared" ca="1" si="1204"/>
        <v>0.54157836563624284</v>
      </c>
      <c r="AO441" s="30">
        <f t="shared" ca="1" si="1205"/>
        <v>0.81236754845436421</v>
      </c>
      <c r="AP441" s="29">
        <f ca="1">SUM(AP435:AP440)</f>
        <v>1297.7120975789867</v>
      </c>
      <c r="AQ441" s="29">
        <f ca="1">AP441/AA441</f>
        <v>7.3317067659829753</v>
      </c>
      <c r="AR441" s="25">
        <f t="shared" ca="1" si="1207"/>
        <v>158.4180790960452</v>
      </c>
      <c r="AS441" s="76"/>
      <c r="AT441" s="76"/>
    </row>
    <row r="442" spans="1:46" ht="15.75" customHeight="1" x14ac:dyDescent="0.25">
      <c r="A442" s="70"/>
      <c r="B442" s="16">
        <v>5</v>
      </c>
      <c r="C442" s="16" t="s">
        <v>34</v>
      </c>
      <c r="D442" s="17">
        <v>40</v>
      </c>
      <c r="E442" s="18">
        <f ca="1">IFERROR(__xludf.DUMMYFUNCTION("COUNT(IMPORTRANGE(""https://docs.google.com/spreadsheets/d/14_Y-fpuq1wcec3DlT_1PBYekOC0YblQMrWVfO12YO3k/edit"",""17!d2:d41""))"),39)</f>
        <v>39</v>
      </c>
      <c r="F442" s="23">
        <f ca="1">IFERROR(__xludf.DUMMYFUNCTION("SUM(IMPORTRANGE(""https://docs.google.com/spreadsheets/d/14_Y-fpuq1wcec3DlT_1PBYekOC0YblQMrWVfO12YO3k/edit"",""17!Q2:Q41""))"),7412.037)</f>
        <v>7412.0370000000003</v>
      </c>
      <c r="G442" s="18">
        <f ca="1">IFERROR(__xludf.DUMMYFUNCTION("IMPORTRANGE(""https://docs.google.com/spreadsheets/d/14_Y-fpuq1wcec3DlT_1PBYekOC0YblQMrWVfO12YO3k/edit"",""17!e48"")"),3010)</f>
        <v>3010</v>
      </c>
      <c r="H442" s="18">
        <f ca="1">IFERROR(__xludf.DUMMYFUNCTION("IMPORTRANGE(""https://docs.google.com/spreadsheets/d/14_Y-fpuq1wcec3DlT_1PBYekOC0YblQMrWVfO12YO3k/edit"",""17!e49"")"),0)</f>
        <v>0</v>
      </c>
      <c r="I442" s="18">
        <f t="shared" ca="1" si="1212"/>
        <v>3010</v>
      </c>
      <c r="J442" s="18">
        <f ca="1">IFERROR(__xludf.DUMMYFUNCTION("IMPORTRANGE(""https://docs.google.com/spreadsheets/d/14_Y-fpuq1wcec3DlT_1PBYekOC0YblQMrWVfO12YO3k/edit"",""17!e52"")"),2748)</f>
        <v>2748</v>
      </c>
      <c r="K442" s="18">
        <f ca="1">IFERROR(__xludf.DUMMYFUNCTION("IMPORTRANGE(""https://docs.google.com/spreadsheets/d/14_Y-fpuq1wcec3DlT_1PBYekOC0YblQMrWVfO12YO3k/edit"",""17!e53"")"),0)</f>
        <v>0</v>
      </c>
      <c r="L442" s="18">
        <f t="shared" ca="1" si="1213"/>
        <v>2748</v>
      </c>
      <c r="M442" s="18">
        <f t="shared" ca="1" si="1214"/>
        <v>5758</v>
      </c>
      <c r="N442" s="19">
        <f t="shared" ca="1" si="1215"/>
        <v>190.05223076923079</v>
      </c>
      <c r="O442" s="16">
        <v>9354</v>
      </c>
      <c r="P442" s="20">
        <f t="shared" ca="1" si="1216"/>
        <v>0.61556553346162068</v>
      </c>
      <c r="Q442" s="21">
        <v>1.5</v>
      </c>
      <c r="R442" s="20">
        <f t="shared" ca="1" si="1217"/>
        <v>0.51789631739111208</v>
      </c>
      <c r="S442" s="22">
        <f t="shared" ca="1" si="1218"/>
        <v>0.77684447608666818</v>
      </c>
      <c r="T442" s="21">
        <f ca="1">F442/30.713</f>
        <v>241.33223716341615</v>
      </c>
      <c r="U442" s="21">
        <f t="shared" ca="1" si="1219"/>
        <v>6.1880060811132349</v>
      </c>
      <c r="V442" s="18">
        <f t="shared" ca="1" si="1220"/>
        <v>147.64102564102564</v>
      </c>
      <c r="W442" s="76"/>
      <c r="X442" s="100" t="s">
        <v>35</v>
      </c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9"/>
      <c r="AS442" s="76"/>
      <c r="AT442" s="76"/>
    </row>
    <row r="443" spans="1:46" ht="15.75" customHeight="1" x14ac:dyDescent="0.25">
      <c r="A443" s="70"/>
      <c r="B443" s="16">
        <v>6</v>
      </c>
      <c r="C443" s="16" t="s">
        <v>23</v>
      </c>
      <c r="D443" s="17">
        <v>35</v>
      </c>
      <c r="E443" s="18">
        <f ca="1">IFERROR(__xludf.DUMMYFUNCTION("COUNT(IMPORTRANGE(""https://docs.google.com/spreadsheets/d/1lJqjdj05V4LOXuBOiTdE65GV4ZITyx1cMLcDdcuoUnE/edit"",""17!d2:d36""))"),34)</f>
        <v>34</v>
      </c>
      <c r="F443" s="23">
        <f ca="1">IFERROR(__xludf.DUMMYFUNCTION("SUM(IMPORTRANGE(""https://docs.google.com/spreadsheets/d/1lJqjdj05V4LOXuBOiTdE65GV4ZITyx1cMLcDdcuoUnE/edit"",""17!Q2:Q36""))"),6646.77999999999)</f>
        <v>6646.7799999999897</v>
      </c>
      <c r="G443" s="18">
        <f ca="1">IFERROR(__xludf.DUMMYFUNCTION("IMPORTRANGE(""https://docs.google.com/spreadsheets/d/1lJqjdj05V4LOXuBOiTdE65GV4ZITyx1cMLcDdcuoUnE/edit"",""17!e43"")"),1831)</f>
        <v>1831</v>
      </c>
      <c r="H443" s="18">
        <f ca="1">IFERROR(__xludf.DUMMYFUNCTION("IMPORTRANGE(""https://docs.google.com/spreadsheets/d/1lJqjdj05V4LOXuBOiTdE65GV4ZITyx1cMLcDdcuoUnE/edit"",""17!e44"")"),0)</f>
        <v>0</v>
      </c>
      <c r="I443" s="18">
        <f t="shared" ca="1" si="1212"/>
        <v>1831</v>
      </c>
      <c r="J443" s="18">
        <f ca="1">IFERROR(__xludf.DUMMYFUNCTION("IMPORTRANGE(""https://docs.google.com/spreadsheets/d/1lJqjdj05V4LOXuBOiTdE65GV4ZITyx1cMLcDdcuoUnE/edit"",""17!e47"")"),3063)</f>
        <v>3063</v>
      </c>
      <c r="K443" s="18">
        <f ca="1">IFERROR(__xludf.DUMMYFUNCTION("IMPORTRANGE(""https://docs.google.com/spreadsheets/d/1lJqjdj05V4LOXuBOiTdE65GV4ZITyx1cMLcDdcuoUnE/edit"",""17!e48"")"),0)</f>
        <v>0</v>
      </c>
      <c r="L443" s="18">
        <f t="shared" ca="1" si="1213"/>
        <v>3063</v>
      </c>
      <c r="M443" s="18">
        <f t="shared" ca="1" si="1214"/>
        <v>4894</v>
      </c>
      <c r="N443" s="19">
        <f t="shared" ca="1" si="1215"/>
        <v>195.4935294117644</v>
      </c>
      <c r="O443" s="16">
        <v>6853</v>
      </c>
      <c r="P443" s="20">
        <f t="shared" ca="1" si="1216"/>
        <v>0.71413979279147821</v>
      </c>
      <c r="Q443" s="21">
        <v>1.5</v>
      </c>
      <c r="R443" s="20">
        <f t="shared" ca="1" si="1217"/>
        <v>0.49086424805193968</v>
      </c>
      <c r="S443" s="22">
        <f t="shared" ca="1" si="1218"/>
        <v>0.73629637207790954</v>
      </c>
      <c r="T443" s="21">
        <f ca="1">F443/33.74</f>
        <v>196.99999999999969</v>
      </c>
      <c r="U443" s="21">
        <f t="shared" ca="1" si="1219"/>
        <v>5.7941176470588145</v>
      </c>
      <c r="V443" s="18">
        <f t="shared" ca="1" si="1220"/>
        <v>143.94117647058823</v>
      </c>
      <c r="W443" s="76"/>
      <c r="X443" s="1" t="s">
        <v>2</v>
      </c>
      <c r="Y443" s="1" t="s">
        <v>3</v>
      </c>
      <c r="Z443" s="1" t="s">
        <v>4</v>
      </c>
      <c r="AA443" s="1" t="s">
        <v>5</v>
      </c>
      <c r="AB443" s="2" t="s">
        <v>6</v>
      </c>
      <c r="AC443" s="1" t="s">
        <v>7</v>
      </c>
      <c r="AD443" s="1" t="s">
        <v>8</v>
      </c>
      <c r="AE443" s="1" t="s">
        <v>9</v>
      </c>
      <c r="AF443" s="1" t="s">
        <v>10</v>
      </c>
      <c r="AG443" s="1" t="s">
        <v>11</v>
      </c>
      <c r="AH443" s="1" t="s">
        <v>12</v>
      </c>
      <c r="AI443" s="1" t="s">
        <v>13</v>
      </c>
      <c r="AJ443" s="2" t="s">
        <v>14</v>
      </c>
      <c r="AK443" s="1" t="s">
        <v>15</v>
      </c>
      <c r="AL443" s="1" t="s">
        <v>16</v>
      </c>
      <c r="AM443" s="3" t="s">
        <v>17</v>
      </c>
      <c r="AN443" s="4" t="s">
        <v>18</v>
      </c>
      <c r="AO443" s="5" t="s">
        <v>19</v>
      </c>
      <c r="AP443" s="6" t="s">
        <v>20</v>
      </c>
      <c r="AQ443" s="6" t="s">
        <v>21</v>
      </c>
      <c r="AR443" s="7" t="s">
        <v>22</v>
      </c>
      <c r="AS443" s="76"/>
      <c r="AT443" s="76"/>
    </row>
    <row r="444" spans="1:46" ht="15.75" customHeight="1" x14ac:dyDescent="0.25">
      <c r="A444" s="70"/>
      <c r="B444" s="16">
        <v>7</v>
      </c>
      <c r="C444" s="16" t="s">
        <v>24</v>
      </c>
      <c r="D444" s="17">
        <v>44</v>
      </c>
      <c r="E444" s="31">
        <f ca="1">IFERROR(__xludf.DUMMYFUNCTION("COUNT(IMPORTRANGE(""https://docs.google.com/spreadsheets/d/1_7EEO26q9Yq-XhNFiy7I6Zh4Yg6uGjTs9y0UqNvPKcQ/edit"",""17!d2:d45""))"),44)</f>
        <v>44</v>
      </c>
      <c r="F444" s="32">
        <f ca="1">IFERROR(__xludf.DUMMYFUNCTION("SUM(IMPORTRANGE(""https://docs.google.com/spreadsheets/d/1_7EEO26q9Yq-XhNFiy7I6Zh4Yg6uGjTs9y0UqNvPKcQ/edit"",""17!Q2:Q45""))"),8491.96299999999)</f>
        <v>8491.9629999999906</v>
      </c>
      <c r="G444" s="31">
        <f ca="1">IFERROR(__xludf.DUMMYFUNCTION("IMPORTRANGE(""https://docs.google.com/spreadsheets/d/1_7EEO26q9Yq-XhNFiy7I6Zh4Yg6uGjTs9y0UqNvPKcQ/edit"",""17!e53"")"),1137)</f>
        <v>1137</v>
      </c>
      <c r="H444" s="31">
        <f ca="1">IFERROR(__xludf.DUMMYFUNCTION("IMPORTRANGE(""https://docs.google.com/spreadsheets/d/1_7EEO26q9Yq-XhNFiy7I6Zh4Yg6uGjTs9y0UqNvPKcQ/edit"",""17!e54"")"),0)</f>
        <v>0</v>
      </c>
      <c r="I444" s="31">
        <f t="shared" ca="1" si="1212"/>
        <v>1137</v>
      </c>
      <c r="J444" s="31">
        <f ca="1">IFERROR(__xludf.DUMMYFUNCTION("IMPORTRANGE(""https://docs.google.com/spreadsheets/d/1_7EEO26q9Yq-XhNFiy7I6Zh4Yg6uGjTs9y0UqNvPKcQ/edit"",""17!e57"")"),1313)</f>
        <v>1313</v>
      </c>
      <c r="K444" s="31">
        <f ca="1">IFERROR(__xludf.DUMMYFUNCTION("IMPORTRANGE(""https://docs.google.com/spreadsheets/d/1_7EEO26q9Yq-XhNFiy7I6Zh4Yg6uGjTs9y0UqNvPKcQ/edit"",""17!e58"")"),0)</f>
        <v>0</v>
      </c>
      <c r="L444" s="18">
        <f t="shared" ca="1" si="1213"/>
        <v>1313</v>
      </c>
      <c r="M444" s="18">
        <f t="shared" ca="1" si="1214"/>
        <v>2450</v>
      </c>
      <c r="N444" s="19">
        <f t="shared" ca="1" si="1215"/>
        <v>192.99915909090888</v>
      </c>
      <c r="O444" s="16">
        <v>1580</v>
      </c>
      <c r="P444" s="33">
        <f t="shared" ca="1" si="1216"/>
        <v>1.5506329113924051</v>
      </c>
      <c r="Q444" s="21">
        <v>1.5</v>
      </c>
      <c r="R444" s="20">
        <f t="shared" ca="1" si="1217"/>
        <v>0.19233872466629154</v>
      </c>
      <c r="S444" s="22">
        <f t="shared" ca="1" si="1218"/>
        <v>0.28850808699943731</v>
      </c>
      <c r="T444" s="21">
        <f ca="1">F444/26.805</f>
        <v>316.80518559970119</v>
      </c>
      <c r="U444" s="21">
        <f t="shared" ca="1" si="1219"/>
        <v>7.2001178545386635</v>
      </c>
      <c r="V444" s="18">
        <f t="shared" ca="1" si="1220"/>
        <v>55.68181818181818</v>
      </c>
      <c r="W444" s="76"/>
      <c r="X444" s="8">
        <v>1</v>
      </c>
      <c r="Y444" s="8" t="s">
        <v>28</v>
      </c>
      <c r="Z444" s="8">
        <f t="shared" ref="Z444:AI444" si="1231">SUM(D439)</f>
        <v>33</v>
      </c>
      <c r="AA444" s="9">
        <f t="shared" ca="1" si="1231"/>
        <v>33</v>
      </c>
      <c r="AB444" s="11">
        <f t="shared" ca="1" si="1231"/>
        <v>548.625</v>
      </c>
      <c r="AC444" s="9">
        <f t="shared" ca="1" si="1231"/>
        <v>2910</v>
      </c>
      <c r="AD444" s="9">
        <f t="shared" ca="1" si="1231"/>
        <v>106</v>
      </c>
      <c r="AE444" s="9">
        <f t="shared" ca="1" si="1231"/>
        <v>3016</v>
      </c>
      <c r="AF444" s="9">
        <f t="shared" ca="1" si="1231"/>
        <v>2886</v>
      </c>
      <c r="AG444" s="9">
        <f t="shared" ca="1" si="1231"/>
        <v>218</v>
      </c>
      <c r="AH444" s="9">
        <f t="shared" ca="1" si="1231"/>
        <v>3104</v>
      </c>
      <c r="AI444" s="9">
        <f t="shared" ca="1" si="1231"/>
        <v>6120</v>
      </c>
      <c r="AJ444" s="11">
        <f t="shared" ref="AJ444:AJ450" ca="1" si="1232">AB444/AA444</f>
        <v>16.625</v>
      </c>
      <c r="AK444" s="8">
        <f t="shared" ref="AK444:AK445" si="1233">SUM(O439)</f>
        <v>7315</v>
      </c>
      <c r="AL444" s="12">
        <f t="shared" ref="AL444:AL450" ca="1" si="1234">AI444/AK444</f>
        <v>0.83663704716336296</v>
      </c>
      <c r="AM444" s="13">
        <f t="shared" ref="AM444:AM445" si="1235">SUM(Q439)</f>
        <v>1.5</v>
      </c>
      <c r="AN444" s="12">
        <f t="shared" ref="AN444:AN450" ca="1" si="1236">AO444/AM444</f>
        <v>7.4367737525632265</v>
      </c>
      <c r="AO444" s="14">
        <f t="shared" ref="AO444:AO450" ca="1" si="1237">AI444/AB444</f>
        <v>11.15516062884484</v>
      </c>
      <c r="AP444" s="13">
        <f t="shared" ref="AP444:AQ444" ca="1" si="1238">SUM(T439)</f>
        <v>17.756578308573648</v>
      </c>
      <c r="AQ444" s="13">
        <f t="shared" ca="1" si="1238"/>
        <v>0.53807813056283782</v>
      </c>
      <c r="AR444" s="9">
        <f t="shared" ref="AR444:AR450" ca="1" si="1239">AI444/AA444</f>
        <v>185.45454545454547</v>
      </c>
      <c r="AS444" s="76"/>
      <c r="AT444" s="76"/>
    </row>
    <row r="445" spans="1:46" ht="15.75" customHeight="1" x14ac:dyDescent="0.25">
      <c r="A445" s="70"/>
      <c r="B445" s="16">
        <v>8</v>
      </c>
      <c r="C445" s="16" t="s">
        <v>25</v>
      </c>
      <c r="D445" s="34">
        <v>32</v>
      </c>
      <c r="E445" s="18">
        <f ca="1">IFERROR(__xludf.DUMMYFUNCTION("COUNT(IMPORTRANGE(""https://docs.google.com/spreadsheets/d/1vLOLpiE-XsbnCnwWPcoi87PlUSXfqIAAQn3kvqHfO6s/edit"",""17!d2:D33""))"),31)</f>
        <v>31</v>
      </c>
      <c r="F445" s="23">
        <f ca="1">IFERROR(__xludf.DUMMYFUNCTION("SUM(IMPORTRANGE(""https://docs.google.com/spreadsheets/d/1vLOLpiE-XsbnCnwWPcoi87PlUSXfqIAAQn3kvqHfO6s/edit"",""17!Q2:Q33""))"),6129.56)</f>
        <v>6129.56</v>
      </c>
      <c r="G445" s="18">
        <f ca="1">IFERROR(__xludf.DUMMYFUNCTION("IMPORTRANGE(""https://docs.google.com/spreadsheets/d/1vLOLpiE-XsbnCnwWPcoi87PlUSXfqIAAQn3kvqHfO6s/edit"",""17!e40"")"),2341)</f>
        <v>2341</v>
      </c>
      <c r="H445" s="18">
        <f ca="1">IFERROR(__xludf.DUMMYFUNCTION("IMPORTRANGE(""https://docs.google.com/spreadsheets/d/1vLOLpiE-XsbnCnwWPcoi87PlUSXfqIAAQn3kvqHfO6s/edit"",""17!e41"")"),444)</f>
        <v>444</v>
      </c>
      <c r="I445" s="18">
        <f t="shared" ca="1" si="1212"/>
        <v>2785</v>
      </c>
      <c r="J445" s="18">
        <f ca="1">IFERROR(__xludf.DUMMYFUNCTION("IMPORTRANGE(""https://docs.google.com/spreadsheets/d/1vLOLpiE-XsbnCnwWPcoi87PlUSXfqIAAQn3kvqHfO6s/edit"",""17!e44"")"),3187)</f>
        <v>3187</v>
      </c>
      <c r="K445" s="18">
        <f ca="1">IFERROR(__xludf.DUMMYFUNCTION("IMPORTRANGE(""https://docs.google.com/spreadsheets/d/1vLOLpiE-XsbnCnwWPcoi87PlUSXfqIAAQn3kvqHfO6s/edit"",""17!e45"")"),639)</f>
        <v>639</v>
      </c>
      <c r="L445" s="18">
        <f ca="1">J445+K445</f>
        <v>3826</v>
      </c>
      <c r="M445" s="18">
        <f t="shared" ca="1" si="1214"/>
        <v>6611</v>
      </c>
      <c r="N445" s="19">
        <f t="shared" ca="1" si="1215"/>
        <v>197.72774193548389</v>
      </c>
      <c r="O445" s="16">
        <v>6622</v>
      </c>
      <c r="P445" s="20">
        <f t="shared" ca="1" si="1216"/>
        <v>0.99833887043189373</v>
      </c>
      <c r="Q445" s="21">
        <v>1.5</v>
      </c>
      <c r="R445" s="20">
        <f t="shared" ca="1" si="1217"/>
        <v>0.71902931586171492</v>
      </c>
      <c r="S445" s="22">
        <f t="shared" ca="1" si="1218"/>
        <v>1.0785439737925724</v>
      </c>
      <c r="T445" s="21">
        <f ca="1">F445/23.84</f>
        <v>257.11241610738256</v>
      </c>
      <c r="U445" s="21">
        <f t="shared" ca="1" si="1219"/>
        <v>8.29394890668976</v>
      </c>
      <c r="V445" s="18">
        <f t="shared" ca="1" si="1220"/>
        <v>213.25806451612902</v>
      </c>
      <c r="W445" s="76"/>
      <c r="X445" s="8">
        <v>2</v>
      </c>
      <c r="Y445" s="8" t="s">
        <v>30</v>
      </c>
      <c r="Z445" s="8">
        <f t="shared" ref="Z445:AI445" si="1240">SUM(D440)</f>
        <v>60</v>
      </c>
      <c r="AA445" s="9">
        <f t="shared" ca="1" si="1240"/>
        <v>57</v>
      </c>
      <c r="AB445" s="10">
        <f t="shared" ca="1" si="1240"/>
        <v>11189.933999999899</v>
      </c>
      <c r="AC445" s="9">
        <f t="shared" ca="1" si="1240"/>
        <v>3281</v>
      </c>
      <c r="AD445" s="9">
        <f t="shared" ca="1" si="1240"/>
        <v>0</v>
      </c>
      <c r="AE445" s="9">
        <f t="shared" ca="1" si="1240"/>
        <v>3281</v>
      </c>
      <c r="AF445" s="9">
        <f t="shared" ca="1" si="1240"/>
        <v>5185</v>
      </c>
      <c r="AG445" s="9">
        <f t="shared" ca="1" si="1240"/>
        <v>52</v>
      </c>
      <c r="AH445" s="9">
        <f t="shared" ca="1" si="1240"/>
        <v>5237</v>
      </c>
      <c r="AI445" s="9">
        <f t="shared" ca="1" si="1240"/>
        <v>8518</v>
      </c>
      <c r="AJ445" s="11">
        <f t="shared" ca="1" si="1232"/>
        <v>196.31463157894561</v>
      </c>
      <c r="AK445" s="8">
        <f t="shared" si="1233"/>
        <v>11164</v>
      </c>
      <c r="AL445" s="12">
        <f t="shared" ca="1" si="1234"/>
        <v>0.76298817628090287</v>
      </c>
      <c r="AM445" s="13">
        <f t="shared" si="1235"/>
        <v>1.5</v>
      </c>
      <c r="AN445" s="12">
        <f t="shared" ca="1" si="1236"/>
        <v>0.50747990709031143</v>
      </c>
      <c r="AO445" s="14">
        <f t="shared" ca="1" si="1237"/>
        <v>0.7612198606354672</v>
      </c>
      <c r="AP445" s="13">
        <f t="shared" ref="AP445:AQ445" ca="1" si="1241">SUM(T440)</f>
        <v>377.99999999999659</v>
      </c>
      <c r="AQ445" s="13">
        <f t="shared" ca="1" si="1241"/>
        <v>6.6315789473683608</v>
      </c>
      <c r="AR445" s="9">
        <f t="shared" ca="1" si="1239"/>
        <v>149.43859649122808</v>
      </c>
      <c r="AS445" s="76"/>
      <c r="AT445" s="76"/>
    </row>
    <row r="446" spans="1:46" ht="15.75" customHeight="1" x14ac:dyDescent="0.25">
      <c r="A446" s="70"/>
      <c r="B446" s="16">
        <v>9</v>
      </c>
      <c r="C446" s="16" t="s">
        <v>36</v>
      </c>
      <c r="D446" s="34">
        <v>29</v>
      </c>
      <c r="E446" s="18">
        <f ca="1">IFERROR(__xludf.DUMMYFUNCTION("COUNT(IMPORTRANGE(""https://docs.google.com/spreadsheets/d/1WJJVq25XDtGjt-J2JPxeKs3jIvDZtkIREC0lFPXwf74/edit"",""17!d2:d31""))"),28)</f>
        <v>28</v>
      </c>
      <c r="F446" s="23">
        <f ca="1">IFERROR(__xludf.DUMMYFUNCTION("SUM(IMPORTRANGE(""https://docs.google.com/spreadsheets/d/1WJJVq25XDtGjt-J2JPxeKs3jIvDZtkIREC0lFPXwf74/edit"",""17!Q2:Q31""))"),5491.87799999999)</f>
        <v>5491.8779999999897</v>
      </c>
      <c r="G446" s="18">
        <f ca="1">IFERROR(__xludf.DUMMYFUNCTION("IMPORTRANGE(""https://docs.google.com/spreadsheets/d/1WJJVq25XDtGjt-J2JPxeKs3jIvDZtkIREC0lFPXwf74/edit"",""17!e38"")"),1523)</f>
        <v>1523</v>
      </c>
      <c r="H446" s="18">
        <f ca="1">IFERROR(__xludf.DUMMYFUNCTION("IMPORTRANGE(""https://docs.google.com/spreadsheets/d/1WJJVq25XDtGjt-J2JPxeKs3jIvDZtkIREC0lFPXwf74/edit"",""17!e39"")"),0)</f>
        <v>0</v>
      </c>
      <c r="I446" s="18">
        <f t="shared" ca="1" si="1212"/>
        <v>1523</v>
      </c>
      <c r="J446" s="18">
        <f ca="1">IFERROR(__xludf.DUMMYFUNCTION("IMPORTRANGE(""https://docs.google.com/spreadsheets/d/1WJJVq25XDtGjt-J2JPxeKs3jIvDZtkIREC0lFPXwf74/edit"",""17!e42"")"),2105)</f>
        <v>2105</v>
      </c>
      <c r="K446" s="18">
        <f ca="1">IFERROR(__xludf.DUMMYFUNCTION("IMPORTRANGE(""https://docs.google.com/spreadsheets/d/1WJJVq25XDtGjt-J2JPxeKs3jIvDZtkIREC0lFPXwf74/edit"",""17!e43"")"),0)</f>
        <v>0</v>
      </c>
      <c r="L446" s="18">
        <f t="shared" ref="L446:L455" ca="1" si="1242">SUM(J446:K446)</f>
        <v>2105</v>
      </c>
      <c r="M446" s="18">
        <f t="shared" ca="1" si="1214"/>
        <v>3628</v>
      </c>
      <c r="N446" s="19">
        <f t="shared" ca="1" si="1215"/>
        <v>196.13849999999962</v>
      </c>
      <c r="O446" s="16">
        <v>4796</v>
      </c>
      <c r="P446" s="20">
        <f t="shared" ca="1" si="1216"/>
        <v>0.75646371976647209</v>
      </c>
      <c r="Q446" s="21">
        <v>1.5</v>
      </c>
      <c r="R446" s="20">
        <f t="shared" ca="1" si="1217"/>
        <v>0.44040793817099927</v>
      </c>
      <c r="S446" s="22">
        <f t="shared" ca="1" si="1218"/>
        <v>0.66061190725649888</v>
      </c>
      <c r="T446" s="21">
        <f ca="1">F446/37.414</f>
        <v>146.7867108568982</v>
      </c>
      <c r="U446" s="21">
        <f t="shared" ca="1" si="1219"/>
        <v>5.242382530603507</v>
      </c>
      <c r="V446" s="18">
        <f t="shared" ca="1" si="1220"/>
        <v>129.57142857142858</v>
      </c>
      <c r="W446" s="76"/>
      <c r="X446" s="8">
        <v>3</v>
      </c>
      <c r="Y446" s="8" t="s">
        <v>34</v>
      </c>
      <c r="Z446" s="8">
        <f t="shared" ref="Z446:AI446" si="1243">SUM(D442)</f>
        <v>40</v>
      </c>
      <c r="AA446" s="9">
        <f t="shared" ca="1" si="1243"/>
        <v>39</v>
      </c>
      <c r="AB446" s="10">
        <f t="shared" ca="1" si="1243"/>
        <v>7412.0370000000003</v>
      </c>
      <c r="AC446" s="9">
        <f t="shared" ca="1" si="1243"/>
        <v>3010</v>
      </c>
      <c r="AD446" s="9">
        <f t="shared" ca="1" si="1243"/>
        <v>0</v>
      </c>
      <c r="AE446" s="9">
        <f t="shared" ca="1" si="1243"/>
        <v>3010</v>
      </c>
      <c r="AF446" s="9">
        <f t="shared" ca="1" si="1243"/>
        <v>2748</v>
      </c>
      <c r="AG446" s="9">
        <f t="shared" ca="1" si="1243"/>
        <v>0</v>
      </c>
      <c r="AH446" s="9">
        <f t="shared" ca="1" si="1243"/>
        <v>2748</v>
      </c>
      <c r="AI446" s="9">
        <f t="shared" ca="1" si="1243"/>
        <v>5758</v>
      </c>
      <c r="AJ446" s="11">
        <f t="shared" ca="1" si="1232"/>
        <v>190.05223076923079</v>
      </c>
      <c r="AK446" s="8">
        <f>SUM(O442)</f>
        <v>9354</v>
      </c>
      <c r="AL446" s="12">
        <f t="shared" ca="1" si="1234"/>
        <v>0.61556553346162068</v>
      </c>
      <c r="AM446" s="13">
        <f>SUM(Q442)</f>
        <v>1.5</v>
      </c>
      <c r="AN446" s="12">
        <f t="shared" ca="1" si="1236"/>
        <v>0.51789631739111208</v>
      </c>
      <c r="AO446" s="14">
        <f t="shared" ca="1" si="1237"/>
        <v>0.77684447608666818</v>
      </c>
      <c r="AP446" s="13">
        <f t="shared" ref="AP446:AQ446" ca="1" si="1244">SUM(T442)</f>
        <v>241.33223716341615</v>
      </c>
      <c r="AQ446" s="13">
        <f t="shared" ca="1" si="1244"/>
        <v>6.1880060811132349</v>
      </c>
      <c r="AR446" s="9">
        <f t="shared" ca="1" si="1239"/>
        <v>147.64102564102564</v>
      </c>
      <c r="AS446" s="76"/>
      <c r="AT446" s="76"/>
    </row>
    <row r="447" spans="1:46" ht="15.75" customHeight="1" x14ac:dyDescent="0.25">
      <c r="A447" s="70"/>
      <c r="B447" s="16">
        <v>10</v>
      </c>
      <c r="C447" s="16" t="s">
        <v>37</v>
      </c>
      <c r="D447" s="17">
        <v>30</v>
      </c>
      <c r="E447" s="18">
        <f ca="1">IFERROR(__xludf.DUMMYFUNCTION("COUNT(IMPORTRANGE(""https://docs.google.com/spreadsheets/d/1rJyYfywRpWJW0zvDJHLOJtqUQqffoCGaqTVxxTDgV0k/edit"",""17!d2:d31""))"),30)</f>
        <v>30</v>
      </c>
      <c r="F447" s="23">
        <f ca="1">IFERROR(__xludf.DUMMYFUNCTION("SUM(IMPORTRANGE(""https://docs.google.com/spreadsheets/d/1rJyYfywRpWJW0zvDJHLOJtqUQqffoCGaqTVxxTDgV0k/edit"",""17!Q2:Q31""))"),5985.732)</f>
        <v>5985.732</v>
      </c>
      <c r="G447" s="18">
        <f ca="1">IFERROR(__xludf.DUMMYFUNCTION("(IMPORTRANGE(""https://docs.google.com/spreadsheets/d/1rJyYfywRpWJW0zvDJHLOJtqUQqffoCGaqTVxxTDgV0k/edit"",""17!e38""))"),1984)</f>
        <v>1984</v>
      </c>
      <c r="H447" s="18">
        <f ca="1">IFERROR(__xludf.DUMMYFUNCTION("(IMPORTRANGE(""https://docs.google.com/spreadsheets/d/1rJyYfywRpWJW0zvDJHLOJtqUQqffoCGaqTVxxTDgV0k/edit"",""17!e39""))"),131)</f>
        <v>131</v>
      </c>
      <c r="I447" s="18">
        <f t="shared" ca="1" si="1212"/>
        <v>2115</v>
      </c>
      <c r="J447" s="18">
        <f ca="1">IFERROR(__xludf.DUMMYFUNCTION("(IMPORTRANGE(""https://docs.google.com/spreadsheets/d/1rJyYfywRpWJW0zvDJHLOJtqUQqffoCGaqTVxxTDgV0k/edit"",""17!e42""))"),2916)</f>
        <v>2916</v>
      </c>
      <c r="K447" s="18">
        <f ca="1">IFERROR(__xludf.DUMMYFUNCTION("(IMPORTRANGE(""https://docs.google.com/spreadsheets/d/1rJyYfywRpWJW0zvDJHLOJtqUQqffoCGaqTVxxTDgV0k/edit"",""17!e43""))"),113)</f>
        <v>113</v>
      </c>
      <c r="L447" s="18">
        <f t="shared" ca="1" si="1242"/>
        <v>3029</v>
      </c>
      <c r="M447" s="18">
        <f t="shared" ca="1" si="1214"/>
        <v>5144</v>
      </c>
      <c r="N447" s="19">
        <f t="shared" ca="1" si="1215"/>
        <v>199.52439999999999</v>
      </c>
      <c r="O447" s="16">
        <v>5887</v>
      </c>
      <c r="P447" s="20">
        <f t="shared" ca="1" si="1216"/>
        <v>0.87378970613215556</v>
      </c>
      <c r="Q447" s="21">
        <v>1.5</v>
      </c>
      <c r="R447" s="20">
        <f t="shared" ca="1" si="1217"/>
        <v>0.57291795445124061</v>
      </c>
      <c r="S447" s="22">
        <f t="shared" ca="1" si="1218"/>
        <v>0.85937693167686091</v>
      </c>
      <c r="T447" s="21">
        <f ca="1">F447/24.792</f>
        <v>241.4380445304937</v>
      </c>
      <c r="U447" s="21">
        <f t="shared" ca="1" si="1219"/>
        <v>8.0479348176831227</v>
      </c>
      <c r="V447" s="18">
        <f t="shared" ca="1" si="1220"/>
        <v>171.46666666666667</v>
      </c>
      <c r="W447" s="76"/>
      <c r="X447" s="8">
        <v>4</v>
      </c>
      <c r="Y447" s="8" t="s">
        <v>38</v>
      </c>
      <c r="Z447" s="8">
        <f t="shared" ref="Z447:AI447" si="1245">SUM(D450)</f>
        <v>30</v>
      </c>
      <c r="AA447" s="9">
        <f t="shared" ca="1" si="1245"/>
        <v>28</v>
      </c>
      <c r="AB447" s="10">
        <f t="shared" ca="1" si="1245"/>
        <v>5873.259</v>
      </c>
      <c r="AC447" s="9">
        <f t="shared" ca="1" si="1245"/>
        <v>2282</v>
      </c>
      <c r="AD447" s="9">
        <f t="shared" ca="1" si="1245"/>
        <v>61</v>
      </c>
      <c r="AE447" s="9">
        <f t="shared" ca="1" si="1245"/>
        <v>2343</v>
      </c>
      <c r="AF447" s="9">
        <f t="shared" ca="1" si="1245"/>
        <v>2568</v>
      </c>
      <c r="AG447" s="9">
        <f t="shared" ca="1" si="1245"/>
        <v>0</v>
      </c>
      <c r="AH447" s="9">
        <f t="shared" ca="1" si="1245"/>
        <v>2568</v>
      </c>
      <c r="AI447" s="9">
        <f t="shared" ca="1" si="1245"/>
        <v>4911</v>
      </c>
      <c r="AJ447" s="11">
        <f t="shared" ca="1" si="1232"/>
        <v>209.75925000000001</v>
      </c>
      <c r="AK447" s="8">
        <v>7324</v>
      </c>
      <c r="AL447" s="12">
        <f t="shared" ca="1" si="1234"/>
        <v>0.67053522665210263</v>
      </c>
      <c r="AM447" s="13">
        <f>SUM(Q450)</f>
        <v>1.5</v>
      </c>
      <c r="AN447" s="12">
        <f t="shared" ca="1" si="1236"/>
        <v>0.55744178828142943</v>
      </c>
      <c r="AO447" s="14">
        <f t="shared" ca="1" si="1237"/>
        <v>0.8361626824221442</v>
      </c>
      <c r="AP447" s="13">
        <f t="shared" ref="AP447:AQ447" ca="1" si="1246">SUM(T450)</f>
        <v>142.53753185293047</v>
      </c>
      <c r="AQ447" s="13">
        <f t="shared" ca="1" si="1246"/>
        <v>5.0906261376046595</v>
      </c>
      <c r="AR447" s="9">
        <f t="shared" ca="1" si="1239"/>
        <v>175.39285714285714</v>
      </c>
      <c r="AS447" s="76"/>
      <c r="AT447" s="76"/>
    </row>
    <row r="448" spans="1:46" ht="15.75" customHeight="1" x14ac:dyDescent="0.25">
      <c r="A448" s="70"/>
      <c r="B448" s="16">
        <v>12</v>
      </c>
      <c r="C448" s="16" t="s">
        <v>39</v>
      </c>
      <c r="D448" s="17">
        <v>28</v>
      </c>
      <c r="E448" s="18">
        <f ca="1">IFERROR(__xludf.DUMMYFUNCTION("COUNT(IMPORTRANGE(""https://docs.google.com/spreadsheets/d/1uaTn2DZCfr7O1PvovOd0wElzVz8kpl_iPfnrkNPp0Is/edit"",""17!d2:d29""))"),28)</f>
        <v>28</v>
      </c>
      <c r="F448" s="23">
        <f ca="1">IFERROR(__xludf.DUMMYFUNCTION("SUM(IMPORTRANGE(""https://docs.google.com/spreadsheets/d/1uaTn2DZCfr7O1PvovOd0wElzVz8kpl_iPfnrkNPp0Is/edit"",""17!Q2:Q29""))"),5373.026)</f>
        <v>5373.0259999999998</v>
      </c>
      <c r="G448" s="18">
        <f ca="1">IFERROR(__xludf.DUMMYFUNCTION("IMPORTRANGE(""https://docs.google.com/spreadsheets/d/1uaTn2DZCfr7O1PvovOd0wElzVz8kpl_iPfnrkNPp0Is/edit"",""17!e36"")"),1182)</f>
        <v>1182</v>
      </c>
      <c r="H448" s="18">
        <f ca="1">IFERROR(__xludf.DUMMYFUNCTION("(IMPORTRANGE(""https://docs.google.com/spreadsheets/d/1uaTn2DZCfr7O1PvovOd0wElzVz8kpl_iPfnrkNPp0Is/edit"",""17!e37""))"),0)</f>
        <v>0</v>
      </c>
      <c r="I448" s="18">
        <f t="shared" ca="1" si="1212"/>
        <v>1182</v>
      </c>
      <c r="J448" s="18">
        <f ca="1">IFERROR(__xludf.DUMMYFUNCTION("IMPORTRANGE(""https://docs.google.com/spreadsheets/d/1uaTn2DZCfr7O1PvovOd0wElzVz8kpl_iPfnrkNPp0Is/edit"",""17!e40"")"),1715)</f>
        <v>1715</v>
      </c>
      <c r="K448" s="18">
        <f ca="1">IFERROR(__xludf.DUMMYFUNCTION("IMPORTRANGE(""https://docs.google.com/spreadsheets/d/1uaTn2DZCfr7O1PvovOd0wElzVz8kpl_iPfnrkNPp0Is/edit"",""17!e41"")"),0)</f>
        <v>0</v>
      </c>
      <c r="L448" s="18">
        <f t="shared" ca="1" si="1242"/>
        <v>1715</v>
      </c>
      <c r="M448" s="18">
        <f t="shared" ca="1" si="1214"/>
        <v>2897</v>
      </c>
      <c r="N448" s="19">
        <f t="shared" ca="1" si="1215"/>
        <v>191.89378571428571</v>
      </c>
      <c r="O448" s="16">
        <v>3569</v>
      </c>
      <c r="P448" s="20">
        <f t="shared" ca="1" si="1216"/>
        <v>0.8117119641356122</v>
      </c>
      <c r="Q448" s="21">
        <v>1.5</v>
      </c>
      <c r="R448" s="20">
        <f t="shared" ca="1" si="1217"/>
        <v>0.35944983950074566</v>
      </c>
      <c r="S448" s="22">
        <f t="shared" ca="1" si="1218"/>
        <v>0.53917475925111846</v>
      </c>
      <c r="T448" s="21">
        <f ca="1">F448/21.463</f>
        <v>250.33900200344777</v>
      </c>
      <c r="U448" s="21">
        <f t="shared" ca="1" si="1219"/>
        <v>8.9406786429802771</v>
      </c>
      <c r="V448" s="18">
        <f t="shared" ca="1" si="1220"/>
        <v>103.46428571428571</v>
      </c>
      <c r="W448" s="76"/>
      <c r="X448" s="8">
        <v>5</v>
      </c>
      <c r="Y448" s="8" t="s">
        <v>40</v>
      </c>
      <c r="Z448" s="8">
        <f t="shared" ref="Z448:AI448" si="1247">SUM(D452)</f>
        <v>30</v>
      </c>
      <c r="AA448" s="9">
        <f t="shared" ca="1" si="1247"/>
        <v>30</v>
      </c>
      <c r="AB448" s="10">
        <f t="shared" ca="1" si="1247"/>
        <v>5703.4879999999903</v>
      </c>
      <c r="AC448" s="9">
        <f t="shared" ca="1" si="1247"/>
        <v>3482</v>
      </c>
      <c r="AD448" s="9">
        <f t="shared" ca="1" si="1247"/>
        <v>137</v>
      </c>
      <c r="AE448" s="9">
        <f t="shared" ca="1" si="1247"/>
        <v>3619</v>
      </c>
      <c r="AF448" s="9">
        <f t="shared" ca="1" si="1247"/>
        <v>3819</v>
      </c>
      <c r="AG448" s="9">
        <f t="shared" ca="1" si="1247"/>
        <v>135</v>
      </c>
      <c r="AH448" s="9">
        <f t="shared" ca="1" si="1247"/>
        <v>3954</v>
      </c>
      <c r="AI448" s="9">
        <f t="shared" ca="1" si="1247"/>
        <v>7573</v>
      </c>
      <c r="AJ448" s="11">
        <f t="shared" ca="1" si="1232"/>
        <v>190.11626666666635</v>
      </c>
      <c r="AK448" s="8">
        <f t="shared" ref="AK448:AK449" si="1248">SUM(O452)</f>
        <v>8239</v>
      </c>
      <c r="AL448" s="12">
        <f t="shared" ca="1" si="1234"/>
        <v>0.91916494720233033</v>
      </c>
      <c r="AM448" s="13">
        <f t="shared" ref="AM448:AM449" si="1249">SUM(Q452)</f>
        <v>1.5</v>
      </c>
      <c r="AN448" s="12">
        <f t="shared" ca="1" si="1236"/>
        <v>0.88518932040650833</v>
      </c>
      <c r="AO448" s="14">
        <f t="shared" ca="1" si="1237"/>
        <v>1.3277839806097624</v>
      </c>
      <c r="AP448" s="13">
        <f t="shared" ref="AP448:AQ448" ca="1" si="1250">SUM(T452)</f>
        <v>200.52343283057309</v>
      </c>
      <c r="AQ448" s="13">
        <f t="shared" ca="1" si="1250"/>
        <v>6.6841144276857696</v>
      </c>
      <c r="AR448" s="9">
        <f t="shared" ca="1" si="1239"/>
        <v>252.43333333333334</v>
      </c>
      <c r="AS448" s="76"/>
      <c r="AT448" s="76"/>
    </row>
    <row r="449" spans="1:46" ht="15.75" customHeight="1" x14ac:dyDescent="0.25">
      <c r="A449" s="70"/>
      <c r="B449" s="16">
        <v>12</v>
      </c>
      <c r="C449" s="16" t="s">
        <v>41</v>
      </c>
      <c r="D449" s="17">
        <v>24</v>
      </c>
      <c r="E449" s="18">
        <f ca="1">IFERROR(__xludf.DUMMYFUNCTION("COUNT(IMPORTRANGE(""https://docs.google.com/spreadsheets/d/1oYscvfOJW7GMkxt8QcupWuzb3ohaYePd3Mt2V2ufHok/edit"",""17!d2:d25""))"),23)</f>
        <v>23</v>
      </c>
      <c r="F449" s="23">
        <f ca="1">IFERROR(__xludf.DUMMYFUNCTION("SUM(IMPORTRANGE(""https://docs.google.com/spreadsheets/d/1oYscvfOJW7GMkxt8QcupWuzb3ohaYePd3Mt2V2ufHok/edit"",""17!Q2:Q25""))"),4539.668)</f>
        <v>4539.6679999999997</v>
      </c>
      <c r="G449" s="18">
        <f ca="1">IFERROR(__xludf.DUMMYFUNCTION("IMPORTRANGE(""https://docs.google.com/spreadsheets/d/1oYscvfOJW7GMkxt8QcupWuzb3ohaYePd3Mt2V2ufHok/edit"",""17!e32"")"),1275)</f>
        <v>1275</v>
      </c>
      <c r="H449" s="18">
        <f ca="1">IFERROR(__xludf.DUMMYFUNCTION("IMPORTRANGE(""https://docs.google.com/spreadsheets/d/1oYscvfOJW7GMkxt8QcupWuzb3ohaYePd3Mt2V2ufHok/edit"",""17!e33"")"),0)</f>
        <v>0</v>
      </c>
      <c r="I449" s="18">
        <f t="shared" ca="1" si="1212"/>
        <v>1275</v>
      </c>
      <c r="J449" s="18">
        <f ca="1">IFERROR(__xludf.DUMMYFUNCTION("IMPORTRANGE(""https://docs.google.com/spreadsheets/d/1oYscvfOJW7GMkxt8QcupWuzb3ohaYePd3Mt2V2ufHok/edit"",""17!e36"")"),1628)</f>
        <v>1628</v>
      </c>
      <c r="K449" s="18">
        <f ca="1">IFERROR(__xludf.DUMMYFUNCTION("IMPORTRANGE(""https://docs.google.com/spreadsheets/d/1oYscvfOJW7GMkxt8QcupWuzb3ohaYePd3Mt2V2ufHok/edit"",""17!e37"")"),0)</f>
        <v>0</v>
      </c>
      <c r="L449" s="18">
        <f t="shared" ca="1" si="1242"/>
        <v>1628</v>
      </c>
      <c r="M449" s="18">
        <f t="shared" ca="1" si="1214"/>
        <v>2903</v>
      </c>
      <c r="N449" s="19">
        <f t="shared" ca="1" si="1215"/>
        <v>197.37686956521739</v>
      </c>
      <c r="O449" s="16">
        <v>3801</v>
      </c>
      <c r="P449" s="20">
        <f t="shared" ca="1" si="1216"/>
        <v>0.76374638253091287</v>
      </c>
      <c r="Q449" s="21">
        <v>1.5</v>
      </c>
      <c r="R449" s="20">
        <f t="shared" ca="1" si="1217"/>
        <v>0.42631605071854012</v>
      </c>
      <c r="S449" s="22">
        <f t="shared" ca="1" si="1218"/>
        <v>0.63947407607781015</v>
      </c>
      <c r="T449" s="21">
        <f ca="1">F449/29.628</f>
        <v>153.2222222222222</v>
      </c>
      <c r="U449" s="21">
        <f t="shared" ca="1" si="1219"/>
        <v>6.6618357487922699</v>
      </c>
      <c r="V449" s="18">
        <f t="shared" ca="1" si="1220"/>
        <v>126.21739130434783</v>
      </c>
      <c r="W449" s="76"/>
      <c r="X449" s="8">
        <v>6</v>
      </c>
      <c r="Y449" s="8" t="s">
        <v>42</v>
      </c>
      <c r="Z449" s="8">
        <f t="shared" ref="Z449:AI449" si="1251">SUM(D453)</f>
        <v>33</v>
      </c>
      <c r="AA449" s="9">
        <f t="shared" ca="1" si="1251"/>
        <v>32</v>
      </c>
      <c r="AB449" s="10">
        <f t="shared" ca="1" si="1251"/>
        <v>6240.2759999999898</v>
      </c>
      <c r="AC449" s="9">
        <f t="shared" ca="1" si="1251"/>
        <v>3520</v>
      </c>
      <c r="AD449" s="9">
        <f t="shared" ca="1" si="1251"/>
        <v>0</v>
      </c>
      <c r="AE449" s="9">
        <f t="shared" ca="1" si="1251"/>
        <v>3520</v>
      </c>
      <c r="AF449" s="9">
        <f t="shared" ca="1" si="1251"/>
        <v>4058</v>
      </c>
      <c r="AG449" s="9">
        <f t="shared" ca="1" si="1251"/>
        <v>0</v>
      </c>
      <c r="AH449" s="9">
        <f t="shared" ca="1" si="1251"/>
        <v>4058</v>
      </c>
      <c r="AI449" s="9">
        <f t="shared" ca="1" si="1251"/>
        <v>7578</v>
      </c>
      <c r="AJ449" s="11">
        <f t="shared" ca="1" si="1232"/>
        <v>195.00862499999968</v>
      </c>
      <c r="AK449" s="8">
        <f t="shared" si="1248"/>
        <v>9877</v>
      </c>
      <c r="AL449" s="12">
        <f t="shared" ca="1" si="1234"/>
        <v>0.76723701528804289</v>
      </c>
      <c r="AM449" s="13">
        <f t="shared" si="1249"/>
        <v>1.5</v>
      </c>
      <c r="AN449" s="12">
        <f t="shared" ca="1" si="1236"/>
        <v>0.80957957628797317</v>
      </c>
      <c r="AO449" s="14">
        <f t="shared" ca="1" si="1237"/>
        <v>1.2143693644319598</v>
      </c>
      <c r="AP449" s="13">
        <f t="shared" ref="AP449:AQ449" ca="1" si="1252">SUM(T453)</f>
        <v>238.58826228254597</v>
      </c>
      <c r="AQ449" s="13">
        <f t="shared" ca="1" si="1252"/>
        <v>7.4558831963295615</v>
      </c>
      <c r="AR449" s="9">
        <f t="shared" ca="1" si="1239"/>
        <v>236.8125</v>
      </c>
      <c r="AS449" s="76"/>
      <c r="AT449" s="76"/>
    </row>
    <row r="450" spans="1:46" ht="15.75" customHeight="1" x14ac:dyDescent="0.25">
      <c r="A450" s="70"/>
      <c r="B450" s="16">
        <v>13</v>
      </c>
      <c r="C450" s="16" t="s">
        <v>43</v>
      </c>
      <c r="D450" s="17">
        <v>30</v>
      </c>
      <c r="E450" s="18">
        <f ca="1">IFERROR(__xludf.DUMMYFUNCTION("COUNT(IMPORTRANGE(""https://docs.google.com/spreadsheets/d/1AxBmuQEdOYAeRnZ4C8vO6kuTNp7X_SGhpLXuY0n4ln4/edit"",""17!d2:d31""))"),28)</f>
        <v>28</v>
      </c>
      <c r="F450" s="23">
        <f ca="1">IFERROR(__xludf.DUMMYFUNCTION("SUM(IMPORTRANGE(""https://docs.google.com/spreadsheets/d/1AxBmuQEdOYAeRnZ4C8vO6kuTNp7X_SGhpLXuY0n4ln4/edit"",""17!Q2:Q31""))"),5873.259)</f>
        <v>5873.259</v>
      </c>
      <c r="G450" s="18">
        <f ca="1">IFERROR(__xludf.DUMMYFUNCTION("IMPORTRANGE(""https://docs.google.com/spreadsheets/d/1AxBmuQEdOYAeRnZ4C8vO6kuTNp7X_SGhpLXuY0n4ln4/edit"",""17!e38"")"),2282)</f>
        <v>2282</v>
      </c>
      <c r="H450" s="18">
        <f ca="1">IFERROR(__xludf.DUMMYFUNCTION("IMPORTRANGE(""https://docs.google.com/spreadsheets/d/1AxBmuQEdOYAeRnZ4C8vO6kuTNp7X_SGhpLXuY0n4ln4/edit"",""17!e39"")"),61)</f>
        <v>61</v>
      </c>
      <c r="I450" s="18">
        <f t="shared" ca="1" si="1212"/>
        <v>2343</v>
      </c>
      <c r="J450" s="18">
        <f ca="1">IFERROR(__xludf.DUMMYFUNCTION("IMPORTRANGE(""https://docs.google.com/spreadsheets/d/1AxBmuQEdOYAeRnZ4C8vO6kuTNp7X_SGhpLXuY0n4ln4/edit"",""17!e42"")"),2568)</f>
        <v>2568</v>
      </c>
      <c r="K450" s="18">
        <f ca="1">IFERROR(__xludf.DUMMYFUNCTION("IMPORTRANGE(""https://docs.google.com/spreadsheets/d/1AxBmuQEdOYAeRnZ4C8vO6kuTNp7X_SGhpLXuY0n4ln4/edit"",""17!e43"")"),0)</f>
        <v>0</v>
      </c>
      <c r="L450" s="18">
        <f t="shared" ca="1" si="1242"/>
        <v>2568</v>
      </c>
      <c r="M450" s="18">
        <f t="shared" ca="1" si="1214"/>
        <v>4911</v>
      </c>
      <c r="N450" s="19">
        <f t="shared" ca="1" si="1215"/>
        <v>209.75925000000001</v>
      </c>
      <c r="O450" s="16">
        <v>8345</v>
      </c>
      <c r="P450" s="20">
        <f t="shared" ca="1" si="1216"/>
        <v>0.58849610545236664</v>
      </c>
      <c r="Q450" s="21">
        <v>1.5</v>
      </c>
      <c r="R450" s="20">
        <f t="shared" ca="1" si="1217"/>
        <v>0.55744178828142943</v>
      </c>
      <c r="S450" s="22">
        <f t="shared" ca="1" si="1218"/>
        <v>0.8361626824221442</v>
      </c>
      <c r="T450" s="21">
        <f ca="1">F450/41.205</f>
        <v>142.53753185293047</v>
      </c>
      <c r="U450" s="21">
        <f t="shared" ca="1" si="1219"/>
        <v>5.0906261376046595</v>
      </c>
      <c r="V450" s="18">
        <f t="shared" ca="1" si="1220"/>
        <v>175.39285714285714</v>
      </c>
      <c r="W450" s="76"/>
      <c r="X450" s="24" t="s">
        <v>33</v>
      </c>
      <c r="Y450" s="24">
        <v>6</v>
      </c>
      <c r="Z450" s="24">
        <f t="shared" ref="Z450:AI450" si="1253">SUM(Z444:Z449)</f>
        <v>226</v>
      </c>
      <c r="AA450" s="25">
        <f t="shared" ca="1" si="1253"/>
        <v>219</v>
      </c>
      <c r="AB450" s="27">
        <f t="shared" ca="1" si="1253"/>
        <v>36967.618999999882</v>
      </c>
      <c r="AC450" s="25">
        <f t="shared" ca="1" si="1253"/>
        <v>18485</v>
      </c>
      <c r="AD450" s="25">
        <f t="shared" ca="1" si="1253"/>
        <v>304</v>
      </c>
      <c r="AE450" s="25">
        <f t="shared" ca="1" si="1253"/>
        <v>18789</v>
      </c>
      <c r="AF450" s="25">
        <f t="shared" ca="1" si="1253"/>
        <v>21264</v>
      </c>
      <c r="AG450" s="25">
        <f t="shared" ca="1" si="1253"/>
        <v>405</v>
      </c>
      <c r="AH450" s="25">
        <f t="shared" ca="1" si="1253"/>
        <v>21669</v>
      </c>
      <c r="AI450" s="25">
        <f t="shared" ca="1" si="1253"/>
        <v>40458</v>
      </c>
      <c r="AJ450" s="27">
        <f t="shared" ca="1" si="1232"/>
        <v>168.8019132420086</v>
      </c>
      <c r="AK450" s="24">
        <f>SUM(AK444:AK449)</f>
        <v>53273</v>
      </c>
      <c r="AL450" s="28">
        <f t="shared" ca="1" si="1234"/>
        <v>0.75944662399339258</v>
      </c>
      <c r="AM450" s="29">
        <v>1.5</v>
      </c>
      <c r="AN450" s="28">
        <f t="shared" ca="1" si="1236"/>
        <v>0.7296115013520369</v>
      </c>
      <c r="AO450" s="30">
        <f t="shared" ca="1" si="1237"/>
        <v>1.0944172520280553</v>
      </c>
      <c r="AP450" s="29">
        <f ca="1">SUM(AP444:AP449)</f>
        <v>1218.7380424380358</v>
      </c>
      <c r="AQ450" s="29">
        <f ca="1">AP450/AA450</f>
        <v>5.5650138924111223</v>
      </c>
      <c r="AR450" s="25">
        <f t="shared" ca="1" si="1239"/>
        <v>184.73972602739727</v>
      </c>
      <c r="AS450" s="76"/>
      <c r="AT450" s="76"/>
    </row>
    <row r="451" spans="1:46" ht="15.75" customHeight="1" x14ac:dyDescent="0.25">
      <c r="A451" s="70"/>
      <c r="B451" s="16">
        <v>14</v>
      </c>
      <c r="C451" s="16" t="s">
        <v>27</v>
      </c>
      <c r="D451" s="17">
        <v>30</v>
      </c>
      <c r="E451" s="18">
        <f ca="1">IFERROR(__xludf.DUMMYFUNCTION("COUNT(IMPORTRANGE(""https://docs.google.com/spreadsheets/d/1LsL4JuXvBtfJ-TVi4NFml9lV_pmd61b789A_nbO-QrA/edit"",""17!d2:d31""))"),27)</f>
        <v>27</v>
      </c>
      <c r="F451" s="23">
        <f ca="1">IFERROR(__xludf.DUMMYFUNCTION("SUM(IMPORTRANGE(""https://docs.google.com/spreadsheets/d/1LsL4JuXvBtfJ-TVi4NFml9lV_pmd61b789A_nbO-QrA/edit"",""17!Q2:Q31""))"),5172.008)</f>
        <v>5172.0079999999998</v>
      </c>
      <c r="G451" s="18">
        <f ca="1">IFERROR(__xludf.DUMMYFUNCTION("IMPORTRANGE(""https://docs.google.com/spreadsheets/d/1LsL4JuXvBtfJ-TVi4NFml9lV_pmd61b789A_nbO-QrA/edit"",""17!e38"")"),2470)</f>
        <v>2470</v>
      </c>
      <c r="H451" s="18">
        <f ca="1">IFERROR(__xludf.DUMMYFUNCTION("IMPORTRANGE(""https://docs.google.com/spreadsheets/d/1LsL4JuXvBtfJ-TVi4NFml9lV_pmd61b789A_nbO-QrA/edit"",""17!e39"")"),53)</f>
        <v>53</v>
      </c>
      <c r="I451" s="18">
        <f t="shared" ca="1" si="1212"/>
        <v>2523</v>
      </c>
      <c r="J451" s="18">
        <f ca="1">IFERROR(__xludf.DUMMYFUNCTION("IMPORTRANGE(""https://docs.google.com/spreadsheets/d/1LsL4JuXvBtfJ-TVi4NFml9lV_pmd61b789A_nbO-QrA/edit"",""17!e42"")"),2954)</f>
        <v>2954</v>
      </c>
      <c r="K451" s="18">
        <f ca="1">IFERROR(__xludf.DUMMYFUNCTION("IMPORTRANGE(""https://docs.google.com/spreadsheets/d/1LsL4JuXvBtfJ-TVi4NFml9lV_pmd61b789A_nbO-QrA/edit"",""17!e43"")"),0)</f>
        <v>0</v>
      </c>
      <c r="L451" s="18">
        <f t="shared" ca="1" si="1242"/>
        <v>2954</v>
      </c>
      <c r="M451" s="18">
        <f t="shared" ca="1" si="1214"/>
        <v>5477</v>
      </c>
      <c r="N451" s="19">
        <f t="shared" ca="1" si="1215"/>
        <v>191.55585185185186</v>
      </c>
      <c r="O451" s="16">
        <v>8101</v>
      </c>
      <c r="P451" s="20">
        <f t="shared" ca="1" si="1216"/>
        <v>0.67608937168250838</v>
      </c>
      <c r="Q451" s="21">
        <v>1.5</v>
      </c>
      <c r="R451" s="20">
        <f t="shared" ca="1" si="1217"/>
        <v>0.70597983091544592</v>
      </c>
      <c r="S451" s="22">
        <f t="shared" ca="1" si="1218"/>
        <v>1.0589697463731689</v>
      </c>
      <c r="T451" s="21">
        <f ca="1">F451/19.985</f>
        <v>258.79449587190391</v>
      </c>
      <c r="U451" s="21">
        <f t="shared" ca="1" si="1219"/>
        <v>9.5849813285890342</v>
      </c>
      <c r="V451" s="18">
        <f t="shared" ca="1" si="1220"/>
        <v>202.85185185185185</v>
      </c>
      <c r="W451" s="76"/>
      <c r="X451" s="97" t="s">
        <v>44</v>
      </c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9"/>
      <c r="AS451" s="76"/>
      <c r="AT451" s="76"/>
    </row>
    <row r="452" spans="1:46" ht="15.75" customHeight="1" x14ac:dyDescent="0.25">
      <c r="A452" s="70"/>
      <c r="B452" s="16">
        <v>15</v>
      </c>
      <c r="C452" s="16" t="s">
        <v>40</v>
      </c>
      <c r="D452" s="17">
        <v>30</v>
      </c>
      <c r="E452" s="18">
        <f ca="1">IFERROR(__xludf.DUMMYFUNCTION("COUNT(IMPORTRANGE(""https://docs.google.com/spreadsheets/d/1Krav0MVlY0vbUNsFRDnb_kR72_tyuGnWBYbGjNZrl18/edit"",""17!d2:d31""))"),30)</f>
        <v>30</v>
      </c>
      <c r="F452" s="23">
        <f ca="1">IFERROR(__xludf.DUMMYFUNCTION("SUM(IMPORTRANGE(""https://docs.google.com/spreadsheets/d/1Krav0MVlY0vbUNsFRDnb_kR72_tyuGnWBYbGjNZrl18/edit"",""17!Q2:Q31""))"),5703.48799999999)</f>
        <v>5703.4879999999903</v>
      </c>
      <c r="G452" s="18">
        <f ca="1">IFERROR(__xludf.DUMMYFUNCTION("IMPORTRANGE(""https://docs.google.com/spreadsheets/d/1Krav0MVlY0vbUNsFRDnb_kR72_tyuGnWBYbGjNZrl18/edit"",""17!e38"")"),3482)</f>
        <v>3482</v>
      </c>
      <c r="H452" s="18">
        <f ca="1">IFERROR(__xludf.DUMMYFUNCTION("IMPORTRANGE(""https://docs.google.com/spreadsheets/d/1Krav0MVlY0vbUNsFRDnb_kR72_tyuGnWBYbGjNZrl18/edit"",""17!e39"")"),137)</f>
        <v>137</v>
      </c>
      <c r="I452" s="18">
        <f t="shared" ca="1" si="1212"/>
        <v>3619</v>
      </c>
      <c r="J452" s="18">
        <f ca="1">IFERROR(__xludf.DUMMYFUNCTION("IMPORTRANGE(""https://docs.google.com/spreadsheets/d/1Krav0MVlY0vbUNsFRDnb_kR72_tyuGnWBYbGjNZrl18/edit"",""17!e42"")"),3819)</f>
        <v>3819</v>
      </c>
      <c r="K452" s="18">
        <f ca="1">IFERROR(__xludf.DUMMYFUNCTION("IMPORTRANGE(""https://docs.google.com/spreadsheets/d/1Krav0MVlY0vbUNsFRDnb_kR72_tyuGnWBYbGjNZrl18/edit"",""17!e43"")"),135)</f>
        <v>135</v>
      </c>
      <c r="L452" s="18">
        <f t="shared" ca="1" si="1242"/>
        <v>3954</v>
      </c>
      <c r="M452" s="18">
        <f t="shared" ca="1" si="1214"/>
        <v>7573</v>
      </c>
      <c r="N452" s="19">
        <f t="shared" ca="1" si="1215"/>
        <v>190.11626666666635</v>
      </c>
      <c r="O452" s="16">
        <v>8239</v>
      </c>
      <c r="P452" s="20">
        <f t="shared" ca="1" si="1216"/>
        <v>0.91916494720233033</v>
      </c>
      <c r="Q452" s="21">
        <v>1.5</v>
      </c>
      <c r="R452" s="20">
        <f t="shared" ca="1" si="1217"/>
        <v>0.88518932040650833</v>
      </c>
      <c r="S452" s="22">
        <f t="shared" ca="1" si="1218"/>
        <v>1.3277839806097624</v>
      </c>
      <c r="T452" s="21">
        <f ca="1">F452/28.443</f>
        <v>200.52343283057309</v>
      </c>
      <c r="U452" s="21">
        <f t="shared" ca="1" si="1219"/>
        <v>6.6841144276857696</v>
      </c>
      <c r="V452" s="18">
        <f t="shared" ca="1" si="1220"/>
        <v>252.43333333333334</v>
      </c>
      <c r="W452" s="76"/>
      <c r="X452" s="1" t="s">
        <v>2</v>
      </c>
      <c r="Y452" s="1" t="s">
        <v>3</v>
      </c>
      <c r="Z452" s="1" t="s">
        <v>4</v>
      </c>
      <c r="AA452" s="1" t="s">
        <v>5</v>
      </c>
      <c r="AB452" s="2" t="s">
        <v>6</v>
      </c>
      <c r="AC452" s="1" t="s">
        <v>7</v>
      </c>
      <c r="AD452" s="1" t="s">
        <v>8</v>
      </c>
      <c r="AE452" s="1" t="s">
        <v>9</v>
      </c>
      <c r="AF452" s="1" t="s">
        <v>10</v>
      </c>
      <c r="AG452" s="1" t="s">
        <v>11</v>
      </c>
      <c r="AH452" s="1" t="s">
        <v>12</v>
      </c>
      <c r="AI452" s="1" t="s">
        <v>13</v>
      </c>
      <c r="AJ452" s="2" t="s">
        <v>14</v>
      </c>
      <c r="AK452" s="1" t="s">
        <v>15</v>
      </c>
      <c r="AL452" s="1" t="s">
        <v>16</v>
      </c>
      <c r="AM452" s="3" t="s">
        <v>17</v>
      </c>
      <c r="AN452" s="4" t="s">
        <v>18</v>
      </c>
      <c r="AO452" s="5" t="s">
        <v>19</v>
      </c>
      <c r="AP452" s="6" t="s">
        <v>20</v>
      </c>
      <c r="AQ452" s="6" t="s">
        <v>21</v>
      </c>
      <c r="AR452" s="7" t="s">
        <v>22</v>
      </c>
      <c r="AS452" s="76"/>
      <c r="AT452" s="76"/>
    </row>
    <row r="453" spans="1:46" ht="15.75" customHeight="1" x14ac:dyDescent="0.25">
      <c r="A453" s="70"/>
      <c r="B453" s="16">
        <v>16</v>
      </c>
      <c r="C453" s="16" t="s">
        <v>42</v>
      </c>
      <c r="D453" s="17">
        <v>33</v>
      </c>
      <c r="E453" s="18">
        <f ca="1">IFERROR(__xludf.DUMMYFUNCTION("COUNT(IMPORTRANGE(""https://docs.google.com/spreadsheets/d/1uXtm-E8PG0CetlFmSpTX3RK0LNEMnpR-mxbET9AGD6w/edit"",""17!d2:d34""))"),32)</f>
        <v>32</v>
      </c>
      <c r="F453" s="23">
        <f ca="1">IFERROR(__xludf.DUMMYFUNCTION("SUM(IMPORTRANGE(""https://docs.google.com/spreadsheets/d/1uXtm-E8PG0CetlFmSpTX3RK0LNEMnpR-mxbET9AGD6w/edit"",""17!Q2:Q34""))"),6240.27599999999)</f>
        <v>6240.2759999999898</v>
      </c>
      <c r="G453" s="18">
        <f ca="1">IFERROR(__xludf.DUMMYFUNCTION("IMPORTRANGE(""https://docs.google.com/spreadsheets/d/1uXtm-E8PG0CetlFmSpTX3RK0LNEMnpR-mxbET9AGD6w/edit"",""17!e41"")"),3520)</f>
        <v>3520</v>
      </c>
      <c r="H453" s="18">
        <f ca="1">IFERROR(__xludf.DUMMYFUNCTION("IMPORTRANGE(""https://docs.google.com/spreadsheets/d/1uXtm-E8PG0CetlFmSpTX3RK0LNEMnpR-mxbET9AGD6w/edit"",""17!e42"")"),0)</f>
        <v>0</v>
      </c>
      <c r="I453" s="18">
        <f t="shared" ca="1" si="1212"/>
        <v>3520</v>
      </c>
      <c r="J453" s="18">
        <f ca="1">IFERROR(__xludf.DUMMYFUNCTION("IMPORTRANGE(""https://docs.google.com/spreadsheets/d/1uXtm-E8PG0CetlFmSpTX3RK0LNEMnpR-mxbET9AGD6w/edit"",""17!e45"")"),4058)</f>
        <v>4058</v>
      </c>
      <c r="K453" s="18">
        <f ca="1">IFERROR(__xludf.DUMMYFUNCTION("IMPORTRANGE(""https://docs.google.com/spreadsheets/d/1uXtm-E8PG0CetlFmSpTX3RK0LNEMnpR-mxbET9AGD6w/edit"",""17!e46"")"),0)</f>
        <v>0</v>
      </c>
      <c r="L453" s="18">
        <f t="shared" ca="1" si="1242"/>
        <v>4058</v>
      </c>
      <c r="M453" s="18">
        <f t="shared" ca="1" si="1214"/>
        <v>7578</v>
      </c>
      <c r="N453" s="19">
        <f t="shared" ca="1" si="1215"/>
        <v>195.00862499999968</v>
      </c>
      <c r="O453" s="16">
        <v>9877</v>
      </c>
      <c r="P453" s="20">
        <f t="shared" ca="1" si="1216"/>
        <v>0.76723701528804289</v>
      </c>
      <c r="Q453" s="21">
        <v>1.5</v>
      </c>
      <c r="R453" s="20">
        <f t="shared" ca="1" si="1217"/>
        <v>0.80957957628797317</v>
      </c>
      <c r="S453" s="22">
        <f t="shared" ca="1" si="1218"/>
        <v>1.2143693644319598</v>
      </c>
      <c r="T453" s="21">
        <f ca="1">F453/26.155</f>
        <v>238.58826228254597</v>
      </c>
      <c r="U453" s="21">
        <f t="shared" ca="1" si="1219"/>
        <v>7.4558831963295615</v>
      </c>
      <c r="V453" s="18">
        <f t="shared" ca="1" si="1220"/>
        <v>236.8125</v>
      </c>
      <c r="W453" s="76"/>
      <c r="X453" s="8">
        <v>1</v>
      </c>
      <c r="Y453" s="8" t="s">
        <v>26</v>
      </c>
      <c r="Z453" s="8">
        <f t="shared" ref="Z453:AI453" si="1254">SUM(D438)</f>
        <v>20</v>
      </c>
      <c r="AA453" s="9">
        <f t="shared" ca="1" si="1254"/>
        <v>19</v>
      </c>
      <c r="AB453" s="11">
        <f t="shared" ca="1" si="1254"/>
        <v>3416.8139999999999</v>
      </c>
      <c r="AC453" s="9">
        <f t="shared" ca="1" si="1254"/>
        <v>2162</v>
      </c>
      <c r="AD453" s="9">
        <f t="shared" ca="1" si="1254"/>
        <v>0</v>
      </c>
      <c r="AE453" s="9">
        <f t="shared" ca="1" si="1254"/>
        <v>2162</v>
      </c>
      <c r="AF453" s="9">
        <f t="shared" ca="1" si="1254"/>
        <v>2612</v>
      </c>
      <c r="AG453" s="9">
        <f t="shared" ca="1" si="1254"/>
        <v>0</v>
      </c>
      <c r="AH453" s="9">
        <f t="shared" ca="1" si="1254"/>
        <v>2612</v>
      </c>
      <c r="AI453" s="9">
        <f t="shared" ca="1" si="1254"/>
        <v>4774</v>
      </c>
      <c r="AJ453" s="11">
        <f t="shared" ref="AJ453:AJ459" ca="1" si="1255">AB453/AA453</f>
        <v>179.83231578947368</v>
      </c>
      <c r="AK453" s="8">
        <f>SUM(O438)</f>
        <v>5161</v>
      </c>
      <c r="AL453" s="12">
        <f t="shared" ref="AL453:AL459" ca="1" si="1256">AI453/AK453</f>
        <v>0.92501453206742879</v>
      </c>
      <c r="AM453" s="13">
        <f>SUM(Q438)</f>
        <v>1.5</v>
      </c>
      <c r="AN453" s="12">
        <f t="shared" ref="AN453:AN459" ca="1" si="1257">AO453/AM453</f>
        <v>0.9314720282305875</v>
      </c>
      <c r="AO453" s="14">
        <f t="shared" ref="AO453:AO459" ca="1" si="1258">AI453/AB453</f>
        <v>1.3972080423458813</v>
      </c>
      <c r="AP453" s="13">
        <f t="shared" ref="AP453:AQ453" ca="1" si="1259">SUM(T438)</f>
        <v>237.0318418314256</v>
      </c>
      <c r="AQ453" s="13">
        <f t="shared" ca="1" si="1259"/>
        <v>12.475360096390821</v>
      </c>
      <c r="AR453" s="9">
        <f t="shared" ref="AR453:AR459" ca="1" si="1260">AI453/AA453</f>
        <v>251.26315789473685</v>
      </c>
      <c r="AS453" s="76"/>
      <c r="AT453" s="76"/>
    </row>
    <row r="454" spans="1:46" ht="15.75" customHeight="1" x14ac:dyDescent="0.25">
      <c r="A454" s="70"/>
      <c r="B454" s="16">
        <v>17</v>
      </c>
      <c r="C454" s="16" t="s">
        <v>29</v>
      </c>
      <c r="D454" s="17">
        <v>30</v>
      </c>
      <c r="E454" s="18">
        <f ca="1">IFERROR(__xludf.DUMMYFUNCTION("COUNT(IMPORTRANGE(""https://docs.google.com/spreadsheets/d/12xcKI0lSnAsjEsxfm9K8Qx0B_89Gzsh816mowItkQao/edit"",""17!d2:d31""))"),27)</f>
        <v>27</v>
      </c>
      <c r="F454" s="23">
        <f ca="1">IFERROR(__xludf.DUMMYFUNCTION("SUM(IMPORTRANGE(""https://docs.google.com/spreadsheets/d/12xcKI0lSnAsjEsxfm9K8Qx0B_89Gzsh816mowItkQao/edit"",""17!Q2:Q31""))"),5337.78999999999)</f>
        <v>5337.78999999999</v>
      </c>
      <c r="G454" s="18">
        <f ca="1">IFERROR(__xludf.DUMMYFUNCTION("IMPORTRANGE(""https://docs.google.com/spreadsheets/d/12xcKI0lSnAsjEsxfm9K8Qx0B_89Gzsh816mowItkQao/edit"",""17!e38"")"),2603)</f>
        <v>2603</v>
      </c>
      <c r="H454" s="18">
        <f ca="1">IFERROR(__xludf.DUMMYFUNCTION("IMPORTRANGE(""https://docs.google.com/spreadsheets/d/12xcKI0lSnAsjEsxfm9K8Qx0B_89Gzsh816mowItkQao/edit"",""17!e39"")"),0)</f>
        <v>0</v>
      </c>
      <c r="I454" s="18">
        <f t="shared" ca="1" si="1212"/>
        <v>2603</v>
      </c>
      <c r="J454" s="18">
        <f ca="1">IFERROR(__xludf.DUMMYFUNCTION("IMPORTRANGE(""https://docs.google.com/spreadsheets/d/12xcKI0lSnAsjEsxfm9K8Qx0B_89Gzsh816mowItkQao/edit"",""17!e42"")"),4065)</f>
        <v>4065</v>
      </c>
      <c r="K454" s="18">
        <f ca="1">IFERROR(__xludf.DUMMYFUNCTION("IMPORTRANGE(""https://docs.google.com/spreadsheets/d/12xcKI0lSnAsjEsxfm9K8Qx0B_89Gzsh816mowItkQao/edit"",""17!e43"")"),0)</f>
        <v>0</v>
      </c>
      <c r="L454" s="18">
        <f t="shared" ca="1" si="1242"/>
        <v>4065</v>
      </c>
      <c r="M454" s="18">
        <f t="shared" ca="1" si="1214"/>
        <v>6668</v>
      </c>
      <c r="N454" s="19">
        <f t="shared" ca="1" si="1215"/>
        <v>197.69592592592556</v>
      </c>
      <c r="O454" s="16">
        <v>9201</v>
      </c>
      <c r="P454" s="20">
        <f t="shared" ca="1" si="1216"/>
        <v>0.72470383653950654</v>
      </c>
      <c r="Q454" s="21">
        <v>1.5</v>
      </c>
      <c r="R454" s="20">
        <f t="shared" ca="1" si="1217"/>
        <v>0.8328040880838965</v>
      </c>
      <c r="S454" s="22">
        <f t="shared" ca="1" si="1218"/>
        <v>1.2492061321258447</v>
      </c>
      <c r="T454" s="21">
        <f ca="1">F454/26.038</f>
        <v>204.9999999999996</v>
      </c>
      <c r="U454" s="21">
        <f t="shared" ca="1" si="1219"/>
        <v>7.5925925925925775</v>
      </c>
      <c r="V454" s="18">
        <f t="shared" ca="1" si="1220"/>
        <v>246.96296296296296</v>
      </c>
      <c r="W454" s="76"/>
      <c r="X454" s="8">
        <v>2</v>
      </c>
      <c r="Y454" s="8" t="s">
        <v>32</v>
      </c>
      <c r="Z454" s="8">
        <f t="shared" ref="Z454:AI454" si="1261">SUM(D441)</f>
        <v>42</v>
      </c>
      <c r="AA454" s="9">
        <f t="shared" ca="1" si="1261"/>
        <v>41</v>
      </c>
      <c r="AB454" s="10">
        <f t="shared" ca="1" si="1261"/>
        <v>8103.7469999999903</v>
      </c>
      <c r="AC454" s="8">
        <f t="shared" ca="1" si="1261"/>
        <v>4673</v>
      </c>
      <c r="AD454" s="8">
        <f t="shared" ca="1" si="1261"/>
        <v>178</v>
      </c>
      <c r="AE454" s="9">
        <f t="shared" ca="1" si="1261"/>
        <v>4851</v>
      </c>
      <c r="AF454" s="8">
        <f t="shared" ca="1" si="1261"/>
        <v>5476</v>
      </c>
      <c r="AG454" s="8">
        <f t="shared" ca="1" si="1261"/>
        <v>0</v>
      </c>
      <c r="AH454" s="9">
        <f t="shared" ca="1" si="1261"/>
        <v>5476</v>
      </c>
      <c r="AI454" s="9">
        <f t="shared" ca="1" si="1261"/>
        <v>10327</v>
      </c>
      <c r="AJ454" s="11">
        <f t="shared" ca="1" si="1255"/>
        <v>197.6523658536583</v>
      </c>
      <c r="AK454" s="8">
        <f>SUM(O441)</f>
        <v>13817</v>
      </c>
      <c r="AL454" s="12">
        <f t="shared" ca="1" si="1256"/>
        <v>0.74741260765723383</v>
      </c>
      <c r="AM454" s="13">
        <f>SUM(Q441)</f>
        <v>1.5</v>
      </c>
      <c r="AN454" s="12">
        <f t="shared" ca="1" si="1257"/>
        <v>0.84956584486987008</v>
      </c>
      <c r="AO454" s="14">
        <f t="shared" ca="1" si="1258"/>
        <v>1.2743487673048051</v>
      </c>
      <c r="AP454" s="13">
        <f t="shared" ref="AP454:AQ454" ca="1" si="1262">SUM(T441)</f>
        <v>322.99999999999966</v>
      </c>
      <c r="AQ454" s="13">
        <f t="shared" ca="1" si="1262"/>
        <v>7.8780487804877968</v>
      </c>
      <c r="AR454" s="9">
        <f t="shared" ca="1" si="1260"/>
        <v>251.8780487804878</v>
      </c>
      <c r="AS454" s="76"/>
      <c r="AT454" s="76"/>
    </row>
    <row r="455" spans="1:46" ht="15.75" customHeight="1" x14ac:dyDescent="0.25">
      <c r="A455" s="70"/>
      <c r="B455" s="16">
        <v>18</v>
      </c>
      <c r="C455" s="16" t="s">
        <v>31</v>
      </c>
      <c r="D455" s="17">
        <v>15</v>
      </c>
      <c r="E455" s="18">
        <f ca="1">IFERROR(__xludf.DUMMYFUNCTION("COUNT(IMPORTRANGE(""https://docs.google.com/spreadsheets/d/1fgCFOFzOla4Qim6_-zG-lbYhLCItqv_kZiAHoErRgcM/edit"",""17!d2:d16""))"),14)</f>
        <v>14</v>
      </c>
      <c r="F455" s="19">
        <f ca="1">IFERROR(__xludf.DUMMYFUNCTION("SUM(IMPORTRANGE(""https://docs.google.com/spreadsheets/d/1fgCFOFzOla4Qim6_-zG-lbYhLCItqv_kZiAHoErRgcM/edit"",""17!Q2:Q16""))"),2738.295)</f>
        <v>2738.2950000000001</v>
      </c>
      <c r="G455" s="18">
        <f ca="1">IFERROR(__xludf.DUMMYFUNCTION("IMPORTRANGE(""https://docs.google.com/spreadsheets/d/1fgCFOFzOla4Qim6_-zG-lbYhLCItqv_kZiAHoErRgcM/edit"",""17!e23"")"),854)</f>
        <v>854</v>
      </c>
      <c r="H455" s="18">
        <f ca="1">IFERROR(__xludf.DUMMYFUNCTION("IMPORTRANGE(""https://docs.google.com/spreadsheets/d/1fgCFOFzOla4Qim6_-zG-lbYhLCItqv_kZiAHoErRgcM/edit"",""17!e24"")"),68)</f>
        <v>68</v>
      </c>
      <c r="I455" s="18">
        <f t="shared" ca="1" si="1212"/>
        <v>922</v>
      </c>
      <c r="J455" s="18">
        <f ca="1">IFERROR(__xludf.DUMMYFUNCTION("IMPORTRANGE(""https://docs.google.com/spreadsheets/d/1fgCFOFzOla4Qim6_-zG-lbYhLCItqv_kZiAHoErRgcM/edit"",""17!e27"")"),1018)</f>
        <v>1018</v>
      </c>
      <c r="K455" s="18">
        <f ca="1">IFERROR(__xludf.DUMMYFUNCTION("IMPORTRANGE(""https://docs.google.com/spreadsheets/d/1fgCFOFzOla4Qim6_-zG-lbYhLCItqv_kZiAHoErRgcM/edit"",""17!e28"")"),0)</f>
        <v>0</v>
      </c>
      <c r="L455" s="18">
        <f t="shared" ca="1" si="1242"/>
        <v>1018</v>
      </c>
      <c r="M455" s="18">
        <f t="shared" ca="1" si="1214"/>
        <v>1940</v>
      </c>
      <c r="N455" s="19">
        <f t="shared" ca="1" si="1215"/>
        <v>195.5925</v>
      </c>
      <c r="O455" s="16">
        <v>2717</v>
      </c>
      <c r="P455" s="20">
        <f t="shared" ca="1" si="1216"/>
        <v>0.71402281928597722</v>
      </c>
      <c r="Q455" s="21">
        <v>1.5</v>
      </c>
      <c r="R455" s="20">
        <f t="shared" ca="1" si="1217"/>
        <v>0.47231336774647481</v>
      </c>
      <c r="S455" s="22">
        <f t="shared" ca="1" si="1218"/>
        <v>0.70847005161971222</v>
      </c>
      <c r="T455" s="21">
        <f ca="1">F455/43.465</f>
        <v>63</v>
      </c>
      <c r="U455" s="21">
        <f t="shared" ca="1" si="1219"/>
        <v>4.5</v>
      </c>
      <c r="V455" s="18">
        <f t="shared" ca="1" si="1220"/>
        <v>138.57142857142858</v>
      </c>
      <c r="W455" s="76"/>
      <c r="X455" s="8">
        <v>3</v>
      </c>
      <c r="Y455" s="8" t="s">
        <v>36</v>
      </c>
      <c r="Z455" s="8">
        <f t="shared" ref="Z455:AI455" si="1263">SUM(D446)</f>
        <v>29</v>
      </c>
      <c r="AA455" s="9">
        <f t="shared" ca="1" si="1263"/>
        <v>28</v>
      </c>
      <c r="AB455" s="10">
        <f t="shared" ca="1" si="1263"/>
        <v>5491.8779999999897</v>
      </c>
      <c r="AC455" s="9">
        <f t="shared" ca="1" si="1263"/>
        <v>1523</v>
      </c>
      <c r="AD455" s="9">
        <f t="shared" ca="1" si="1263"/>
        <v>0</v>
      </c>
      <c r="AE455" s="9">
        <f t="shared" ca="1" si="1263"/>
        <v>1523</v>
      </c>
      <c r="AF455" s="9">
        <f t="shared" ca="1" si="1263"/>
        <v>2105</v>
      </c>
      <c r="AG455" s="9">
        <f t="shared" ca="1" si="1263"/>
        <v>0</v>
      </c>
      <c r="AH455" s="9">
        <f t="shared" ca="1" si="1263"/>
        <v>2105</v>
      </c>
      <c r="AI455" s="9">
        <f t="shared" ca="1" si="1263"/>
        <v>3628</v>
      </c>
      <c r="AJ455" s="11">
        <f t="shared" ca="1" si="1255"/>
        <v>196.13849999999962</v>
      </c>
      <c r="AK455" s="8">
        <f t="shared" ref="AK455:AK458" si="1264">SUM(O446)</f>
        <v>4796</v>
      </c>
      <c r="AL455" s="12">
        <f t="shared" ca="1" si="1256"/>
        <v>0.75646371976647209</v>
      </c>
      <c r="AM455" s="13">
        <f t="shared" ref="AM455:AM458" si="1265">SUM(Q446)</f>
        <v>1.5</v>
      </c>
      <c r="AN455" s="12">
        <f t="shared" ca="1" si="1257"/>
        <v>0.44040793817099927</v>
      </c>
      <c r="AO455" s="14">
        <f t="shared" ca="1" si="1258"/>
        <v>0.66061190725649888</v>
      </c>
      <c r="AP455" s="13">
        <f t="shared" ref="AP455:AQ455" ca="1" si="1266">SUM(T446)</f>
        <v>146.7867108568982</v>
      </c>
      <c r="AQ455" s="13">
        <f t="shared" ca="1" si="1266"/>
        <v>5.242382530603507</v>
      </c>
      <c r="AR455" s="9">
        <f t="shared" ca="1" si="1260"/>
        <v>129.57142857142858</v>
      </c>
      <c r="AS455" s="76"/>
      <c r="AT455" s="76"/>
    </row>
    <row r="456" spans="1:46" ht="15.75" customHeight="1" x14ac:dyDescent="0.2">
      <c r="A456" s="70"/>
      <c r="B456" s="98" t="s">
        <v>33</v>
      </c>
      <c r="C456" s="98">
        <v>18</v>
      </c>
      <c r="D456" s="98">
        <f t="shared" ref="D456:M456" si="1267">SUM(D438:D455)</f>
        <v>585</v>
      </c>
      <c r="E456" s="74">
        <f t="shared" ca="1" si="1267"/>
        <v>565</v>
      </c>
      <c r="F456" s="99">
        <f t="shared" ca="1" si="1267"/>
        <v>104394.87999999983</v>
      </c>
      <c r="G456" s="74">
        <f t="shared" ca="1" si="1267"/>
        <v>42520</v>
      </c>
      <c r="H456" s="74">
        <f t="shared" ca="1" si="1267"/>
        <v>1178</v>
      </c>
      <c r="I456" s="74">
        <f t="shared" ca="1" si="1267"/>
        <v>43698</v>
      </c>
      <c r="J456" s="74">
        <f t="shared" ca="1" si="1267"/>
        <v>53316</v>
      </c>
      <c r="K456" s="74">
        <f t="shared" ca="1" si="1267"/>
        <v>1157</v>
      </c>
      <c r="L456" s="74">
        <f t="shared" ca="1" si="1267"/>
        <v>54473</v>
      </c>
      <c r="M456" s="74">
        <f t="shared" ca="1" si="1267"/>
        <v>98171</v>
      </c>
      <c r="N456" s="99">
        <f t="shared" ca="1" si="1215"/>
        <v>184.76969911504395</v>
      </c>
      <c r="O456" s="98">
        <f>SUM(O438:O455)</f>
        <v>126399</v>
      </c>
      <c r="P456" s="69">
        <f t="shared" ca="1" si="1216"/>
        <v>0.77667544838171187</v>
      </c>
      <c r="Q456" s="72">
        <v>1.5</v>
      </c>
      <c r="R456" s="69">
        <f t="shared" ca="1" si="1217"/>
        <v>0.62692091157471941</v>
      </c>
      <c r="S456" s="73">
        <f t="shared" ca="1" si="1218"/>
        <v>0.94038136736207911</v>
      </c>
      <c r="T456" s="72">
        <f ca="1">SUM(T438:T455)</f>
        <v>3868.2679614615104</v>
      </c>
      <c r="U456" s="72">
        <f t="shared" ca="1" si="1219"/>
        <v>6.8464919671885136</v>
      </c>
      <c r="V456" s="74">
        <f t="shared" ca="1" si="1220"/>
        <v>173.75398230088496</v>
      </c>
      <c r="W456" s="76"/>
      <c r="X456" s="8">
        <v>4</v>
      </c>
      <c r="Y456" s="8" t="s">
        <v>37</v>
      </c>
      <c r="Z456" s="8">
        <f t="shared" ref="Z456:AI456" si="1268">SUM(D447)</f>
        <v>30</v>
      </c>
      <c r="AA456" s="9">
        <f t="shared" ca="1" si="1268"/>
        <v>30</v>
      </c>
      <c r="AB456" s="10">
        <f t="shared" ca="1" si="1268"/>
        <v>5985.732</v>
      </c>
      <c r="AC456" s="9">
        <f t="shared" ca="1" si="1268"/>
        <v>1984</v>
      </c>
      <c r="AD456" s="9">
        <f t="shared" ca="1" si="1268"/>
        <v>131</v>
      </c>
      <c r="AE456" s="9">
        <f t="shared" ca="1" si="1268"/>
        <v>2115</v>
      </c>
      <c r="AF456" s="9">
        <f t="shared" ca="1" si="1268"/>
        <v>2916</v>
      </c>
      <c r="AG456" s="9">
        <f t="shared" ca="1" si="1268"/>
        <v>113</v>
      </c>
      <c r="AH456" s="9">
        <f t="shared" ca="1" si="1268"/>
        <v>3029</v>
      </c>
      <c r="AI456" s="9">
        <f t="shared" ca="1" si="1268"/>
        <v>5144</v>
      </c>
      <c r="AJ456" s="11">
        <f t="shared" ca="1" si="1255"/>
        <v>199.52439999999999</v>
      </c>
      <c r="AK456" s="8">
        <f t="shared" si="1264"/>
        <v>5887</v>
      </c>
      <c r="AL456" s="12">
        <f t="shared" ca="1" si="1256"/>
        <v>0.87378970613215556</v>
      </c>
      <c r="AM456" s="13">
        <f t="shared" si="1265"/>
        <v>1.5</v>
      </c>
      <c r="AN456" s="12">
        <f t="shared" ca="1" si="1257"/>
        <v>0.57291795445124061</v>
      </c>
      <c r="AO456" s="14">
        <f t="shared" ca="1" si="1258"/>
        <v>0.85937693167686091</v>
      </c>
      <c r="AP456" s="13">
        <f t="shared" ref="AP456:AQ456" ca="1" si="1269">SUM(T447)</f>
        <v>241.4380445304937</v>
      </c>
      <c r="AQ456" s="13">
        <f t="shared" ca="1" si="1269"/>
        <v>8.0479348176831227</v>
      </c>
      <c r="AR456" s="9">
        <f t="shared" ca="1" si="1260"/>
        <v>171.46666666666667</v>
      </c>
      <c r="AS456" s="76"/>
      <c r="AT456" s="76"/>
    </row>
    <row r="457" spans="1:46" ht="15.75" customHeight="1" x14ac:dyDescent="0.2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6"/>
      <c r="X457" s="8">
        <v>5</v>
      </c>
      <c r="Y457" s="8" t="s">
        <v>39</v>
      </c>
      <c r="Z457" s="8">
        <f t="shared" ref="Z457:AI457" si="1270">SUM(D448)</f>
        <v>28</v>
      </c>
      <c r="AA457" s="9">
        <f t="shared" ca="1" si="1270"/>
        <v>28</v>
      </c>
      <c r="AB457" s="10">
        <f t="shared" ca="1" si="1270"/>
        <v>5373.0259999999998</v>
      </c>
      <c r="AC457" s="9">
        <f t="shared" ca="1" si="1270"/>
        <v>1182</v>
      </c>
      <c r="AD457" s="9">
        <f t="shared" ca="1" si="1270"/>
        <v>0</v>
      </c>
      <c r="AE457" s="9">
        <f t="shared" ca="1" si="1270"/>
        <v>1182</v>
      </c>
      <c r="AF457" s="9">
        <f t="shared" ca="1" si="1270"/>
        <v>1715</v>
      </c>
      <c r="AG457" s="9">
        <f t="shared" ca="1" si="1270"/>
        <v>0</v>
      </c>
      <c r="AH457" s="9">
        <f t="shared" ca="1" si="1270"/>
        <v>1715</v>
      </c>
      <c r="AI457" s="9">
        <f t="shared" ca="1" si="1270"/>
        <v>2897</v>
      </c>
      <c r="AJ457" s="11">
        <f t="shared" ca="1" si="1255"/>
        <v>191.89378571428571</v>
      </c>
      <c r="AK457" s="8">
        <f t="shared" si="1264"/>
        <v>3569</v>
      </c>
      <c r="AL457" s="12">
        <f t="shared" ca="1" si="1256"/>
        <v>0.8117119641356122</v>
      </c>
      <c r="AM457" s="13">
        <f t="shared" si="1265"/>
        <v>1.5</v>
      </c>
      <c r="AN457" s="12">
        <f t="shared" ca="1" si="1257"/>
        <v>0.35944983950074566</v>
      </c>
      <c r="AO457" s="14">
        <f t="shared" ca="1" si="1258"/>
        <v>0.53917475925111846</v>
      </c>
      <c r="AP457" s="13">
        <f t="shared" ref="AP457:AQ457" ca="1" si="1271">SUM(T448)</f>
        <v>250.33900200344777</v>
      </c>
      <c r="AQ457" s="13">
        <f t="shared" ca="1" si="1271"/>
        <v>8.9406786429802771</v>
      </c>
      <c r="AR457" s="9">
        <f t="shared" ca="1" si="1260"/>
        <v>103.46428571428571</v>
      </c>
      <c r="AS457" s="76"/>
      <c r="AT457" s="76"/>
    </row>
    <row r="458" spans="1:46" ht="15.75" customHeight="1" x14ac:dyDescent="0.2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6"/>
      <c r="X458" s="8">
        <v>6</v>
      </c>
      <c r="Y458" s="8" t="s">
        <v>41</v>
      </c>
      <c r="Z458" s="8">
        <f t="shared" ref="Z458:AI458" si="1272">SUM(D449)</f>
        <v>24</v>
      </c>
      <c r="AA458" s="9">
        <f t="shared" ca="1" si="1272"/>
        <v>23</v>
      </c>
      <c r="AB458" s="10">
        <f t="shared" ca="1" si="1272"/>
        <v>4539.6679999999997</v>
      </c>
      <c r="AC458" s="9">
        <f t="shared" ca="1" si="1272"/>
        <v>1275</v>
      </c>
      <c r="AD458" s="9">
        <f t="shared" ca="1" si="1272"/>
        <v>0</v>
      </c>
      <c r="AE458" s="9">
        <f t="shared" ca="1" si="1272"/>
        <v>1275</v>
      </c>
      <c r="AF458" s="9">
        <f t="shared" ca="1" si="1272"/>
        <v>1628</v>
      </c>
      <c r="AG458" s="9">
        <f t="shared" ca="1" si="1272"/>
        <v>0</v>
      </c>
      <c r="AH458" s="9">
        <f t="shared" ca="1" si="1272"/>
        <v>1628</v>
      </c>
      <c r="AI458" s="9">
        <f t="shared" ca="1" si="1272"/>
        <v>2903</v>
      </c>
      <c r="AJ458" s="11">
        <f t="shared" ca="1" si="1255"/>
        <v>197.37686956521739</v>
      </c>
      <c r="AK458" s="8">
        <f t="shared" si="1264"/>
        <v>3801</v>
      </c>
      <c r="AL458" s="12">
        <f t="shared" ca="1" si="1256"/>
        <v>0.76374638253091287</v>
      </c>
      <c r="AM458" s="13">
        <f t="shared" si="1265"/>
        <v>1.5</v>
      </c>
      <c r="AN458" s="12">
        <f t="shared" ca="1" si="1257"/>
        <v>0.42631605071854012</v>
      </c>
      <c r="AO458" s="14">
        <f t="shared" ca="1" si="1258"/>
        <v>0.63947407607781015</v>
      </c>
      <c r="AP458" s="13">
        <f t="shared" ref="AP458:AQ458" ca="1" si="1273">SUM(T449)</f>
        <v>153.2222222222222</v>
      </c>
      <c r="AQ458" s="13">
        <f t="shared" ca="1" si="1273"/>
        <v>6.6618357487922699</v>
      </c>
      <c r="AR458" s="9">
        <f t="shared" ca="1" si="1260"/>
        <v>126.21739130434783</v>
      </c>
      <c r="AS458" s="76"/>
      <c r="AT458" s="76"/>
    </row>
    <row r="459" spans="1:46" ht="15.75" customHeight="1" x14ac:dyDescent="0.25">
      <c r="A459" s="110" t="s">
        <v>45</v>
      </c>
      <c r="B459" s="76"/>
      <c r="C459" s="76"/>
      <c r="D459" s="75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24" t="s">
        <v>33</v>
      </c>
      <c r="Y459" s="24">
        <v>6</v>
      </c>
      <c r="Z459" s="24">
        <f t="shared" ref="Z459:AI459" si="1274">SUM(Z453:Z458)</f>
        <v>173</v>
      </c>
      <c r="AA459" s="25">
        <f t="shared" ca="1" si="1274"/>
        <v>169</v>
      </c>
      <c r="AB459" s="27">
        <f t="shared" ca="1" si="1274"/>
        <v>32910.864999999976</v>
      </c>
      <c r="AC459" s="25">
        <f t="shared" ca="1" si="1274"/>
        <v>12799</v>
      </c>
      <c r="AD459" s="25">
        <f t="shared" ca="1" si="1274"/>
        <v>309</v>
      </c>
      <c r="AE459" s="25">
        <f t="shared" ca="1" si="1274"/>
        <v>13108</v>
      </c>
      <c r="AF459" s="25">
        <f t="shared" ca="1" si="1274"/>
        <v>16452</v>
      </c>
      <c r="AG459" s="25">
        <f t="shared" ca="1" si="1274"/>
        <v>113</v>
      </c>
      <c r="AH459" s="25">
        <f t="shared" ca="1" si="1274"/>
        <v>16565</v>
      </c>
      <c r="AI459" s="25">
        <f t="shared" ca="1" si="1274"/>
        <v>29673</v>
      </c>
      <c r="AJ459" s="27">
        <f t="shared" ca="1" si="1255"/>
        <v>194.73884615384603</v>
      </c>
      <c r="AK459" s="24">
        <f>SUM(AK453:AK458)</f>
        <v>37031</v>
      </c>
      <c r="AL459" s="28">
        <f t="shared" ca="1" si="1256"/>
        <v>0.80130161216278251</v>
      </c>
      <c r="AM459" s="29">
        <v>1.5</v>
      </c>
      <c r="AN459" s="28">
        <f t="shared" ca="1" si="1257"/>
        <v>0.60107809381491539</v>
      </c>
      <c r="AO459" s="30">
        <f t="shared" ca="1" si="1258"/>
        <v>0.90161714072237309</v>
      </c>
      <c r="AP459" s="29">
        <f ca="1">SUM(AP453:AP458)</f>
        <v>1351.8178214444872</v>
      </c>
      <c r="AQ459" s="29">
        <f ca="1">AP459/AA459</f>
        <v>7.9989220203815812</v>
      </c>
      <c r="AR459" s="25">
        <f t="shared" ca="1" si="1260"/>
        <v>175.57988165680473</v>
      </c>
      <c r="AS459" s="76"/>
      <c r="AT459" s="76"/>
    </row>
    <row r="460" spans="1:46" ht="15.75" customHeight="1" x14ac:dyDescent="0.2">
      <c r="A460" s="110" t="s">
        <v>45</v>
      </c>
      <c r="B460" s="76"/>
      <c r="C460" s="76"/>
      <c r="D460" s="75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7" t="s">
        <v>1</v>
      </c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9"/>
      <c r="AS460" s="76"/>
      <c r="AT460" s="76"/>
    </row>
    <row r="461" spans="1:46" ht="15.75" customHeight="1" x14ac:dyDescent="0.2">
      <c r="A461" s="113">
        <v>46221</v>
      </c>
      <c r="B461" s="80" t="s">
        <v>2</v>
      </c>
      <c r="C461" s="80" t="s">
        <v>3</v>
      </c>
      <c r="D461" s="80" t="s">
        <v>4</v>
      </c>
      <c r="E461" s="80" t="s">
        <v>5</v>
      </c>
      <c r="F461" s="81" t="s">
        <v>6</v>
      </c>
      <c r="G461" s="80" t="s">
        <v>7</v>
      </c>
      <c r="H461" s="80" t="s">
        <v>8</v>
      </c>
      <c r="I461" s="80" t="s">
        <v>9</v>
      </c>
      <c r="J461" s="80" t="s">
        <v>10</v>
      </c>
      <c r="K461" s="80" t="s">
        <v>11</v>
      </c>
      <c r="L461" s="80" t="s">
        <v>12</v>
      </c>
      <c r="M461" s="80" t="s">
        <v>13</v>
      </c>
      <c r="N461" s="81" t="s">
        <v>14</v>
      </c>
      <c r="O461" s="80" t="s">
        <v>15</v>
      </c>
      <c r="P461" s="80" t="s">
        <v>16</v>
      </c>
      <c r="Q461" s="80" t="s">
        <v>17</v>
      </c>
      <c r="R461" s="80" t="s">
        <v>18</v>
      </c>
      <c r="S461" s="106" t="s">
        <v>19</v>
      </c>
      <c r="T461" s="107" t="s">
        <v>20</v>
      </c>
      <c r="U461" s="107" t="s">
        <v>21</v>
      </c>
      <c r="V461" s="105" t="s">
        <v>22</v>
      </c>
      <c r="W461" s="76"/>
      <c r="X461" s="1" t="s">
        <v>2</v>
      </c>
      <c r="Y461" s="1" t="s">
        <v>3</v>
      </c>
      <c r="Z461" s="1" t="s">
        <v>4</v>
      </c>
      <c r="AA461" s="1" t="s">
        <v>5</v>
      </c>
      <c r="AB461" s="2" t="s">
        <v>6</v>
      </c>
      <c r="AC461" s="1" t="s">
        <v>7</v>
      </c>
      <c r="AD461" s="1" t="s">
        <v>8</v>
      </c>
      <c r="AE461" s="1" t="s">
        <v>9</v>
      </c>
      <c r="AF461" s="1" t="s">
        <v>10</v>
      </c>
      <c r="AG461" s="1" t="s">
        <v>11</v>
      </c>
      <c r="AH461" s="1" t="s">
        <v>12</v>
      </c>
      <c r="AI461" s="1" t="s">
        <v>13</v>
      </c>
      <c r="AJ461" s="2" t="s">
        <v>14</v>
      </c>
      <c r="AK461" s="1" t="s">
        <v>15</v>
      </c>
      <c r="AL461" s="1" t="s">
        <v>16</v>
      </c>
      <c r="AM461" s="3" t="s">
        <v>17</v>
      </c>
      <c r="AN461" s="4" t="s">
        <v>18</v>
      </c>
      <c r="AO461" s="5" t="s">
        <v>19</v>
      </c>
      <c r="AP461" s="6" t="s">
        <v>20</v>
      </c>
      <c r="AQ461" s="6" t="s">
        <v>21</v>
      </c>
      <c r="AR461" s="7" t="s">
        <v>22</v>
      </c>
      <c r="AS461" s="76"/>
      <c r="AT461" s="76"/>
    </row>
    <row r="462" spans="1:46" ht="15.75" customHeight="1" x14ac:dyDescent="0.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6"/>
      <c r="X462" s="8">
        <v>1</v>
      </c>
      <c r="Y462" s="8" t="s">
        <v>23</v>
      </c>
      <c r="Z462" s="8">
        <f t="shared" ref="Z462:AI462" si="1275">SUM(D470)</f>
        <v>28</v>
      </c>
      <c r="AA462" s="9">
        <f t="shared" ca="1" si="1275"/>
        <v>27</v>
      </c>
      <c r="AB462" s="10">
        <f t="shared" ca="1" si="1275"/>
        <v>5162.2199999999903</v>
      </c>
      <c r="AC462" s="9">
        <f t="shared" ca="1" si="1275"/>
        <v>1588</v>
      </c>
      <c r="AD462" s="9">
        <f t="shared" ca="1" si="1275"/>
        <v>0</v>
      </c>
      <c r="AE462" s="9">
        <f t="shared" ca="1" si="1275"/>
        <v>1588</v>
      </c>
      <c r="AF462" s="9">
        <f t="shared" ca="1" si="1275"/>
        <v>2135</v>
      </c>
      <c r="AG462" s="9">
        <f t="shared" ca="1" si="1275"/>
        <v>0</v>
      </c>
      <c r="AH462" s="9">
        <f t="shared" ca="1" si="1275"/>
        <v>2135</v>
      </c>
      <c r="AI462" s="9">
        <f t="shared" ca="1" si="1275"/>
        <v>3723</v>
      </c>
      <c r="AJ462" s="11">
        <f t="shared" ref="AJ462:AJ464" ca="1" si="1276">AB462/AA462</f>
        <v>191.19333333333296</v>
      </c>
      <c r="AK462" s="8">
        <f>SUM(O470)</f>
        <v>6853</v>
      </c>
      <c r="AL462" s="12">
        <f t="shared" ref="AL462:AL468" ca="1" si="1277">AI462/AK462</f>
        <v>0.54326572304100396</v>
      </c>
      <c r="AM462" s="13">
        <f t="shared" ref="AM462:AM464" si="1278">SUM(Q470)</f>
        <v>1.5</v>
      </c>
      <c r="AN462" s="12">
        <f t="shared" ref="AN462:AN468" ca="1" si="1279">AO462/AM462</f>
        <v>0.48080089573865598</v>
      </c>
      <c r="AO462" s="14">
        <f t="shared" ref="AO462:AO468" ca="1" si="1280">AI462/AB462</f>
        <v>0.72120134360798394</v>
      </c>
      <c r="AP462" s="13">
        <f t="shared" ref="AP462:AQ462" ca="1" si="1281">SUM(T470)</f>
        <v>152.99999999999972</v>
      </c>
      <c r="AQ462" s="13">
        <f t="shared" ca="1" si="1281"/>
        <v>5.6666666666666563</v>
      </c>
      <c r="AR462" s="9">
        <f t="shared" ref="AR462:AR468" ca="1" si="1282">AI462/AA462</f>
        <v>137.88888888888889</v>
      </c>
      <c r="AS462" s="76"/>
      <c r="AT462" s="76"/>
    </row>
    <row r="463" spans="1:46" ht="15.75" customHeight="1" x14ac:dyDescent="0.2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6"/>
      <c r="X463" s="8">
        <v>2</v>
      </c>
      <c r="Y463" s="8" t="s">
        <v>24</v>
      </c>
      <c r="Z463" s="8">
        <f t="shared" ref="Z463:AI463" si="1283">SUM(D471)</f>
        <v>37</v>
      </c>
      <c r="AA463" s="9">
        <f t="shared" ca="1" si="1283"/>
        <v>36</v>
      </c>
      <c r="AB463" s="10">
        <f t="shared" ca="1" si="1283"/>
        <v>6902.3469999999897</v>
      </c>
      <c r="AC463" s="9">
        <f t="shared" ca="1" si="1283"/>
        <v>748</v>
      </c>
      <c r="AD463" s="9">
        <f t="shared" ca="1" si="1283"/>
        <v>0</v>
      </c>
      <c r="AE463" s="9">
        <f t="shared" ca="1" si="1283"/>
        <v>748</v>
      </c>
      <c r="AF463" s="9">
        <f t="shared" ca="1" si="1283"/>
        <v>1203</v>
      </c>
      <c r="AG463" s="9">
        <f t="shared" ca="1" si="1283"/>
        <v>6</v>
      </c>
      <c r="AH463" s="9">
        <f t="shared" ca="1" si="1283"/>
        <v>1209</v>
      </c>
      <c r="AI463" s="9">
        <f t="shared" ca="1" si="1283"/>
        <v>1957</v>
      </c>
      <c r="AJ463" s="11">
        <f t="shared" ca="1" si="1276"/>
        <v>191.73186111111082</v>
      </c>
      <c r="AK463" s="8">
        <v>1580</v>
      </c>
      <c r="AL463" s="15">
        <f t="shared" ca="1" si="1277"/>
        <v>1.2386075949367088</v>
      </c>
      <c r="AM463" s="13">
        <f t="shared" si="1278"/>
        <v>1.5</v>
      </c>
      <c r="AN463" s="12">
        <f t="shared" ca="1" si="1279"/>
        <v>0.18901783214704629</v>
      </c>
      <c r="AO463" s="14">
        <f t="shared" ca="1" si="1280"/>
        <v>0.28352674822056945</v>
      </c>
      <c r="AP463" s="13">
        <f t="shared" ref="AP463:AQ463" ca="1" si="1284">SUM(T471)</f>
        <v>257.50221973512367</v>
      </c>
      <c r="AQ463" s="13">
        <f t="shared" ca="1" si="1284"/>
        <v>7.1528394370867687</v>
      </c>
      <c r="AR463" s="9">
        <f t="shared" ca="1" si="1282"/>
        <v>54.361111111111114</v>
      </c>
      <c r="AS463" s="76"/>
      <c r="AT463" s="76"/>
    </row>
    <row r="464" spans="1:46" ht="15.75" customHeight="1" x14ac:dyDescent="0.2">
      <c r="A464" s="70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6"/>
      <c r="X464" s="8">
        <v>3</v>
      </c>
      <c r="Y464" s="8" t="s">
        <v>25</v>
      </c>
      <c r="Z464" s="8">
        <f t="shared" ref="Z464:AI464" si="1285">SUM(D472)</f>
        <v>27</v>
      </c>
      <c r="AA464" s="9">
        <f t="shared" ca="1" si="1285"/>
        <v>25</v>
      </c>
      <c r="AB464" s="10">
        <f t="shared" ca="1" si="1285"/>
        <v>4967.1319999999996</v>
      </c>
      <c r="AC464" s="9">
        <f t="shared" ca="1" si="1285"/>
        <v>1675</v>
      </c>
      <c r="AD464" s="9">
        <f t="shared" ca="1" si="1285"/>
        <v>261</v>
      </c>
      <c r="AE464" s="9">
        <f t="shared" ca="1" si="1285"/>
        <v>1936</v>
      </c>
      <c r="AF464" s="9">
        <f t="shared" ca="1" si="1285"/>
        <v>2929</v>
      </c>
      <c r="AG464" s="9">
        <f t="shared" ca="1" si="1285"/>
        <v>262</v>
      </c>
      <c r="AH464" s="9">
        <f t="shared" ca="1" si="1285"/>
        <v>3191</v>
      </c>
      <c r="AI464" s="9">
        <f t="shared" ca="1" si="1285"/>
        <v>5127</v>
      </c>
      <c r="AJ464" s="11">
        <f t="shared" ca="1" si="1276"/>
        <v>198.68527999999998</v>
      </c>
      <c r="AK464" s="8">
        <f>SUM(O472)</f>
        <v>6622</v>
      </c>
      <c r="AL464" s="12">
        <f t="shared" ca="1" si="1277"/>
        <v>0.77423739051646023</v>
      </c>
      <c r="AM464" s="13">
        <f t="shared" si="1278"/>
        <v>1.5</v>
      </c>
      <c r="AN464" s="12">
        <f t="shared" ca="1" si="1279"/>
        <v>0.68812344829974326</v>
      </c>
      <c r="AO464" s="14">
        <f t="shared" ca="1" si="1280"/>
        <v>1.0321851724496149</v>
      </c>
      <c r="AP464" s="13">
        <f t="shared" ref="AP464:AQ464" ca="1" si="1286">SUM(T472)</f>
        <v>208.35285234899328</v>
      </c>
      <c r="AQ464" s="13">
        <f t="shared" ca="1" si="1286"/>
        <v>8.334114093959732</v>
      </c>
      <c r="AR464" s="9">
        <f t="shared" ca="1" si="1282"/>
        <v>205.08</v>
      </c>
      <c r="AS464" s="76"/>
      <c r="AT464" s="76"/>
    </row>
    <row r="465" spans="1:46" ht="15.75" customHeight="1" x14ac:dyDescent="0.25">
      <c r="A465" s="70"/>
      <c r="B465" s="16">
        <v>1</v>
      </c>
      <c r="C465" s="16" t="s">
        <v>26</v>
      </c>
      <c r="D465" s="17">
        <v>16</v>
      </c>
      <c r="E465" s="18">
        <f ca="1">IFERROR(__xludf.DUMMYFUNCTION("COUNT(IMPORTRANGE(""https://docs.google.com/spreadsheets/d/1z0o91thOT38lgejTE_Bd2p3v_9VCDdQRkUsMIVqpQCk/edit"",""18!d2:d21""))"),14)</f>
        <v>14</v>
      </c>
      <c r="F465" s="19">
        <f ca="1">IFERROR(__xludf.DUMMYFUNCTION("SUM(IMPORTRANGE(""https://docs.google.com/spreadsheets/d/1z0o91thOT38lgejTE_Bd2p3v_9VCDdQRkUsMIVqpQCk/edit"",""18!Q2:Q21""))"),2559.045)</f>
        <v>2559.0450000000001</v>
      </c>
      <c r="G465" s="18">
        <f ca="1">IFERROR(__xludf.DUMMYFUNCTION("IMPORTRANGE(""https://docs.google.com/spreadsheets/d/1z0o91thOT38lgejTE_Bd2p3v_9VCDdQRkUsMIVqpQCk/edit"",""18!e28"")"),1331)</f>
        <v>1331</v>
      </c>
      <c r="H465" s="18">
        <f ca="1">IFERROR(__xludf.DUMMYFUNCTION("IMPORTRANGE(""https://docs.google.com/spreadsheets/d/1z0o91thOT38lgejTE_Bd2p3v_9VCDdQRkUsMIVqpQCk/edit"",""18!e29"")"),0)</f>
        <v>0</v>
      </c>
      <c r="I465" s="18">
        <f t="shared" ref="I465:I482" ca="1" si="1287">SUM(G465:H465)</f>
        <v>1331</v>
      </c>
      <c r="J465" s="18">
        <f ca="1">IFERROR(__xludf.DUMMYFUNCTION("IMPORTRANGE(""https://docs.google.com/spreadsheets/d/1z0o91thOT38lgejTE_Bd2p3v_9VCDdQRkUsMIVqpQCk/edit"",""18!e32"")"),2167)</f>
        <v>2167</v>
      </c>
      <c r="K465" s="18">
        <f ca="1">IFERROR(__xludf.DUMMYFUNCTION("IMPORTRANGE(""https://docs.google.com/spreadsheets/d/1z0o91thOT38lgejTE_Bd2p3v_9VCDdQRkUsMIVqpQCk/edit"",""18!e33"")"),0)</f>
        <v>0</v>
      </c>
      <c r="L465" s="18">
        <f t="shared" ref="L465:L471" ca="1" si="1288">SUM(J465:K465)</f>
        <v>2167</v>
      </c>
      <c r="M465" s="18">
        <f t="shared" ref="M465:M482" ca="1" si="1289">SUM(I465+L465)</f>
        <v>3498</v>
      </c>
      <c r="N465" s="19">
        <f t="shared" ref="N465:N483" ca="1" si="1290">F465/E465</f>
        <v>182.78892857142858</v>
      </c>
      <c r="O465" s="16">
        <v>5161</v>
      </c>
      <c r="P465" s="20">
        <f t="shared" ref="P465:P483" ca="1" si="1291">M465/O465</f>
        <v>0.67777562487889942</v>
      </c>
      <c r="Q465" s="21">
        <v>1.5</v>
      </c>
      <c r="R465" s="20">
        <f t="shared" ref="R465:R483" ca="1" si="1292">S465/Q465</f>
        <v>0.91127744920468379</v>
      </c>
      <c r="S465" s="22">
        <f t="shared" ref="S465:S483" ca="1" si="1293">M465/F465</f>
        <v>1.3669161738070257</v>
      </c>
      <c r="T465" s="21">
        <f ca="1">F465/14.415</f>
        <v>177.52653485952135</v>
      </c>
      <c r="U465" s="21">
        <f t="shared" ref="U465:U483" ca="1" si="1294">T465/E465</f>
        <v>12.680466775680097</v>
      </c>
      <c r="V465" s="18">
        <f t="shared" ref="V465:V483" ca="1" si="1295">M465/E465</f>
        <v>249.85714285714286</v>
      </c>
      <c r="W465" s="76"/>
      <c r="X465" s="8">
        <v>4</v>
      </c>
      <c r="Y465" s="8" t="s">
        <v>27</v>
      </c>
      <c r="Z465" s="8">
        <f t="shared" ref="Z465:AK465" si="1296">SUM(D478)</f>
        <v>24</v>
      </c>
      <c r="AA465" s="9">
        <f t="shared" ca="1" si="1296"/>
        <v>24</v>
      </c>
      <c r="AB465" s="10">
        <f t="shared" ca="1" si="1296"/>
        <v>4332.6379999999999</v>
      </c>
      <c r="AC465" s="9">
        <f t="shared" ca="1" si="1296"/>
        <v>1637</v>
      </c>
      <c r="AD465" s="9">
        <f t="shared" ca="1" si="1296"/>
        <v>0</v>
      </c>
      <c r="AE465" s="9">
        <f t="shared" ca="1" si="1296"/>
        <v>1637</v>
      </c>
      <c r="AF465" s="9">
        <f t="shared" ca="1" si="1296"/>
        <v>2192</v>
      </c>
      <c r="AG465" s="9">
        <f t="shared" ca="1" si="1296"/>
        <v>0</v>
      </c>
      <c r="AH465" s="9">
        <f t="shared" ca="1" si="1296"/>
        <v>2192</v>
      </c>
      <c r="AI465" s="9">
        <f t="shared" ca="1" si="1296"/>
        <v>3829</v>
      </c>
      <c r="AJ465" s="11">
        <f t="shared" ca="1" si="1296"/>
        <v>180.52658333333332</v>
      </c>
      <c r="AK465" s="8">
        <f t="shared" si="1296"/>
        <v>8101</v>
      </c>
      <c r="AL465" s="12">
        <f t="shared" ca="1" si="1277"/>
        <v>0.47265769658066903</v>
      </c>
      <c r="AM465" s="13">
        <f>SUM(Q478)</f>
        <v>1.5</v>
      </c>
      <c r="AN465" s="12">
        <f t="shared" ca="1" si="1279"/>
        <v>0.58917146243620322</v>
      </c>
      <c r="AO465" s="14">
        <f t="shared" ca="1" si="1280"/>
        <v>0.88375719365430483</v>
      </c>
      <c r="AP465" s="13">
        <f t="shared" ref="AP465:AQ465" ca="1" si="1297">SUM(T478)</f>
        <v>216.79449587190393</v>
      </c>
      <c r="AQ465" s="13">
        <f t="shared" ca="1" si="1297"/>
        <v>9.0331039946626639</v>
      </c>
      <c r="AR465" s="9">
        <f t="shared" ca="1" si="1282"/>
        <v>159.54166666666666</v>
      </c>
      <c r="AS465" s="76"/>
      <c r="AT465" s="76"/>
    </row>
    <row r="466" spans="1:46" ht="15.75" customHeight="1" x14ac:dyDescent="0.25">
      <c r="A466" s="70"/>
      <c r="B466" s="16">
        <v>2</v>
      </c>
      <c r="C466" s="16" t="s">
        <v>28</v>
      </c>
      <c r="D466" s="17">
        <v>26</v>
      </c>
      <c r="E466" s="18">
        <f ca="1">IFERROR(__xludf.DUMMYFUNCTION("COUNT(IMPORTRANGE(""https://docs.google.com/spreadsheets/d/10a85iNN0y9GF6ngQfF1JXGAzFk-T7ywH4-TZtQcOTaE/edit"",""18!d2:d34""))"),26)</f>
        <v>26</v>
      </c>
      <c r="F466" s="19">
        <f ca="1">IFERROR(__xludf.DUMMYFUNCTION("SUM(IMPORTRANGE(""https://docs.google.com/spreadsheets/d/10a85iNN0y9GF6ngQfF1JXGAzFk-T7ywH4-TZtQcOTaE/edit"",""18!Q2:Q34""))"),4751.079)</f>
        <v>4751.0789999999997</v>
      </c>
      <c r="G466" s="18">
        <f ca="1">IFERROR(__xludf.DUMMYFUNCTION("IMPORTRANGE(""https://docs.google.com/spreadsheets/d/10a85iNN0y9GF6ngQfF1JXGAzFk-T7ywH4-TZtQcOTaE/edit"",""18!e41"")"),1701)</f>
        <v>1701</v>
      </c>
      <c r="H466" s="18">
        <f ca="1">IFERROR(__xludf.DUMMYFUNCTION("IMPORTRANGE(""https://docs.google.com/spreadsheets/d/10a85iNN0y9GF6ngQfF1JXGAzFk-T7ywH4-TZtQcOTaE/edit"",""18!e42"")"),55)</f>
        <v>55</v>
      </c>
      <c r="I466" s="18">
        <f t="shared" ca="1" si="1287"/>
        <v>1756</v>
      </c>
      <c r="J466" s="18">
        <f ca="1">IFERROR(__xludf.DUMMYFUNCTION("IMPORTRANGE(""https://docs.google.com/spreadsheets/d/10a85iNN0y9GF6ngQfF1JXGAzFk-T7ywH4-TZtQcOTaE/edit"",""18!e45"")"),2031)</f>
        <v>2031</v>
      </c>
      <c r="K466" s="18">
        <f ca="1">IFERROR(__xludf.DUMMYFUNCTION("IMPORTRANGE(""https://docs.google.com/spreadsheets/d/10a85iNN0y9GF6ngQfF1JXGAzFk-T7ywH4-TZtQcOTaE/edit"",""18!e46"")"),171)</f>
        <v>171</v>
      </c>
      <c r="L466" s="18">
        <f t="shared" ca="1" si="1288"/>
        <v>2202</v>
      </c>
      <c r="M466" s="18">
        <f t="shared" ca="1" si="1289"/>
        <v>3958</v>
      </c>
      <c r="N466" s="19">
        <f t="shared" ca="1" si="1290"/>
        <v>182.73380769230769</v>
      </c>
      <c r="O466" s="16">
        <v>7315</v>
      </c>
      <c r="P466" s="20">
        <f t="shared" ca="1" si="1291"/>
        <v>0.54107997265892005</v>
      </c>
      <c r="Q466" s="21">
        <v>1.5</v>
      </c>
      <c r="R466" s="20">
        <f t="shared" ca="1" si="1292"/>
        <v>0.55538261238482178</v>
      </c>
      <c r="S466" s="22">
        <f t="shared" ca="1" si="1293"/>
        <v>0.83307391857723267</v>
      </c>
      <c r="T466" s="21">
        <f ca="1">F466/30.897</f>
        <v>153.77153121662298</v>
      </c>
      <c r="U466" s="21">
        <f t="shared" ca="1" si="1294"/>
        <v>5.9142896621778069</v>
      </c>
      <c r="V466" s="18">
        <f t="shared" ca="1" si="1295"/>
        <v>152.23076923076923</v>
      </c>
      <c r="W466" s="76"/>
      <c r="X466" s="8">
        <v>5</v>
      </c>
      <c r="Y466" s="8" t="s">
        <v>29</v>
      </c>
      <c r="Z466" s="8">
        <f t="shared" ref="Z466:AI466" si="1298">SUM(D481)</f>
        <v>24</v>
      </c>
      <c r="AA466" s="9">
        <f t="shared" ca="1" si="1298"/>
        <v>22</v>
      </c>
      <c r="AB466" s="10">
        <f t="shared" ca="1" si="1298"/>
        <v>4296.2700000000004</v>
      </c>
      <c r="AC466" s="9">
        <f t="shared" ca="1" si="1298"/>
        <v>1861</v>
      </c>
      <c r="AD466" s="9">
        <f t="shared" ca="1" si="1298"/>
        <v>0</v>
      </c>
      <c r="AE466" s="9">
        <f t="shared" ca="1" si="1298"/>
        <v>1861</v>
      </c>
      <c r="AF466" s="9">
        <f t="shared" ca="1" si="1298"/>
        <v>3038</v>
      </c>
      <c r="AG466" s="9">
        <f t="shared" ca="1" si="1298"/>
        <v>0</v>
      </c>
      <c r="AH466" s="9">
        <f t="shared" ca="1" si="1298"/>
        <v>3038</v>
      </c>
      <c r="AI466" s="9">
        <f t="shared" ca="1" si="1298"/>
        <v>4899</v>
      </c>
      <c r="AJ466" s="11">
        <f t="shared" ref="AJ466:AJ468" ca="1" si="1299">AB466/AA466</f>
        <v>195.28500000000003</v>
      </c>
      <c r="AK466" s="8">
        <f t="shared" ref="AK466:AK467" si="1300">SUM(O481)</f>
        <v>9201</v>
      </c>
      <c r="AL466" s="12">
        <f t="shared" ca="1" si="1277"/>
        <v>0.53244212585588524</v>
      </c>
      <c r="AM466" s="13">
        <f t="shared" ref="AM466:AM467" si="1301">SUM(Q481)</f>
        <v>1.5</v>
      </c>
      <c r="AN466" s="12">
        <f t="shared" ca="1" si="1279"/>
        <v>0.7601943080858512</v>
      </c>
      <c r="AO466" s="14">
        <f t="shared" ca="1" si="1280"/>
        <v>1.1402914621287767</v>
      </c>
      <c r="AP466" s="13">
        <f t="shared" ref="AP466:AQ466" ca="1" si="1302">SUM(T481)</f>
        <v>165.00000000000003</v>
      </c>
      <c r="AQ466" s="13">
        <f t="shared" ca="1" si="1302"/>
        <v>7.5000000000000009</v>
      </c>
      <c r="AR466" s="9">
        <f t="shared" ca="1" si="1282"/>
        <v>222.68181818181819</v>
      </c>
      <c r="AS466" s="76"/>
      <c r="AT466" s="76"/>
    </row>
    <row r="467" spans="1:46" ht="15.75" customHeight="1" x14ac:dyDescent="0.25">
      <c r="A467" s="70"/>
      <c r="B467" s="16">
        <v>3</v>
      </c>
      <c r="C467" s="16" t="s">
        <v>30</v>
      </c>
      <c r="D467" s="17">
        <v>48</v>
      </c>
      <c r="E467" s="18">
        <f ca="1">IFERROR(__xludf.DUMMYFUNCTION("COUNT(IMPORTRANGE(""https://docs.google.com/spreadsheets/d/1WojVzHhpzodJL1e5UDHeu3A3u5MTSZwvxHu0BrwvL9w/edit"",""18!d2:d61""))"),46)</f>
        <v>46</v>
      </c>
      <c r="F467" s="23">
        <f ca="1">IFERROR(__xludf.DUMMYFUNCTION("SUM(IMPORTRANGE(""https://docs.google.com/spreadsheets/d/1WojVzHhpzodJL1e5UDHeu3A3u5MTSZwvxHu0BrwvL9w/edit"",""18!Q2:Q61""))"),9147.32699999999)</f>
        <v>9147.3269999999902</v>
      </c>
      <c r="G467" s="18">
        <f ca="1">IFERROR(__xludf.DUMMYFUNCTION("IMPORTRANGE(""https://docs.google.com/spreadsheets/d/1WojVzHhpzodJL1e5UDHeu3A3u5MTSZwvxHu0BrwvL9w/edit"",""18!e68"")"),2503)</f>
        <v>2503</v>
      </c>
      <c r="H467" s="18">
        <f ca="1">IFERROR(__xludf.DUMMYFUNCTION("IMPORTRANGE(""https://docs.google.com/spreadsheets/d/1WojVzHhpzodJL1e5UDHeu3A3u5MTSZwvxHu0BrwvL9w/edit"",""18!e69"")"),0)</f>
        <v>0</v>
      </c>
      <c r="I467" s="18">
        <f t="shared" ca="1" si="1287"/>
        <v>2503</v>
      </c>
      <c r="J467" s="18">
        <f ca="1">IFERROR(__xludf.DUMMYFUNCTION("IMPORTRANGE(""https://docs.google.com/spreadsheets/d/1WojVzHhpzodJL1e5UDHeu3A3u5MTSZwvxHu0BrwvL9w/edit"",""18!e72"")"),3899)</f>
        <v>3899</v>
      </c>
      <c r="K467" s="18">
        <f ca="1">IFERROR(__xludf.DUMMYFUNCTION("IMPORTRANGE(""https://docs.google.com/spreadsheets/d/1WojVzHhpzodJL1e5UDHeu3A3u5MTSZwvxHu0BrwvL9w/edit"",""18!e73"")"),39)</f>
        <v>39</v>
      </c>
      <c r="L467" s="18">
        <f t="shared" ca="1" si="1288"/>
        <v>3938</v>
      </c>
      <c r="M467" s="18">
        <f t="shared" ca="1" si="1289"/>
        <v>6441</v>
      </c>
      <c r="N467" s="19">
        <f t="shared" ca="1" si="1290"/>
        <v>198.8549347826085</v>
      </c>
      <c r="O467" s="16">
        <v>11164</v>
      </c>
      <c r="P467" s="20">
        <f t="shared" ca="1" si="1291"/>
        <v>0.57694374776065926</v>
      </c>
      <c r="Q467" s="21">
        <v>1.5</v>
      </c>
      <c r="R467" s="20">
        <f t="shared" ca="1" si="1292"/>
        <v>0.46942675166198877</v>
      </c>
      <c r="S467" s="22">
        <f t="shared" ca="1" si="1293"/>
        <v>0.70414012749298316</v>
      </c>
      <c r="T467" s="21">
        <f ca="1">F467/29.603</f>
        <v>308.99999999999966</v>
      </c>
      <c r="U467" s="21">
        <f t="shared" ca="1" si="1294"/>
        <v>6.7173913043478191</v>
      </c>
      <c r="V467" s="18">
        <f t="shared" ca="1" si="1295"/>
        <v>140.02173913043478</v>
      </c>
      <c r="W467" s="76"/>
      <c r="X467" s="8">
        <v>6</v>
      </c>
      <c r="Y467" s="8" t="s">
        <v>31</v>
      </c>
      <c r="Z467" s="8">
        <f t="shared" ref="Z467:AI467" si="1303">SUM(D482)</f>
        <v>12</v>
      </c>
      <c r="AA467" s="9">
        <f t="shared" ca="1" si="1303"/>
        <v>12</v>
      </c>
      <c r="AB467" s="11">
        <f t="shared" ca="1" si="1303"/>
        <v>2303.645</v>
      </c>
      <c r="AC467" s="9">
        <f t="shared" ca="1" si="1303"/>
        <v>686</v>
      </c>
      <c r="AD467" s="9">
        <f t="shared" ca="1" si="1303"/>
        <v>12</v>
      </c>
      <c r="AE467" s="9">
        <f t="shared" ca="1" si="1303"/>
        <v>698</v>
      </c>
      <c r="AF467" s="9">
        <f t="shared" ca="1" si="1303"/>
        <v>842</v>
      </c>
      <c r="AG467" s="9">
        <f t="shared" ca="1" si="1303"/>
        <v>0</v>
      </c>
      <c r="AH467" s="9">
        <f t="shared" ca="1" si="1303"/>
        <v>842</v>
      </c>
      <c r="AI467" s="9">
        <f t="shared" ca="1" si="1303"/>
        <v>1540</v>
      </c>
      <c r="AJ467" s="11">
        <f t="shared" ca="1" si="1299"/>
        <v>191.97041666666667</v>
      </c>
      <c r="AK467" s="8">
        <f t="shared" si="1300"/>
        <v>2717</v>
      </c>
      <c r="AL467" s="12">
        <f t="shared" ca="1" si="1277"/>
        <v>0.5668016194331984</v>
      </c>
      <c r="AM467" s="13">
        <f t="shared" si="1301"/>
        <v>1.5</v>
      </c>
      <c r="AN467" s="12">
        <f t="shared" ca="1" si="1279"/>
        <v>0.44567052070378321</v>
      </c>
      <c r="AO467" s="14">
        <f t="shared" ca="1" si="1280"/>
        <v>0.66850578105567482</v>
      </c>
      <c r="AP467" s="13">
        <f t="shared" ref="AP467:AQ467" ca="1" si="1304">SUM(T482)</f>
        <v>52.999999999999993</v>
      </c>
      <c r="AQ467" s="13">
        <f t="shared" ca="1" si="1304"/>
        <v>4.4166666666666661</v>
      </c>
      <c r="AR467" s="9">
        <f t="shared" ca="1" si="1282"/>
        <v>128.33333333333334</v>
      </c>
      <c r="AS467" s="76"/>
      <c r="AT467" s="76"/>
    </row>
    <row r="468" spans="1:46" ht="15.75" customHeight="1" x14ac:dyDescent="0.25">
      <c r="A468" s="70"/>
      <c r="B468" s="16">
        <v>4</v>
      </c>
      <c r="C468" s="16" t="s">
        <v>32</v>
      </c>
      <c r="D468" s="17">
        <v>33</v>
      </c>
      <c r="E468" s="18">
        <f ca="1">IFERROR(__xludf.DUMMYFUNCTION("COUNT(IMPORTRANGE(""https://docs.google.com/spreadsheets/d/1vmCj5YcMSPHj1m64syDndQ6cqVL3yolcU03Y8KHmvdc/edit"",""18!d2:d43""))"),32)</f>
        <v>32</v>
      </c>
      <c r="F468" s="23">
        <f ca="1">IFERROR(__xludf.DUMMYFUNCTION("SUM(IMPORTRANGE(""https://docs.google.com/spreadsheets/d/1vmCj5YcMSPHj1m64syDndQ6cqVL3yolcU03Y8KHmvdc/edit"",""18!Q2:Q43""))"),6148.95399999999)</f>
        <v>6148.9539999999897</v>
      </c>
      <c r="G468" s="16">
        <f ca="1">IFERROR(__xludf.DUMMYFUNCTION("IMPORTRANGE(""https://docs.google.com/spreadsheets/d/1vmCj5YcMSPHj1m64syDndQ6cqVL3yolcU03Y8KHmvdc/edit"",""18!e50"")"),3418)</f>
        <v>3418</v>
      </c>
      <c r="H468" s="16">
        <f ca="1">IFERROR(__xludf.DUMMYFUNCTION("IMPORTRANGE(""https://docs.google.com/spreadsheets/d/1vmCj5YcMSPHj1m64syDndQ6cqVL3yolcU03Y8KHmvdc/edit"",""18!e51"")"),0)</f>
        <v>0</v>
      </c>
      <c r="I468" s="18">
        <f t="shared" ca="1" si="1287"/>
        <v>3418</v>
      </c>
      <c r="J468" s="16">
        <f ca="1">IFERROR(__xludf.DUMMYFUNCTION("IMPORTRANGE(""https://docs.google.com/spreadsheets/d/1vmCj5YcMSPHj1m64syDndQ6cqVL3yolcU03Y8KHmvdc/edit"",""18!e54"")"),3917)</f>
        <v>3917</v>
      </c>
      <c r="K468" s="16">
        <f ca="1">IFERROR(__xludf.DUMMYFUNCTION("IMPORTRANGE(""https://docs.google.com/spreadsheets/d/1vmCj5YcMSPHj1m64syDndQ6cqVL3yolcU03Y8KHmvdc/edit"",""18!e55"")"),0)</f>
        <v>0</v>
      </c>
      <c r="L468" s="18">
        <f t="shared" ca="1" si="1288"/>
        <v>3917</v>
      </c>
      <c r="M468" s="18">
        <f t="shared" ca="1" si="1289"/>
        <v>7335</v>
      </c>
      <c r="N468" s="19">
        <f t="shared" ca="1" si="1290"/>
        <v>192.15481249999968</v>
      </c>
      <c r="O468" s="16">
        <v>13817</v>
      </c>
      <c r="P468" s="20">
        <f t="shared" ca="1" si="1291"/>
        <v>0.53086777158572773</v>
      </c>
      <c r="Q468" s="21">
        <v>1.5</v>
      </c>
      <c r="R468" s="20">
        <f t="shared" ca="1" si="1292"/>
        <v>0.7952572096002033</v>
      </c>
      <c r="S468" s="22">
        <f t="shared" ca="1" si="1293"/>
        <v>1.1928858144003049</v>
      </c>
      <c r="T468" s="21">
        <f ca="1">F468/25.089</f>
        <v>245.08565506795767</v>
      </c>
      <c r="U468" s="21">
        <f t="shared" ca="1" si="1294"/>
        <v>7.6589267208736773</v>
      </c>
      <c r="V468" s="18">
        <f t="shared" ca="1" si="1295"/>
        <v>229.21875</v>
      </c>
      <c r="W468" s="76"/>
      <c r="X468" s="24" t="s">
        <v>33</v>
      </c>
      <c r="Y468" s="24">
        <v>6</v>
      </c>
      <c r="Z468" s="24">
        <f t="shared" ref="Z468:AI468" si="1305">SUM(Z462:Z467)</f>
        <v>152</v>
      </c>
      <c r="AA468" s="25">
        <f t="shared" ca="1" si="1305"/>
        <v>146</v>
      </c>
      <c r="AB468" s="26">
        <f t="shared" ca="1" si="1305"/>
        <v>27964.251999999979</v>
      </c>
      <c r="AC468" s="25">
        <f t="shared" ca="1" si="1305"/>
        <v>8195</v>
      </c>
      <c r="AD468" s="25">
        <f t="shared" ca="1" si="1305"/>
        <v>273</v>
      </c>
      <c r="AE468" s="25">
        <f t="shared" ca="1" si="1305"/>
        <v>8468</v>
      </c>
      <c r="AF468" s="25">
        <f t="shared" ca="1" si="1305"/>
        <v>12339</v>
      </c>
      <c r="AG468" s="25">
        <f t="shared" ca="1" si="1305"/>
        <v>268</v>
      </c>
      <c r="AH468" s="25">
        <f t="shared" ca="1" si="1305"/>
        <v>12607</v>
      </c>
      <c r="AI468" s="25">
        <f t="shared" ca="1" si="1305"/>
        <v>21075</v>
      </c>
      <c r="AJ468" s="27">
        <f t="shared" ca="1" si="1299"/>
        <v>191.53597260273958</v>
      </c>
      <c r="AK468" s="24">
        <f>SUM(AK462:AK467)</f>
        <v>35074</v>
      </c>
      <c r="AL468" s="28">
        <f t="shared" ca="1" si="1277"/>
        <v>0.60087244112447968</v>
      </c>
      <c r="AM468" s="29">
        <v>1.5</v>
      </c>
      <c r="AN468" s="28">
        <f t="shared" ca="1" si="1279"/>
        <v>0.5024271702314802</v>
      </c>
      <c r="AO468" s="30">
        <f t="shared" ca="1" si="1280"/>
        <v>0.7536407553472203</v>
      </c>
      <c r="AP468" s="29">
        <f ca="1">SUM(AP462:AP467)</f>
        <v>1053.6495679560205</v>
      </c>
      <c r="AQ468" s="29">
        <f ca="1">AP468/AA468</f>
        <v>7.216777862712469</v>
      </c>
      <c r="AR468" s="25">
        <f t="shared" ca="1" si="1282"/>
        <v>144.34931506849315</v>
      </c>
      <c r="AS468" s="76"/>
      <c r="AT468" s="76"/>
    </row>
    <row r="469" spans="1:46" ht="15.75" customHeight="1" x14ac:dyDescent="0.25">
      <c r="A469" s="70"/>
      <c r="B469" s="16">
        <v>5</v>
      </c>
      <c r="C469" s="16" t="s">
        <v>34</v>
      </c>
      <c r="D469" s="17">
        <v>32</v>
      </c>
      <c r="E469" s="18">
        <f ca="1">IFERROR(__xludf.DUMMYFUNCTION("COUNT(IMPORTRANGE(""https://docs.google.com/spreadsheets/d/14_Y-fpuq1wcec3DlT_1PBYekOC0YblQMrWVfO12YO3k/edit"",""18!d2:d41""))"),32)</f>
        <v>32</v>
      </c>
      <c r="F469" s="23">
        <f ca="1">IFERROR(__xludf.DUMMYFUNCTION("SUM(IMPORTRANGE(""https://docs.google.com/spreadsheets/d/14_Y-fpuq1wcec3DlT_1PBYekOC0YblQMrWVfO12YO3k/edit"",""18!Q2:Q41""))"),6391.545)</f>
        <v>6391.5450000000001</v>
      </c>
      <c r="G469" s="18">
        <f ca="1">IFERROR(__xludf.DUMMYFUNCTION("IMPORTRANGE(""https://docs.google.com/spreadsheets/d/14_Y-fpuq1wcec3DlT_1PBYekOC0YblQMrWVfO12YO3k/edit"",""18!e48"")"),1668)</f>
        <v>1668</v>
      </c>
      <c r="H469" s="18">
        <f ca="1">IFERROR(__xludf.DUMMYFUNCTION("IMPORTRANGE(""https://docs.google.com/spreadsheets/d/14_Y-fpuq1wcec3DlT_1PBYekOC0YblQMrWVfO12YO3k/edit"",""18!e49"")"),0)</f>
        <v>0</v>
      </c>
      <c r="I469" s="18">
        <f t="shared" ca="1" si="1287"/>
        <v>1668</v>
      </c>
      <c r="J469" s="18">
        <f ca="1">IFERROR(__xludf.DUMMYFUNCTION("IMPORTRANGE(""https://docs.google.com/spreadsheets/d/14_Y-fpuq1wcec3DlT_1PBYekOC0YblQMrWVfO12YO3k/edit"",""18!e52"")"),2773)</f>
        <v>2773</v>
      </c>
      <c r="K469" s="18">
        <f ca="1">IFERROR(__xludf.DUMMYFUNCTION("IMPORTRANGE(""https://docs.google.com/spreadsheets/d/14_Y-fpuq1wcec3DlT_1PBYekOC0YblQMrWVfO12YO3k/edit"",""18!e53"")"),29)</f>
        <v>29</v>
      </c>
      <c r="L469" s="18">
        <f t="shared" ca="1" si="1288"/>
        <v>2802</v>
      </c>
      <c r="M469" s="18">
        <f t="shared" ca="1" si="1289"/>
        <v>4470</v>
      </c>
      <c r="N469" s="19">
        <f t="shared" ca="1" si="1290"/>
        <v>199.73578125</v>
      </c>
      <c r="O469" s="16">
        <v>9354</v>
      </c>
      <c r="P469" s="20">
        <f t="shared" ca="1" si="1291"/>
        <v>0.47787042976266836</v>
      </c>
      <c r="Q469" s="21">
        <v>1.5</v>
      </c>
      <c r="R469" s="20">
        <f t="shared" ca="1" si="1292"/>
        <v>0.46624094800240007</v>
      </c>
      <c r="S469" s="22">
        <f t="shared" ca="1" si="1293"/>
        <v>0.69936142200360008</v>
      </c>
      <c r="T469" s="21">
        <f ca="1">F469/30.713</f>
        <v>208.10552534757269</v>
      </c>
      <c r="U469" s="21">
        <f t="shared" ca="1" si="1294"/>
        <v>6.5032976671116467</v>
      </c>
      <c r="V469" s="18">
        <f t="shared" ca="1" si="1295"/>
        <v>139.6875</v>
      </c>
      <c r="W469" s="76"/>
      <c r="X469" s="100" t="s">
        <v>35</v>
      </c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9"/>
      <c r="AS469" s="76"/>
      <c r="AT469" s="76"/>
    </row>
    <row r="470" spans="1:46" ht="15.75" customHeight="1" x14ac:dyDescent="0.25">
      <c r="A470" s="70"/>
      <c r="B470" s="16">
        <v>6</v>
      </c>
      <c r="C470" s="16" t="s">
        <v>23</v>
      </c>
      <c r="D470" s="17">
        <v>28</v>
      </c>
      <c r="E470" s="18">
        <f ca="1">IFERROR(__xludf.DUMMYFUNCTION("COUNT(IMPORTRANGE(""https://docs.google.com/spreadsheets/d/1lJqjdj05V4LOXuBOiTdE65GV4ZITyx1cMLcDdcuoUnE/edit"",""18!d2:d36""))"),27)</f>
        <v>27</v>
      </c>
      <c r="F470" s="23">
        <f ca="1">IFERROR(__xludf.DUMMYFUNCTION("SUM(IMPORTRANGE(""https://docs.google.com/spreadsheets/d/1lJqjdj05V4LOXuBOiTdE65GV4ZITyx1cMLcDdcuoUnE/edit"",""18!Q2:Q36""))"),5162.21999999999)</f>
        <v>5162.2199999999903</v>
      </c>
      <c r="G470" s="18">
        <f ca="1">IFERROR(__xludf.DUMMYFUNCTION("IMPORTRANGE(""https://docs.google.com/spreadsheets/d/1lJqjdj05V4LOXuBOiTdE65GV4ZITyx1cMLcDdcuoUnE/edit"",""18!e43"")"),1588)</f>
        <v>1588</v>
      </c>
      <c r="H470" s="18">
        <f ca="1">IFERROR(__xludf.DUMMYFUNCTION("IMPORTRANGE(""https://docs.google.com/spreadsheets/d/1lJqjdj05V4LOXuBOiTdE65GV4ZITyx1cMLcDdcuoUnE/edit"",""18!e44"")"),0)</f>
        <v>0</v>
      </c>
      <c r="I470" s="18">
        <f t="shared" ca="1" si="1287"/>
        <v>1588</v>
      </c>
      <c r="J470" s="18">
        <f ca="1">IFERROR(__xludf.DUMMYFUNCTION("IMPORTRANGE(""https://docs.google.com/spreadsheets/d/1lJqjdj05V4LOXuBOiTdE65GV4ZITyx1cMLcDdcuoUnE/edit"",""18!e47"")"),2135)</f>
        <v>2135</v>
      </c>
      <c r="K470" s="18">
        <f ca="1">IFERROR(__xludf.DUMMYFUNCTION("IMPORTRANGE(""https://docs.google.com/spreadsheets/d/1lJqjdj05V4LOXuBOiTdE65GV4ZITyx1cMLcDdcuoUnE/edit"",""18!e48"")"),0)</f>
        <v>0</v>
      </c>
      <c r="L470" s="18">
        <f t="shared" ca="1" si="1288"/>
        <v>2135</v>
      </c>
      <c r="M470" s="18">
        <f t="shared" ca="1" si="1289"/>
        <v>3723</v>
      </c>
      <c r="N470" s="19">
        <f t="shared" ca="1" si="1290"/>
        <v>191.19333333333296</v>
      </c>
      <c r="O470" s="16">
        <v>6853</v>
      </c>
      <c r="P470" s="20">
        <f t="shared" ca="1" si="1291"/>
        <v>0.54326572304100396</v>
      </c>
      <c r="Q470" s="21">
        <v>1.5</v>
      </c>
      <c r="R470" s="20">
        <f t="shared" ca="1" si="1292"/>
        <v>0.48080089573865598</v>
      </c>
      <c r="S470" s="22">
        <f t="shared" ca="1" si="1293"/>
        <v>0.72120134360798394</v>
      </c>
      <c r="T470" s="21">
        <f ca="1">F470/33.74</f>
        <v>152.99999999999972</v>
      </c>
      <c r="U470" s="21">
        <f t="shared" ca="1" si="1294"/>
        <v>5.6666666666666563</v>
      </c>
      <c r="V470" s="18">
        <f t="shared" ca="1" si="1295"/>
        <v>137.88888888888889</v>
      </c>
      <c r="W470" s="76"/>
      <c r="X470" s="1" t="s">
        <v>2</v>
      </c>
      <c r="Y470" s="1" t="s">
        <v>3</v>
      </c>
      <c r="Z470" s="1" t="s">
        <v>4</v>
      </c>
      <c r="AA470" s="1" t="s">
        <v>5</v>
      </c>
      <c r="AB470" s="2" t="s">
        <v>6</v>
      </c>
      <c r="AC470" s="1" t="s">
        <v>7</v>
      </c>
      <c r="AD470" s="1" t="s">
        <v>8</v>
      </c>
      <c r="AE470" s="1" t="s">
        <v>9</v>
      </c>
      <c r="AF470" s="1" t="s">
        <v>10</v>
      </c>
      <c r="AG470" s="1" t="s">
        <v>11</v>
      </c>
      <c r="AH470" s="1" t="s">
        <v>12</v>
      </c>
      <c r="AI470" s="1" t="s">
        <v>13</v>
      </c>
      <c r="AJ470" s="2" t="s">
        <v>14</v>
      </c>
      <c r="AK470" s="1" t="s">
        <v>15</v>
      </c>
      <c r="AL470" s="1" t="s">
        <v>16</v>
      </c>
      <c r="AM470" s="3" t="s">
        <v>17</v>
      </c>
      <c r="AN470" s="4" t="s">
        <v>18</v>
      </c>
      <c r="AO470" s="5" t="s">
        <v>19</v>
      </c>
      <c r="AP470" s="6" t="s">
        <v>20</v>
      </c>
      <c r="AQ470" s="6" t="s">
        <v>21</v>
      </c>
      <c r="AR470" s="7" t="s">
        <v>22</v>
      </c>
      <c r="AS470" s="76"/>
      <c r="AT470" s="76"/>
    </row>
    <row r="471" spans="1:46" ht="15.75" customHeight="1" x14ac:dyDescent="0.25">
      <c r="A471" s="70"/>
      <c r="B471" s="16">
        <v>7</v>
      </c>
      <c r="C471" s="16" t="s">
        <v>24</v>
      </c>
      <c r="D471" s="17">
        <v>37</v>
      </c>
      <c r="E471" s="31">
        <f ca="1">IFERROR(__xludf.DUMMYFUNCTION("COUNT(IMPORTRANGE(""https://docs.google.com/spreadsheets/d/1_7EEO26q9Yq-XhNFiy7I6Zh4Yg6uGjTs9y0UqNvPKcQ/edit"",""18!d2:d45""))"),36)</f>
        <v>36</v>
      </c>
      <c r="F471" s="32">
        <f ca="1">IFERROR(__xludf.DUMMYFUNCTION("SUM(IMPORTRANGE(""https://docs.google.com/spreadsheets/d/1_7EEO26q9Yq-XhNFiy7I6Zh4Yg6uGjTs9y0UqNvPKcQ/edit"",""18!Q2:Q45""))"),6902.34699999999)</f>
        <v>6902.3469999999897</v>
      </c>
      <c r="G471" s="31">
        <f ca="1">IFERROR(__xludf.DUMMYFUNCTION("IMPORTRANGE(""https://docs.google.com/spreadsheets/d/1_7EEO26q9Yq-XhNFiy7I6Zh4Yg6uGjTs9y0UqNvPKcQ/edit"",""18!e53"")"),748)</f>
        <v>748</v>
      </c>
      <c r="H471" s="31">
        <f ca="1">IFERROR(__xludf.DUMMYFUNCTION("IMPORTRANGE(""https://docs.google.com/spreadsheets/d/1_7EEO26q9Yq-XhNFiy7I6Zh4Yg6uGjTs9y0UqNvPKcQ/edit"",""18!e54"")"),0)</f>
        <v>0</v>
      </c>
      <c r="I471" s="31">
        <f t="shared" ca="1" si="1287"/>
        <v>748</v>
      </c>
      <c r="J471" s="31">
        <f ca="1">IFERROR(__xludf.DUMMYFUNCTION("IMPORTRANGE(""https://docs.google.com/spreadsheets/d/1_7EEO26q9Yq-XhNFiy7I6Zh4Yg6uGjTs9y0UqNvPKcQ/edit"",""18!e57"")"),1203)</f>
        <v>1203</v>
      </c>
      <c r="K471" s="31">
        <f ca="1">IFERROR(__xludf.DUMMYFUNCTION("IMPORTRANGE(""https://docs.google.com/spreadsheets/d/1_7EEO26q9Yq-XhNFiy7I6Zh4Yg6uGjTs9y0UqNvPKcQ/edit"",""18!e58"")"),6)</f>
        <v>6</v>
      </c>
      <c r="L471" s="18">
        <f t="shared" ca="1" si="1288"/>
        <v>1209</v>
      </c>
      <c r="M471" s="18">
        <f t="shared" ca="1" si="1289"/>
        <v>1957</v>
      </c>
      <c r="N471" s="19">
        <f t="shared" ca="1" si="1290"/>
        <v>191.73186111111082</v>
      </c>
      <c r="O471" s="16">
        <v>1580</v>
      </c>
      <c r="P471" s="33">
        <f t="shared" ca="1" si="1291"/>
        <v>1.2386075949367088</v>
      </c>
      <c r="Q471" s="21">
        <v>1.5</v>
      </c>
      <c r="R471" s="20">
        <f t="shared" ca="1" si="1292"/>
        <v>0.18901783214704629</v>
      </c>
      <c r="S471" s="22">
        <f t="shared" ca="1" si="1293"/>
        <v>0.28352674822056945</v>
      </c>
      <c r="T471" s="21">
        <f ca="1">F471/26.805</f>
        <v>257.50221973512367</v>
      </c>
      <c r="U471" s="21">
        <f t="shared" ca="1" si="1294"/>
        <v>7.1528394370867687</v>
      </c>
      <c r="V471" s="18">
        <f t="shared" ca="1" si="1295"/>
        <v>54.361111111111114</v>
      </c>
      <c r="W471" s="76"/>
      <c r="X471" s="8">
        <v>1</v>
      </c>
      <c r="Y471" s="8" t="s">
        <v>28</v>
      </c>
      <c r="Z471" s="8">
        <f t="shared" ref="Z471:AI471" si="1306">SUM(D466)</f>
        <v>26</v>
      </c>
      <c r="AA471" s="9">
        <f t="shared" ca="1" si="1306"/>
        <v>26</v>
      </c>
      <c r="AB471" s="11">
        <f t="shared" ca="1" si="1306"/>
        <v>4751.0789999999997</v>
      </c>
      <c r="AC471" s="9">
        <f t="shared" ca="1" si="1306"/>
        <v>1701</v>
      </c>
      <c r="AD471" s="9">
        <f t="shared" ca="1" si="1306"/>
        <v>55</v>
      </c>
      <c r="AE471" s="9">
        <f t="shared" ca="1" si="1306"/>
        <v>1756</v>
      </c>
      <c r="AF471" s="9">
        <f t="shared" ca="1" si="1306"/>
        <v>2031</v>
      </c>
      <c r="AG471" s="9">
        <f t="shared" ca="1" si="1306"/>
        <v>171</v>
      </c>
      <c r="AH471" s="9">
        <f t="shared" ca="1" si="1306"/>
        <v>2202</v>
      </c>
      <c r="AI471" s="9">
        <f t="shared" ca="1" si="1306"/>
        <v>3958</v>
      </c>
      <c r="AJ471" s="11">
        <f t="shared" ref="AJ471:AJ477" ca="1" si="1307">AB471/AA471</f>
        <v>182.73380769230769</v>
      </c>
      <c r="AK471" s="8">
        <f t="shared" ref="AK471:AK472" si="1308">SUM(O466)</f>
        <v>7315</v>
      </c>
      <c r="AL471" s="12">
        <f t="shared" ref="AL471:AL477" ca="1" si="1309">AI471/AK471</f>
        <v>0.54107997265892005</v>
      </c>
      <c r="AM471" s="13">
        <f t="shared" ref="AM471:AM472" si="1310">SUM(Q466)</f>
        <v>1.5</v>
      </c>
      <c r="AN471" s="12">
        <f t="shared" ref="AN471:AN477" ca="1" si="1311">AO471/AM471</f>
        <v>0.55538261238482178</v>
      </c>
      <c r="AO471" s="14">
        <f t="shared" ref="AO471:AO477" ca="1" si="1312">AI471/AB471</f>
        <v>0.83307391857723267</v>
      </c>
      <c r="AP471" s="13">
        <f t="shared" ref="AP471:AQ471" ca="1" si="1313">SUM(T466)</f>
        <v>153.77153121662298</v>
      </c>
      <c r="AQ471" s="13">
        <f t="shared" ca="1" si="1313"/>
        <v>5.9142896621778069</v>
      </c>
      <c r="AR471" s="9">
        <f t="shared" ref="AR471:AR477" ca="1" si="1314">AI471/AA471</f>
        <v>152.23076923076923</v>
      </c>
      <c r="AS471" s="76"/>
      <c r="AT471" s="76"/>
    </row>
    <row r="472" spans="1:46" ht="15.75" customHeight="1" x14ac:dyDescent="0.25">
      <c r="A472" s="70"/>
      <c r="B472" s="16">
        <v>8</v>
      </c>
      <c r="C472" s="16" t="s">
        <v>25</v>
      </c>
      <c r="D472" s="34">
        <v>27</v>
      </c>
      <c r="E472" s="18">
        <f ca="1">IFERROR(__xludf.DUMMYFUNCTION("COUNT(IMPORTRANGE(""https://docs.google.com/spreadsheets/d/1vLOLpiE-XsbnCnwWPcoi87PlUSXfqIAAQn3kvqHfO6s/edit"",""18!d2:D33""))"),25)</f>
        <v>25</v>
      </c>
      <c r="F472" s="23">
        <f ca="1">IFERROR(__xludf.DUMMYFUNCTION("SUM(IMPORTRANGE(""https://docs.google.com/spreadsheets/d/1vLOLpiE-XsbnCnwWPcoi87PlUSXfqIAAQn3kvqHfO6s/edit"",""18!Q2:Q33""))"),4967.132)</f>
        <v>4967.1319999999996</v>
      </c>
      <c r="G472" s="18">
        <f ca="1">IFERROR(__xludf.DUMMYFUNCTION("IMPORTRANGE(""https://docs.google.com/spreadsheets/d/1vLOLpiE-XsbnCnwWPcoi87PlUSXfqIAAQn3kvqHfO6s/edit"",""18!e40"")"),1675)</f>
        <v>1675</v>
      </c>
      <c r="H472" s="18">
        <f ca="1">IFERROR(__xludf.DUMMYFUNCTION("IMPORTRANGE(""https://docs.google.com/spreadsheets/d/1vLOLpiE-XsbnCnwWPcoi87PlUSXfqIAAQn3kvqHfO6s/edit"",""18!e41"")"),261)</f>
        <v>261</v>
      </c>
      <c r="I472" s="18">
        <f t="shared" ca="1" si="1287"/>
        <v>1936</v>
      </c>
      <c r="J472" s="18">
        <f ca="1">IFERROR(__xludf.DUMMYFUNCTION("IMPORTRANGE(""https://docs.google.com/spreadsheets/d/1vLOLpiE-XsbnCnwWPcoi87PlUSXfqIAAQn3kvqHfO6s/edit"",""18!e44"")"),2929)</f>
        <v>2929</v>
      </c>
      <c r="K472" s="18">
        <f ca="1">IFERROR(__xludf.DUMMYFUNCTION("IMPORTRANGE(""https://docs.google.com/spreadsheets/d/1vLOLpiE-XsbnCnwWPcoi87PlUSXfqIAAQn3kvqHfO6s/edit"",""18!e45"")"),262)</f>
        <v>262</v>
      </c>
      <c r="L472" s="18">
        <f ca="1">J472+K472</f>
        <v>3191</v>
      </c>
      <c r="M472" s="18">
        <f t="shared" ca="1" si="1289"/>
        <v>5127</v>
      </c>
      <c r="N472" s="19">
        <f t="shared" ca="1" si="1290"/>
        <v>198.68527999999998</v>
      </c>
      <c r="O472" s="16">
        <v>6622</v>
      </c>
      <c r="P472" s="20">
        <f t="shared" ca="1" si="1291"/>
        <v>0.77423739051646023</v>
      </c>
      <c r="Q472" s="21">
        <v>1.5</v>
      </c>
      <c r="R472" s="20">
        <f t="shared" ca="1" si="1292"/>
        <v>0.68812344829974326</v>
      </c>
      <c r="S472" s="22">
        <f t="shared" ca="1" si="1293"/>
        <v>1.0321851724496149</v>
      </c>
      <c r="T472" s="21">
        <f ca="1">F472/23.84</f>
        <v>208.35285234899328</v>
      </c>
      <c r="U472" s="21">
        <f t="shared" ca="1" si="1294"/>
        <v>8.334114093959732</v>
      </c>
      <c r="V472" s="18">
        <f t="shared" ca="1" si="1295"/>
        <v>205.08</v>
      </c>
      <c r="W472" s="76"/>
      <c r="X472" s="8">
        <v>2</v>
      </c>
      <c r="Y472" s="8" t="s">
        <v>30</v>
      </c>
      <c r="Z472" s="8">
        <f t="shared" ref="Z472:AI472" si="1315">SUM(D467)</f>
        <v>48</v>
      </c>
      <c r="AA472" s="9">
        <f t="shared" ca="1" si="1315"/>
        <v>46</v>
      </c>
      <c r="AB472" s="10">
        <f t="shared" ca="1" si="1315"/>
        <v>9147.3269999999902</v>
      </c>
      <c r="AC472" s="9">
        <f t="shared" ca="1" si="1315"/>
        <v>2503</v>
      </c>
      <c r="AD472" s="9">
        <f t="shared" ca="1" si="1315"/>
        <v>0</v>
      </c>
      <c r="AE472" s="9">
        <f t="shared" ca="1" si="1315"/>
        <v>2503</v>
      </c>
      <c r="AF472" s="9">
        <f t="shared" ca="1" si="1315"/>
        <v>3899</v>
      </c>
      <c r="AG472" s="9">
        <f t="shared" ca="1" si="1315"/>
        <v>39</v>
      </c>
      <c r="AH472" s="9">
        <f t="shared" ca="1" si="1315"/>
        <v>3938</v>
      </c>
      <c r="AI472" s="9">
        <f t="shared" ca="1" si="1315"/>
        <v>6441</v>
      </c>
      <c r="AJ472" s="11">
        <f t="shared" ca="1" si="1307"/>
        <v>198.8549347826085</v>
      </c>
      <c r="AK472" s="8">
        <f t="shared" si="1308"/>
        <v>11164</v>
      </c>
      <c r="AL472" s="12">
        <f t="shared" ca="1" si="1309"/>
        <v>0.57694374776065926</v>
      </c>
      <c r="AM472" s="13">
        <f t="shared" si="1310"/>
        <v>1.5</v>
      </c>
      <c r="AN472" s="12">
        <f t="shared" ca="1" si="1311"/>
        <v>0.46942675166198877</v>
      </c>
      <c r="AO472" s="14">
        <f t="shared" ca="1" si="1312"/>
        <v>0.70414012749298316</v>
      </c>
      <c r="AP472" s="13">
        <f t="shared" ref="AP472:AQ472" ca="1" si="1316">SUM(T467)</f>
        <v>308.99999999999966</v>
      </c>
      <c r="AQ472" s="13">
        <f t="shared" ca="1" si="1316"/>
        <v>6.7173913043478191</v>
      </c>
      <c r="AR472" s="9">
        <f t="shared" ca="1" si="1314"/>
        <v>140.02173913043478</v>
      </c>
      <c r="AS472" s="76"/>
      <c r="AT472" s="76"/>
    </row>
    <row r="473" spans="1:46" ht="15.75" customHeight="1" x14ac:dyDescent="0.25">
      <c r="A473" s="70"/>
      <c r="B473" s="16">
        <v>9</v>
      </c>
      <c r="C473" s="16" t="s">
        <v>36</v>
      </c>
      <c r="D473" s="34">
        <v>23</v>
      </c>
      <c r="E473" s="18">
        <f ca="1">IFERROR(__xludf.DUMMYFUNCTION("COUNT(IMPORTRANGE(""https://docs.google.com/spreadsheets/d/1WJJVq25XDtGjt-J2JPxeKs3jIvDZtkIREC0lFPXwf74/edit"",""18!d2:d31""))"),23)</f>
        <v>23</v>
      </c>
      <c r="F473" s="23">
        <f ca="1">IFERROR(__xludf.DUMMYFUNCTION("SUM(IMPORTRANGE(""https://docs.google.com/spreadsheets/d/1WJJVq25XDtGjt-J2JPxeKs3jIvDZtkIREC0lFPXwf74/edit"",""18!Q2:Q31""))"),4445.882)</f>
        <v>4445.8819999999996</v>
      </c>
      <c r="G473" s="18">
        <f ca="1">IFERROR(__xludf.DUMMYFUNCTION("IMPORTRANGE(""https://docs.google.com/spreadsheets/d/1WJJVq25XDtGjt-J2JPxeKs3jIvDZtkIREC0lFPXwf74/edit"",""18!e38"")"),974)</f>
        <v>974</v>
      </c>
      <c r="H473" s="18">
        <f ca="1">IFERROR(__xludf.DUMMYFUNCTION("IMPORTRANGE(""https://docs.google.com/spreadsheets/d/1WJJVq25XDtGjt-J2JPxeKs3jIvDZtkIREC0lFPXwf74/edit"",""18!e39"")"),0)</f>
        <v>0</v>
      </c>
      <c r="I473" s="18">
        <f t="shared" ca="1" si="1287"/>
        <v>974</v>
      </c>
      <c r="J473" s="18">
        <f ca="1">IFERROR(__xludf.DUMMYFUNCTION("IMPORTRANGE(""https://docs.google.com/spreadsheets/d/1WJJVq25XDtGjt-J2JPxeKs3jIvDZtkIREC0lFPXwf74/edit"",""18!e42"")"),1611)</f>
        <v>1611</v>
      </c>
      <c r="K473" s="18">
        <f ca="1">IFERROR(__xludf.DUMMYFUNCTION("IMPORTRANGE(""https://docs.google.com/spreadsheets/d/1WJJVq25XDtGjt-J2JPxeKs3jIvDZtkIREC0lFPXwf74/edit"",""18!e43"")"),0)</f>
        <v>0</v>
      </c>
      <c r="L473" s="18">
        <f t="shared" ref="L473:L482" ca="1" si="1317">SUM(J473:K473)</f>
        <v>1611</v>
      </c>
      <c r="M473" s="18">
        <f t="shared" ca="1" si="1289"/>
        <v>2585</v>
      </c>
      <c r="N473" s="19">
        <f t="shared" ca="1" si="1290"/>
        <v>193.29921739130432</v>
      </c>
      <c r="O473" s="16">
        <v>4796</v>
      </c>
      <c r="P473" s="20">
        <f t="shared" ca="1" si="1291"/>
        <v>0.53899082568807344</v>
      </c>
      <c r="Q473" s="21">
        <v>1.5</v>
      </c>
      <c r="R473" s="20">
        <f t="shared" ca="1" si="1292"/>
        <v>0.38762462281575027</v>
      </c>
      <c r="S473" s="22">
        <f t="shared" ca="1" si="1293"/>
        <v>0.58143693422362541</v>
      </c>
      <c r="T473" s="21">
        <f ca="1">F473/37.414</f>
        <v>118.82936868551877</v>
      </c>
      <c r="U473" s="21">
        <f t="shared" ca="1" si="1294"/>
        <v>5.1664942906747289</v>
      </c>
      <c r="V473" s="18">
        <f t="shared" ca="1" si="1295"/>
        <v>112.39130434782609</v>
      </c>
      <c r="W473" s="76"/>
      <c r="X473" s="8">
        <v>3</v>
      </c>
      <c r="Y473" s="8" t="s">
        <v>34</v>
      </c>
      <c r="Z473" s="8">
        <f t="shared" ref="Z473:AI473" si="1318">SUM(D469)</f>
        <v>32</v>
      </c>
      <c r="AA473" s="9">
        <f t="shared" ca="1" si="1318"/>
        <v>32</v>
      </c>
      <c r="AB473" s="10">
        <f t="shared" ca="1" si="1318"/>
        <v>6391.5450000000001</v>
      </c>
      <c r="AC473" s="9">
        <f t="shared" ca="1" si="1318"/>
        <v>1668</v>
      </c>
      <c r="AD473" s="9">
        <f t="shared" ca="1" si="1318"/>
        <v>0</v>
      </c>
      <c r="AE473" s="9">
        <f t="shared" ca="1" si="1318"/>
        <v>1668</v>
      </c>
      <c r="AF473" s="9">
        <f t="shared" ca="1" si="1318"/>
        <v>2773</v>
      </c>
      <c r="AG473" s="9">
        <f t="shared" ca="1" si="1318"/>
        <v>29</v>
      </c>
      <c r="AH473" s="9">
        <f t="shared" ca="1" si="1318"/>
        <v>2802</v>
      </c>
      <c r="AI473" s="9">
        <f t="shared" ca="1" si="1318"/>
        <v>4470</v>
      </c>
      <c r="AJ473" s="11">
        <f t="shared" ca="1" si="1307"/>
        <v>199.73578125</v>
      </c>
      <c r="AK473" s="8">
        <f>SUM(O469)</f>
        <v>9354</v>
      </c>
      <c r="AL473" s="12">
        <f t="shared" ca="1" si="1309"/>
        <v>0.47787042976266836</v>
      </c>
      <c r="AM473" s="13">
        <f>SUM(Q469)</f>
        <v>1.5</v>
      </c>
      <c r="AN473" s="12">
        <f t="shared" ca="1" si="1311"/>
        <v>0.46624094800240007</v>
      </c>
      <c r="AO473" s="14">
        <f t="shared" ca="1" si="1312"/>
        <v>0.69936142200360008</v>
      </c>
      <c r="AP473" s="13">
        <f t="shared" ref="AP473:AQ473" ca="1" si="1319">SUM(T469)</f>
        <v>208.10552534757269</v>
      </c>
      <c r="AQ473" s="13">
        <f t="shared" ca="1" si="1319"/>
        <v>6.5032976671116467</v>
      </c>
      <c r="AR473" s="9">
        <f t="shared" ca="1" si="1314"/>
        <v>139.6875</v>
      </c>
      <c r="AS473" s="76"/>
      <c r="AT473" s="76"/>
    </row>
    <row r="474" spans="1:46" ht="15.75" customHeight="1" x14ac:dyDescent="0.25">
      <c r="A474" s="70"/>
      <c r="B474" s="16">
        <v>10</v>
      </c>
      <c r="C474" s="16" t="s">
        <v>37</v>
      </c>
      <c r="D474" s="17">
        <v>24</v>
      </c>
      <c r="E474" s="18">
        <f ca="1">IFERROR(__xludf.DUMMYFUNCTION("COUNT(IMPORTRANGE(""https://docs.google.com/spreadsheets/d/1rJyYfywRpWJW0zvDJHLOJtqUQqffoCGaqTVxxTDgV0k/edit"",""18!d2:d31""))"),24)</f>
        <v>24</v>
      </c>
      <c r="F474" s="23">
        <f ca="1">IFERROR(__xludf.DUMMYFUNCTION("SUM(IMPORTRANGE(""https://docs.google.com/spreadsheets/d/1rJyYfywRpWJW0zvDJHLOJtqUQqffoCGaqTVxxTDgV0k/edit"",""18!Q2:Q31""))"),4633.482)</f>
        <v>4633.482</v>
      </c>
      <c r="G474" s="18">
        <f ca="1">IFERROR(__xludf.DUMMYFUNCTION("(IMPORTRANGE(""https://docs.google.com/spreadsheets/d/1rJyYfywRpWJW0zvDJHLOJtqUQqffoCGaqTVxxTDgV0k/edit"",""18!e38""))"),1433)</f>
        <v>1433</v>
      </c>
      <c r="H474" s="18">
        <f ca="1">IFERROR(__xludf.DUMMYFUNCTION("(IMPORTRANGE(""https://docs.google.com/spreadsheets/d/1rJyYfywRpWJW0zvDJHLOJtqUQqffoCGaqTVxxTDgV0k/edit"",""18!e39""))"),81)</f>
        <v>81</v>
      </c>
      <c r="I474" s="18">
        <f t="shared" ca="1" si="1287"/>
        <v>1514</v>
      </c>
      <c r="J474" s="18">
        <f ca="1">IFERROR(__xludf.DUMMYFUNCTION("(IMPORTRANGE(""https://docs.google.com/spreadsheets/d/1rJyYfywRpWJW0zvDJHLOJtqUQqffoCGaqTVxxTDgV0k/edit"",""18!e42""))"),2156)</f>
        <v>2156</v>
      </c>
      <c r="K474" s="18">
        <f ca="1">IFERROR(__xludf.DUMMYFUNCTION("(IMPORTRANGE(""https://docs.google.com/spreadsheets/d/1rJyYfywRpWJW0zvDJHLOJtqUQqffoCGaqTVxxTDgV0k/edit"",""18!e43""))"),43)</f>
        <v>43</v>
      </c>
      <c r="L474" s="18">
        <f t="shared" ca="1" si="1317"/>
        <v>2199</v>
      </c>
      <c r="M474" s="18">
        <f t="shared" ca="1" si="1289"/>
        <v>3713</v>
      </c>
      <c r="N474" s="19">
        <f t="shared" ca="1" si="1290"/>
        <v>193.06174999999999</v>
      </c>
      <c r="O474" s="16">
        <v>5887</v>
      </c>
      <c r="P474" s="20">
        <f t="shared" ca="1" si="1291"/>
        <v>0.63071173772719547</v>
      </c>
      <c r="Q474" s="21">
        <v>1.5</v>
      </c>
      <c r="R474" s="20">
        <f t="shared" ca="1" si="1292"/>
        <v>0.53422746291737688</v>
      </c>
      <c r="S474" s="22">
        <f t="shared" ca="1" si="1293"/>
        <v>0.80134119437606532</v>
      </c>
      <c r="T474" s="21">
        <f ca="1">F474/24.792</f>
        <v>186.89424007744432</v>
      </c>
      <c r="U474" s="21">
        <f t="shared" ca="1" si="1294"/>
        <v>7.7872600032268471</v>
      </c>
      <c r="V474" s="18">
        <f t="shared" ca="1" si="1295"/>
        <v>154.70833333333334</v>
      </c>
      <c r="W474" s="76"/>
      <c r="X474" s="8">
        <v>4</v>
      </c>
      <c r="Y474" s="8" t="s">
        <v>38</v>
      </c>
      <c r="Z474" s="8">
        <f t="shared" ref="Z474:AI474" si="1320">SUM(D477)</f>
        <v>24</v>
      </c>
      <c r="AA474" s="9">
        <f t="shared" ca="1" si="1320"/>
        <v>24</v>
      </c>
      <c r="AB474" s="10">
        <f t="shared" ca="1" si="1320"/>
        <v>4327.5559999999996</v>
      </c>
      <c r="AC474" s="9">
        <f t="shared" ca="1" si="1320"/>
        <v>1281</v>
      </c>
      <c r="AD474" s="9">
        <f t="shared" ca="1" si="1320"/>
        <v>73</v>
      </c>
      <c r="AE474" s="9">
        <f t="shared" ca="1" si="1320"/>
        <v>1354</v>
      </c>
      <c r="AF474" s="9">
        <f t="shared" ca="1" si="1320"/>
        <v>1719</v>
      </c>
      <c r="AG474" s="9">
        <f t="shared" ca="1" si="1320"/>
        <v>0</v>
      </c>
      <c r="AH474" s="9">
        <f t="shared" ca="1" si="1320"/>
        <v>1719</v>
      </c>
      <c r="AI474" s="9">
        <f t="shared" ca="1" si="1320"/>
        <v>3073</v>
      </c>
      <c r="AJ474" s="11">
        <f t="shared" ca="1" si="1307"/>
        <v>180.31483333333333</v>
      </c>
      <c r="AK474" s="8">
        <v>7324</v>
      </c>
      <c r="AL474" s="12">
        <f t="shared" ca="1" si="1309"/>
        <v>0.4195794647733479</v>
      </c>
      <c r="AM474" s="13">
        <f>SUM(Q477)</f>
        <v>1.5</v>
      </c>
      <c r="AN474" s="12">
        <f t="shared" ca="1" si="1311"/>
        <v>0.47340038272564627</v>
      </c>
      <c r="AO474" s="14">
        <f t="shared" ca="1" si="1312"/>
        <v>0.71010057408846938</v>
      </c>
      <c r="AP474" s="13">
        <f t="shared" ref="AP474:AQ474" ca="1" si="1321">SUM(T477)</f>
        <v>105.02502123528697</v>
      </c>
      <c r="AQ474" s="13">
        <f t="shared" ca="1" si="1321"/>
        <v>4.3760425514702908</v>
      </c>
      <c r="AR474" s="9">
        <f t="shared" ca="1" si="1314"/>
        <v>128.04166666666666</v>
      </c>
      <c r="AS474" s="76"/>
      <c r="AT474" s="76"/>
    </row>
    <row r="475" spans="1:46" ht="15.75" customHeight="1" x14ac:dyDescent="0.25">
      <c r="A475" s="70"/>
      <c r="B475" s="16">
        <v>12</v>
      </c>
      <c r="C475" s="16" t="s">
        <v>39</v>
      </c>
      <c r="D475" s="17">
        <v>22</v>
      </c>
      <c r="E475" s="18">
        <f ca="1">IFERROR(__xludf.DUMMYFUNCTION("COUNT(IMPORTRANGE(""https://docs.google.com/spreadsheets/d/1uaTn2DZCfr7O1PvovOd0wElzVz8kpl_iPfnrkNPp0Is/edit"",""18!d2:d29""))"),22)</f>
        <v>22</v>
      </c>
      <c r="F475" s="23">
        <f ca="1">IFERROR(__xludf.DUMMYFUNCTION("SUM(IMPORTRANGE(""https://docs.google.com/spreadsheets/d/1uaTn2DZCfr7O1PvovOd0wElzVz8kpl_iPfnrkNPp0Is/edit"",""18!Q2:Q29""))"),4040.50099999999)</f>
        <v>4040.5009999999902</v>
      </c>
      <c r="G475" s="18">
        <f ca="1">IFERROR(__xludf.DUMMYFUNCTION("IMPORTRANGE(""https://docs.google.com/spreadsheets/d/1uaTn2DZCfr7O1PvovOd0wElzVz8kpl_iPfnrkNPp0Is/edit"",""18!e36"")"),889)</f>
        <v>889</v>
      </c>
      <c r="H475" s="18">
        <f ca="1">IFERROR(__xludf.DUMMYFUNCTION("(IMPORTRANGE(""https://docs.google.com/spreadsheets/d/1uaTn2DZCfr7O1PvovOd0wElzVz8kpl_iPfnrkNPp0Is/edit"",""18!e37""))"),0)</f>
        <v>0</v>
      </c>
      <c r="I475" s="18">
        <f t="shared" ca="1" si="1287"/>
        <v>889</v>
      </c>
      <c r="J475" s="18">
        <f ca="1">IFERROR(__xludf.DUMMYFUNCTION("IMPORTRANGE(""https://docs.google.com/spreadsheets/d/1uaTn2DZCfr7O1PvovOd0wElzVz8kpl_iPfnrkNPp0Is/edit"",""18!e40"")"),1795)</f>
        <v>1795</v>
      </c>
      <c r="K475" s="18">
        <f ca="1">IFERROR(__xludf.DUMMYFUNCTION("IMPORTRANGE(""https://docs.google.com/spreadsheets/d/1uaTn2DZCfr7O1PvovOd0wElzVz8kpl_iPfnrkNPp0Is/edit"",""18!e41"")"),0)</f>
        <v>0</v>
      </c>
      <c r="L475" s="18">
        <f t="shared" ca="1" si="1317"/>
        <v>1795</v>
      </c>
      <c r="M475" s="18">
        <f t="shared" ca="1" si="1289"/>
        <v>2684</v>
      </c>
      <c r="N475" s="19">
        <f t="shared" ca="1" si="1290"/>
        <v>183.65913636363592</v>
      </c>
      <c r="O475" s="16">
        <v>3569</v>
      </c>
      <c r="P475" s="20">
        <f t="shared" ca="1" si="1291"/>
        <v>0.75203138133931069</v>
      </c>
      <c r="Q475" s="21">
        <v>1.5</v>
      </c>
      <c r="R475" s="20">
        <f t="shared" ca="1" si="1292"/>
        <v>0.44284937272217917</v>
      </c>
      <c r="S475" s="22">
        <f t="shared" ca="1" si="1293"/>
        <v>0.66427405908326875</v>
      </c>
      <c r="T475" s="21">
        <f ca="1">F475/21.463</f>
        <v>188.25425150258539</v>
      </c>
      <c r="U475" s="21">
        <f t="shared" ca="1" si="1294"/>
        <v>8.5570114319356989</v>
      </c>
      <c r="V475" s="18">
        <f t="shared" ca="1" si="1295"/>
        <v>122</v>
      </c>
      <c r="W475" s="76"/>
      <c r="X475" s="8">
        <v>5</v>
      </c>
      <c r="Y475" s="8" t="s">
        <v>40</v>
      </c>
      <c r="Z475" s="8">
        <f t="shared" ref="Z475:AI475" si="1322">SUM(D479)</f>
        <v>24</v>
      </c>
      <c r="AA475" s="9">
        <f t="shared" ca="1" si="1322"/>
        <v>24</v>
      </c>
      <c r="AB475" s="10">
        <f t="shared" ca="1" si="1322"/>
        <v>4678.2070000000003</v>
      </c>
      <c r="AC475" s="9">
        <f t="shared" ca="1" si="1322"/>
        <v>2568</v>
      </c>
      <c r="AD475" s="9">
        <f t="shared" ca="1" si="1322"/>
        <v>13</v>
      </c>
      <c r="AE475" s="9">
        <f t="shared" ca="1" si="1322"/>
        <v>2581</v>
      </c>
      <c r="AF475" s="9">
        <f t="shared" ca="1" si="1322"/>
        <v>3281</v>
      </c>
      <c r="AG475" s="9">
        <f t="shared" ca="1" si="1322"/>
        <v>0</v>
      </c>
      <c r="AH475" s="9">
        <f t="shared" ca="1" si="1322"/>
        <v>3281</v>
      </c>
      <c r="AI475" s="9">
        <f t="shared" ca="1" si="1322"/>
        <v>5862</v>
      </c>
      <c r="AJ475" s="11">
        <f t="shared" ca="1" si="1307"/>
        <v>194.92529166666668</v>
      </c>
      <c r="AK475" s="8">
        <f t="shared" ref="AK475:AK476" si="1323">SUM(O479)</f>
        <v>8239</v>
      </c>
      <c r="AL475" s="12">
        <f t="shared" ca="1" si="1309"/>
        <v>0.71149411336327228</v>
      </c>
      <c r="AM475" s="13">
        <f t="shared" ref="AM475:AM476" si="1324">SUM(Q479)</f>
        <v>1.5</v>
      </c>
      <c r="AN475" s="12">
        <f t="shared" ca="1" si="1311"/>
        <v>0.83536277894501021</v>
      </c>
      <c r="AO475" s="14">
        <f t="shared" ca="1" si="1312"/>
        <v>1.2530441684175153</v>
      </c>
      <c r="AP475" s="13">
        <f t="shared" ref="AP475:AQ475" ca="1" si="1325">SUM(T479)</f>
        <v>164.47656716942657</v>
      </c>
      <c r="AQ475" s="13">
        <f t="shared" ca="1" si="1325"/>
        <v>6.8531902987261075</v>
      </c>
      <c r="AR475" s="9">
        <f t="shared" ca="1" si="1314"/>
        <v>244.25</v>
      </c>
      <c r="AS475" s="76"/>
      <c r="AT475" s="76"/>
    </row>
    <row r="476" spans="1:46" ht="15.75" customHeight="1" x14ac:dyDescent="0.25">
      <c r="A476" s="70"/>
      <c r="B476" s="16">
        <v>12</v>
      </c>
      <c r="C476" s="16" t="s">
        <v>41</v>
      </c>
      <c r="D476" s="17">
        <v>20</v>
      </c>
      <c r="E476" s="18">
        <f ca="1">IFERROR(__xludf.DUMMYFUNCTION("COUNT(IMPORTRANGE(""https://docs.google.com/spreadsheets/d/1oYscvfOJW7GMkxt8QcupWuzb3ohaYePd3Mt2V2ufHok/edit"",""18!d2:d25""))"),20)</f>
        <v>20</v>
      </c>
      <c r="F476" s="23">
        <f ca="1">IFERROR(__xludf.DUMMYFUNCTION("SUM(IMPORTRANGE(""https://docs.google.com/spreadsheets/d/1oYscvfOJW7GMkxt8QcupWuzb3ohaYePd3Mt2V2ufHok/edit"",""18!Q2:Q25""))"),3739.712)</f>
        <v>3739.712</v>
      </c>
      <c r="G476" s="18">
        <f ca="1">IFERROR(__xludf.DUMMYFUNCTION("IMPORTRANGE(""https://docs.google.com/spreadsheets/d/1oYscvfOJW7GMkxt8QcupWuzb3ohaYePd3Mt2V2ufHok/edit"",""18!e32"")"),853)</f>
        <v>853</v>
      </c>
      <c r="H476" s="18">
        <f ca="1">IFERROR(__xludf.DUMMYFUNCTION("IMPORTRANGE(""https://docs.google.com/spreadsheets/d/1oYscvfOJW7GMkxt8QcupWuzb3ohaYePd3Mt2V2ufHok/edit"",""18!e33"")"),0)</f>
        <v>0</v>
      </c>
      <c r="I476" s="18">
        <f t="shared" ca="1" si="1287"/>
        <v>853</v>
      </c>
      <c r="J476" s="18">
        <f ca="1">IFERROR(__xludf.DUMMYFUNCTION("IMPORTRANGE(""https://docs.google.com/spreadsheets/d/1oYscvfOJW7GMkxt8QcupWuzb3ohaYePd3Mt2V2ufHok/edit"",""18!e36"")"),1345)</f>
        <v>1345</v>
      </c>
      <c r="K476" s="18">
        <f ca="1">IFERROR(__xludf.DUMMYFUNCTION("IMPORTRANGE(""https://docs.google.com/spreadsheets/d/1oYscvfOJW7GMkxt8QcupWuzb3ohaYePd3Mt2V2ufHok/edit"",""18!e37"")"),0)</f>
        <v>0</v>
      </c>
      <c r="L476" s="18">
        <f t="shared" ca="1" si="1317"/>
        <v>1345</v>
      </c>
      <c r="M476" s="18">
        <f t="shared" ca="1" si="1289"/>
        <v>2198</v>
      </c>
      <c r="N476" s="19">
        <f t="shared" ca="1" si="1290"/>
        <v>186.98560000000001</v>
      </c>
      <c r="O476" s="16">
        <v>3801</v>
      </c>
      <c r="P476" s="20">
        <f t="shared" ca="1" si="1291"/>
        <v>0.57826887661141801</v>
      </c>
      <c r="Q476" s="21">
        <v>1.5</v>
      </c>
      <c r="R476" s="20">
        <f t="shared" ca="1" si="1292"/>
        <v>0.3918305295523648</v>
      </c>
      <c r="S476" s="22">
        <f t="shared" ca="1" si="1293"/>
        <v>0.58774579432854723</v>
      </c>
      <c r="T476" s="21">
        <f ca="1">F476/29.628</f>
        <v>126.22222222222221</v>
      </c>
      <c r="U476" s="21">
        <f t="shared" ca="1" si="1294"/>
        <v>6.3111111111111109</v>
      </c>
      <c r="V476" s="18">
        <f t="shared" ca="1" si="1295"/>
        <v>109.9</v>
      </c>
      <c r="W476" s="76"/>
      <c r="X476" s="8">
        <v>6</v>
      </c>
      <c r="Y476" s="8" t="s">
        <v>42</v>
      </c>
      <c r="Z476" s="8">
        <f t="shared" ref="Z476:AI476" si="1326">SUM(D480)</f>
        <v>26</v>
      </c>
      <c r="AA476" s="9">
        <f t="shared" ca="1" si="1326"/>
        <v>25</v>
      </c>
      <c r="AB476" s="10">
        <f t="shared" ca="1" si="1326"/>
        <v>4952.5259999999998</v>
      </c>
      <c r="AC476" s="9">
        <f t="shared" ca="1" si="1326"/>
        <v>2451</v>
      </c>
      <c r="AD476" s="9">
        <f t="shared" ca="1" si="1326"/>
        <v>0</v>
      </c>
      <c r="AE476" s="9">
        <f t="shared" ca="1" si="1326"/>
        <v>2451</v>
      </c>
      <c r="AF476" s="9">
        <f t="shared" ca="1" si="1326"/>
        <v>3228</v>
      </c>
      <c r="AG476" s="9">
        <f t="shared" ca="1" si="1326"/>
        <v>0</v>
      </c>
      <c r="AH476" s="9">
        <f t="shared" ca="1" si="1326"/>
        <v>3228</v>
      </c>
      <c r="AI476" s="9">
        <f t="shared" ca="1" si="1326"/>
        <v>5679</v>
      </c>
      <c r="AJ476" s="11">
        <f t="shared" ca="1" si="1307"/>
        <v>198.10103999999998</v>
      </c>
      <c r="AK476" s="8">
        <f t="shared" si="1323"/>
        <v>9877</v>
      </c>
      <c r="AL476" s="12">
        <f t="shared" ca="1" si="1309"/>
        <v>0.57497215753771391</v>
      </c>
      <c r="AM476" s="13">
        <f t="shared" si="1324"/>
        <v>1.5</v>
      </c>
      <c r="AN476" s="12">
        <f t="shared" ca="1" si="1311"/>
        <v>0.76445837942092576</v>
      </c>
      <c r="AO476" s="14">
        <f t="shared" ca="1" si="1312"/>
        <v>1.1466875691313887</v>
      </c>
      <c r="AP476" s="13">
        <f t="shared" ref="AP476:AQ476" ca="1" si="1327">SUM(T480)</f>
        <v>189.35293442936339</v>
      </c>
      <c r="AQ476" s="13">
        <f t="shared" ca="1" si="1327"/>
        <v>7.5741173771745354</v>
      </c>
      <c r="AR476" s="9">
        <f t="shared" ca="1" si="1314"/>
        <v>227.16</v>
      </c>
      <c r="AS476" s="76"/>
      <c r="AT476" s="76"/>
    </row>
    <row r="477" spans="1:46" ht="15.75" customHeight="1" x14ac:dyDescent="0.25">
      <c r="A477" s="70"/>
      <c r="B477" s="16">
        <v>13</v>
      </c>
      <c r="C477" s="16" t="s">
        <v>43</v>
      </c>
      <c r="D477" s="17">
        <v>24</v>
      </c>
      <c r="E477" s="18">
        <f ca="1">IFERROR(__xludf.DUMMYFUNCTION("COUNT(IMPORTRANGE(""https://docs.google.com/spreadsheets/d/1AxBmuQEdOYAeRnZ4C8vO6kuTNp7X_SGhpLXuY0n4ln4/edit"",""18!d2:d31""))"),24)</f>
        <v>24</v>
      </c>
      <c r="F477" s="23">
        <f ca="1">IFERROR(__xludf.DUMMYFUNCTION("SUM(IMPORTRANGE(""https://docs.google.com/spreadsheets/d/1AxBmuQEdOYAeRnZ4C8vO6kuTNp7X_SGhpLXuY0n4ln4/edit"",""18!Q2:Q31""))"),4327.556)</f>
        <v>4327.5559999999996</v>
      </c>
      <c r="G477" s="18">
        <f ca="1">IFERROR(__xludf.DUMMYFUNCTION("IMPORTRANGE(""https://docs.google.com/spreadsheets/d/1AxBmuQEdOYAeRnZ4C8vO6kuTNp7X_SGhpLXuY0n4ln4/edit"",""18!e38"")"),1281)</f>
        <v>1281</v>
      </c>
      <c r="H477" s="18">
        <f ca="1">IFERROR(__xludf.DUMMYFUNCTION("IMPORTRANGE(""https://docs.google.com/spreadsheets/d/1AxBmuQEdOYAeRnZ4C8vO6kuTNp7X_SGhpLXuY0n4ln4/edit"",""18!e39"")"),73)</f>
        <v>73</v>
      </c>
      <c r="I477" s="18">
        <f t="shared" ca="1" si="1287"/>
        <v>1354</v>
      </c>
      <c r="J477" s="18">
        <f ca="1">IFERROR(__xludf.DUMMYFUNCTION("IMPORTRANGE(""https://docs.google.com/spreadsheets/d/1AxBmuQEdOYAeRnZ4C8vO6kuTNp7X_SGhpLXuY0n4ln4/edit"",""18!e42"")"),1719)</f>
        <v>1719</v>
      </c>
      <c r="K477" s="18">
        <f ca="1">IFERROR(__xludf.DUMMYFUNCTION("IMPORTRANGE(""https://docs.google.com/spreadsheets/d/1AxBmuQEdOYAeRnZ4C8vO6kuTNp7X_SGhpLXuY0n4ln4/edit"",""18!e43"")"),0)</f>
        <v>0</v>
      </c>
      <c r="L477" s="18">
        <f t="shared" ca="1" si="1317"/>
        <v>1719</v>
      </c>
      <c r="M477" s="18">
        <f t="shared" ca="1" si="1289"/>
        <v>3073</v>
      </c>
      <c r="N477" s="19">
        <f t="shared" ca="1" si="1290"/>
        <v>180.31483333333333</v>
      </c>
      <c r="O477" s="16">
        <v>8345</v>
      </c>
      <c r="P477" s="20">
        <f t="shared" ca="1" si="1291"/>
        <v>0.36824445775913722</v>
      </c>
      <c r="Q477" s="21">
        <v>1.5</v>
      </c>
      <c r="R477" s="20">
        <f t="shared" ca="1" si="1292"/>
        <v>0.47340038272564627</v>
      </c>
      <c r="S477" s="22">
        <f t="shared" ca="1" si="1293"/>
        <v>0.71010057408846938</v>
      </c>
      <c r="T477" s="21">
        <f ca="1">F477/41.205</f>
        <v>105.02502123528697</v>
      </c>
      <c r="U477" s="21">
        <f t="shared" ca="1" si="1294"/>
        <v>4.3760425514702908</v>
      </c>
      <c r="V477" s="18">
        <f t="shared" ca="1" si="1295"/>
        <v>128.04166666666666</v>
      </c>
      <c r="W477" s="76"/>
      <c r="X477" s="24" t="s">
        <v>33</v>
      </c>
      <c r="Y477" s="24">
        <v>6</v>
      </c>
      <c r="Z477" s="24">
        <f t="shared" ref="Z477:AI477" si="1328">SUM(Z471:Z476)</f>
        <v>180</v>
      </c>
      <c r="AA477" s="25">
        <f t="shared" ca="1" si="1328"/>
        <v>177</v>
      </c>
      <c r="AB477" s="27">
        <f t="shared" ca="1" si="1328"/>
        <v>34248.239999999991</v>
      </c>
      <c r="AC477" s="25">
        <f t="shared" ca="1" si="1328"/>
        <v>12172</v>
      </c>
      <c r="AD477" s="25">
        <f t="shared" ca="1" si="1328"/>
        <v>141</v>
      </c>
      <c r="AE477" s="25">
        <f t="shared" ca="1" si="1328"/>
        <v>12313</v>
      </c>
      <c r="AF477" s="25">
        <f t="shared" ca="1" si="1328"/>
        <v>16931</v>
      </c>
      <c r="AG477" s="25">
        <f t="shared" ca="1" si="1328"/>
        <v>239</v>
      </c>
      <c r="AH477" s="25">
        <f t="shared" ca="1" si="1328"/>
        <v>17170</v>
      </c>
      <c r="AI477" s="25">
        <f t="shared" ca="1" si="1328"/>
        <v>29483</v>
      </c>
      <c r="AJ477" s="27">
        <f t="shared" ca="1" si="1307"/>
        <v>193.49288135593216</v>
      </c>
      <c r="AK477" s="24">
        <f>SUM(AK471:AK476)</f>
        <v>53273</v>
      </c>
      <c r="AL477" s="28">
        <f t="shared" ca="1" si="1309"/>
        <v>0.55343232031235334</v>
      </c>
      <c r="AM477" s="29">
        <v>1.5</v>
      </c>
      <c r="AN477" s="28">
        <f t="shared" ca="1" si="1311"/>
        <v>0.57390783682120128</v>
      </c>
      <c r="AO477" s="30">
        <f t="shared" ca="1" si="1312"/>
        <v>0.86086175523180197</v>
      </c>
      <c r="AP477" s="29">
        <f ca="1">SUM(AP471:AP476)</f>
        <v>1129.7315793982723</v>
      </c>
      <c r="AQ477" s="29">
        <f ca="1">AP477/AA477</f>
        <v>6.3826642903857191</v>
      </c>
      <c r="AR477" s="25">
        <f t="shared" ca="1" si="1314"/>
        <v>166.57062146892656</v>
      </c>
      <c r="AS477" s="76"/>
      <c r="AT477" s="76"/>
    </row>
    <row r="478" spans="1:46" ht="15.75" customHeight="1" x14ac:dyDescent="0.25">
      <c r="A478" s="70"/>
      <c r="B478" s="16">
        <v>14</v>
      </c>
      <c r="C478" s="16" t="s">
        <v>27</v>
      </c>
      <c r="D478" s="17">
        <v>24</v>
      </c>
      <c r="E478" s="18">
        <f ca="1">IFERROR(__xludf.DUMMYFUNCTION("COUNT(IMPORTRANGE(""https://docs.google.com/spreadsheets/d/1LsL4JuXvBtfJ-TVi4NFml9lV_pmd61b789A_nbO-QrA/edit"",""18!d2:d31""))"),24)</f>
        <v>24</v>
      </c>
      <c r="F478" s="23">
        <f ca="1">IFERROR(__xludf.DUMMYFUNCTION("SUM(IMPORTRANGE(""https://docs.google.com/spreadsheets/d/1LsL4JuXvBtfJ-TVi4NFml9lV_pmd61b789A_nbO-QrA/edit"",""18!Q2:Q31""))"),4332.638)</f>
        <v>4332.6379999999999</v>
      </c>
      <c r="G478" s="18">
        <f ca="1">IFERROR(__xludf.DUMMYFUNCTION("IMPORTRANGE(""https://docs.google.com/spreadsheets/d/1LsL4JuXvBtfJ-TVi4NFml9lV_pmd61b789A_nbO-QrA/edit"",""18!e38"")"),1637)</f>
        <v>1637</v>
      </c>
      <c r="H478" s="18">
        <f ca="1">IFERROR(__xludf.DUMMYFUNCTION("IMPORTRANGE(""https://docs.google.com/spreadsheets/d/1LsL4JuXvBtfJ-TVi4NFml9lV_pmd61b789A_nbO-QrA/edit"",""18!e39"")"),0)</f>
        <v>0</v>
      </c>
      <c r="I478" s="18">
        <f t="shared" ca="1" si="1287"/>
        <v>1637</v>
      </c>
      <c r="J478" s="18">
        <f ca="1">IFERROR(__xludf.DUMMYFUNCTION("IMPORTRANGE(""https://docs.google.com/spreadsheets/d/1LsL4JuXvBtfJ-TVi4NFml9lV_pmd61b789A_nbO-QrA/edit"",""18!e42"")"),2192)</f>
        <v>2192</v>
      </c>
      <c r="K478" s="18">
        <f ca="1">IFERROR(__xludf.DUMMYFUNCTION("IMPORTRANGE(""https://docs.google.com/spreadsheets/d/1LsL4JuXvBtfJ-TVi4NFml9lV_pmd61b789A_nbO-QrA/edit"",""18!e43"")"),0)</f>
        <v>0</v>
      </c>
      <c r="L478" s="18">
        <f t="shared" ca="1" si="1317"/>
        <v>2192</v>
      </c>
      <c r="M478" s="18">
        <f t="shared" ca="1" si="1289"/>
        <v>3829</v>
      </c>
      <c r="N478" s="19">
        <f t="shared" ca="1" si="1290"/>
        <v>180.52658333333332</v>
      </c>
      <c r="O478" s="16">
        <v>8101</v>
      </c>
      <c r="P478" s="20">
        <f t="shared" ca="1" si="1291"/>
        <v>0.47265769658066903</v>
      </c>
      <c r="Q478" s="21">
        <v>1.5</v>
      </c>
      <c r="R478" s="20">
        <f t="shared" ca="1" si="1292"/>
        <v>0.58917146243620322</v>
      </c>
      <c r="S478" s="22">
        <f t="shared" ca="1" si="1293"/>
        <v>0.88375719365430483</v>
      </c>
      <c r="T478" s="21">
        <f ca="1">F478/19.985</f>
        <v>216.79449587190393</v>
      </c>
      <c r="U478" s="21">
        <f t="shared" ca="1" si="1294"/>
        <v>9.0331039946626639</v>
      </c>
      <c r="V478" s="18">
        <f t="shared" ca="1" si="1295"/>
        <v>159.54166666666666</v>
      </c>
      <c r="W478" s="76"/>
      <c r="X478" s="97" t="s">
        <v>44</v>
      </c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9"/>
      <c r="AS478" s="76"/>
      <c r="AT478" s="76"/>
    </row>
    <row r="479" spans="1:46" ht="15.75" customHeight="1" x14ac:dyDescent="0.25">
      <c r="A479" s="70"/>
      <c r="B479" s="16">
        <v>15</v>
      </c>
      <c r="C479" s="16" t="s">
        <v>40</v>
      </c>
      <c r="D479" s="17">
        <v>24</v>
      </c>
      <c r="E479" s="18">
        <f ca="1">IFERROR(__xludf.DUMMYFUNCTION("COUNT(IMPORTRANGE(""https://docs.google.com/spreadsheets/d/1Krav0MVlY0vbUNsFRDnb_kR72_tyuGnWBYbGjNZrl18/edit"",""18!d2:d31""))"),24)</f>
        <v>24</v>
      </c>
      <c r="F479" s="23">
        <f ca="1">IFERROR(__xludf.DUMMYFUNCTION("SUM(IMPORTRANGE(""https://docs.google.com/spreadsheets/d/1Krav0MVlY0vbUNsFRDnb_kR72_tyuGnWBYbGjNZrl18/edit"",""18!Q2:Q31""))"),4678.207)</f>
        <v>4678.2070000000003</v>
      </c>
      <c r="G479" s="18">
        <f ca="1">IFERROR(__xludf.DUMMYFUNCTION("IMPORTRANGE(""https://docs.google.com/spreadsheets/d/1Krav0MVlY0vbUNsFRDnb_kR72_tyuGnWBYbGjNZrl18/edit"",""18!e38"")"),2568)</f>
        <v>2568</v>
      </c>
      <c r="H479" s="18">
        <f ca="1">IFERROR(__xludf.DUMMYFUNCTION("IMPORTRANGE(""https://docs.google.com/spreadsheets/d/1Krav0MVlY0vbUNsFRDnb_kR72_tyuGnWBYbGjNZrl18/edit"",""18!e39"")"),13)</f>
        <v>13</v>
      </c>
      <c r="I479" s="18">
        <f t="shared" ca="1" si="1287"/>
        <v>2581</v>
      </c>
      <c r="J479" s="18">
        <f ca="1">IFERROR(__xludf.DUMMYFUNCTION("IMPORTRANGE(""https://docs.google.com/spreadsheets/d/1Krav0MVlY0vbUNsFRDnb_kR72_tyuGnWBYbGjNZrl18/edit"",""18!e42"")"),3281)</f>
        <v>3281</v>
      </c>
      <c r="K479" s="18">
        <f ca="1">IFERROR(__xludf.DUMMYFUNCTION("IMPORTRANGE(""https://docs.google.com/spreadsheets/d/1Krav0MVlY0vbUNsFRDnb_kR72_tyuGnWBYbGjNZrl18/edit"",""18!e43"")"),0)</f>
        <v>0</v>
      </c>
      <c r="L479" s="18">
        <f t="shared" ca="1" si="1317"/>
        <v>3281</v>
      </c>
      <c r="M479" s="18">
        <f t="shared" ca="1" si="1289"/>
        <v>5862</v>
      </c>
      <c r="N479" s="19">
        <f t="shared" ca="1" si="1290"/>
        <v>194.92529166666668</v>
      </c>
      <c r="O479" s="16">
        <v>8239</v>
      </c>
      <c r="P479" s="20">
        <f t="shared" ca="1" si="1291"/>
        <v>0.71149411336327228</v>
      </c>
      <c r="Q479" s="21">
        <v>1.5</v>
      </c>
      <c r="R479" s="20">
        <f t="shared" ca="1" si="1292"/>
        <v>0.83536277894501021</v>
      </c>
      <c r="S479" s="22">
        <f t="shared" ca="1" si="1293"/>
        <v>1.2530441684175153</v>
      </c>
      <c r="T479" s="21">
        <f ca="1">F479/28.443</f>
        <v>164.47656716942657</v>
      </c>
      <c r="U479" s="21">
        <f t="shared" ca="1" si="1294"/>
        <v>6.8531902987261075</v>
      </c>
      <c r="V479" s="18">
        <f t="shared" ca="1" si="1295"/>
        <v>244.25</v>
      </c>
      <c r="W479" s="76"/>
      <c r="X479" s="1" t="s">
        <v>2</v>
      </c>
      <c r="Y479" s="1" t="s">
        <v>3</v>
      </c>
      <c r="Z479" s="1" t="s">
        <v>4</v>
      </c>
      <c r="AA479" s="1" t="s">
        <v>5</v>
      </c>
      <c r="AB479" s="2" t="s">
        <v>6</v>
      </c>
      <c r="AC479" s="1" t="s">
        <v>7</v>
      </c>
      <c r="AD479" s="1" t="s">
        <v>8</v>
      </c>
      <c r="AE479" s="1" t="s">
        <v>9</v>
      </c>
      <c r="AF479" s="1" t="s">
        <v>10</v>
      </c>
      <c r="AG479" s="1" t="s">
        <v>11</v>
      </c>
      <c r="AH479" s="1" t="s">
        <v>12</v>
      </c>
      <c r="AI479" s="1" t="s">
        <v>13</v>
      </c>
      <c r="AJ479" s="2" t="s">
        <v>14</v>
      </c>
      <c r="AK479" s="1" t="s">
        <v>15</v>
      </c>
      <c r="AL479" s="1" t="s">
        <v>16</v>
      </c>
      <c r="AM479" s="3" t="s">
        <v>17</v>
      </c>
      <c r="AN479" s="4" t="s">
        <v>18</v>
      </c>
      <c r="AO479" s="5" t="s">
        <v>19</v>
      </c>
      <c r="AP479" s="6" t="s">
        <v>20</v>
      </c>
      <c r="AQ479" s="6" t="s">
        <v>21</v>
      </c>
      <c r="AR479" s="7" t="s">
        <v>22</v>
      </c>
      <c r="AS479" s="76"/>
      <c r="AT479" s="76"/>
    </row>
    <row r="480" spans="1:46" ht="15.75" customHeight="1" x14ac:dyDescent="0.25">
      <c r="A480" s="70"/>
      <c r="B480" s="16">
        <v>16</v>
      </c>
      <c r="C480" s="16" t="s">
        <v>42</v>
      </c>
      <c r="D480" s="17">
        <v>26</v>
      </c>
      <c r="E480" s="18">
        <f ca="1">IFERROR(__xludf.DUMMYFUNCTION("COUNT(IMPORTRANGE(""https://docs.google.com/spreadsheets/d/1uXtm-E8PG0CetlFmSpTX3RK0LNEMnpR-mxbET9AGD6w/edit"",""18!d2:d34""))"),25)</f>
        <v>25</v>
      </c>
      <c r="F480" s="23">
        <f ca="1">IFERROR(__xludf.DUMMYFUNCTION("SUM(IMPORTRANGE(""https://docs.google.com/spreadsheets/d/1uXtm-E8PG0CetlFmSpTX3RK0LNEMnpR-mxbET9AGD6w/edit"",""18!Q2:Q34""))"),4952.526)</f>
        <v>4952.5259999999998</v>
      </c>
      <c r="G480" s="18">
        <f ca="1">IFERROR(__xludf.DUMMYFUNCTION("IMPORTRANGE(""https://docs.google.com/spreadsheets/d/1uXtm-E8PG0CetlFmSpTX3RK0LNEMnpR-mxbET9AGD6w/edit"",""18!e41"")"),2451)</f>
        <v>2451</v>
      </c>
      <c r="H480" s="18">
        <f ca="1">IFERROR(__xludf.DUMMYFUNCTION("IMPORTRANGE(""https://docs.google.com/spreadsheets/d/1uXtm-E8PG0CetlFmSpTX3RK0LNEMnpR-mxbET9AGD6w/edit"",""18!e42"")"),0)</f>
        <v>0</v>
      </c>
      <c r="I480" s="18">
        <f t="shared" ca="1" si="1287"/>
        <v>2451</v>
      </c>
      <c r="J480" s="18">
        <f ca="1">IFERROR(__xludf.DUMMYFUNCTION("IMPORTRANGE(""https://docs.google.com/spreadsheets/d/1uXtm-E8PG0CetlFmSpTX3RK0LNEMnpR-mxbET9AGD6w/edit"",""18!e45"")"),3228)</f>
        <v>3228</v>
      </c>
      <c r="K480" s="18">
        <f ca="1">IFERROR(__xludf.DUMMYFUNCTION("IMPORTRANGE(""https://docs.google.com/spreadsheets/d/1uXtm-E8PG0CetlFmSpTX3RK0LNEMnpR-mxbET9AGD6w/edit"",""18!e46"")"),0)</f>
        <v>0</v>
      </c>
      <c r="L480" s="18">
        <f t="shared" ca="1" si="1317"/>
        <v>3228</v>
      </c>
      <c r="M480" s="18">
        <f t="shared" ca="1" si="1289"/>
        <v>5679</v>
      </c>
      <c r="N480" s="19">
        <f t="shared" ca="1" si="1290"/>
        <v>198.10103999999998</v>
      </c>
      <c r="O480" s="16">
        <v>9877</v>
      </c>
      <c r="P480" s="20">
        <f t="shared" ca="1" si="1291"/>
        <v>0.57497215753771391</v>
      </c>
      <c r="Q480" s="21">
        <v>1.5</v>
      </c>
      <c r="R480" s="20">
        <f t="shared" ca="1" si="1292"/>
        <v>0.76445837942092576</v>
      </c>
      <c r="S480" s="22">
        <f t="shared" ca="1" si="1293"/>
        <v>1.1466875691313887</v>
      </c>
      <c r="T480" s="21">
        <f ca="1">F480/26.155</f>
        <v>189.35293442936339</v>
      </c>
      <c r="U480" s="21">
        <f t="shared" ca="1" si="1294"/>
        <v>7.5741173771745354</v>
      </c>
      <c r="V480" s="18">
        <f t="shared" ca="1" si="1295"/>
        <v>227.16</v>
      </c>
      <c r="W480" s="76"/>
      <c r="X480" s="8">
        <v>1</v>
      </c>
      <c r="Y480" s="8" t="s">
        <v>26</v>
      </c>
      <c r="Z480" s="8">
        <f t="shared" ref="Z480:AI480" si="1329">SUM(D465)</f>
        <v>16</v>
      </c>
      <c r="AA480" s="9">
        <f t="shared" ca="1" si="1329"/>
        <v>14</v>
      </c>
      <c r="AB480" s="11">
        <f t="shared" ca="1" si="1329"/>
        <v>2559.0450000000001</v>
      </c>
      <c r="AC480" s="9">
        <f t="shared" ca="1" si="1329"/>
        <v>1331</v>
      </c>
      <c r="AD480" s="9">
        <f t="shared" ca="1" si="1329"/>
        <v>0</v>
      </c>
      <c r="AE480" s="9">
        <f t="shared" ca="1" si="1329"/>
        <v>1331</v>
      </c>
      <c r="AF480" s="9">
        <f t="shared" ca="1" si="1329"/>
        <v>2167</v>
      </c>
      <c r="AG480" s="9">
        <f t="shared" ca="1" si="1329"/>
        <v>0</v>
      </c>
      <c r="AH480" s="9">
        <f t="shared" ca="1" si="1329"/>
        <v>2167</v>
      </c>
      <c r="AI480" s="9">
        <f t="shared" ca="1" si="1329"/>
        <v>3498</v>
      </c>
      <c r="AJ480" s="11">
        <f t="shared" ref="AJ480:AJ486" ca="1" si="1330">AB480/AA480</f>
        <v>182.78892857142858</v>
      </c>
      <c r="AK480" s="8">
        <f>SUM(O465)</f>
        <v>5161</v>
      </c>
      <c r="AL480" s="12">
        <f t="shared" ref="AL480:AL486" ca="1" si="1331">AI480/AK480</f>
        <v>0.67777562487889942</v>
      </c>
      <c r="AM480" s="13">
        <f>SUM(Q465)</f>
        <v>1.5</v>
      </c>
      <c r="AN480" s="12">
        <f t="shared" ref="AN480:AN486" ca="1" si="1332">AO480/AM480</f>
        <v>0.91127744920468379</v>
      </c>
      <c r="AO480" s="14">
        <f t="shared" ref="AO480:AO486" ca="1" si="1333">AI480/AB480</f>
        <v>1.3669161738070257</v>
      </c>
      <c r="AP480" s="13">
        <f t="shared" ref="AP480:AQ480" ca="1" si="1334">SUM(T465)</f>
        <v>177.52653485952135</v>
      </c>
      <c r="AQ480" s="13">
        <f t="shared" ca="1" si="1334"/>
        <v>12.680466775680097</v>
      </c>
      <c r="AR480" s="9">
        <f t="shared" ref="AR480:AR486" ca="1" si="1335">AI480/AA480</f>
        <v>249.85714285714286</v>
      </c>
      <c r="AS480" s="76"/>
      <c r="AT480" s="76"/>
    </row>
    <row r="481" spans="1:46" ht="15.75" customHeight="1" x14ac:dyDescent="0.25">
      <c r="A481" s="70"/>
      <c r="B481" s="16">
        <v>17</v>
      </c>
      <c r="C481" s="16" t="s">
        <v>29</v>
      </c>
      <c r="D481" s="17">
        <v>24</v>
      </c>
      <c r="E481" s="18">
        <f ca="1">IFERROR(__xludf.DUMMYFUNCTION("COUNT(IMPORTRANGE(""https://docs.google.com/spreadsheets/d/12xcKI0lSnAsjEsxfm9K8Qx0B_89Gzsh816mowItkQao/edit"",""18!d2:d31""))"),22)</f>
        <v>22</v>
      </c>
      <c r="F481" s="23">
        <f ca="1">IFERROR(__xludf.DUMMYFUNCTION("SUM(IMPORTRANGE(""https://docs.google.com/spreadsheets/d/12xcKI0lSnAsjEsxfm9K8Qx0B_89Gzsh816mowItkQao/edit"",""18!Q2:Q31""))"),4296.27)</f>
        <v>4296.2700000000004</v>
      </c>
      <c r="G481" s="18">
        <f ca="1">IFERROR(__xludf.DUMMYFUNCTION("IMPORTRANGE(""https://docs.google.com/spreadsheets/d/12xcKI0lSnAsjEsxfm9K8Qx0B_89Gzsh816mowItkQao/edit"",""18!e38"")"),1861)</f>
        <v>1861</v>
      </c>
      <c r="H481" s="18">
        <f ca="1">IFERROR(__xludf.DUMMYFUNCTION("IMPORTRANGE(""https://docs.google.com/spreadsheets/d/12xcKI0lSnAsjEsxfm9K8Qx0B_89Gzsh816mowItkQao/edit"",""18!e39"")"),0)</f>
        <v>0</v>
      </c>
      <c r="I481" s="18">
        <f t="shared" ca="1" si="1287"/>
        <v>1861</v>
      </c>
      <c r="J481" s="18">
        <f ca="1">IFERROR(__xludf.DUMMYFUNCTION("IMPORTRANGE(""https://docs.google.com/spreadsheets/d/12xcKI0lSnAsjEsxfm9K8Qx0B_89Gzsh816mowItkQao/edit"",""18!e42"")"),3038)</f>
        <v>3038</v>
      </c>
      <c r="K481" s="18">
        <f ca="1">IFERROR(__xludf.DUMMYFUNCTION("IMPORTRANGE(""https://docs.google.com/spreadsheets/d/12xcKI0lSnAsjEsxfm9K8Qx0B_89Gzsh816mowItkQao/edit"",""18!e43"")"),0)</f>
        <v>0</v>
      </c>
      <c r="L481" s="18">
        <f t="shared" ca="1" si="1317"/>
        <v>3038</v>
      </c>
      <c r="M481" s="18">
        <f t="shared" ca="1" si="1289"/>
        <v>4899</v>
      </c>
      <c r="N481" s="19">
        <f t="shared" ca="1" si="1290"/>
        <v>195.28500000000003</v>
      </c>
      <c r="O481" s="16">
        <v>9201</v>
      </c>
      <c r="P481" s="20">
        <f t="shared" ca="1" si="1291"/>
        <v>0.53244212585588524</v>
      </c>
      <c r="Q481" s="21">
        <v>1.5</v>
      </c>
      <c r="R481" s="20">
        <f t="shared" ca="1" si="1292"/>
        <v>0.7601943080858512</v>
      </c>
      <c r="S481" s="22">
        <f t="shared" ca="1" si="1293"/>
        <v>1.1402914621287767</v>
      </c>
      <c r="T481" s="21">
        <f ca="1">F481/26.038</f>
        <v>165.00000000000003</v>
      </c>
      <c r="U481" s="21">
        <f t="shared" ca="1" si="1294"/>
        <v>7.5000000000000009</v>
      </c>
      <c r="V481" s="18">
        <f t="shared" ca="1" si="1295"/>
        <v>222.68181818181819</v>
      </c>
      <c r="W481" s="76"/>
      <c r="X481" s="8">
        <v>2</v>
      </c>
      <c r="Y481" s="8" t="s">
        <v>32</v>
      </c>
      <c r="Z481" s="8">
        <f t="shared" ref="Z481:AI481" si="1336">SUM(D468)</f>
        <v>33</v>
      </c>
      <c r="AA481" s="9">
        <f t="shared" ca="1" si="1336"/>
        <v>32</v>
      </c>
      <c r="AB481" s="10">
        <f t="shared" ca="1" si="1336"/>
        <v>6148.9539999999897</v>
      </c>
      <c r="AC481" s="8">
        <f t="shared" ca="1" si="1336"/>
        <v>3418</v>
      </c>
      <c r="AD481" s="8">
        <f t="shared" ca="1" si="1336"/>
        <v>0</v>
      </c>
      <c r="AE481" s="9">
        <f t="shared" ca="1" si="1336"/>
        <v>3418</v>
      </c>
      <c r="AF481" s="8">
        <f t="shared" ca="1" si="1336"/>
        <v>3917</v>
      </c>
      <c r="AG481" s="8">
        <f t="shared" ca="1" si="1336"/>
        <v>0</v>
      </c>
      <c r="AH481" s="9">
        <f t="shared" ca="1" si="1336"/>
        <v>3917</v>
      </c>
      <c r="AI481" s="9">
        <f t="shared" ca="1" si="1336"/>
        <v>7335</v>
      </c>
      <c r="AJ481" s="11">
        <f t="shared" ca="1" si="1330"/>
        <v>192.15481249999968</v>
      </c>
      <c r="AK481" s="8">
        <f>SUM(O468)</f>
        <v>13817</v>
      </c>
      <c r="AL481" s="12">
        <f t="shared" ca="1" si="1331"/>
        <v>0.53086777158572773</v>
      </c>
      <c r="AM481" s="13">
        <f>SUM(Q468)</f>
        <v>1.5</v>
      </c>
      <c r="AN481" s="12">
        <f t="shared" ca="1" si="1332"/>
        <v>0.7952572096002033</v>
      </c>
      <c r="AO481" s="14">
        <f t="shared" ca="1" si="1333"/>
        <v>1.1928858144003049</v>
      </c>
      <c r="AP481" s="13">
        <f t="shared" ref="AP481:AQ481" ca="1" si="1337">SUM(T468)</f>
        <v>245.08565506795767</v>
      </c>
      <c r="AQ481" s="13">
        <f t="shared" ca="1" si="1337"/>
        <v>7.6589267208736773</v>
      </c>
      <c r="AR481" s="9">
        <f t="shared" ca="1" si="1335"/>
        <v>229.21875</v>
      </c>
      <c r="AS481" s="76"/>
      <c r="AT481" s="76"/>
    </row>
    <row r="482" spans="1:46" ht="15.75" customHeight="1" x14ac:dyDescent="0.25">
      <c r="A482" s="70"/>
      <c r="B482" s="16">
        <v>18</v>
      </c>
      <c r="C482" s="16" t="s">
        <v>31</v>
      </c>
      <c r="D482" s="17">
        <v>12</v>
      </c>
      <c r="E482" s="18">
        <f ca="1">IFERROR(__xludf.DUMMYFUNCTION("COUNT(IMPORTRANGE(""https://docs.google.com/spreadsheets/d/1fgCFOFzOla4Qim6_-zG-lbYhLCItqv_kZiAHoErRgcM/edit"",""18!d2:d16""))"),12)</f>
        <v>12</v>
      </c>
      <c r="F482" s="19">
        <f ca="1">IFERROR(__xludf.DUMMYFUNCTION("SUM(IMPORTRANGE(""https://docs.google.com/spreadsheets/d/1fgCFOFzOla4Qim6_-zG-lbYhLCItqv_kZiAHoErRgcM/edit"",""18!Q2:Q16""))"),2303.645)</f>
        <v>2303.645</v>
      </c>
      <c r="G482" s="18">
        <f ca="1">IFERROR(__xludf.DUMMYFUNCTION("IMPORTRANGE(""https://docs.google.com/spreadsheets/d/1fgCFOFzOla4Qim6_-zG-lbYhLCItqv_kZiAHoErRgcM/edit"",""18!e23"")"),686)</f>
        <v>686</v>
      </c>
      <c r="H482" s="18">
        <f ca="1">IFERROR(__xludf.DUMMYFUNCTION("IMPORTRANGE(""https://docs.google.com/spreadsheets/d/1fgCFOFzOla4Qim6_-zG-lbYhLCItqv_kZiAHoErRgcM/edit"",""18!e24"")"),12)</f>
        <v>12</v>
      </c>
      <c r="I482" s="18">
        <f t="shared" ca="1" si="1287"/>
        <v>698</v>
      </c>
      <c r="J482" s="18">
        <f ca="1">IFERROR(__xludf.DUMMYFUNCTION("IMPORTRANGE(""https://docs.google.com/spreadsheets/d/1fgCFOFzOla4Qim6_-zG-lbYhLCItqv_kZiAHoErRgcM/edit"",""18!e27"")"),842)</f>
        <v>842</v>
      </c>
      <c r="K482" s="18">
        <f ca="1">IFERROR(__xludf.DUMMYFUNCTION("IMPORTRANGE(""https://docs.google.com/spreadsheets/d/1fgCFOFzOla4Qim6_-zG-lbYhLCItqv_kZiAHoErRgcM/edit"",""18!e28"")"),0)</f>
        <v>0</v>
      </c>
      <c r="L482" s="18">
        <f t="shared" ca="1" si="1317"/>
        <v>842</v>
      </c>
      <c r="M482" s="18">
        <f t="shared" ca="1" si="1289"/>
        <v>1540</v>
      </c>
      <c r="N482" s="19">
        <f t="shared" ca="1" si="1290"/>
        <v>191.97041666666667</v>
      </c>
      <c r="O482" s="16">
        <v>2717</v>
      </c>
      <c r="P482" s="20">
        <f t="shared" ca="1" si="1291"/>
        <v>0.5668016194331984</v>
      </c>
      <c r="Q482" s="21">
        <v>1.5</v>
      </c>
      <c r="R482" s="20">
        <f t="shared" ca="1" si="1292"/>
        <v>0.44567052070378321</v>
      </c>
      <c r="S482" s="22">
        <f t="shared" ca="1" si="1293"/>
        <v>0.66850578105567482</v>
      </c>
      <c r="T482" s="21">
        <f ca="1">F482/43.465</f>
        <v>52.999999999999993</v>
      </c>
      <c r="U482" s="21">
        <f t="shared" ca="1" si="1294"/>
        <v>4.4166666666666661</v>
      </c>
      <c r="V482" s="18">
        <f t="shared" ca="1" si="1295"/>
        <v>128.33333333333334</v>
      </c>
      <c r="W482" s="76"/>
      <c r="X482" s="8">
        <v>3</v>
      </c>
      <c r="Y482" s="8" t="s">
        <v>36</v>
      </c>
      <c r="Z482" s="8">
        <f t="shared" ref="Z482:AI482" si="1338">SUM(D473)</f>
        <v>23</v>
      </c>
      <c r="AA482" s="9">
        <f t="shared" ca="1" si="1338"/>
        <v>23</v>
      </c>
      <c r="AB482" s="10">
        <f t="shared" ca="1" si="1338"/>
        <v>4445.8819999999996</v>
      </c>
      <c r="AC482" s="9">
        <f t="shared" ca="1" si="1338"/>
        <v>974</v>
      </c>
      <c r="AD482" s="9">
        <f t="shared" ca="1" si="1338"/>
        <v>0</v>
      </c>
      <c r="AE482" s="9">
        <f t="shared" ca="1" si="1338"/>
        <v>974</v>
      </c>
      <c r="AF482" s="9">
        <f t="shared" ca="1" si="1338"/>
        <v>1611</v>
      </c>
      <c r="AG482" s="9">
        <f t="shared" ca="1" si="1338"/>
        <v>0</v>
      </c>
      <c r="AH482" s="9">
        <f t="shared" ca="1" si="1338"/>
        <v>1611</v>
      </c>
      <c r="AI482" s="9">
        <f t="shared" ca="1" si="1338"/>
        <v>2585</v>
      </c>
      <c r="AJ482" s="11">
        <f t="shared" ca="1" si="1330"/>
        <v>193.29921739130432</v>
      </c>
      <c r="AK482" s="8">
        <f t="shared" ref="AK482:AK485" si="1339">SUM(O473)</f>
        <v>4796</v>
      </c>
      <c r="AL482" s="12">
        <f t="shared" ca="1" si="1331"/>
        <v>0.53899082568807344</v>
      </c>
      <c r="AM482" s="13">
        <f t="shared" ref="AM482:AM485" si="1340">SUM(Q473)</f>
        <v>1.5</v>
      </c>
      <c r="AN482" s="12">
        <f t="shared" ca="1" si="1332"/>
        <v>0.38762462281575027</v>
      </c>
      <c r="AO482" s="14">
        <f t="shared" ca="1" si="1333"/>
        <v>0.58143693422362541</v>
      </c>
      <c r="AP482" s="13">
        <f t="shared" ref="AP482:AQ482" ca="1" si="1341">SUM(T473)</f>
        <v>118.82936868551877</v>
      </c>
      <c r="AQ482" s="13">
        <f t="shared" ca="1" si="1341"/>
        <v>5.1664942906747289</v>
      </c>
      <c r="AR482" s="9">
        <f t="shared" ca="1" si="1335"/>
        <v>112.39130434782609</v>
      </c>
      <c r="AS482" s="76"/>
      <c r="AT482" s="76"/>
    </row>
    <row r="483" spans="1:46" ht="15.75" customHeight="1" x14ac:dyDescent="0.2">
      <c r="A483" s="70"/>
      <c r="B483" s="98" t="s">
        <v>33</v>
      </c>
      <c r="C483" s="98">
        <v>18</v>
      </c>
      <c r="D483" s="98">
        <f t="shared" ref="D483:M483" si="1342">SUM(D465:D482)</f>
        <v>470</v>
      </c>
      <c r="E483" s="74">
        <f t="shared" ca="1" si="1342"/>
        <v>458</v>
      </c>
      <c r="F483" s="99">
        <f t="shared" ca="1" si="1342"/>
        <v>87780.067999999941</v>
      </c>
      <c r="G483" s="74">
        <f t="shared" ca="1" si="1342"/>
        <v>29265</v>
      </c>
      <c r="H483" s="74">
        <f t="shared" ca="1" si="1342"/>
        <v>495</v>
      </c>
      <c r="I483" s="74">
        <f t="shared" ca="1" si="1342"/>
        <v>29760</v>
      </c>
      <c r="J483" s="74">
        <f t="shared" ca="1" si="1342"/>
        <v>42261</v>
      </c>
      <c r="K483" s="74">
        <f t="shared" ca="1" si="1342"/>
        <v>550</v>
      </c>
      <c r="L483" s="74">
        <f t="shared" ca="1" si="1342"/>
        <v>42811</v>
      </c>
      <c r="M483" s="74">
        <f t="shared" ca="1" si="1342"/>
        <v>72571</v>
      </c>
      <c r="N483" s="99">
        <f t="shared" ca="1" si="1290"/>
        <v>191.6595371179038</v>
      </c>
      <c r="O483" s="98">
        <f>SUM(O465:O482)</f>
        <v>126399</v>
      </c>
      <c r="P483" s="69">
        <f t="shared" ca="1" si="1291"/>
        <v>0.57414220049209252</v>
      </c>
      <c r="Q483" s="72">
        <v>1.5</v>
      </c>
      <c r="R483" s="69">
        <f t="shared" ca="1" si="1292"/>
        <v>0.55115777156457313</v>
      </c>
      <c r="S483" s="73">
        <f t="shared" ca="1" si="1293"/>
        <v>0.82673665734685975</v>
      </c>
      <c r="T483" s="72">
        <f ca="1">SUM(T465:T482)</f>
        <v>3226.1934197695427</v>
      </c>
      <c r="U483" s="72">
        <f t="shared" ca="1" si="1294"/>
        <v>7.044090436178041</v>
      </c>
      <c r="V483" s="74">
        <f t="shared" ca="1" si="1295"/>
        <v>158.45196506550218</v>
      </c>
      <c r="W483" s="76"/>
      <c r="X483" s="8">
        <v>4</v>
      </c>
      <c r="Y483" s="8" t="s">
        <v>37</v>
      </c>
      <c r="Z483" s="8">
        <f t="shared" ref="Z483:AI483" si="1343">SUM(D474)</f>
        <v>24</v>
      </c>
      <c r="AA483" s="9">
        <f t="shared" ca="1" si="1343"/>
        <v>24</v>
      </c>
      <c r="AB483" s="10">
        <f t="shared" ca="1" si="1343"/>
        <v>4633.482</v>
      </c>
      <c r="AC483" s="9">
        <f t="shared" ca="1" si="1343"/>
        <v>1433</v>
      </c>
      <c r="AD483" s="9">
        <f t="shared" ca="1" si="1343"/>
        <v>81</v>
      </c>
      <c r="AE483" s="9">
        <f t="shared" ca="1" si="1343"/>
        <v>1514</v>
      </c>
      <c r="AF483" s="9">
        <f t="shared" ca="1" si="1343"/>
        <v>2156</v>
      </c>
      <c r="AG483" s="9">
        <f t="shared" ca="1" si="1343"/>
        <v>43</v>
      </c>
      <c r="AH483" s="9">
        <f t="shared" ca="1" si="1343"/>
        <v>2199</v>
      </c>
      <c r="AI483" s="9">
        <f t="shared" ca="1" si="1343"/>
        <v>3713</v>
      </c>
      <c r="AJ483" s="11">
        <f t="shared" ca="1" si="1330"/>
        <v>193.06174999999999</v>
      </c>
      <c r="AK483" s="8">
        <f t="shared" si="1339"/>
        <v>5887</v>
      </c>
      <c r="AL483" s="12">
        <f t="shared" ca="1" si="1331"/>
        <v>0.63071173772719547</v>
      </c>
      <c r="AM483" s="13">
        <f t="shared" si="1340"/>
        <v>1.5</v>
      </c>
      <c r="AN483" s="12">
        <f t="shared" ca="1" si="1332"/>
        <v>0.53422746291737688</v>
      </c>
      <c r="AO483" s="14">
        <f t="shared" ca="1" si="1333"/>
        <v>0.80134119437606532</v>
      </c>
      <c r="AP483" s="13">
        <f t="shared" ref="AP483:AQ483" ca="1" si="1344">SUM(T474)</f>
        <v>186.89424007744432</v>
      </c>
      <c r="AQ483" s="13">
        <f t="shared" ca="1" si="1344"/>
        <v>7.7872600032268471</v>
      </c>
      <c r="AR483" s="9">
        <f t="shared" ca="1" si="1335"/>
        <v>154.70833333333334</v>
      </c>
      <c r="AS483" s="76"/>
      <c r="AT483" s="76"/>
    </row>
    <row r="484" spans="1:46" ht="15.75" customHeight="1" x14ac:dyDescent="0.2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6"/>
      <c r="X484" s="8">
        <v>5</v>
      </c>
      <c r="Y484" s="8" t="s">
        <v>39</v>
      </c>
      <c r="Z484" s="8">
        <f t="shared" ref="Z484:AI484" si="1345">SUM(D475)</f>
        <v>22</v>
      </c>
      <c r="AA484" s="9">
        <f t="shared" ca="1" si="1345"/>
        <v>22</v>
      </c>
      <c r="AB484" s="10">
        <f t="shared" ca="1" si="1345"/>
        <v>4040.5009999999902</v>
      </c>
      <c r="AC484" s="9">
        <f t="shared" ca="1" si="1345"/>
        <v>889</v>
      </c>
      <c r="AD484" s="9">
        <f t="shared" ca="1" si="1345"/>
        <v>0</v>
      </c>
      <c r="AE484" s="9">
        <f t="shared" ca="1" si="1345"/>
        <v>889</v>
      </c>
      <c r="AF484" s="9">
        <f t="shared" ca="1" si="1345"/>
        <v>1795</v>
      </c>
      <c r="AG484" s="9">
        <f t="shared" ca="1" si="1345"/>
        <v>0</v>
      </c>
      <c r="AH484" s="9">
        <f t="shared" ca="1" si="1345"/>
        <v>1795</v>
      </c>
      <c r="AI484" s="9">
        <f t="shared" ca="1" si="1345"/>
        <v>2684</v>
      </c>
      <c r="AJ484" s="11">
        <f t="shared" ca="1" si="1330"/>
        <v>183.65913636363592</v>
      </c>
      <c r="AK484" s="8">
        <f t="shared" si="1339"/>
        <v>3569</v>
      </c>
      <c r="AL484" s="12">
        <f t="shared" ca="1" si="1331"/>
        <v>0.75203138133931069</v>
      </c>
      <c r="AM484" s="13">
        <f t="shared" si="1340"/>
        <v>1.5</v>
      </c>
      <c r="AN484" s="12">
        <f t="shared" ca="1" si="1332"/>
        <v>0.44284937272217917</v>
      </c>
      <c r="AO484" s="14">
        <f t="shared" ca="1" si="1333"/>
        <v>0.66427405908326875</v>
      </c>
      <c r="AP484" s="13">
        <f t="shared" ref="AP484:AQ484" ca="1" si="1346">SUM(T475)</f>
        <v>188.25425150258539</v>
      </c>
      <c r="AQ484" s="13">
        <f t="shared" ca="1" si="1346"/>
        <v>8.5570114319356989</v>
      </c>
      <c r="AR484" s="9">
        <f t="shared" ca="1" si="1335"/>
        <v>122</v>
      </c>
      <c r="AS484" s="76"/>
      <c r="AT484" s="76"/>
    </row>
    <row r="485" spans="1:46" ht="15.75" customHeight="1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6"/>
      <c r="X485" s="8">
        <v>6</v>
      </c>
      <c r="Y485" s="8" t="s">
        <v>41</v>
      </c>
      <c r="Z485" s="8">
        <f t="shared" ref="Z485:AI485" si="1347">SUM(D476)</f>
        <v>20</v>
      </c>
      <c r="AA485" s="9">
        <f t="shared" ca="1" si="1347"/>
        <v>20</v>
      </c>
      <c r="AB485" s="10">
        <f t="shared" ca="1" si="1347"/>
        <v>3739.712</v>
      </c>
      <c r="AC485" s="9">
        <f t="shared" ca="1" si="1347"/>
        <v>853</v>
      </c>
      <c r="AD485" s="9">
        <f t="shared" ca="1" si="1347"/>
        <v>0</v>
      </c>
      <c r="AE485" s="9">
        <f t="shared" ca="1" si="1347"/>
        <v>853</v>
      </c>
      <c r="AF485" s="9">
        <f t="shared" ca="1" si="1347"/>
        <v>1345</v>
      </c>
      <c r="AG485" s="9">
        <f t="shared" ca="1" si="1347"/>
        <v>0</v>
      </c>
      <c r="AH485" s="9">
        <f t="shared" ca="1" si="1347"/>
        <v>1345</v>
      </c>
      <c r="AI485" s="9">
        <f t="shared" ca="1" si="1347"/>
        <v>2198</v>
      </c>
      <c r="AJ485" s="11">
        <f t="shared" ca="1" si="1330"/>
        <v>186.98560000000001</v>
      </c>
      <c r="AK485" s="8">
        <f t="shared" si="1339"/>
        <v>3801</v>
      </c>
      <c r="AL485" s="12">
        <f t="shared" ca="1" si="1331"/>
        <v>0.57826887661141801</v>
      </c>
      <c r="AM485" s="13">
        <f t="shared" si="1340"/>
        <v>1.5</v>
      </c>
      <c r="AN485" s="12">
        <f t="shared" ca="1" si="1332"/>
        <v>0.3918305295523648</v>
      </c>
      <c r="AO485" s="14">
        <f t="shared" ca="1" si="1333"/>
        <v>0.58774579432854723</v>
      </c>
      <c r="AP485" s="13">
        <f t="shared" ref="AP485:AQ485" ca="1" si="1348">SUM(T476)</f>
        <v>126.22222222222221</v>
      </c>
      <c r="AQ485" s="13">
        <f t="shared" ca="1" si="1348"/>
        <v>6.3111111111111109</v>
      </c>
      <c r="AR485" s="9">
        <f t="shared" ca="1" si="1335"/>
        <v>109.9</v>
      </c>
      <c r="AS485" s="76"/>
      <c r="AT485" s="76"/>
    </row>
    <row r="486" spans="1:46" ht="15.75" customHeight="1" x14ac:dyDescent="0.25">
      <c r="A486" s="110" t="s">
        <v>45</v>
      </c>
      <c r="B486" s="76"/>
      <c r="C486" s="76"/>
      <c r="D486" s="75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24" t="s">
        <v>33</v>
      </c>
      <c r="Y486" s="24">
        <v>6</v>
      </c>
      <c r="Z486" s="24">
        <f t="shared" ref="Z486:AI486" si="1349">SUM(Z480:Z485)</f>
        <v>138</v>
      </c>
      <c r="AA486" s="25">
        <f t="shared" ca="1" si="1349"/>
        <v>135</v>
      </c>
      <c r="AB486" s="27">
        <f t="shared" ca="1" si="1349"/>
        <v>25567.575999999979</v>
      </c>
      <c r="AC486" s="25">
        <f t="shared" ca="1" si="1349"/>
        <v>8898</v>
      </c>
      <c r="AD486" s="25">
        <f t="shared" ca="1" si="1349"/>
        <v>81</v>
      </c>
      <c r="AE486" s="25">
        <f t="shared" ca="1" si="1349"/>
        <v>8979</v>
      </c>
      <c r="AF486" s="25">
        <f t="shared" ca="1" si="1349"/>
        <v>12991</v>
      </c>
      <c r="AG486" s="25">
        <f t="shared" ca="1" si="1349"/>
        <v>43</v>
      </c>
      <c r="AH486" s="25">
        <f t="shared" ca="1" si="1349"/>
        <v>13034</v>
      </c>
      <c r="AI486" s="25">
        <f t="shared" ca="1" si="1349"/>
        <v>22013</v>
      </c>
      <c r="AJ486" s="27">
        <f t="shared" ca="1" si="1330"/>
        <v>189.3894518518517</v>
      </c>
      <c r="AK486" s="24">
        <f>SUM(AK480:AK485)</f>
        <v>37031</v>
      </c>
      <c r="AL486" s="28">
        <f t="shared" ca="1" si="1331"/>
        <v>0.59444789500688611</v>
      </c>
      <c r="AM486" s="29">
        <v>1.5</v>
      </c>
      <c r="AN486" s="28">
        <f t="shared" ca="1" si="1332"/>
        <v>0.57398219265421735</v>
      </c>
      <c r="AO486" s="30">
        <f t="shared" ca="1" si="1333"/>
        <v>0.86097328898132608</v>
      </c>
      <c r="AP486" s="29">
        <f ca="1">SUM(AP480:AP485)</f>
        <v>1042.8122724152497</v>
      </c>
      <c r="AQ486" s="29">
        <f ca="1">AP486/AA486</f>
        <v>7.7245353512240715</v>
      </c>
      <c r="AR486" s="25">
        <f t="shared" ca="1" si="1335"/>
        <v>163.05925925925925</v>
      </c>
      <c r="AS486" s="76"/>
      <c r="AT486" s="76"/>
    </row>
    <row r="487" spans="1:46" ht="15.75" customHeight="1" x14ac:dyDescent="0.2">
      <c r="A487" s="110" t="s">
        <v>45</v>
      </c>
      <c r="B487" s="76"/>
      <c r="C487" s="76"/>
      <c r="D487" s="75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7" t="s">
        <v>1</v>
      </c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9"/>
      <c r="AS487" s="76"/>
      <c r="AT487" s="76"/>
    </row>
    <row r="488" spans="1:46" ht="15.75" customHeight="1" x14ac:dyDescent="0.2">
      <c r="A488" s="113">
        <v>46222</v>
      </c>
      <c r="B488" s="80" t="s">
        <v>2</v>
      </c>
      <c r="C488" s="80" t="s">
        <v>3</v>
      </c>
      <c r="D488" s="80" t="s">
        <v>4</v>
      </c>
      <c r="E488" s="80" t="s">
        <v>5</v>
      </c>
      <c r="F488" s="81" t="s">
        <v>6</v>
      </c>
      <c r="G488" s="80" t="s">
        <v>7</v>
      </c>
      <c r="H488" s="80" t="s">
        <v>8</v>
      </c>
      <c r="I488" s="80" t="s">
        <v>9</v>
      </c>
      <c r="J488" s="80" t="s">
        <v>10</v>
      </c>
      <c r="K488" s="80" t="s">
        <v>11</v>
      </c>
      <c r="L488" s="80" t="s">
        <v>12</v>
      </c>
      <c r="M488" s="80" t="s">
        <v>13</v>
      </c>
      <c r="N488" s="81" t="s">
        <v>14</v>
      </c>
      <c r="O488" s="80" t="s">
        <v>15</v>
      </c>
      <c r="P488" s="80" t="s">
        <v>16</v>
      </c>
      <c r="Q488" s="80" t="s">
        <v>17</v>
      </c>
      <c r="R488" s="80" t="s">
        <v>18</v>
      </c>
      <c r="S488" s="106" t="s">
        <v>19</v>
      </c>
      <c r="T488" s="107" t="s">
        <v>20</v>
      </c>
      <c r="U488" s="107" t="s">
        <v>21</v>
      </c>
      <c r="V488" s="105" t="s">
        <v>22</v>
      </c>
      <c r="W488" s="76"/>
      <c r="X488" s="1" t="s">
        <v>2</v>
      </c>
      <c r="Y488" s="1" t="s">
        <v>3</v>
      </c>
      <c r="Z488" s="1" t="s">
        <v>4</v>
      </c>
      <c r="AA488" s="1" t="s">
        <v>5</v>
      </c>
      <c r="AB488" s="2" t="s">
        <v>6</v>
      </c>
      <c r="AC488" s="1" t="s">
        <v>7</v>
      </c>
      <c r="AD488" s="1" t="s">
        <v>8</v>
      </c>
      <c r="AE488" s="1" t="s">
        <v>9</v>
      </c>
      <c r="AF488" s="1" t="s">
        <v>10</v>
      </c>
      <c r="AG488" s="1" t="s">
        <v>11</v>
      </c>
      <c r="AH488" s="1" t="s">
        <v>12</v>
      </c>
      <c r="AI488" s="1" t="s">
        <v>13</v>
      </c>
      <c r="AJ488" s="2" t="s">
        <v>14</v>
      </c>
      <c r="AK488" s="1" t="s">
        <v>15</v>
      </c>
      <c r="AL488" s="1" t="s">
        <v>16</v>
      </c>
      <c r="AM488" s="3" t="s">
        <v>17</v>
      </c>
      <c r="AN488" s="4" t="s">
        <v>18</v>
      </c>
      <c r="AO488" s="5" t="s">
        <v>19</v>
      </c>
      <c r="AP488" s="6" t="s">
        <v>20</v>
      </c>
      <c r="AQ488" s="6" t="s">
        <v>21</v>
      </c>
      <c r="AR488" s="7" t="s">
        <v>22</v>
      </c>
      <c r="AS488" s="76"/>
      <c r="AT488" s="76"/>
    </row>
    <row r="489" spans="1:46" ht="15.75" customHeight="1" x14ac:dyDescent="0.2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6"/>
      <c r="X489" s="8">
        <v>1</v>
      </c>
      <c r="Y489" s="8" t="s">
        <v>23</v>
      </c>
      <c r="Z489" s="8">
        <f t="shared" ref="Z489:AI489" si="1350">SUM(D497)</f>
        <v>26</v>
      </c>
      <c r="AA489" s="9">
        <f t="shared" ca="1" si="1350"/>
        <v>24</v>
      </c>
      <c r="AB489" s="10">
        <f t="shared" ca="1" si="1350"/>
        <v>4791.0799999999899</v>
      </c>
      <c r="AC489" s="9">
        <f t="shared" ca="1" si="1350"/>
        <v>973</v>
      </c>
      <c r="AD489" s="9">
        <f t="shared" ca="1" si="1350"/>
        <v>0</v>
      </c>
      <c r="AE489" s="9">
        <f t="shared" ca="1" si="1350"/>
        <v>973</v>
      </c>
      <c r="AF489" s="9">
        <f t="shared" ca="1" si="1350"/>
        <v>1860</v>
      </c>
      <c r="AG489" s="9">
        <f t="shared" ca="1" si="1350"/>
        <v>0</v>
      </c>
      <c r="AH489" s="9">
        <f t="shared" ca="1" si="1350"/>
        <v>1860</v>
      </c>
      <c r="AI489" s="9">
        <f t="shared" ca="1" si="1350"/>
        <v>2833</v>
      </c>
      <c r="AJ489" s="11">
        <f t="shared" ref="AJ489:AJ491" ca="1" si="1351">AB489/AA489</f>
        <v>199.6283333333329</v>
      </c>
      <c r="AK489" s="8">
        <f>SUM(O497)</f>
        <v>6853</v>
      </c>
      <c r="AL489" s="12">
        <f t="shared" ref="AL489:AL495" ca="1" si="1352">AI489/AK489</f>
        <v>0.41339559317087404</v>
      </c>
      <c r="AM489" s="13">
        <f t="shared" ref="AM489:AM491" si="1353">SUM(Q497)</f>
        <v>1.5</v>
      </c>
      <c r="AN489" s="12">
        <f t="shared" ref="AN489:AN495" ca="1" si="1354">AO489/AM489</f>
        <v>0.39420478611642279</v>
      </c>
      <c r="AO489" s="14">
        <f t="shared" ref="AO489:AO495" ca="1" si="1355">AI489/AB489</f>
        <v>0.59130717917463416</v>
      </c>
      <c r="AP489" s="13">
        <f t="shared" ref="AP489:AQ489" ca="1" si="1356">SUM(T497)</f>
        <v>141.99999999999969</v>
      </c>
      <c r="AQ489" s="13">
        <f t="shared" ca="1" si="1356"/>
        <v>5.9166666666666536</v>
      </c>
      <c r="AR489" s="9">
        <f t="shared" ref="AR489:AR495" ca="1" si="1357">AI489/AA489</f>
        <v>118.04166666666667</v>
      </c>
      <c r="AS489" s="76"/>
      <c r="AT489" s="76"/>
    </row>
    <row r="490" spans="1:46" ht="15.75" customHeight="1" x14ac:dyDescent="0.2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6"/>
      <c r="X490" s="8">
        <v>2</v>
      </c>
      <c r="Y490" s="8" t="s">
        <v>24</v>
      </c>
      <c r="Z490" s="8">
        <f t="shared" ref="Z490:AI490" si="1358">SUM(D498)</f>
        <v>35</v>
      </c>
      <c r="AA490" s="9">
        <f t="shared" ca="1" si="1358"/>
        <v>34</v>
      </c>
      <c r="AB490" s="10">
        <f t="shared" ca="1" si="1358"/>
        <v>6521.0769999999902</v>
      </c>
      <c r="AC490" s="9">
        <f t="shared" ca="1" si="1358"/>
        <v>941</v>
      </c>
      <c r="AD490" s="9">
        <f t="shared" ca="1" si="1358"/>
        <v>0</v>
      </c>
      <c r="AE490" s="9">
        <f t="shared" ca="1" si="1358"/>
        <v>941</v>
      </c>
      <c r="AF490" s="9">
        <f t="shared" ca="1" si="1358"/>
        <v>872</v>
      </c>
      <c r="AG490" s="9">
        <f t="shared" ca="1" si="1358"/>
        <v>60</v>
      </c>
      <c r="AH490" s="9">
        <f t="shared" ca="1" si="1358"/>
        <v>932</v>
      </c>
      <c r="AI490" s="9">
        <f t="shared" ca="1" si="1358"/>
        <v>1873</v>
      </c>
      <c r="AJ490" s="11">
        <f t="shared" ca="1" si="1351"/>
        <v>191.7963823529409</v>
      </c>
      <c r="AK490" s="8">
        <v>1580</v>
      </c>
      <c r="AL490" s="15">
        <f t="shared" ca="1" si="1352"/>
        <v>1.1854430379746836</v>
      </c>
      <c r="AM490" s="13">
        <f t="shared" si="1353"/>
        <v>1.5</v>
      </c>
      <c r="AN490" s="12">
        <f t="shared" ca="1" si="1354"/>
        <v>0.19148166271716596</v>
      </c>
      <c r="AO490" s="14">
        <f t="shared" ca="1" si="1355"/>
        <v>0.28722249407574896</v>
      </c>
      <c r="AP490" s="13">
        <f t="shared" ref="AP490:AQ490" ca="1" si="1359">SUM(T498)</f>
        <v>243.27838089908562</v>
      </c>
      <c r="AQ490" s="13">
        <f t="shared" ca="1" si="1359"/>
        <v>7.1552464970319303</v>
      </c>
      <c r="AR490" s="9">
        <f t="shared" ca="1" si="1357"/>
        <v>55.088235294117645</v>
      </c>
      <c r="AS490" s="76"/>
      <c r="AT490" s="76"/>
    </row>
    <row r="491" spans="1:46" ht="15.75" customHeight="1" x14ac:dyDescent="0.2">
      <c r="A491" s="70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6"/>
      <c r="X491" s="8">
        <v>3</v>
      </c>
      <c r="Y491" s="8" t="s">
        <v>25</v>
      </c>
      <c r="Z491" s="8">
        <f t="shared" ref="Z491:AI491" si="1360">SUM(D499)</f>
        <v>26</v>
      </c>
      <c r="AA491" s="9">
        <f t="shared" ca="1" si="1360"/>
        <v>23</v>
      </c>
      <c r="AB491" s="10">
        <f t="shared" ca="1" si="1360"/>
        <v>4380.3999999999896</v>
      </c>
      <c r="AC491" s="9">
        <f t="shared" ca="1" si="1360"/>
        <v>1327</v>
      </c>
      <c r="AD491" s="9">
        <f t="shared" ca="1" si="1360"/>
        <v>298</v>
      </c>
      <c r="AE491" s="9">
        <f t="shared" ca="1" si="1360"/>
        <v>1625</v>
      </c>
      <c r="AF491" s="9">
        <f t="shared" ca="1" si="1360"/>
        <v>2298</v>
      </c>
      <c r="AG491" s="9">
        <f t="shared" ca="1" si="1360"/>
        <v>262</v>
      </c>
      <c r="AH491" s="9">
        <f t="shared" ca="1" si="1360"/>
        <v>2560</v>
      </c>
      <c r="AI491" s="9">
        <f t="shared" ca="1" si="1360"/>
        <v>4185</v>
      </c>
      <c r="AJ491" s="11">
        <f t="shared" ca="1" si="1351"/>
        <v>190.45217391304303</v>
      </c>
      <c r="AK491" s="8">
        <f>SUM(O499)</f>
        <v>6622</v>
      </c>
      <c r="AL491" s="12">
        <f t="shared" ca="1" si="1352"/>
        <v>0.63198429477499241</v>
      </c>
      <c r="AM491" s="13">
        <f t="shared" si="1353"/>
        <v>1.5</v>
      </c>
      <c r="AN491" s="12">
        <f t="shared" ca="1" si="1354"/>
        <v>0.63692813441694973</v>
      </c>
      <c r="AO491" s="14">
        <f t="shared" ca="1" si="1355"/>
        <v>0.9553922016254246</v>
      </c>
      <c r="AP491" s="13">
        <f t="shared" ref="AP491:AQ491" ca="1" si="1361">SUM(T499)</f>
        <v>183.74161073825459</v>
      </c>
      <c r="AQ491" s="13">
        <f t="shared" ca="1" si="1361"/>
        <v>7.9887656842719386</v>
      </c>
      <c r="AR491" s="9">
        <f t="shared" ca="1" si="1357"/>
        <v>181.95652173913044</v>
      </c>
      <c r="AS491" s="76"/>
      <c r="AT491" s="76"/>
    </row>
    <row r="492" spans="1:46" ht="15.75" customHeight="1" x14ac:dyDescent="0.25">
      <c r="A492" s="70"/>
      <c r="B492" s="16">
        <v>1</v>
      </c>
      <c r="C492" s="16" t="s">
        <v>26</v>
      </c>
      <c r="D492" s="17">
        <v>15</v>
      </c>
      <c r="E492" s="18">
        <f ca="1">IFERROR(__xludf.DUMMYFUNCTION("COUNT(IMPORTRANGE(""https://docs.google.com/spreadsheets/d/1z0o91thOT38lgejTE_Bd2p3v_9VCDdQRkUsMIVqpQCk/edit"",""19!d2:d21""))"),15)</f>
        <v>15</v>
      </c>
      <c r="F492" s="19">
        <f ca="1">IFERROR(__xludf.DUMMYFUNCTION("SUM(IMPORTRANGE(""https://docs.google.com/spreadsheets/d/1z0o91thOT38lgejTE_Bd2p3v_9VCDdQRkUsMIVqpQCk/edit"",""19!Q2:Q21""))"),2674.365)</f>
        <v>2674.3649999999998</v>
      </c>
      <c r="G492" s="18">
        <f ca="1">IFERROR(__xludf.DUMMYFUNCTION("IMPORTRANGE(""https://docs.google.com/spreadsheets/d/1z0o91thOT38lgejTE_Bd2p3v_9VCDdQRkUsMIVqpQCk/edit"",""19!e28"")"),1404)</f>
        <v>1404</v>
      </c>
      <c r="H492" s="18">
        <f ca="1">IFERROR(__xludf.DUMMYFUNCTION("IMPORTRANGE(""https://docs.google.com/spreadsheets/d/1z0o91thOT38lgejTE_Bd2p3v_9VCDdQRkUsMIVqpQCk/edit"",""19!e29"")"),0)</f>
        <v>0</v>
      </c>
      <c r="I492" s="18">
        <f t="shared" ref="I492:I509" ca="1" si="1362">SUM(G492:H492)</f>
        <v>1404</v>
      </c>
      <c r="J492" s="18">
        <f ca="1">IFERROR(__xludf.DUMMYFUNCTION("IMPORTRANGE(""https://docs.google.com/spreadsheets/d/1z0o91thOT38lgejTE_Bd2p3v_9VCDdQRkUsMIVqpQCk/edit"",""19!e32"")"),2018)</f>
        <v>2018</v>
      </c>
      <c r="K492" s="18">
        <f ca="1">IFERROR(__xludf.DUMMYFUNCTION("IMPORTRANGE(""https://docs.google.com/spreadsheets/d/1z0o91thOT38lgejTE_Bd2p3v_9VCDdQRkUsMIVqpQCk/edit"",""19!e33"")"),0)</f>
        <v>0</v>
      </c>
      <c r="L492" s="18">
        <f t="shared" ref="L492:L498" ca="1" si="1363">SUM(J492:K492)</f>
        <v>2018</v>
      </c>
      <c r="M492" s="18">
        <f t="shared" ref="M492:M509" ca="1" si="1364">SUM(I492+L492)</f>
        <v>3422</v>
      </c>
      <c r="N492" s="19">
        <f t="shared" ref="N492:N510" ca="1" si="1365">F492/E492</f>
        <v>178.291</v>
      </c>
      <c r="O492" s="16">
        <v>5161</v>
      </c>
      <c r="P492" s="20">
        <f t="shared" ref="P492:P510" ca="1" si="1366">M492/O492</f>
        <v>0.663049796551056</v>
      </c>
      <c r="Q492" s="21">
        <v>1.5</v>
      </c>
      <c r="R492" s="20">
        <f t="shared" ref="R492:R510" ca="1" si="1367">S492/Q492</f>
        <v>0.85303738769140847</v>
      </c>
      <c r="S492" s="22">
        <f t="shared" ref="S492:S510" ca="1" si="1368">M492/F492</f>
        <v>1.2795560815371128</v>
      </c>
      <c r="T492" s="21">
        <f ca="1">F492/14.415</f>
        <v>185.52653485952132</v>
      </c>
      <c r="U492" s="21">
        <f t="shared" ref="U492:U510" ca="1" si="1369">T492/E492</f>
        <v>12.368435657301422</v>
      </c>
      <c r="V492" s="18">
        <f t="shared" ref="V492:V510" ca="1" si="1370">M492/E492</f>
        <v>228.13333333333333</v>
      </c>
      <c r="W492" s="76"/>
      <c r="X492" s="8">
        <v>4</v>
      </c>
      <c r="Y492" s="8" t="s">
        <v>27</v>
      </c>
      <c r="Z492" s="8">
        <f t="shared" ref="Z492:AK492" si="1371">SUM(D505)</f>
        <v>23</v>
      </c>
      <c r="AA492" s="9">
        <f t="shared" ca="1" si="1371"/>
        <v>22</v>
      </c>
      <c r="AB492" s="10">
        <f t="shared" ca="1" si="1371"/>
        <v>4166.7349999999997</v>
      </c>
      <c r="AC492" s="9">
        <f t="shared" ca="1" si="1371"/>
        <v>1484</v>
      </c>
      <c r="AD492" s="9">
        <f t="shared" ca="1" si="1371"/>
        <v>0</v>
      </c>
      <c r="AE492" s="9">
        <f t="shared" ca="1" si="1371"/>
        <v>1484</v>
      </c>
      <c r="AF492" s="9">
        <f t="shared" ca="1" si="1371"/>
        <v>1968</v>
      </c>
      <c r="AG492" s="9">
        <f t="shared" ca="1" si="1371"/>
        <v>0</v>
      </c>
      <c r="AH492" s="9">
        <f t="shared" ca="1" si="1371"/>
        <v>1968</v>
      </c>
      <c r="AI492" s="9">
        <f t="shared" ca="1" si="1371"/>
        <v>3452</v>
      </c>
      <c r="AJ492" s="11">
        <f t="shared" ca="1" si="1371"/>
        <v>189.39704545454543</v>
      </c>
      <c r="AK492" s="8">
        <f t="shared" si="1371"/>
        <v>8101</v>
      </c>
      <c r="AL492" s="12">
        <f t="shared" ca="1" si="1352"/>
        <v>0.42612023207011479</v>
      </c>
      <c r="AM492" s="13">
        <f>SUM(Q505)</f>
        <v>1.5</v>
      </c>
      <c r="AN492" s="12">
        <f t="shared" ca="1" si="1354"/>
        <v>0.55231094210054954</v>
      </c>
      <c r="AO492" s="14">
        <f t="shared" ca="1" si="1355"/>
        <v>0.82846641315082437</v>
      </c>
      <c r="AP492" s="13">
        <f t="shared" ref="AP492:AQ492" ca="1" si="1372">SUM(T505)</f>
        <v>208.49311983987991</v>
      </c>
      <c r="AQ492" s="13">
        <f t="shared" ca="1" si="1372"/>
        <v>9.4769599927218149</v>
      </c>
      <c r="AR492" s="9">
        <f t="shared" ca="1" si="1357"/>
        <v>156.90909090909091</v>
      </c>
      <c r="AS492" s="76"/>
      <c r="AT492" s="76"/>
    </row>
    <row r="493" spans="1:46" ht="15.75" customHeight="1" x14ac:dyDescent="0.25">
      <c r="A493" s="70"/>
      <c r="B493" s="16">
        <v>2</v>
      </c>
      <c r="C493" s="16" t="s">
        <v>28</v>
      </c>
      <c r="D493" s="17">
        <v>24</v>
      </c>
      <c r="E493" s="18">
        <f ca="1">IFERROR(__xludf.DUMMYFUNCTION("COUNT(IMPORTRANGE(""https://docs.google.com/spreadsheets/d/10a85iNN0y9GF6ngQfF1JXGAzFk-T7ywH4-TZtQcOTaE/edit"",""19!d2:d34""))"),24)</f>
        <v>24</v>
      </c>
      <c r="F493" s="19">
        <f ca="1">IFERROR(__xludf.DUMMYFUNCTION("SUM(IMPORTRANGE(""https://docs.google.com/spreadsheets/d/10a85iNN0y9GF6ngQfF1JXGAzFk-T7ywH4-TZtQcOTaE/edit"",""19!Q2:Q34""))"),4798.60099999999)</f>
        <v>4798.6009999999897</v>
      </c>
      <c r="G493" s="18">
        <f ca="1">IFERROR(__xludf.DUMMYFUNCTION("IMPORTRANGE(""https://docs.google.com/spreadsheets/d/10a85iNN0y9GF6ngQfF1JXGAzFk-T7ywH4-TZtQcOTaE/edit"",""19!e41"")"),1453)</f>
        <v>1453</v>
      </c>
      <c r="H493" s="18">
        <f ca="1">IFERROR(__xludf.DUMMYFUNCTION("IMPORTRANGE(""https://docs.google.com/spreadsheets/d/10a85iNN0y9GF6ngQfF1JXGAzFk-T7ywH4-TZtQcOTaE/edit"",""19!e42"")"),54)</f>
        <v>54</v>
      </c>
      <c r="I493" s="18">
        <f t="shared" ca="1" si="1362"/>
        <v>1507</v>
      </c>
      <c r="J493" s="18">
        <f ca="1">IFERROR(__xludf.DUMMYFUNCTION("IMPORTRANGE(""https://docs.google.com/spreadsheets/d/10a85iNN0y9GF6ngQfF1JXGAzFk-T7ywH4-TZtQcOTaE/edit"",""19!e45"")"),1941)</f>
        <v>1941</v>
      </c>
      <c r="K493" s="18">
        <f ca="1">IFERROR(__xludf.DUMMYFUNCTION("IMPORTRANGE(""https://docs.google.com/spreadsheets/d/10a85iNN0y9GF6ngQfF1JXGAzFk-T7ywH4-TZtQcOTaE/edit"",""19!e46"")"),192)</f>
        <v>192</v>
      </c>
      <c r="L493" s="18">
        <f t="shared" ca="1" si="1363"/>
        <v>2133</v>
      </c>
      <c r="M493" s="18">
        <f t="shared" ca="1" si="1364"/>
        <v>3640</v>
      </c>
      <c r="N493" s="19">
        <f t="shared" ca="1" si="1365"/>
        <v>199.94170833333291</v>
      </c>
      <c r="O493" s="16">
        <v>7315</v>
      </c>
      <c r="P493" s="20">
        <f t="shared" ca="1" si="1366"/>
        <v>0.49760765550239233</v>
      </c>
      <c r="Q493" s="21">
        <v>1.5</v>
      </c>
      <c r="R493" s="20">
        <f t="shared" ca="1" si="1367"/>
        <v>0.50570294689361994</v>
      </c>
      <c r="S493" s="22">
        <f t="shared" ca="1" si="1368"/>
        <v>0.75855442034042997</v>
      </c>
      <c r="T493" s="21">
        <f ca="1">F493/30.897</f>
        <v>155.30960934718547</v>
      </c>
      <c r="U493" s="21">
        <f t="shared" ca="1" si="1369"/>
        <v>6.4712337227993944</v>
      </c>
      <c r="V493" s="18">
        <f t="shared" ca="1" si="1370"/>
        <v>151.66666666666666</v>
      </c>
      <c r="W493" s="76"/>
      <c r="X493" s="8">
        <v>5</v>
      </c>
      <c r="Y493" s="8" t="s">
        <v>29</v>
      </c>
      <c r="Z493" s="8">
        <f t="shared" ref="Z493:AI493" si="1373">SUM(D508)</f>
        <v>23</v>
      </c>
      <c r="AA493" s="9">
        <f t="shared" ca="1" si="1373"/>
        <v>23</v>
      </c>
      <c r="AB493" s="10">
        <f t="shared" ca="1" si="1373"/>
        <v>4381.5820000000003</v>
      </c>
      <c r="AC493" s="9">
        <f t="shared" ca="1" si="1373"/>
        <v>1554</v>
      </c>
      <c r="AD493" s="9">
        <f t="shared" ca="1" si="1373"/>
        <v>0</v>
      </c>
      <c r="AE493" s="9">
        <f t="shared" ca="1" si="1373"/>
        <v>1554</v>
      </c>
      <c r="AF493" s="9">
        <f t="shared" ca="1" si="1373"/>
        <v>2385</v>
      </c>
      <c r="AG493" s="9">
        <f t="shared" ca="1" si="1373"/>
        <v>0</v>
      </c>
      <c r="AH493" s="9">
        <f t="shared" ca="1" si="1373"/>
        <v>2385</v>
      </c>
      <c r="AI493" s="9">
        <f t="shared" ca="1" si="1373"/>
        <v>3939</v>
      </c>
      <c r="AJ493" s="11">
        <f t="shared" ref="AJ493:AJ495" ca="1" si="1374">AB493/AA493</f>
        <v>190.50356521739133</v>
      </c>
      <c r="AK493" s="8">
        <f t="shared" ref="AK493:AK494" si="1375">SUM(O508)</f>
        <v>9201</v>
      </c>
      <c r="AL493" s="12">
        <f t="shared" ca="1" si="1352"/>
        <v>0.42810564069122919</v>
      </c>
      <c r="AM493" s="13">
        <f t="shared" ref="AM493:AM494" si="1376">SUM(Q508)</f>
        <v>1.5</v>
      </c>
      <c r="AN493" s="12">
        <f t="shared" ca="1" si="1354"/>
        <v>0.59932690977824898</v>
      </c>
      <c r="AO493" s="14">
        <f t="shared" ca="1" si="1355"/>
        <v>0.89899036466737348</v>
      </c>
      <c r="AP493" s="13">
        <f t="shared" ref="AP493:AQ493" ca="1" si="1377">SUM(T508)</f>
        <v>168.27644212305094</v>
      </c>
      <c r="AQ493" s="13">
        <f t="shared" ca="1" si="1377"/>
        <v>7.3163670488283019</v>
      </c>
      <c r="AR493" s="9">
        <f t="shared" ca="1" si="1357"/>
        <v>171.2608695652174</v>
      </c>
      <c r="AS493" s="76"/>
      <c r="AT493" s="76"/>
    </row>
    <row r="494" spans="1:46" ht="15.75" customHeight="1" x14ac:dyDescent="0.25">
      <c r="A494" s="70"/>
      <c r="B494" s="16">
        <v>3</v>
      </c>
      <c r="C494" s="16" t="s">
        <v>30</v>
      </c>
      <c r="D494" s="17">
        <v>45</v>
      </c>
      <c r="E494" s="18">
        <f ca="1">IFERROR(__xludf.DUMMYFUNCTION("COUNT(IMPORTRANGE(""https://docs.google.com/spreadsheets/d/1WojVzHhpzodJL1e5UDHeu3A3u5MTSZwvxHu0BrwvL9w/edit"",""19!d2:d61""))"),44)</f>
        <v>44</v>
      </c>
      <c r="F494" s="23">
        <f ca="1">IFERROR(__xludf.DUMMYFUNCTION("SUM(IMPORTRANGE(""https://docs.google.com/spreadsheets/d/1WojVzHhpzodJL1e5UDHeu3A3u5MTSZwvxHu0BrwvL9w/edit"",""19!Q2:Q61""))"),8690.58299999999)</f>
        <v>8690.5829999999896</v>
      </c>
      <c r="G494" s="18">
        <f ca="1">IFERROR(__xludf.DUMMYFUNCTION("IMPORTRANGE(""https://docs.google.com/spreadsheets/d/1WojVzHhpzodJL1e5UDHeu3A3u5MTSZwvxHu0BrwvL9w/edit"",""19!e68"")"),2059)</f>
        <v>2059</v>
      </c>
      <c r="H494" s="18">
        <f ca="1">IFERROR(__xludf.DUMMYFUNCTION("IMPORTRANGE(""https://docs.google.com/spreadsheets/d/1WojVzHhpzodJL1e5UDHeu3A3u5MTSZwvxHu0BrwvL9w/edit"",""19!e69"")"),0)</f>
        <v>0</v>
      </c>
      <c r="I494" s="18">
        <f t="shared" ca="1" si="1362"/>
        <v>2059</v>
      </c>
      <c r="J494" s="18">
        <f ca="1">IFERROR(__xludf.DUMMYFUNCTION("IMPORTRANGE(""https://docs.google.com/spreadsheets/d/1WojVzHhpzodJL1e5UDHeu3A3u5MTSZwvxHu0BrwvL9w/edit"",""19!e72"")"),2384)</f>
        <v>2384</v>
      </c>
      <c r="K494" s="18">
        <f ca="1">IFERROR(__xludf.DUMMYFUNCTION("IMPORTRANGE(""https://docs.google.com/spreadsheets/d/1WojVzHhpzodJL1e5UDHeu3A3u5MTSZwvxHu0BrwvL9w/edit"",""19!e73"")"),0)</f>
        <v>0</v>
      </c>
      <c r="L494" s="18">
        <f t="shared" ca="1" si="1363"/>
        <v>2384</v>
      </c>
      <c r="M494" s="18">
        <f t="shared" ca="1" si="1364"/>
        <v>4443</v>
      </c>
      <c r="N494" s="19">
        <f t="shared" ca="1" si="1365"/>
        <v>197.51324999999977</v>
      </c>
      <c r="O494" s="16">
        <v>11164</v>
      </c>
      <c r="P494" s="20">
        <f t="shared" ca="1" si="1366"/>
        <v>0.39797563597276964</v>
      </c>
      <c r="Q494" s="21">
        <v>1.5</v>
      </c>
      <c r="R494" s="20">
        <f t="shared" ca="1" si="1367"/>
        <v>0.34082868778768965</v>
      </c>
      <c r="S494" s="22">
        <f t="shared" ca="1" si="1368"/>
        <v>0.51124303168153451</v>
      </c>
      <c r="T494" s="21">
        <f ca="1">F494/29.603</f>
        <v>293.57102320710703</v>
      </c>
      <c r="U494" s="21">
        <f t="shared" ca="1" si="1369"/>
        <v>6.6720687092524322</v>
      </c>
      <c r="V494" s="18">
        <f t="shared" ca="1" si="1370"/>
        <v>100.97727272727273</v>
      </c>
      <c r="W494" s="76"/>
      <c r="X494" s="8">
        <v>6</v>
      </c>
      <c r="Y494" s="8" t="s">
        <v>31</v>
      </c>
      <c r="Z494" s="8">
        <f t="shared" ref="Z494:AI494" si="1378">SUM(D509)</f>
        <v>11</v>
      </c>
      <c r="AA494" s="9">
        <f t="shared" ca="1" si="1378"/>
        <v>10</v>
      </c>
      <c r="AB494" s="11">
        <f t="shared" ca="1" si="1378"/>
        <v>1999.39</v>
      </c>
      <c r="AC494" s="9">
        <f t="shared" ca="1" si="1378"/>
        <v>425</v>
      </c>
      <c r="AD494" s="9">
        <f t="shared" ca="1" si="1378"/>
        <v>0</v>
      </c>
      <c r="AE494" s="9">
        <f t="shared" ca="1" si="1378"/>
        <v>425</v>
      </c>
      <c r="AF494" s="9">
        <f t="shared" ca="1" si="1378"/>
        <v>643</v>
      </c>
      <c r="AG494" s="9">
        <f t="shared" ca="1" si="1378"/>
        <v>7</v>
      </c>
      <c r="AH494" s="9">
        <f t="shared" ca="1" si="1378"/>
        <v>650</v>
      </c>
      <c r="AI494" s="9">
        <f t="shared" ca="1" si="1378"/>
        <v>1075</v>
      </c>
      <c r="AJ494" s="11">
        <f t="shared" ca="1" si="1374"/>
        <v>199.93900000000002</v>
      </c>
      <c r="AK494" s="8">
        <f t="shared" si="1375"/>
        <v>2717</v>
      </c>
      <c r="AL494" s="12">
        <f t="shared" ca="1" si="1352"/>
        <v>0.39565697460434301</v>
      </c>
      <c r="AM494" s="13">
        <f t="shared" si="1376"/>
        <v>1.5</v>
      </c>
      <c r="AN494" s="12">
        <f t="shared" ca="1" si="1354"/>
        <v>0.35844265834412825</v>
      </c>
      <c r="AO494" s="14">
        <f t="shared" ca="1" si="1355"/>
        <v>0.53766398751619238</v>
      </c>
      <c r="AP494" s="13">
        <f t="shared" ref="AP494:AQ494" ca="1" si="1379">SUM(T509)</f>
        <v>46</v>
      </c>
      <c r="AQ494" s="13">
        <f t="shared" ca="1" si="1379"/>
        <v>4.5999999999999996</v>
      </c>
      <c r="AR494" s="9">
        <f t="shared" ca="1" si="1357"/>
        <v>107.5</v>
      </c>
      <c r="AS494" s="76"/>
      <c r="AT494" s="76"/>
    </row>
    <row r="495" spans="1:46" ht="15.75" customHeight="1" x14ac:dyDescent="0.25">
      <c r="A495" s="70"/>
      <c r="B495" s="16">
        <v>4</v>
      </c>
      <c r="C495" s="16" t="s">
        <v>32</v>
      </c>
      <c r="D495" s="17">
        <v>32</v>
      </c>
      <c r="E495" s="18">
        <f ca="1">IFERROR(__xludf.DUMMYFUNCTION("COUNT(IMPORTRANGE(""https://docs.google.com/spreadsheets/d/1vmCj5YcMSPHj1m64syDndQ6cqVL3yolcU03Y8KHmvdc/edit"",""19!d2:d43""))"),32)</f>
        <v>32</v>
      </c>
      <c r="F495" s="23">
        <f ca="1">IFERROR(__xludf.DUMMYFUNCTION("SUM(IMPORTRANGE(""https://docs.google.com/spreadsheets/d/1vmCj5YcMSPHj1m64syDndQ6cqVL3yolcU03Y8KHmvdc/edit"",""19!Q2:Q43""))"),6422.78399999999)</f>
        <v>6422.7839999999896</v>
      </c>
      <c r="G495" s="16">
        <f ca="1">IFERROR(__xludf.DUMMYFUNCTION("IMPORTRANGE(""https://docs.google.com/spreadsheets/d/1vmCj5YcMSPHj1m64syDndQ6cqVL3yolcU03Y8KHmvdc/edit"",""19!e50"")"),2812)</f>
        <v>2812</v>
      </c>
      <c r="H495" s="16">
        <f ca="1">IFERROR(__xludf.DUMMYFUNCTION("IMPORTRANGE(""https://docs.google.com/spreadsheets/d/1vmCj5YcMSPHj1m64syDndQ6cqVL3yolcU03Y8KHmvdc/edit"",""19!e51"")"),114)</f>
        <v>114</v>
      </c>
      <c r="I495" s="18">
        <f t="shared" ca="1" si="1362"/>
        <v>2926</v>
      </c>
      <c r="J495" s="16">
        <f ca="1">IFERROR(__xludf.DUMMYFUNCTION("IMPORTRANGE(""https://docs.google.com/spreadsheets/d/1vmCj5YcMSPHj1m64syDndQ6cqVL3yolcU03Y8KHmvdc/edit"",""19!e54"")"),3371)</f>
        <v>3371</v>
      </c>
      <c r="K495" s="16">
        <f ca="1">IFERROR(__xludf.DUMMYFUNCTION("IMPORTRANGE(""https://docs.google.com/spreadsheets/d/1vmCj5YcMSPHj1m64syDndQ6cqVL3yolcU03Y8KHmvdc/edit"",""19!e55"")"),0)</f>
        <v>0</v>
      </c>
      <c r="L495" s="18">
        <f t="shared" ca="1" si="1363"/>
        <v>3371</v>
      </c>
      <c r="M495" s="18">
        <f t="shared" ca="1" si="1364"/>
        <v>6297</v>
      </c>
      <c r="N495" s="19">
        <f t="shared" ca="1" si="1365"/>
        <v>200.71199999999968</v>
      </c>
      <c r="O495" s="16">
        <v>13817</v>
      </c>
      <c r="P495" s="20">
        <f t="shared" ca="1" si="1366"/>
        <v>0.45574292538177608</v>
      </c>
      <c r="Q495" s="21">
        <v>1.5</v>
      </c>
      <c r="R495" s="20">
        <f t="shared" ca="1" si="1367"/>
        <v>0.65361064609988551</v>
      </c>
      <c r="S495" s="22">
        <f t="shared" ca="1" si="1368"/>
        <v>0.9804159691498282</v>
      </c>
      <c r="T495" s="21">
        <f ca="1">F495/25.089</f>
        <v>255.9999999999996</v>
      </c>
      <c r="U495" s="21">
        <f t="shared" ca="1" si="1369"/>
        <v>7.9999999999999876</v>
      </c>
      <c r="V495" s="18">
        <f t="shared" ca="1" si="1370"/>
        <v>196.78125</v>
      </c>
      <c r="W495" s="76"/>
      <c r="X495" s="24" t="s">
        <v>33</v>
      </c>
      <c r="Y495" s="24">
        <v>6</v>
      </c>
      <c r="Z495" s="24">
        <f t="shared" ref="Z495:AI495" si="1380">SUM(Z489:Z494)</f>
        <v>144</v>
      </c>
      <c r="AA495" s="25">
        <f t="shared" ca="1" si="1380"/>
        <v>136</v>
      </c>
      <c r="AB495" s="26">
        <f t="shared" ca="1" si="1380"/>
        <v>26240.263999999974</v>
      </c>
      <c r="AC495" s="25">
        <f t="shared" ca="1" si="1380"/>
        <v>6704</v>
      </c>
      <c r="AD495" s="25">
        <f t="shared" ca="1" si="1380"/>
        <v>298</v>
      </c>
      <c r="AE495" s="25">
        <f t="shared" ca="1" si="1380"/>
        <v>7002</v>
      </c>
      <c r="AF495" s="25">
        <f t="shared" ca="1" si="1380"/>
        <v>10026</v>
      </c>
      <c r="AG495" s="25">
        <f t="shared" ca="1" si="1380"/>
        <v>329</v>
      </c>
      <c r="AH495" s="25">
        <f t="shared" ca="1" si="1380"/>
        <v>10355</v>
      </c>
      <c r="AI495" s="25">
        <f t="shared" ca="1" si="1380"/>
        <v>17357</v>
      </c>
      <c r="AJ495" s="27">
        <f t="shared" ca="1" si="1374"/>
        <v>192.94311764705864</v>
      </c>
      <c r="AK495" s="24">
        <f>SUM(AK489:AK494)</f>
        <v>35074</v>
      </c>
      <c r="AL495" s="28">
        <f t="shared" ca="1" si="1352"/>
        <v>0.49486799338541371</v>
      </c>
      <c r="AM495" s="29">
        <v>1.5</v>
      </c>
      <c r="AN495" s="28">
        <f t="shared" ca="1" si="1354"/>
        <v>0.44097625440557092</v>
      </c>
      <c r="AO495" s="30">
        <f t="shared" ca="1" si="1355"/>
        <v>0.66146438160835641</v>
      </c>
      <c r="AP495" s="29">
        <f ca="1">SUM(AP489:AP494)</f>
        <v>991.78955360027078</v>
      </c>
      <c r="AQ495" s="29">
        <f ca="1">AP495/AA495</f>
        <v>7.2925702470608149</v>
      </c>
      <c r="AR495" s="25">
        <f t="shared" ca="1" si="1357"/>
        <v>127.625</v>
      </c>
      <c r="AS495" s="76"/>
      <c r="AT495" s="76"/>
    </row>
    <row r="496" spans="1:46" ht="15.75" customHeight="1" x14ac:dyDescent="0.25">
      <c r="A496" s="70"/>
      <c r="B496" s="16">
        <v>5</v>
      </c>
      <c r="C496" s="16" t="s">
        <v>34</v>
      </c>
      <c r="D496" s="17">
        <v>30</v>
      </c>
      <c r="E496" s="18">
        <f ca="1">IFERROR(__xludf.DUMMYFUNCTION("COUNT(IMPORTRANGE(""https://docs.google.com/spreadsheets/d/14_Y-fpuq1wcec3DlT_1PBYekOC0YblQMrWVfO12YO3k/edit"",""19!d2:d41""))"),30)</f>
        <v>30</v>
      </c>
      <c r="F496" s="23">
        <f ca="1">IFERROR(__xludf.DUMMYFUNCTION("SUM(IMPORTRANGE(""https://docs.google.com/spreadsheets/d/14_Y-fpuq1wcec3DlT_1PBYekOC0YblQMrWVfO12YO3k/edit"",""19!Q2:Q41""))"),5896.176)</f>
        <v>5896.1760000000004</v>
      </c>
      <c r="G496" s="18">
        <f ca="1">IFERROR(__xludf.DUMMYFUNCTION("IMPORTRANGE(""https://docs.google.com/spreadsheets/d/14_Y-fpuq1wcec3DlT_1PBYekOC0YblQMrWVfO12YO3k/edit"",""19!e48"")"),1709)</f>
        <v>1709</v>
      </c>
      <c r="H496" s="18">
        <f ca="1">IFERROR(__xludf.DUMMYFUNCTION("IMPORTRANGE(""https://docs.google.com/spreadsheets/d/14_Y-fpuq1wcec3DlT_1PBYekOC0YblQMrWVfO12YO3k/edit"",""19!e49"")"),0)</f>
        <v>0</v>
      </c>
      <c r="I496" s="18">
        <f t="shared" ca="1" si="1362"/>
        <v>1709</v>
      </c>
      <c r="J496" s="18">
        <f ca="1">IFERROR(__xludf.DUMMYFUNCTION("IMPORTRANGE(""https://docs.google.com/spreadsheets/d/14_Y-fpuq1wcec3DlT_1PBYekOC0YblQMrWVfO12YO3k/edit"",""19!e52"")"),2407)</f>
        <v>2407</v>
      </c>
      <c r="K496" s="18">
        <f ca="1">IFERROR(__xludf.DUMMYFUNCTION("IMPORTRANGE(""https://docs.google.com/spreadsheets/d/14_Y-fpuq1wcec3DlT_1PBYekOC0YblQMrWVfO12YO3k/edit"",""19!e53"")"),0)</f>
        <v>0</v>
      </c>
      <c r="L496" s="18">
        <f t="shared" ca="1" si="1363"/>
        <v>2407</v>
      </c>
      <c r="M496" s="18">
        <f t="shared" ca="1" si="1364"/>
        <v>4116</v>
      </c>
      <c r="N496" s="19">
        <f t="shared" ca="1" si="1365"/>
        <v>196.53920000000002</v>
      </c>
      <c r="O496" s="16">
        <v>9354</v>
      </c>
      <c r="P496" s="20">
        <f t="shared" ca="1" si="1366"/>
        <v>0.44002565747273892</v>
      </c>
      <c r="Q496" s="21">
        <v>1.5</v>
      </c>
      <c r="R496" s="20">
        <f t="shared" ca="1" si="1367"/>
        <v>0.46538637923969706</v>
      </c>
      <c r="S496" s="22">
        <f t="shared" ca="1" si="1368"/>
        <v>0.69807956885954559</v>
      </c>
      <c r="T496" s="21">
        <f ca="1">F496/30.713</f>
        <v>191.97655715820662</v>
      </c>
      <c r="U496" s="21">
        <f t="shared" ca="1" si="1369"/>
        <v>6.3992185719402208</v>
      </c>
      <c r="V496" s="18">
        <f t="shared" ca="1" si="1370"/>
        <v>137.19999999999999</v>
      </c>
      <c r="W496" s="76"/>
      <c r="X496" s="100" t="s">
        <v>35</v>
      </c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9"/>
      <c r="AS496" s="76"/>
      <c r="AT496" s="76"/>
    </row>
    <row r="497" spans="1:46" ht="15.75" customHeight="1" x14ac:dyDescent="0.25">
      <c r="A497" s="70"/>
      <c r="B497" s="16">
        <v>6</v>
      </c>
      <c r="C497" s="16" t="s">
        <v>23</v>
      </c>
      <c r="D497" s="17">
        <v>26</v>
      </c>
      <c r="E497" s="18">
        <f ca="1">IFERROR(__xludf.DUMMYFUNCTION("COUNT(IMPORTRANGE(""https://docs.google.com/spreadsheets/d/1lJqjdj05V4LOXuBOiTdE65GV4ZITyx1cMLcDdcuoUnE/edit"",""19!d2:d36""))"),24)</f>
        <v>24</v>
      </c>
      <c r="F497" s="23">
        <f ca="1">IFERROR(__xludf.DUMMYFUNCTION("SUM(IMPORTRANGE(""https://docs.google.com/spreadsheets/d/1lJqjdj05V4LOXuBOiTdE65GV4ZITyx1cMLcDdcuoUnE/edit"",""19!Q2:Q36""))"),4791.07999999999)</f>
        <v>4791.0799999999899</v>
      </c>
      <c r="G497" s="18">
        <f ca="1">IFERROR(__xludf.DUMMYFUNCTION("IMPORTRANGE(""https://docs.google.com/spreadsheets/d/1lJqjdj05V4LOXuBOiTdE65GV4ZITyx1cMLcDdcuoUnE/edit"",""19!e43"")"),973)</f>
        <v>973</v>
      </c>
      <c r="H497" s="18">
        <f ca="1">IFERROR(__xludf.DUMMYFUNCTION("IMPORTRANGE(""https://docs.google.com/spreadsheets/d/1lJqjdj05V4LOXuBOiTdE65GV4ZITyx1cMLcDdcuoUnE/edit"",""19!e44"")"),0)</f>
        <v>0</v>
      </c>
      <c r="I497" s="18">
        <f t="shared" ca="1" si="1362"/>
        <v>973</v>
      </c>
      <c r="J497" s="18">
        <f ca="1">IFERROR(__xludf.DUMMYFUNCTION("IMPORTRANGE(""https://docs.google.com/spreadsheets/d/1lJqjdj05V4LOXuBOiTdE65GV4ZITyx1cMLcDdcuoUnE/edit"",""19!e47"")"),1860)</f>
        <v>1860</v>
      </c>
      <c r="K497" s="18">
        <f ca="1">IFERROR(__xludf.DUMMYFUNCTION("IMPORTRANGE(""https://docs.google.com/spreadsheets/d/1lJqjdj05V4LOXuBOiTdE65GV4ZITyx1cMLcDdcuoUnE/edit"",""19!e48"")"),0)</f>
        <v>0</v>
      </c>
      <c r="L497" s="18">
        <f t="shared" ca="1" si="1363"/>
        <v>1860</v>
      </c>
      <c r="M497" s="18">
        <f t="shared" ca="1" si="1364"/>
        <v>2833</v>
      </c>
      <c r="N497" s="19">
        <f t="shared" ca="1" si="1365"/>
        <v>199.6283333333329</v>
      </c>
      <c r="O497" s="16">
        <v>6853</v>
      </c>
      <c r="P497" s="20">
        <f t="shared" ca="1" si="1366"/>
        <v>0.41339559317087404</v>
      </c>
      <c r="Q497" s="21">
        <v>1.5</v>
      </c>
      <c r="R497" s="20">
        <f t="shared" ca="1" si="1367"/>
        <v>0.39420478611642279</v>
      </c>
      <c r="S497" s="22">
        <f t="shared" ca="1" si="1368"/>
        <v>0.59130717917463416</v>
      </c>
      <c r="T497" s="21">
        <f ca="1">F497/33.74</f>
        <v>141.99999999999969</v>
      </c>
      <c r="U497" s="21">
        <f t="shared" ca="1" si="1369"/>
        <v>5.9166666666666536</v>
      </c>
      <c r="V497" s="18">
        <f t="shared" ca="1" si="1370"/>
        <v>118.04166666666667</v>
      </c>
      <c r="W497" s="76"/>
      <c r="X497" s="1" t="s">
        <v>2</v>
      </c>
      <c r="Y497" s="1" t="s">
        <v>3</v>
      </c>
      <c r="Z497" s="1" t="s">
        <v>4</v>
      </c>
      <c r="AA497" s="1" t="s">
        <v>5</v>
      </c>
      <c r="AB497" s="2" t="s">
        <v>6</v>
      </c>
      <c r="AC497" s="1" t="s">
        <v>7</v>
      </c>
      <c r="AD497" s="1" t="s">
        <v>8</v>
      </c>
      <c r="AE497" s="1" t="s">
        <v>9</v>
      </c>
      <c r="AF497" s="1" t="s">
        <v>10</v>
      </c>
      <c r="AG497" s="1" t="s">
        <v>11</v>
      </c>
      <c r="AH497" s="1" t="s">
        <v>12</v>
      </c>
      <c r="AI497" s="1" t="s">
        <v>13</v>
      </c>
      <c r="AJ497" s="2" t="s">
        <v>14</v>
      </c>
      <c r="AK497" s="1" t="s">
        <v>15</v>
      </c>
      <c r="AL497" s="1" t="s">
        <v>16</v>
      </c>
      <c r="AM497" s="3" t="s">
        <v>17</v>
      </c>
      <c r="AN497" s="4" t="s">
        <v>18</v>
      </c>
      <c r="AO497" s="5" t="s">
        <v>19</v>
      </c>
      <c r="AP497" s="6" t="s">
        <v>20</v>
      </c>
      <c r="AQ497" s="6" t="s">
        <v>21</v>
      </c>
      <c r="AR497" s="7" t="s">
        <v>22</v>
      </c>
      <c r="AS497" s="76"/>
      <c r="AT497" s="76"/>
    </row>
    <row r="498" spans="1:46" ht="15.75" customHeight="1" x14ac:dyDescent="0.25">
      <c r="A498" s="70"/>
      <c r="B498" s="16">
        <v>7</v>
      </c>
      <c r="C498" s="16" t="s">
        <v>24</v>
      </c>
      <c r="D498" s="17">
        <v>35</v>
      </c>
      <c r="E498" s="31">
        <f ca="1">IFERROR(__xludf.DUMMYFUNCTION("COUNT(IMPORTRANGE(""https://docs.google.com/spreadsheets/d/1_7EEO26q9Yq-XhNFiy7I6Zh4Yg6uGjTs9y0UqNvPKcQ/edit"",""19!d2:d45""))"),34)</f>
        <v>34</v>
      </c>
      <c r="F498" s="32">
        <f ca="1">IFERROR(__xludf.DUMMYFUNCTION("SUM(IMPORTRANGE(""https://docs.google.com/spreadsheets/d/1_7EEO26q9Yq-XhNFiy7I6Zh4Yg6uGjTs9y0UqNvPKcQ/edit"",""19!Q2:Q45""))"),6521.07699999999)</f>
        <v>6521.0769999999902</v>
      </c>
      <c r="G498" s="31">
        <f ca="1">IFERROR(__xludf.DUMMYFUNCTION("IMPORTRANGE(""https://docs.google.com/spreadsheets/d/1_7EEO26q9Yq-XhNFiy7I6Zh4Yg6uGjTs9y0UqNvPKcQ/edit"",""19!e53"")"),941)</f>
        <v>941</v>
      </c>
      <c r="H498" s="31">
        <f ca="1">IFERROR(__xludf.DUMMYFUNCTION("IMPORTRANGE(""https://docs.google.com/spreadsheets/d/1_7EEO26q9Yq-XhNFiy7I6Zh4Yg6uGjTs9y0UqNvPKcQ/edit"",""19!e54"")"),0)</f>
        <v>0</v>
      </c>
      <c r="I498" s="31">
        <f t="shared" ca="1" si="1362"/>
        <v>941</v>
      </c>
      <c r="J498" s="31">
        <f ca="1">IFERROR(__xludf.DUMMYFUNCTION("IMPORTRANGE(""https://docs.google.com/spreadsheets/d/1_7EEO26q9Yq-XhNFiy7I6Zh4Yg6uGjTs9y0UqNvPKcQ/edit"",""19!e57"")"),872)</f>
        <v>872</v>
      </c>
      <c r="K498" s="31">
        <f ca="1">IFERROR(__xludf.DUMMYFUNCTION("IMPORTRANGE(""https://docs.google.com/spreadsheets/d/1_7EEO26q9Yq-XhNFiy7I6Zh4Yg6uGjTs9y0UqNvPKcQ/edit"",""19!e58"")"),60)</f>
        <v>60</v>
      </c>
      <c r="L498" s="18">
        <f t="shared" ca="1" si="1363"/>
        <v>932</v>
      </c>
      <c r="M498" s="18">
        <f t="shared" ca="1" si="1364"/>
        <v>1873</v>
      </c>
      <c r="N498" s="19">
        <f t="shared" ca="1" si="1365"/>
        <v>191.7963823529409</v>
      </c>
      <c r="O498" s="16">
        <v>1580</v>
      </c>
      <c r="P498" s="33">
        <f t="shared" ca="1" si="1366"/>
        <v>1.1854430379746836</v>
      </c>
      <c r="Q498" s="21">
        <v>1.5</v>
      </c>
      <c r="R498" s="20">
        <f t="shared" ca="1" si="1367"/>
        <v>0.19148166271716596</v>
      </c>
      <c r="S498" s="22">
        <f t="shared" ca="1" si="1368"/>
        <v>0.28722249407574896</v>
      </c>
      <c r="T498" s="21">
        <f ca="1">F498/26.805</f>
        <v>243.27838089908562</v>
      </c>
      <c r="U498" s="21">
        <f t="shared" ca="1" si="1369"/>
        <v>7.1552464970319303</v>
      </c>
      <c r="V498" s="18">
        <f t="shared" ca="1" si="1370"/>
        <v>55.088235294117645</v>
      </c>
      <c r="W498" s="76"/>
      <c r="X498" s="8">
        <v>1</v>
      </c>
      <c r="Y498" s="8" t="s">
        <v>28</v>
      </c>
      <c r="Z498" s="8">
        <f t="shared" ref="Z498:AI498" si="1381">SUM(D493)</f>
        <v>24</v>
      </c>
      <c r="AA498" s="9">
        <f t="shared" ca="1" si="1381"/>
        <v>24</v>
      </c>
      <c r="AB498" s="11">
        <f t="shared" ca="1" si="1381"/>
        <v>4798.6009999999897</v>
      </c>
      <c r="AC498" s="9">
        <f t="shared" ca="1" si="1381"/>
        <v>1453</v>
      </c>
      <c r="AD498" s="9">
        <f t="shared" ca="1" si="1381"/>
        <v>54</v>
      </c>
      <c r="AE498" s="9">
        <f t="shared" ca="1" si="1381"/>
        <v>1507</v>
      </c>
      <c r="AF498" s="9">
        <f t="shared" ca="1" si="1381"/>
        <v>1941</v>
      </c>
      <c r="AG498" s="9">
        <f t="shared" ca="1" si="1381"/>
        <v>192</v>
      </c>
      <c r="AH498" s="9">
        <f t="shared" ca="1" si="1381"/>
        <v>2133</v>
      </c>
      <c r="AI498" s="9">
        <f t="shared" ca="1" si="1381"/>
        <v>3640</v>
      </c>
      <c r="AJ498" s="11">
        <f t="shared" ref="AJ498:AJ504" ca="1" si="1382">AB498/AA498</f>
        <v>199.94170833333291</v>
      </c>
      <c r="AK498" s="8">
        <f t="shared" ref="AK498:AK499" si="1383">SUM(O493)</f>
        <v>7315</v>
      </c>
      <c r="AL498" s="12">
        <f t="shared" ref="AL498:AL504" ca="1" si="1384">AI498/AK498</f>
        <v>0.49760765550239233</v>
      </c>
      <c r="AM498" s="13">
        <f t="shared" ref="AM498:AM499" si="1385">SUM(Q493)</f>
        <v>1.5</v>
      </c>
      <c r="AN498" s="12">
        <f t="shared" ref="AN498:AN504" ca="1" si="1386">AO498/AM498</f>
        <v>0.50570294689361994</v>
      </c>
      <c r="AO498" s="14">
        <f t="shared" ref="AO498:AO504" ca="1" si="1387">AI498/AB498</f>
        <v>0.75855442034042997</v>
      </c>
      <c r="AP498" s="13">
        <f t="shared" ref="AP498:AQ498" ca="1" si="1388">SUM(T493)</f>
        <v>155.30960934718547</v>
      </c>
      <c r="AQ498" s="13">
        <f t="shared" ca="1" si="1388"/>
        <v>6.4712337227993944</v>
      </c>
      <c r="AR498" s="9">
        <f t="shared" ref="AR498:AR504" ca="1" si="1389">AI498/AA498</f>
        <v>151.66666666666666</v>
      </c>
      <c r="AS498" s="76"/>
      <c r="AT498" s="76"/>
    </row>
    <row r="499" spans="1:46" ht="15.75" customHeight="1" x14ac:dyDescent="0.25">
      <c r="A499" s="70"/>
      <c r="B499" s="16">
        <v>8</v>
      </c>
      <c r="C499" s="16" t="s">
        <v>25</v>
      </c>
      <c r="D499" s="34">
        <v>26</v>
      </c>
      <c r="E499" s="18">
        <f ca="1">IFERROR(__xludf.DUMMYFUNCTION("COUNT(IMPORTRANGE(""https://docs.google.com/spreadsheets/d/1vLOLpiE-XsbnCnwWPcoi87PlUSXfqIAAQn3kvqHfO6s/edit"",""19!d2:D33""))"),23)</f>
        <v>23</v>
      </c>
      <c r="F499" s="23">
        <f ca="1">IFERROR(__xludf.DUMMYFUNCTION("SUM(IMPORTRANGE(""https://docs.google.com/spreadsheets/d/1vLOLpiE-XsbnCnwWPcoi87PlUSXfqIAAQn3kvqHfO6s/edit"",""19!Q2:Q33""))"),4380.39999999999)</f>
        <v>4380.3999999999896</v>
      </c>
      <c r="G499" s="18">
        <f ca="1">IFERROR(__xludf.DUMMYFUNCTION("IMPORTRANGE(""https://docs.google.com/spreadsheets/d/1vLOLpiE-XsbnCnwWPcoi87PlUSXfqIAAQn3kvqHfO6s/edit"",""19!e40"")"),1327)</f>
        <v>1327</v>
      </c>
      <c r="H499" s="18">
        <f ca="1">IFERROR(__xludf.DUMMYFUNCTION("IMPORTRANGE(""https://docs.google.com/spreadsheets/d/1vLOLpiE-XsbnCnwWPcoi87PlUSXfqIAAQn3kvqHfO6s/edit"",""19!e41"")"),298)</f>
        <v>298</v>
      </c>
      <c r="I499" s="18">
        <f t="shared" ca="1" si="1362"/>
        <v>1625</v>
      </c>
      <c r="J499" s="18">
        <f ca="1">IFERROR(__xludf.DUMMYFUNCTION("IMPORTRANGE(""https://docs.google.com/spreadsheets/d/1vLOLpiE-XsbnCnwWPcoi87PlUSXfqIAAQn3kvqHfO6s/edit"",""19!e44"")"),2298)</f>
        <v>2298</v>
      </c>
      <c r="K499" s="18">
        <f ca="1">IFERROR(__xludf.DUMMYFUNCTION("IMPORTRANGE(""https://docs.google.com/spreadsheets/d/1vLOLpiE-XsbnCnwWPcoi87PlUSXfqIAAQn3kvqHfO6s/edit"",""19!e45"")"),262)</f>
        <v>262</v>
      </c>
      <c r="L499" s="18">
        <f ca="1">J499+K499</f>
        <v>2560</v>
      </c>
      <c r="M499" s="18">
        <f t="shared" ca="1" si="1364"/>
        <v>4185</v>
      </c>
      <c r="N499" s="19">
        <f t="shared" ca="1" si="1365"/>
        <v>190.45217391304303</v>
      </c>
      <c r="O499" s="16">
        <v>6622</v>
      </c>
      <c r="P499" s="20">
        <f t="shared" ca="1" si="1366"/>
        <v>0.63198429477499241</v>
      </c>
      <c r="Q499" s="21">
        <v>1.5</v>
      </c>
      <c r="R499" s="20">
        <f t="shared" ca="1" si="1367"/>
        <v>0.63692813441694973</v>
      </c>
      <c r="S499" s="22">
        <f t="shared" ca="1" si="1368"/>
        <v>0.9553922016254246</v>
      </c>
      <c r="T499" s="21">
        <f ca="1">F499/23.84</f>
        <v>183.74161073825459</v>
      </c>
      <c r="U499" s="21">
        <f t="shared" ca="1" si="1369"/>
        <v>7.9887656842719386</v>
      </c>
      <c r="V499" s="18">
        <f t="shared" ca="1" si="1370"/>
        <v>181.95652173913044</v>
      </c>
      <c r="W499" s="76"/>
      <c r="X499" s="8">
        <v>2</v>
      </c>
      <c r="Y499" s="8" t="s">
        <v>30</v>
      </c>
      <c r="Z499" s="8">
        <f t="shared" ref="Z499:AI499" si="1390">SUM(D494)</f>
        <v>45</v>
      </c>
      <c r="AA499" s="9">
        <f t="shared" ca="1" si="1390"/>
        <v>44</v>
      </c>
      <c r="AB499" s="10">
        <f t="shared" ca="1" si="1390"/>
        <v>8690.5829999999896</v>
      </c>
      <c r="AC499" s="9">
        <f t="shared" ca="1" si="1390"/>
        <v>2059</v>
      </c>
      <c r="AD499" s="9">
        <f t="shared" ca="1" si="1390"/>
        <v>0</v>
      </c>
      <c r="AE499" s="9">
        <f t="shared" ca="1" si="1390"/>
        <v>2059</v>
      </c>
      <c r="AF499" s="9">
        <f t="shared" ca="1" si="1390"/>
        <v>2384</v>
      </c>
      <c r="AG499" s="9">
        <f t="shared" ca="1" si="1390"/>
        <v>0</v>
      </c>
      <c r="AH499" s="9">
        <f t="shared" ca="1" si="1390"/>
        <v>2384</v>
      </c>
      <c r="AI499" s="9">
        <f t="shared" ca="1" si="1390"/>
        <v>4443</v>
      </c>
      <c r="AJ499" s="11">
        <f t="shared" ca="1" si="1382"/>
        <v>197.51324999999977</v>
      </c>
      <c r="AK499" s="8">
        <f t="shared" si="1383"/>
        <v>11164</v>
      </c>
      <c r="AL499" s="12">
        <f t="shared" ca="1" si="1384"/>
        <v>0.39797563597276964</v>
      </c>
      <c r="AM499" s="13">
        <f t="shared" si="1385"/>
        <v>1.5</v>
      </c>
      <c r="AN499" s="12">
        <f t="shared" ca="1" si="1386"/>
        <v>0.34082868778768965</v>
      </c>
      <c r="AO499" s="14">
        <f t="shared" ca="1" si="1387"/>
        <v>0.51124303168153451</v>
      </c>
      <c r="AP499" s="13">
        <f t="shared" ref="AP499:AQ499" ca="1" si="1391">SUM(T494)</f>
        <v>293.57102320710703</v>
      </c>
      <c r="AQ499" s="13">
        <f t="shared" ca="1" si="1391"/>
        <v>6.6720687092524322</v>
      </c>
      <c r="AR499" s="9">
        <f t="shared" ca="1" si="1389"/>
        <v>100.97727272727273</v>
      </c>
      <c r="AS499" s="76"/>
      <c r="AT499" s="76"/>
    </row>
    <row r="500" spans="1:46" ht="15.75" customHeight="1" x14ac:dyDescent="0.25">
      <c r="A500" s="70"/>
      <c r="B500" s="16">
        <v>9</v>
      </c>
      <c r="C500" s="16" t="s">
        <v>36</v>
      </c>
      <c r="D500" s="34">
        <v>22</v>
      </c>
      <c r="E500" s="18">
        <f ca="1">IFERROR(__xludf.DUMMYFUNCTION("COUNT(IMPORTRANGE(""https://docs.google.com/spreadsheets/d/1WJJVq25XDtGjt-J2JPxeKs3jIvDZtkIREC0lFPXwf74/edit"",""19!d2:d31""))"),22)</f>
        <v>22</v>
      </c>
      <c r="F500" s="23">
        <f ca="1">IFERROR(__xludf.DUMMYFUNCTION("SUM(IMPORTRANGE(""https://docs.google.com/spreadsheets/d/1WJJVq25XDtGjt-J2JPxeKs3jIvDZtkIREC0lFPXwf74/edit"",""19!Q2:Q31""))"),4372.64999999999)</f>
        <v>4372.6499999999896</v>
      </c>
      <c r="G500" s="18">
        <f ca="1">IFERROR(__xludf.DUMMYFUNCTION("IMPORTRANGE(""https://docs.google.com/spreadsheets/d/1WJJVq25XDtGjt-J2JPxeKs3jIvDZtkIREC0lFPXwf74/edit"",""19!e38"")"),744)</f>
        <v>744</v>
      </c>
      <c r="H500" s="18">
        <f ca="1">IFERROR(__xludf.DUMMYFUNCTION("IMPORTRANGE(""https://docs.google.com/spreadsheets/d/1WJJVq25XDtGjt-J2JPxeKs3jIvDZtkIREC0lFPXwf74/edit"",""19!e39"")"),0)</f>
        <v>0</v>
      </c>
      <c r="I500" s="18">
        <f t="shared" ca="1" si="1362"/>
        <v>744</v>
      </c>
      <c r="J500" s="18">
        <f ca="1">IFERROR(__xludf.DUMMYFUNCTION("IMPORTRANGE(""https://docs.google.com/spreadsheets/d/1WJJVq25XDtGjt-J2JPxeKs3jIvDZtkIREC0lFPXwf74/edit"",""19!e42"")"),1706)</f>
        <v>1706</v>
      </c>
      <c r="K500" s="18">
        <f ca="1">IFERROR(__xludf.DUMMYFUNCTION("IMPORTRANGE(""https://docs.google.com/spreadsheets/d/1WJJVq25XDtGjt-J2JPxeKs3jIvDZtkIREC0lFPXwf74/edit"",""19!e43"")"),0)</f>
        <v>0</v>
      </c>
      <c r="L500" s="18">
        <f t="shared" ref="L500:L509" ca="1" si="1392">SUM(J500:K500)</f>
        <v>1706</v>
      </c>
      <c r="M500" s="18">
        <f t="shared" ca="1" si="1364"/>
        <v>2450</v>
      </c>
      <c r="N500" s="19">
        <f t="shared" ca="1" si="1365"/>
        <v>198.75681818181772</v>
      </c>
      <c r="O500" s="16">
        <v>4796</v>
      </c>
      <c r="P500" s="20">
        <f t="shared" ca="1" si="1366"/>
        <v>0.51084236864053378</v>
      </c>
      <c r="Q500" s="21">
        <v>1.5</v>
      </c>
      <c r="R500" s="20">
        <f t="shared" ca="1" si="1367"/>
        <v>0.37353397443960462</v>
      </c>
      <c r="S500" s="22">
        <f t="shared" ca="1" si="1368"/>
        <v>0.5603009616594069</v>
      </c>
      <c r="T500" s="21">
        <f ca="1">F500/37.414</f>
        <v>116.87202651413881</v>
      </c>
      <c r="U500" s="21">
        <f t="shared" ca="1" si="1369"/>
        <v>5.3123648415517639</v>
      </c>
      <c r="V500" s="18">
        <f t="shared" ca="1" si="1370"/>
        <v>111.36363636363636</v>
      </c>
      <c r="W500" s="76"/>
      <c r="X500" s="8">
        <v>3</v>
      </c>
      <c r="Y500" s="8" t="s">
        <v>34</v>
      </c>
      <c r="Z500" s="8">
        <f t="shared" ref="Z500:AI500" si="1393">SUM(D496)</f>
        <v>30</v>
      </c>
      <c r="AA500" s="9">
        <f t="shared" ca="1" si="1393"/>
        <v>30</v>
      </c>
      <c r="AB500" s="10">
        <f t="shared" ca="1" si="1393"/>
        <v>5896.1760000000004</v>
      </c>
      <c r="AC500" s="9">
        <f t="shared" ca="1" si="1393"/>
        <v>1709</v>
      </c>
      <c r="AD500" s="9">
        <f t="shared" ca="1" si="1393"/>
        <v>0</v>
      </c>
      <c r="AE500" s="9">
        <f t="shared" ca="1" si="1393"/>
        <v>1709</v>
      </c>
      <c r="AF500" s="9">
        <f t="shared" ca="1" si="1393"/>
        <v>2407</v>
      </c>
      <c r="AG500" s="9">
        <f t="shared" ca="1" si="1393"/>
        <v>0</v>
      </c>
      <c r="AH500" s="9">
        <f t="shared" ca="1" si="1393"/>
        <v>2407</v>
      </c>
      <c r="AI500" s="9">
        <f t="shared" ca="1" si="1393"/>
        <v>4116</v>
      </c>
      <c r="AJ500" s="11">
        <f t="shared" ca="1" si="1382"/>
        <v>196.53920000000002</v>
      </c>
      <c r="AK500" s="8">
        <f>SUM(O496)</f>
        <v>9354</v>
      </c>
      <c r="AL500" s="12">
        <f t="shared" ca="1" si="1384"/>
        <v>0.44002565747273892</v>
      </c>
      <c r="AM500" s="13">
        <f>SUM(Q496)</f>
        <v>1.5</v>
      </c>
      <c r="AN500" s="12">
        <f t="shared" ca="1" si="1386"/>
        <v>0.46538637923969706</v>
      </c>
      <c r="AO500" s="14">
        <f t="shared" ca="1" si="1387"/>
        <v>0.69807956885954559</v>
      </c>
      <c r="AP500" s="13">
        <f t="shared" ref="AP500:AQ500" ca="1" si="1394">SUM(T496)</f>
        <v>191.97655715820662</v>
      </c>
      <c r="AQ500" s="13">
        <f t="shared" ca="1" si="1394"/>
        <v>6.3992185719402208</v>
      </c>
      <c r="AR500" s="9">
        <f t="shared" ca="1" si="1389"/>
        <v>137.19999999999999</v>
      </c>
      <c r="AS500" s="76"/>
      <c r="AT500" s="76"/>
    </row>
    <row r="501" spans="1:46" ht="15.75" customHeight="1" x14ac:dyDescent="0.25">
      <c r="A501" s="70"/>
      <c r="B501" s="16">
        <v>10</v>
      </c>
      <c r="C501" s="16" t="s">
        <v>37</v>
      </c>
      <c r="D501" s="17">
        <v>23</v>
      </c>
      <c r="E501" s="18">
        <f ca="1">IFERROR(__xludf.DUMMYFUNCTION("COUNT(IMPORTRANGE(""https://docs.google.com/spreadsheets/d/1rJyYfywRpWJW0zvDJHLOJtqUQqffoCGaqTVxxTDgV0k/edit"",""19!d2:d31""))"),23)</f>
        <v>23</v>
      </c>
      <c r="F501" s="23">
        <f ca="1">IFERROR(__xludf.DUMMYFUNCTION("SUM(IMPORTRANGE(""https://docs.google.com/spreadsheets/d/1rJyYfywRpWJW0zvDJHLOJtqUQqffoCGaqTVxxTDgV0k/edit"",""19!Q2:Q31""))"),4583.89799999999)</f>
        <v>4583.8979999999901</v>
      </c>
      <c r="G501" s="18">
        <f ca="1">IFERROR(__xludf.DUMMYFUNCTION("(IMPORTRANGE(""https://docs.google.com/spreadsheets/d/1rJyYfywRpWJW0zvDJHLOJtqUQqffoCGaqTVxxTDgV0k/edit"",""19!e38""))"),971)</f>
        <v>971</v>
      </c>
      <c r="H501" s="18">
        <f ca="1">IFERROR(__xludf.DUMMYFUNCTION("(IMPORTRANGE(""https://docs.google.com/spreadsheets/d/1rJyYfywRpWJW0zvDJHLOJtqUQqffoCGaqTVxxTDgV0k/edit"",""19!e39""))"),0)</f>
        <v>0</v>
      </c>
      <c r="I501" s="18">
        <f t="shared" ca="1" si="1362"/>
        <v>971</v>
      </c>
      <c r="J501" s="18">
        <f ca="1">IFERROR(__xludf.DUMMYFUNCTION("(IMPORTRANGE(""https://docs.google.com/spreadsheets/d/1rJyYfywRpWJW0zvDJHLOJtqUQqffoCGaqTVxxTDgV0k/edit"",""19!e42""))"),1915)</f>
        <v>1915</v>
      </c>
      <c r="K501" s="18">
        <f ca="1">IFERROR(__xludf.DUMMYFUNCTION("(IMPORTRANGE(""https://docs.google.com/spreadsheets/d/1rJyYfywRpWJW0zvDJHLOJtqUQqffoCGaqTVxxTDgV0k/edit"",""19!e43""))"),0)</f>
        <v>0</v>
      </c>
      <c r="L501" s="18">
        <f t="shared" ca="1" si="1392"/>
        <v>1915</v>
      </c>
      <c r="M501" s="18">
        <f t="shared" ca="1" si="1364"/>
        <v>2886</v>
      </c>
      <c r="N501" s="19">
        <f t="shared" ca="1" si="1365"/>
        <v>199.29991304347783</v>
      </c>
      <c r="O501" s="16">
        <v>5887</v>
      </c>
      <c r="P501" s="20">
        <f t="shared" ca="1" si="1366"/>
        <v>0.49023271615423814</v>
      </c>
      <c r="Q501" s="21">
        <v>1.5</v>
      </c>
      <c r="R501" s="20">
        <f t="shared" ca="1" si="1367"/>
        <v>0.41973010743258338</v>
      </c>
      <c r="S501" s="22">
        <f t="shared" ca="1" si="1368"/>
        <v>0.62959516114887504</v>
      </c>
      <c r="T501" s="21">
        <f ca="1">F501/24.792</f>
        <v>184.89424007744392</v>
      </c>
      <c r="U501" s="21">
        <f t="shared" ca="1" si="1369"/>
        <v>8.0388800033671277</v>
      </c>
      <c r="V501" s="18">
        <f t="shared" ca="1" si="1370"/>
        <v>125.47826086956522</v>
      </c>
      <c r="W501" s="76"/>
      <c r="X501" s="8">
        <v>4</v>
      </c>
      <c r="Y501" s="8" t="s">
        <v>38</v>
      </c>
      <c r="Z501" s="8">
        <f t="shared" ref="Z501:AI501" si="1395">SUM(D504)</f>
        <v>23</v>
      </c>
      <c r="AA501" s="9">
        <f t="shared" ca="1" si="1395"/>
        <v>23</v>
      </c>
      <c r="AB501" s="10">
        <f t="shared" ca="1" si="1395"/>
        <v>4573.7550000000001</v>
      </c>
      <c r="AC501" s="9">
        <f t="shared" ca="1" si="1395"/>
        <v>1206</v>
      </c>
      <c r="AD501" s="9">
        <f t="shared" ca="1" si="1395"/>
        <v>107</v>
      </c>
      <c r="AE501" s="9">
        <f t="shared" ca="1" si="1395"/>
        <v>1313</v>
      </c>
      <c r="AF501" s="9">
        <f t="shared" ca="1" si="1395"/>
        <v>1891</v>
      </c>
      <c r="AG501" s="9">
        <f t="shared" ca="1" si="1395"/>
        <v>0</v>
      </c>
      <c r="AH501" s="9">
        <f t="shared" ca="1" si="1395"/>
        <v>1891</v>
      </c>
      <c r="AI501" s="9">
        <f t="shared" ca="1" si="1395"/>
        <v>3204</v>
      </c>
      <c r="AJ501" s="11">
        <f t="shared" ca="1" si="1382"/>
        <v>198.85891304347825</v>
      </c>
      <c r="AK501" s="8">
        <v>7324</v>
      </c>
      <c r="AL501" s="12">
        <f t="shared" ca="1" si="1384"/>
        <v>0.43746586564718731</v>
      </c>
      <c r="AM501" s="13">
        <f>SUM(Q504)</f>
        <v>1.5</v>
      </c>
      <c r="AN501" s="12">
        <f t="shared" ca="1" si="1386"/>
        <v>0.46701233450414376</v>
      </c>
      <c r="AO501" s="14">
        <f t="shared" ca="1" si="1387"/>
        <v>0.70051850175621566</v>
      </c>
      <c r="AP501" s="13">
        <f t="shared" ref="AP501:AQ501" ca="1" si="1396">SUM(T504)</f>
        <v>111.00000000000001</v>
      </c>
      <c r="AQ501" s="13">
        <f t="shared" ca="1" si="1396"/>
        <v>4.8260869565217401</v>
      </c>
      <c r="AR501" s="9">
        <f t="shared" ca="1" si="1389"/>
        <v>139.30434782608697</v>
      </c>
      <c r="AS501" s="76"/>
      <c r="AT501" s="76"/>
    </row>
    <row r="502" spans="1:46" ht="15.75" customHeight="1" x14ac:dyDescent="0.25">
      <c r="A502" s="70"/>
      <c r="B502" s="16">
        <v>12</v>
      </c>
      <c r="C502" s="16" t="s">
        <v>39</v>
      </c>
      <c r="D502" s="17">
        <v>21</v>
      </c>
      <c r="E502" s="18">
        <f ca="1">IFERROR(__xludf.DUMMYFUNCTION("COUNT(IMPORTRANGE(""https://docs.google.com/spreadsheets/d/1uaTn2DZCfr7O1PvovOd0wElzVz8kpl_iPfnrkNPp0Is/edit"",""19!d2:d29""))"),21)</f>
        <v>21</v>
      </c>
      <c r="F502" s="23">
        <f ca="1">IFERROR(__xludf.DUMMYFUNCTION("SUM(IMPORTRANGE(""https://docs.google.com/spreadsheets/d/1uaTn2DZCfr7O1PvovOd0wElzVz8kpl_iPfnrkNPp0Is/edit"",""19!Q2:Q29""))"),4212.20499999999)</f>
        <v>4212.2049999999899</v>
      </c>
      <c r="G502" s="18">
        <f ca="1">IFERROR(__xludf.DUMMYFUNCTION("IMPORTRANGE(""https://docs.google.com/spreadsheets/d/1uaTn2DZCfr7O1PvovOd0wElzVz8kpl_iPfnrkNPp0Is/edit"",""19!e36"")"),830)</f>
        <v>830</v>
      </c>
      <c r="H502" s="18">
        <f ca="1">IFERROR(__xludf.DUMMYFUNCTION("(IMPORTRANGE(""https://docs.google.com/spreadsheets/d/1uaTn2DZCfr7O1PvovOd0wElzVz8kpl_iPfnrkNPp0Is/edit"",""19!e37""))"),0)</f>
        <v>0</v>
      </c>
      <c r="I502" s="18">
        <f t="shared" ca="1" si="1362"/>
        <v>830</v>
      </c>
      <c r="J502" s="18">
        <f ca="1">IFERROR(__xludf.DUMMYFUNCTION("IMPORTRANGE(""https://docs.google.com/spreadsheets/d/1uaTn2DZCfr7O1PvovOd0wElzVz8kpl_iPfnrkNPp0Is/edit"",""19!e40"")"),1305)</f>
        <v>1305</v>
      </c>
      <c r="K502" s="18">
        <f ca="1">IFERROR(__xludf.DUMMYFUNCTION("IMPORTRANGE(""https://docs.google.com/spreadsheets/d/1uaTn2DZCfr7O1PvovOd0wElzVz8kpl_iPfnrkNPp0Is/edit"",""19!e41"")"),0)</f>
        <v>0</v>
      </c>
      <c r="L502" s="18">
        <f t="shared" ca="1" si="1392"/>
        <v>1305</v>
      </c>
      <c r="M502" s="18">
        <f t="shared" ca="1" si="1364"/>
        <v>2135</v>
      </c>
      <c r="N502" s="19">
        <f t="shared" ca="1" si="1365"/>
        <v>200.58119047618999</v>
      </c>
      <c r="O502" s="16">
        <v>3569</v>
      </c>
      <c r="P502" s="20">
        <f t="shared" ca="1" si="1366"/>
        <v>0.59820678061081534</v>
      </c>
      <c r="Q502" s="21">
        <v>1.5</v>
      </c>
      <c r="R502" s="20">
        <f t="shared" ca="1" si="1367"/>
        <v>0.33790694739057975</v>
      </c>
      <c r="S502" s="22">
        <f t="shared" ca="1" si="1368"/>
        <v>0.50686042108586959</v>
      </c>
      <c r="T502" s="21">
        <f ca="1">F502/21.463</f>
        <v>196.25425150258536</v>
      </c>
      <c r="U502" s="21">
        <f t="shared" ca="1" si="1369"/>
        <v>9.3454405477421609</v>
      </c>
      <c r="V502" s="18">
        <f t="shared" ca="1" si="1370"/>
        <v>101.66666666666667</v>
      </c>
      <c r="W502" s="76"/>
      <c r="X502" s="8">
        <v>5</v>
      </c>
      <c r="Y502" s="8" t="s">
        <v>40</v>
      </c>
      <c r="Z502" s="8">
        <f t="shared" ref="Z502:AI502" si="1397">SUM(D506)</f>
        <v>23</v>
      </c>
      <c r="AA502" s="9">
        <f t="shared" ca="1" si="1397"/>
        <v>23</v>
      </c>
      <c r="AB502" s="10">
        <f t="shared" ca="1" si="1397"/>
        <v>4437.1080000000002</v>
      </c>
      <c r="AC502" s="9">
        <f t="shared" ca="1" si="1397"/>
        <v>1996</v>
      </c>
      <c r="AD502" s="9">
        <f t="shared" ca="1" si="1397"/>
        <v>102</v>
      </c>
      <c r="AE502" s="9">
        <f t="shared" ca="1" si="1397"/>
        <v>2098</v>
      </c>
      <c r="AF502" s="9">
        <f t="shared" ca="1" si="1397"/>
        <v>2599</v>
      </c>
      <c r="AG502" s="9">
        <f t="shared" ca="1" si="1397"/>
        <v>120</v>
      </c>
      <c r="AH502" s="9">
        <f t="shared" ca="1" si="1397"/>
        <v>2719</v>
      </c>
      <c r="AI502" s="9">
        <f t="shared" ca="1" si="1397"/>
        <v>4817</v>
      </c>
      <c r="AJ502" s="11">
        <f t="shared" ca="1" si="1382"/>
        <v>192.9177391304348</v>
      </c>
      <c r="AK502" s="8">
        <f t="shared" ref="AK502:AK503" si="1398">SUM(O506)</f>
        <v>8239</v>
      </c>
      <c r="AL502" s="12">
        <f t="shared" ca="1" si="1384"/>
        <v>0.58465833232188369</v>
      </c>
      <c r="AM502" s="13">
        <f t="shared" ref="AM502:AM503" si="1399">SUM(Q506)</f>
        <v>1.5</v>
      </c>
      <c r="AN502" s="12">
        <f t="shared" ca="1" si="1386"/>
        <v>0.72374468535211067</v>
      </c>
      <c r="AO502" s="14">
        <f t="shared" ca="1" si="1387"/>
        <v>1.0856170280281661</v>
      </c>
      <c r="AP502" s="13">
        <f t="shared" ref="AP502:AQ502" ca="1" si="1400">SUM(T506)</f>
        <v>156</v>
      </c>
      <c r="AQ502" s="13">
        <f t="shared" ca="1" si="1400"/>
        <v>6.7826086956521738</v>
      </c>
      <c r="AR502" s="9">
        <f t="shared" ca="1" si="1389"/>
        <v>209.43478260869566</v>
      </c>
      <c r="AS502" s="76"/>
      <c r="AT502" s="76"/>
    </row>
    <row r="503" spans="1:46" ht="15.75" customHeight="1" x14ac:dyDescent="0.25">
      <c r="A503" s="70"/>
      <c r="B503" s="16">
        <v>12</v>
      </c>
      <c r="C503" s="16" t="s">
        <v>41</v>
      </c>
      <c r="D503" s="17">
        <v>19</v>
      </c>
      <c r="E503" s="18">
        <f ca="1">IFERROR(__xludf.DUMMYFUNCTION("COUNT(IMPORTRANGE(""https://docs.google.com/spreadsheets/d/1oYscvfOJW7GMkxt8QcupWuzb3ohaYePd3Mt2V2ufHok/edit"",""19!d2:d25""))"),19)</f>
        <v>19</v>
      </c>
      <c r="F503" s="23">
        <f ca="1">IFERROR(__xludf.DUMMYFUNCTION("SUM(IMPORTRANGE(""https://docs.google.com/spreadsheets/d/1oYscvfOJW7GMkxt8QcupWuzb3ohaYePd3Mt2V2ufHok/edit"",""19!Q2:Q25""))"),3812.136)</f>
        <v>3812.136</v>
      </c>
      <c r="G503" s="18">
        <f ca="1">IFERROR(__xludf.DUMMYFUNCTION("IMPORTRANGE(""https://docs.google.com/spreadsheets/d/1oYscvfOJW7GMkxt8QcupWuzb3ohaYePd3Mt2V2ufHok/edit"",""19!e32"")"),740)</f>
        <v>740</v>
      </c>
      <c r="H503" s="18">
        <f ca="1">IFERROR(__xludf.DUMMYFUNCTION("IMPORTRANGE(""https://docs.google.com/spreadsheets/d/1oYscvfOJW7GMkxt8QcupWuzb3ohaYePd3Mt2V2ufHok/edit"",""19!e33"")"),0)</f>
        <v>0</v>
      </c>
      <c r="I503" s="18">
        <f t="shared" ca="1" si="1362"/>
        <v>740</v>
      </c>
      <c r="J503" s="18">
        <f ca="1">IFERROR(__xludf.DUMMYFUNCTION("IMPORTRANGE(""https://docs.google.com/spreadsheets/d/1oYscvfOJW7GMkxt8QcupWuzb3ohaYePd3Mt2V2ufHok/edit"",""19!e36"")"),988)</f>
        <v>988</v>
      </c>
      <c r="K503" s="18">
        <f ca="1">IFERROR(__xludf.DUMMYFUNCTION("IMPORTRANGE(""https://docs.google.com/spreadsheets/d/1oYscvfOJW7GMkxt8QcupWuzb3ohaYePd3Mt2V2ufHok/edit"",""19!e37"")"),0)</f>
        <v>0</v>
      </c>
      <c r="L503" s="18">
        <f t="shared" ca="1" si="1392"/>
        <v>988</v>
      </c>
      <c r="M503" s="18">
        <f t="shared" ca="1" si="1364"/>
        <v>1728</v>
      </c>
      <c r="N503" s="19">
        <f t="shared" ca="1" si="1365"/>
        <v>200.63873684210526</v>
      </c>
      <c r="O503" s="16">
        <v>3801</v>
      </c>
      <c r="P503" s="20">
        <f t="shared" ca="1" si="1366"/>
        <v>0.45461720599842148</v>
      </c>
      <c r="Q503" s="21">
        <v>1.5</v>
      </c>
      <c r="R503" s="20">
        <f t="shared" ca="1" si="1367"/>
        <v>0.30219278640636116</v>
      </c>
      <c r="S503" s="22">
        <f t="shared" ca="1" si="1368"/>
        <v>0.45328917960954174</v>
      </c>
      <c r="T503" s="21">
        <f ca="1">F503/29.628</f>
        <v>128.66666666666666</v>
      </c>
      <c r="U503" s="21">
        <f t="shared" ca="1" si="1369"/>
        <v>6.7719298245614032</v>
      </c>
      <c r="V503" s="18">
        <f t="shared" ca="1" si="1370"/>
        <v>90.94736842105263</v>
      </c>
      <c r="W503" s="76"/>
      <c r="X503" s="8">
        <v>6</v>
      </c>
      <c r="Y503" s="8" t="s">
        <v>42</v>
      </c>
      <c r="Z503" s="8">
        <f t="shared" ref="Z503:AI503" si="1401">SUM(D507)</f>
        <v>24</v>
      </c>
      <c r="AA503" s="9">
        <f t="shared" ca="1" si="1401"/>
        <v>23</v>
      </c>
      <c r="AB503" s="10">
        <f t="shared" ca="1" si="1401"/>
        <v>4515.5839999999998</v>
      </c>
      <c r="AC503" s="9">
        <f t="shared" ca="1" si="1401"/>
        <v>1926</v>
      </c>
      <c r="AD503" s="9">
        <f t="shared" ca="1" si="1401"/>
        <v>0</v>
      </c>
      <c r="AE503" s="9">
        <f t="shared" ca="1" si="1401"/>
        <v>1926</v>
      </c>
      <c r="AF503" s="9">
        <f t="shared" ca="1" si="1401"/>
        <v>2539</v>
      </c>
      <c r="AG503" s="9">
        <f t="shared" ca="1" si="1401"/>
        <v>0</v>
      </c>
      <c r="AH503" s="9">
        <f t="shared" ca="1" si="1401"/>
        <v>2539</v>
      </c>
      <c r="AI503" s="9">
        <f t="shared" ca="1" si="1401"/>
        <v>4465</v>
      </c>
      <c r="AJ503" s="11">
        <f t="shared" ca="1" si="1382"/>
        <v>196.32973913043477</v>
      </c>
      <c r="AK503" s="8">
        <f t="shared" si="1398"/>
        <v>9877</v>
      </c>
      <c r="AL503" s="12">
        <f t="shared" ca="1" si="1384"/>
        <v>0.45206034220917285</v>
      </c>
      <c r="AM503" s="13">
        <f t="shared" si="1399"/>
        <v>1.5</v>
      </c>
      <c r="AN503" s="12">
        <f t="shared" ca="1" si="1386"/>
        <v>0.65919860347336401</v>
      </c>
      <c r="AO503" s="14">
        <f t="shared" ca="1" si="1387"/>
        <v>0.98879790521004596</v>
      </c>
      <c r="AP503" s="13">
        <f t="shared" ref="AP503:AQ503" ca="1" si="1402">SUM(T507)</f>
        <v>172.64706557063658</v>
      </c>
      <c r="AQ503" s="13">
        <f t="shared" ca="1" si="1402"/>
        <v>7.5063941552450686</v>
      </c>
      <c r="AR503" s="9">
        <f t="shared" ca="1" si="1389"/>
        <v>194.13043478260869</v>
      </c>
      <c r="AS503" s="76"/>
      <c r="AT503" s="76"/>
    </row>
    <row r="504" spans="1:46" ht="15.75" customHeight="1" x14ac:dyDescent="0.25">
      <c r="A504" s="70"/>
      <c r="B504" s="16">
        <v>13</v>
      </c>
      <c r="C504" s="16" t="s">
        <v>43</v>
      </c>
      <c r="D504" s="17">
        <v>23</v>
      </c>
      <c r="E504" s="18">
        <f ca="1">IFERROR(__xludf.DUMMYFUNCTION("COUNT(IMPORTRANGE(""https://docs.google.com/spreadsheets/d/1AxBmuQEdOYAeRnZ4C8vO6kuTNp7X_SGhpLXuY0n4ln4/edit"",""19!d2:d31""))"),23)</f>
        <v>23</v>
      </c>
      <c r="F504" s="23">
        <f ca="1">IFERROR(__xludf.DUMMYFUNCTION("SUM(IMPORTRANGE(""https://docs.google.com/spreadsheets/d/1AxBmuQEdOYAeRnZ4C8vO6kuTNp7X_SGhpLXuY0n4ln4/edit"",""19!Q2:Q31""))"),4573.755)</f>
        <v>4573.7550000000001</v>
      </c>
      <c r="G504" s="18">
        <f ca="1">IFERROR(__xludf.DUMMYFUNCTION("IMPORTRANGE(""https://docs.google.com/spreadsheets/d/1AxBmuQEdOYAeRnZ4C8vO6kuTNp7X_SGhpLXuY0n4ln4/edit"",""19!e38"")"),1206)</f>
        <v>1206</v>
      </c>
      <c r="H504" s="18">
        <f ca="1">IFERROR(__xludf.DUMMYFUNCTION("IMPORTRANGE(""https://docs.google.com/spreadsheets/d/1AxBmuQEdOYAeRnZ4C8vO6kuTNp7X_SGhpLXuY0n4ln4/edit"",""19!e39"")"),107)</f>
        <v>107</v>
      </c>
      <c r="I504" s="18">
        <f t="shared" ca="1" si="1362"/>
        <v>1313</v>
      </c>
      <c r="J504" s="18">
        <f ca="1">IFERROR(__xludf.DUMMYFUNCTION("IMPORTRANGE(""https://docs.google.com/spreadsheets/d/1AxBmuQEdOYAeRnZ4C8vO6kuTNp7X_SGhpLXuY0n4ln4/edit"",""19!e42"")"),1891)</f>
        <v>1891</v>
      </c>
      <c r="K504" s="18">
        <f ca="1">IFERROR(__xludf.DUMMYFUNCTION("IMPORTRANGE(""https://docs.google.com/spreadsheets/d/1AxBmuQEdOYAeRnZ4C8vO6kuTNp7X_SGhpLXuY0n4ln4/edit"",""19!e43"")"),0)</f>
        <v>0</v>
      </c>
      <c r="L504" s="18">
        <f t="shared" ca="1" si="1392"/>
        <v>1891</v>
      </c>
      <c r="M504" s="18">
        <f t="shared" ca="1" si="1364"/>
        <v>3204</v>
      </c>
      <c r="N504" s="19">
        <f t="shared" ca="1" si="1365"/>
        <v>198.85891304347825</v>
      </c>
      <c r="O504" s="16">
        <v>8345</v>
      </c>
      <c r="P504" s="20">
        <f t="shared" ca="1" si="1366"/>
        <v>0.38394248052726182</v>
      </c>
      <c r="Q504" s="21">
        <v>1.5</v>
      </c>
      <c r="R504" s="20">
        <f t="shared" ca="1" si="1367"/>
        <v>0.46701233450414376</v>
      </c>
      <c r="S504" s="22">
        <f t="shared" ca="1" si="1368"/>
        <v>0.70051850175621566</v>
      </c>
      <c r="T504" s="21">
        <f ca="1">F504/41.205</f>
        <v>111.00000000000001</v>
      </c>
      <c r="U504" s="21">
        <f t="shared" ca="1" si="1369"/>
        <v>4.8260869565217401</v>
      </c>
      <c r="V504" s="18">
        <f t="shared" ca="1" si="1370"/>
        <v>139.30434782608697</v>
      </c>
      <c r="W504" s="76"/>
      <c r="X504" s="24" t="s">
        <v>33</v>
      </c>
      <c r="Y504" s="24">
        <v>6</v>
      </c>
      <c r="Z504" s="24">
        <f t="shared" ref="Z504:AI504" si="1403">SUM(Z498:Z503)</f>
        <v>169</v>
      </c>
      <c r="AA504" s="25">
        <f t="shared" ca="1" si="1403"/>
        <v>167</v>
      </c>
      <c r="AB504" s="27">
        <f t="shared" ca="1" si="1403"/>
        <v>32911.806999999979</v>
      </c>
      <c r="AC504" s="25">
        <f t="shared" ca="1" si="1403"/>
        <v>10349</v>
      </c>
      <c r="AD504" s="25">
        <f t="shared" ca="1" si="1403"/>
        <v>263</v>
      </c>
      <c r="AE504" s="25">
        <f t="shared" ca="1" si="1403"/>
        <v>10612</v>
      </c>
      <c r="AF504" s="25">
        <f t="shared" ca="1" si="1403"/>
        <v>13761</v>
      </c>
      <c r="AG504" s="25">
        <f t="shared" ca="1" si="1403"/>
        <v>312</v>
      </c>
      <c r="AH504" s="25">
        <f t="shared" ca="1" si="1403"/>
        <v>14073</v>
      </c>
      <c r="AI504" s="25">
        <f t="shared" ca="1" si="1403"/>
        <v>24685</v>
      </c>
      <c r="AJ504" s="27">
        <f t="shared" ca="1" si="1382"/>
        <v>197.07668862275438</v>
      </c>
      <c r="AK504" s="24">
        <f>SUM(AK498:AK503)</f>
        <v>53273</v>
      </c>
      <c r="AL504" s="28">
        <f t="shared" ca="1" si="1384"/>
        <v>0.46336793497644208</v>
      </c>
      <c r="AM504" s="29">
        <v>1.5</v>
      </c>
      <c r="AN504" s="28">
        <f t="shared" ca="1" si="1386"/>
        <v>0.50002318823353209</v>
      </c>
      <c r="AO504" s="30">
        <f t="shared" ca="1" si="1387"/>
        <v>0.75003478235029808</v>
      </c>
      <c r="AP504" s="29">
        <f ca="1">SUM(AP498:AP503)</f>
        <v>1080.5042552831358</v>
      </c>
      <c r="AQ504" s="29">
        <f ca="1">AP504/AA504</f>
        <v>6.4700853609768609</v>
      </c>
      <c r="AR504" s="25">
        <f t="shared" ca="1" si="1389"/>
        <v>147.81437125748502</v>
      </c>
      <c r="AS504" s="76"/>
      <c r="AT504" s="76"/>
    </row>
    <row r="505" spans="1:46" ht="15.75" customHeight="1" x14ac:dyDescent="0.25">
      <c r="A505" s="70"/>
      <c r="B505" s="16">
        <v>14</v>
      </c>
      <c r="C505" s="16" t="s">
        <v>27</v>
      </c>
      <c r="D505" s="17">
        <v>23</v>
      </c>
      <c r="E505" s="18">
        <f ca="1">IFERROR(__xludf.DUMMYFUNCTION("COUNT(IMPORTRANGE(""https://docs.google.com/spreadsheets/d/1LsL4JuXvBtfJ-TVi4NFml9lV_pmd61b789A_nbO-QrA/edit"",""19!d2:d31""))"),22)</f>
        <v>22</v>
      </c>
      <c r="F505" s="23">
        <f ca="1">IFERROR(__xludf.DUMMYFUNCTION("SUM(IMPORTRANGE(""https://docs.google.com/spreadsheets/d/1LsL4JuXvBtfJ-TVi4NFml9lV_pmd61b789A_nbO-QrA/edit"",""19!Q2:Q31""))"),4166.735)</f>
        <v>4166.7349999999997</v>
      </c>
      <c r="G505" s="18">
        <f ca="1">IFERROR(__xludf.DUMMYFUNCTION("IMPORTRANGE(""https://docs.google.com/spreadsheets/d/1LsL4JuXvBtfJ-TVi4NFml9lV_pmd61b789A_nbO-QrA/edit"",""19!e38"")"),1484)</f>
        <v>1484</v>
      </c>
      <c r="H505" s="18">
        <f ca="1">IFERROR(__xludf.DUMMYFUNCTION("IMPORTRANGE(""https://docs.google.com/spreadsheets/d/1LsL4JuXvBtfJ-TVi4NFml9lV_pmd61b789A_nbO-QrA/edit"",""19!e39"")"),0)</f>
        <v>0</v>
      </c>
      <c r="I505" s="18">
        <f t="shared" ca="1" si="1362"/>
        <v>1484</v>
      </c>
      <c r="J505" s="18">
        <f ca="1">IFERROR(__xludf.DUMMYFUNCTION("IMPORTRANGE(""https://docs.google.com/spreadsheets/d/1LsL4JuXvBtfJ-TVi4NFml9lV_pmd61b789A_nbO-QrA/edit"",""19!e42"")"),1968)</f>
        <v>1968</v>
      </c>
      <c r="K505" s="18">
        <f ca="1">IFERROR(__xludf.DUMMYFUNCTION("IMPORTRANGE(""https://docs.google.com/spreadsheets/d/1LsL4JuXvBtfJ-TVi4NFml9lV_pmd61b789A_nbO-QrA/edit"",""19!e43"")"),0)</f>
        <v>0</v>
      </c>
      <c r="L505" s="18">
        <f t="shared" ca="1" si="1392"/>
        <v>1968</v>
      </c>
      <c r="M505" s="18">
        <f t="shared" ca="1" si="1364"/>
        <v>3452</v>
      </c>
      <c r="N505" s="19">
        <f t="shared" ca="1" si="1365"/>
        <v>189.39704545454543</v>
      </c>
      <c r="O505" s="16">
        <v>8101</v>
      </c>
      <c r="P505" s="20">
        <f t="shared" ca="1" si="1366"/>
        <v>0.42612023207011479</v>
      </c>
      <c r="Q505" s="21">
        <v>1.5</v>
      </c>
      <c r="R505" s="20">
        <f t="shared" ca="1" si="1367"/>
        <v>0.55231094210054954</v>
      </c>
      <c r="S505" s="22">
        <f t="shared" ca="1" si="1368"/>
        <v>0.82846641315082437</v>
      </c>
      <c r="T505" s="21">
        <f ca="1">F505/19.985</f>
        <v>208.49311983987991</v>
      </c>
      <c r="U505" s="21">
        <f t="shared" ca="1" si="1369"/>
        <v>9.4769599927218149</v>
      </c>
      <c r="V505" s="18">
        <f t="shared" ca="1" si="1370"/>
        <v>156.90909090909091</v>
      </c>
      <c r="W505" s="76"/>
      <c r="X505" s="97" t="s">
        <v>44</v>
      </c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9"/>
      <c r="AS505" s="76"/>
      <c r="AT505" s="76"/>
    </row>
    <row r="506" spans="1:46" ht="15.75" customHeight="1" x14ac:dyDescent="0.25">
      <c r="A506" s="70"/>
      <c r="B506" s="16">
        <v>15</v>
      </c>
      <c r="C506" s="16" t="s">
        <v>40</v>
      </c>
      <c r="D506" s="17">
        <v>23</v>
      </c>
      <c r="E506" s="18">
        <f ca="1">IFERROR(__xludf.DUMMYFUNCTION("COUNT(IMPORTRANGE(""https://docs.google.com/spreadsheets/d/1Krav0MVlY0vbUNsFRDnb_kR72_tyuGnWBYbGjNZrl18/edit"",""19!d2:d31""))"),23)</f>
        <v>23</v>
      </c>
      <c r="F506" s="23">
        <f ca="1">IFERROR(__xludf.DUMMYFUNCTION("SUM(IMPORTRANGE(""https://docs.google.com/spreadsheets/d/1Krav0MVlY0vbUNsFRDnb_kR72_tyuGnWBYbGjNZrl18/edit"",""19!Q2:Q31""))"),4437.108)</f>
        <v>4437.1080000000002</v>
      </c>
      <c r="G506" s="18">
        <f ca="1">IFERROR(__xludf.DUMMYFUNCTION("IMPORTRANGE(""https://docs.google.com/spreadsheets/d/1Krav0MVlY0vbUNsFRDnb_kR72_tyuGnWBYbGjNZrl18/edit"",""19!e38"")"),1996)</f>
        <v>1996</v>
      </c>
      <c r="H506" s="18">
        <f ca="1">IFERROR(__xludf.DUMMYFUNCTION("IMPORTRANGE(""https://docs.google.com/spreadsheets/d/1Krav0MVlY0vbUNsFRDnb_kR72_tyuGnWBYbGjNZrl18/edit"",""19!e39"")"),102)</f>
        <v>102</v>
      </c>
      <c r="I506" s="18">
        <f t="shared" ca="1" si="1362"/>
        <v>2098</v>
      </c>
      <c r="J506" s="18">
        <f ca="1">IFERROR(__xludf.DUMMYFUNCTION("IMPORTRANGE(""https://docs.google.com/spreadsheets/d/1Krav0MVlY0vbUNsFRDnb_kR72_tyuGnWBYbGjNZrl18/edit"",""19!e42"")"),2599)</f>
        <v>2599</v>
      </c>
      <c r="K506" s="18">
        <f ca="1">IFERROR(__xludf.DUMMYFUNCTION("IMPORTRANGE(""https://docs.google.com/spreadsheets/d/1Krav0MVlY0vbUNsFRDnb_kR72_tyuGnWBYbGjNZrl18/edit"",""19!e43"")"),120)</f>
        <v>120</v>
      </c>
      <c r="L506" s="18">
        <f t="shared" ca="1" si="1392"/>
        <v>2719</v>
      </c>
      <c r="M506" s="18">
        <f t="shared" ca="1" si="1364"/>
        <v>4817</v>
      </c>
      <c r="N506" s="19">
        <f t="shared" ca="1" si="1365"/>
        <v>192.9177391304348</v>
      </c>
      <c r="O506" s="16">
        <v>8239</v>
      </c>
      <c r="P506" s="20">
        <f t="shared" ca="1" si="1366"/>
        <v>0.58465833232188369</v>
      </c>
      <c r="Q506" s="21">
        <v>1.5</v>
      </c>
      <c r="R506" s="20">
        <f t="shared" ca="1" si="1367"/>
        <v>0.72374468535211067</v>
      </c>
      <c r="S506" s="22">
        <f t="shared" ca="1" si="1368"/>
        <v>1.0856170280281661</v>
      </c>
      <c r="T506" s="21">
        <f ca="1">F506/28.443</f>
        <v>156</v>
      </c>
      <c r="U506" s="21">
        <f t="shared" ca="1" si="1369"/>
        <v>6.7826086956521738</v>
      </c>
      <c r="V506" s="18">
        <f t="shared" ca="1" si="1370"/>
        <v>209.43478260869566</v>
      </c>
      <c r="W506" s="76"/>
      <c r="X506" s="1" t="s">
        <v>2</v>
      </c>
      <c r="Y506" s="1" t="s">
        <v>3</v>
      </c>
      <c r="Z506" s="1" t="s">
        <v>4</v>
      </c>
      <c r="AA506" s="1" t="s">
        <v>5</v>
      </c>
      <c r="AB506" s="2" t="s">
        <v>6</v>
      </c>
      <c r="AC506" s="1" t="s">
        <v>7</v>
      </c>
      <c r="AD506" s="1" t="s">
        <v>8</v>
      </c>
      <c r="AE506" s="1" t="s">
        <v>9</v>
      </c>
      <c r="AF506" s="1" t="s">
        <v>10</v>
      </c>
      <c r="AG506" s="1" t="s">
        <v>11</v>
      </c>
      <c r="AH506" s="1" t="s">
        <v>12</v>
      </c>
      <c r="AI506" s="1" t="s">
        <v>13</v>
      </c>
      <c r="AJ506" s="2" t="s">
        <v>14</v>
      </c>
      <c r="AK506" s="1" t="s">
        <v>15</v>
      </c>
      <c r="AL506" s="1" t="s">
        <v>16</v>
      </c>
      <c r="AM506" s="3" t="s">
        <v>17</v>
      </c>
      <c r="AN506" s="4" t="s">
        <v>18</v>
      </c>
      <c r="AO506" s="5" t="s">
        <v>19</v>
      </c>
      <c r="AP506" s="6" t="s">
        <v>20</v>
      </c>
      <c r="AQ506" s="6" t="s">
        <v>21</v>
      </c>
      <c r="AR506" s="7" t="s">
        <v>22</v>
      </c>
      <c r="AS506" s="76"/>
      <c r="AT506" s="76"/>
    </row>
    <row r="507" spans="1:46" ht="15.75" customHeight="1" x14ac:dyDescent="0.25">
      <c r="A507" s="70"/>
      <c r="B507" s="16">
        <v>16</v>
      </c>
      <c r="C507" s="16" t="s">
        <v>42</v>
      </c>
      <c r="D507" s="17">
        <v>24</v>
      </c>
      <c r="E507" s="18">
        <f ca="1">IFERROR(__xludf.DUMMYFUNCTION("COUNT(IMPORTRANGE(""https://docs.google.com/spreadsheets/d/1uXtm-E8PG0CetlFmSpTX3RK0LNEMnpR-mxbET9AGD6w/edit"",""19!d2:d34""))"),23)</f>
        <v>23</v>
      </c>
      <c r="F507" s="23">
        <f ca="1">IFERROR(__xludf.DUMMYFUNCTION("SUM(IMPORTRANGE(""https://docs.google.com/spreadsheets/d/1uXtm-E8PG0CetlFmSpTX3RK0LNEMnpR-mxbET9AGD6w/edit"",""19!Q2:Q34""))"),4515.584)</f>
        <v>4515.5839999999998</v>
      </c>
      <c r="G507" s="18">
        <f ca="1">IFERROR(__xludf.DUMMYFUNCTION("IMPORTRANGE(""https://docs.google.com/spreadsheets/d/1uXtm-E8PG0CetlFmSpTX3RK0LNEMnpR-mxbET9AGD6w/edit"",""19!e41"")"),1926)</f>
        <v>1926</v>
      </c>
      <c r="H507" s="18">
        <f ca="1">IFERROR(__xludf.DUMMYFUNCTION("IMPORTRANGE(""https://docs.google.com/spreadsheets/d/1uXtm-E8PG0CetlFmSpTX3RK0LNEMnpR-mxbET9AGD6w/edit"",""19!e42"")"),0)</f>
        <v>0</v>
      </c>
      <c r="I507" s="18">
        <f t="shared" ca="1" si="1362"/>
        <v>1926</v>
      </c>
      <c r="J507" s="18">
        <f ca="1">IFERROR(__xludf.DUMMYFUNCTION("IMPORTRANGE(""https://docs.google.com/spreadsheets/d/1uXtm-E8PG0CetlFmSpTX3RK0LNEMnpR-mxbET9AGD6w/edit"",""19!e45"")"),2539)</f>
        <v>2539</v>
      </c>
      <c r="K507" s="18">
        <f ca="1">IFERROR(__xludf.DUMMYFUNCTION("IMPORTRANGE(""https://docs.google.com/spreadsheets/d/1uXtm-E8PG0CetlFmSpTX3RK0LNEMnpR-mxbET9AGD6w/edit"",""19!e46"")"),0)</f>
        <v>0</v>
      </c>
      <c r="L507" s="18">
        <f t="shared" ca="1" si="1392"/>
        <v>2539</v>
      </c>
      <c r="M507" s="18">
        <f t="shared" ca="1" si="1364"/>
        <v>4465</v>
      </c>
      <c r="N507" s="19">
        <f t="shared" ca="1" si="1365"/>
        <v>196.32973913043477</v>
      </c>
      <c r="O507" s="16">
        <v>9877</v>
      </c>
      <c r="P507" s="20">
        <f t="shared" ca="1" si="1366"/>
        <v>0.45206034220917285</v>
      </c>
      <c r="Q507" s="21">
        <v>1.5</v>
      </c>
      <c r="R507" s="20">
        <f t="shared" ca="1" si="1367"/>
        <v>0.65919860347336401</v>
      </c>
      <c r="S507" s="22">
        <f t="shared" ca="1" si="1368"/>
        <v>0.98879790521004596</v>
      </c>
      <c r="T507" s="21">
        <f ca="1">F507/26.155</f>
        <v>172.64706557063658</v>
      </c>
      <c r="U507" s="21">
        <f t="shared" ca="1" si="1369"/>
        <v>7.5063941552450686</v>
      </c>
      <c r="V507" s="18">
        <f t="shared" ca="1" si="1370"/>
        <v>194.13043478260869</v>
      </c>
      <c r="W507" s="76"/>
      <c r="X507" s="8">
        <v>1</v>
      </c>
      <c r="Y507" s="8" t="s">
        <v>26</v>
      </c>
      <c r="Z507" s="8">
        <f t="shared" ref="Z507:AI507" si="1404">SUM(D492)</f>
        <v>15</v>
      </c>
      <c r="AA507" s="9">
        <f t="shared" ca="1" si="1404"/>
        <v>15</v>
      </c>
      <c r="AB507" s="11">
        <f t="shared" ca="1" si="1404"/>
        <v>2674.3649999999998</v>
      </c>
      <c r="AC507" s="9">
        <f t="shared" ca="1" si="1404"/>
        <v>1404</v>
      </c>
      <c r="AD507" s="9">
        <f t="shared" ca="1" si="1404"/>
        <v>0</v>
      </c>
      <c r="AE507" s="9">
        <f t="shared" ca="1" si="1404"/>
        <v>1404</v>
      </c>
      <c r="AF507" s="9">
        <f t="shared" ca="1" si="1404"/>
        <v>2018</v>
      </c>
      <c r="AG507" s="9">
        <f t="shared" ca="1" si="1404"/>
        <v>0</v>
      </c>
      <c r="AH507" s="9">
        <f t="shared" ca="1" si="1404"/>
        <v>2018</v>
      </c>
      <c r="AI507" s="9">
        <f t="shared" ca="1" si="1404"/>
        <v>3422</v>
      </c>
      <c r="AJ507" s="11">
        <f t="shared" ref="AJ507:AJ513" ca="1" si="1405">AB507/AA507</f>
        <v>178.291</v>
      </c>
      <c r="AK507" s="8">
        <f>SUM(O492)</f>
        <v>5161</v>
      </c>
      <c r="AL507" s="12">
        <f t="shared" ref="AL507:AL513" ca="1" si="1406">AI507/AK507</f>
        <v>0.663049796551056</v>
      </c>
      <c r="AM507" s="13">
        <f>SUM(Q492)</f>
        <v>1.5</v>
      </c>
      <c r="AN507" s="12">
        <f t="shared" ref="AN507:AN513" ca="1" si="1407">AO507/AM507</f>
        <v>0.85303738769140847</v>
      </c>
      <c r="AO507" s="14">
        <f t="shared" ref="AO507:AO513" ca="1" si="1408">AI507/AB507</f>
        <v>1.2795560815371128</v>
      </c>
      <c r="AP507" s="13">
        <f t="shared" ref="AP507:AQ507" ca="1" si="1409">SUM(T492)</f>
        <v>185.52653485952132</v>
      </c>
      <c r="AQ507" s="13">
        <f t="shared" ca="1" si="1409"/>
        <v>12.368435657301422</v>
      </c>
      <c r="AR507" s="9">
        <f t="shared" ref="AR507:AR513" ca="1" si="1410">AI507/AA507</f>
        <v>228.13333333333333</v>
      </c>
      <c r="AS507" s="76"/>
      <c r="AT507" s="76"/>
    </row>
    <row r="508" spans="1:46" ht="15.75" customHeight="1" x14ac:dyDescent="0.25">
      <c r="A508" s="70"/>
      <c r="B508" s="16">
        <v>17</v>
      </c>
      <c r="C508" s="16" t="s">
        <v>29</v>
      </c>
      <c r="D508" s="17">
        <v>23</v>
      </c>
      <c r="E508" s="18">
        <f ca="1">IFERROR(__xludf.DUMMYFUNCTION("COUNT(IMPORTRANGE(""https://docs.google.com/spreadsheets/d/12xcKI0lSnAsjEsxfm9K8Qx0B_89Gzsh816mowItkQao/edit"",""19!d2:d31""))"),23)</f>
        <v>23</v>
      </c>
      <c r="F508" s="23">
        <f ca="1">IFERROR(__xludf.DUMMYFUNCTION("SUM(IMPORTRANGE(""https://docs.google.com/spreadsheets/d/12xcKI0lSnAsjEsxfm9K8Qx0B_89Gzsh816mowItkQao/edit"",""19!Q2:Q31""))"),4381.582)</f>
        <v>4381.5820000000003</v>
      </c>
      <c r="G508" s="18">
        <f ca="1">IFERROR(__xludf.DUMMYFUNCTION("IMPORTRANGE(""https://docs.google.com/spreadsheets/d/12xcKI0lSnAsjEsxfm9K8Qx0B_89Gzsh816mowItkQao/edit"",""19!e38"")"),1554)</f>
        <v>1554</v>
      </c>
      <c r="H508" s="18">
        <f ca="1">IFERROR(__xludf.DUMMYFUNCTION("IMPORTRANGE(""https://docs.google.com/spreadsheets/d/12xcKI0lSnAsjEsxfm9K8Qx0B_89Gzsh816mowItkQao/edit"",""19!e39"")"),0)</f>
        <v>0</v>
      </c>
      <c r="I508" s="18">
        <f t="shared" ca="1" si="1362"/>
        <v>1554</v>
      </c>
      <c r="J508" s="18">
        <f ca="1">IFERROR(__xludf.DUMMYFUNCTION("IMPORTRANGE(""https://docs.google.com/spreadsheets/d/12xcKI0lSnAsjEsxfm9K8Qx0B_89Gzsh816mowItkQao/edit"",""19!e42"")"),2385)</f>
        <v>2385</v>
      </c>
      <c r="K508" s="18">
        <f ca="1">IFERROR(__xludf.DUMMYFUNCTION("IMPORTRANGE(""https://docs.google.com/spreadsheets/d/12xcKI0lSnAsjEsxfm9K8Qx0B_89Gzsh816mowItkQao/edit"",""19!e43"")"),0)</f>
        <v>0</v>
      </c>
      <c r="L508" s="18">
        <f t="shared" ca="1" si="1392"/>
        <v>2385</v>
      </c>
      <c r="M508" s="18">
        <f t="shared" ca="1" si="1364"/>
        <v>3939</v>
      </c>
      <c r="N508" s="19">
        <f t="shared" ca="1" si="1365"/>
        <v>190.50356521739133</v>
      </c>
      <c r="O508" s="16">
        <v>9201</v>
      </c>
      <c r="P508" s="20">
        <f t="shared" ca="1" si="1366"/>
        <v>0.42810564069122919</v>
      </c>
      <c r="Q508" s="21">
        <v>1.5</v>
      </c>
      <c r="R508" s="20">
        <f t="shared" ca="1" si="1367"/>
        <v>0.59932690977824898</v>
      </c>
      <c r="S508" s="22">
        <f t="shared" ca="1" si="1368"/>
        <v>0.89899036466737348</v>
      </c>
      <c r="T508" s="21">
        <f ca="1">F508/26.038</f>
        <v>168.27644212305094</v>
      </c>
      <c r="U508" s="21">
        <f t="shared" ca="1" si="1369"/>
        <v>7.3163670488283019</v>
      </c>
      <c r="V508" s="18">
        <f t="shared" ca="1" si="1370"/>
        <v>171.2608695652174</v>
      </c>
      <c r="W508" s="76"/>
      <c r="X508" s="8">
        <v>2</v>
      </c>
      <c r="Y508" s="8" t="s">
        <v>32</v>
      </c>
      <c r="Z508" s="8">
        <f t="shared" ref="Z508:AI508" si="1411">SUM(D495)</f>
        <v>32</v>
      </c>
      <c r="AA508" s="9">
        <f t="shared" ca="1" si="1411"/>
        <v>32</v>
      </c>
      <c r="AB508" s="10">
        <f t="shared" ca="1" si="1411"/>
        <v>6422.7839999999896</v>
      </c>
      <c r="AC508" s="8">
        <f t="shared" ca="1" si="1411"/>
        <v>2812</v>
      </c>
      <c r="AD508" s="8">
        <f t="shared" ca="1" si="1411"/>
        <v>114</v>
      </c>
      <c r="AE508" s="9">
        <f t="shared" ca="1" si="1411"/>
        <v>2926</v>
      </c>
      <c r="AF508" s="8">
        <f t="shared" ca="1" si="1411"/>
        <v>3371</v>
      </c>
      <c r="AG508" s="8">
        <f t="shared" ca="1" si="1411"/>
        <v>0</v>
      </c>
      <c r="AH508" s="9">
        <f t="shared" ca="1" si="1411"/>
        <v>3371</v>
      </c>
      <c r="AI508" s="9">
        <f t="shared" ca="1" si="1411"/>
        <v>6297</v>
      </c>
      <c r="AJ508" s="11">
        <f t="shared" ca="1" si="1405"/>
        <v>200.71199999999968</v>
      </c>
      <c r="AK508" s="8">
        <f>SUM(O495)</f>
        <v>13817</v>
      </c>
      <c r="AL508" s="12">
        <f t="shared" ca="1" si="1406"/>
        <v>0.45574292538177608</v>
      </c>
      <c r="AM508" s="13">
        <f>SUM(Q495)</f>
        <v>1.5</v>
      </c>
      <c r="AN508" s="12">
        <f t="shared" ca="1" si="1407"/>
        <v>0.65361064609988551</v>
      </c>
      <c r="AO508" s="14">
        <f t="shared" ca="1" si="1408"/>
        <v>0.9804159691498282</v>
      </c>
      <c r="AP508" s="13">
        <f t="shared" ref="AP508:AQ508" ca="1" si="1412">SUM(T495)</f>
        <v>255.9999999999996</v>
      </c>
      <c r="AQ508" s="13">
        <f t="shared" ca="1" si="1412"/>
        <v>7.9999999999999876</v>
      </c>
      <c r="AR508" s="9">
        <f t="shared" ca="1" si="1410"/>
        <v>196.78125</v>
      </c>
      <c r="AS508" s="76"/>
      <c r="AT508" s="76"/>
    </row>
    <row r="509" spans="1:46" ht="15.75" customHeight="1" x14ac:dyDescent="0.25">
      <c r="A509" s="70"/>
      <c r="B509" s="16">
        <v>18</v>
      </c>
      <c r="C509" s="16" t="s">
        <v>31</v>
      </c>
      <c r="D509" s="17">
        <v>11</v>
      </c>
      <c r="E509" s="18">
        <f ca="1">IFERROR(__xludf.DUMMYFUNCTION("COUNT(IMPORTRANGE(""https://docs.google.com/spreadsheets/d/1fgCFOFzOla4Qim6_-zG-lbYhLCItqv_kZiAHoErRgcM/edit"",""19!d2:d16""))"),10)</f>
        <v>10</v>
      </c>
      <c r="F509" s="19">
        <f ca="1">IFERROR(__xludf.DUMMYFUNCTION("SUM(IMPORTRANGE(""https://docs.google.com/spreadsheets/d/1fgCFOFzOla4Qim6_-zG-lbYhLCItqv_kZiAHoErRgcM/edit"",""19!Q2:Q16""))"),1999.39)</f>
        <v>1999.39</v>
      </c>
      <c r="G509" s="18">
        <f ca="1">IFERROR(__xludf.DUMMYFUNCTION("IMPORTRANGE(""https://docs.google.com/spreadsheets/d/1fgCFOFzOla4Qim6_-zG-lbYhLCItqv_kZiAHoErRgcM/edit"",""19!e23"")"),425)</f>
        <v>425</v>
      </c>
      <c r="H509" s="18">
        <f ca="1">IFERROR(__xludf.DUMMYFUNCTION("IMPORTRANGE(""https://docs.google.com/spreadsheets/d/1fgCFOFzOla4Qim6_-zG-lbYhLCItqv_kZiAHoErRgcM/edit"",""19!e24"")"),0)</f>
        <v>0</v>
      </c>
      <c r="I509" s="18">
        <f t="shared" ca="1" si="1362"/>
        <v>425</v>
      </c>
      <c r="J509" s="18">
        <f ca="1">IFERROR(__xludf.DUMMYFUNCTION("IMPORTRANGE(""https://docs.google.com/spreadsheets/d/1fgCFOFzOla4Qim6_-zG-lbYhLCItqv_kZiAHoErRgcM/edit"",""19!e27"")"),643)</f>
        <v>643</v>
      </c>
      <c r="K509" s="18">
        <f ca="1">IFERROR(__xludf.DUMMYFUNCTION("IMPORTRANGE(""https://docs.google.com/spreadsheets/d/1fgCFOFzOla4Qim6_-zG-lbYhLCItqv_kZiAHoErRgcM/edit"",""19!e28"")"),7)</f>
        <v>7</v>
      </c>
      <c r="L509" s="18">
        <f t="shared" ca="1" si="1392"/>
        <v>650</v>
      </c>
      <c r="M509" s="18">
        <f t="shared" ca="1" si="1364"/>
        <v>1075</v>
      </c>
      <c r="N509" s="19">
        <f t="shared" ca="1" si="1365"/>
        <v>199.93900000000002</v>
      </c>
      <c r="O509" s="16">
        <v>2717</v>
      </c>
      <c r="P509" s="20">
        <f t="shared" ca="1" si="1366"/>
        <v>0.39565697460434301</v>
      </c>
      <c r="Q509" s="21">
        <v>1.5</v>
      </c>
      <c r="R509" s="20">
        <f t="shared" ca="1" si="1367"/>
        <v>0.35844265834412825</v>
      </c>
      <c r="S509" s="22">
        <f t="shared" ca="1" si="1368"/>
        <v>0.53766398751619238</v>
      </c>
      <c r="T509" s="21">
        <f ca="1">F509/43.465</f>
        <v>46</v>
      </c>
      <c r="U509" s="21">
        <f t="shared" ca="1" si="1369"/>
        <v>4.5999999999999996</v>
      </c>
      <c r="V509" s="18">
        <f t="shared" ca="1" si="1370"/>
        <v>107.5</v>
      </c>
      <c r="W509" s="76"/>
      <c r="X509" s="8">
        <v>3</v>
      </c>
      <c r="Y509" s="8" t="s">
        <v>36</v>
      </c>
      <c r="Z509" s="8">
        <f t="shared" ref="Z509:AI509" si="1413">SUM(D500)</f>
        <v>22</v>
      </c>
      <c r="AA509" s="9">
        <f t="shared" ca="1" si="1413"/>
        <v>22</v>
      </c>
      <c r="AB509" s="10">
        <f t="shared" ca="1" si="1413"/>
        <v>4372.6499999999896</v>
      </c>
      <c r="AC509" s="9">
        <f t="shared" ca="1" si="1413"/>
        <v>744</v>
      </c>
      <c r="AD509" s="9">
        <f t="shared" ca="1" si="1413"/>
        <v>0</v>
      </c>
      <c r="AE509" s="9">
        <f t="shared" ca="1" si="1413"/>
        <v>744</v>
      </c>
      <c r="AF509" s="9">
        <f t="shared" ca="1" si="1413"/>
        <v>1706</v>
      </c>
      <c r="AG509" s="9">
        <f t="shared" ca="1" si="1413"/>
        <v>0</v>
      </c>
      <c r="AH509" s="9">
        <f t="shared" ca="1" si="1413"/>
        <v>1706</v>
      </c>
      <c r="AI509" s="9">
        <f t="shared" ca="1" si="1413"/>
        <v>2450</v>
      </c>
      <c r="AJ509" s="11">
        <f t="shared" ca="1" si="1405"/>
        <v>198.75681818181772</v>
      </c>
      <c r="AK509" s="8">
        <f t="shared" ref="AK509:AK512" si="1414">SUM(O500)</f>
        <v>4796</v>
      </c>
      <c r="AL509" s="12">
        <f t="shared" ca="1" si="1406"/>
        <v>0.51084236864053378</v>
      </c>
      <c r="AM509" s="13">
        <f t="shared" ref="AM509:AM512" si="1415">SUM(Q500)</f>
        <v>1.5</v>
      </c>
      <c r="AN509" s="12">
        <f t="shared" ca="1" si="1407"/>
        <v>0.37353397443960462</v>
      </c>
      <c r="AO509" s="14">
        <f t="shared" ca="1" si="1408"/>
        <v>0.5603009616594069</v>
      </c>
      <c r="AP509" s="13">
        <f t="shared" ref="AP509:AQ509" ca="1" si="1416">SUM(T500)</f>
        <v>116.87202651413881</v>
      </c>
      <c r="AQ509" s="13">
        <f t="shared" ca="1" si="1416"/>
        <v>5.3123648415517639</v>
      </c>
      <c r="AR509" s="9">
        <f t="shared" ca="1" si="1410"/>
        <v>111.36363636363636</v>
      </c>
      <c r="AS509" s="76"/>
      <c r="AT509" s="76"/>
    </row>
    <row r="510" spans="1:46" ht="15.75" customHeight="1" x14ac:dyDescent="0.2">
      <c r="A510" s="70"/>
      <c r="B510" s="98" t="s">
        <v>33</v>
      </c>
      <c r="C510" s="98">
        <v>18</v>
      </c>
      <c r="D510" s="98">
        <f t="shared" ref="D510:M510" si="1417">SUM(D492:D509)</f>
        <v>445</v>
      </c>
      <c r="E510" s="74">
        <f t="shared" ca="1" si="1417"/>
        <v>435</v>
      </c>
      <c r="F510" s="99">
        <f t="shared" ca="1" si="1417"/>
        <v>85230.108999999895</v>
      </c>
      <c r="G510" s="74">
        <f t="shared" ca="1" si="1417"/>
        <v>24554</v>
      </c>
      <c r="H510" s="74">
        <f t="shared" ca="1" si="1417"/>
        <v>675</v>
      </c>
      <c r="I510" s="74">
        <f t="shared" ca="1" si="1417"/>
        <v>25229</v>
      </c>
      <c r="J510" s="74">
        <f t="shared" ca="1" si="1417"/>
        <v>35090</v>
      </c>
      <c r="K510" s="74">
        <f t="shared" ca="1" si="1417"/>
        <v>641</v>
      </c>
      <c r="L510" s="74">
        <f t="shared" ca="1" si="1417"/>
        <v>35731</v>
      </c>
      <c r="M510" s="74">
        <f t="shared" ca="1" si="1417"/>
        <v>60960</v>
      </c>
      <c r="N510" s="99">
        <f t="shared" ca="1" si="1365"/>
        <v>195.93128505747103</v>
      </c>
      <c r="O510" s="98">
        <f>SUM(O492:O509)</f>
        <v>126399</v>
      </c>
      <c r="P510" s="69">
        <f t="shared" ca="1" si="1366"/>
        <v>0.48228229653715615</v>
      </c>
      <c r="Q510" s="72">
        <v>1.5</v>
      </c>
      <c r="R510" s="69">
        <f t="shared" ca="1" si="1367"/>
        <v>0.47682679837943248</v>
      </c>
      <c r="S510" s="73">
        <f t="shared" ca="1" si="1368"/>
        <v>0.71524019756914869</v>
      </c>
      <c r="T510" s="72">
        <f ca="1">SUM(T492:T509)</f>
        <v>3140.5075285037619</v>
      </c>
      <c r="U510" s="72">
        <f t="shared" ca="1" si="1369"/>
        <v>7.2195575367902576</v>
      </c>
      <c r="V510" s="74">
        <f t="shared" ca="1" si="1370"/>
        <v>140.13793103448276</v>
      </c>
      <c r="W510" s="76"/>
      <c r="X510" s="8">
        <v>4</v>
      </c>
      <c r="Y510" s="8" t="s">
        <v>37</v>
      </c>
      <c r="Z510" s="8">
        <f t="shared" ref="Z510:AI510" si="1418">SUM(D501)</f>
        <v>23</v>
      </c>
      <c r="AA510" s="9">
        <f t="shared" ca="1" si="1418"/>
        <v>23</v>
      </c>
      <c r="AB510" s="10">
        <f t="shared" ca="1" si="1418"/>
        <v>4583.8979999999901</v>
      </c>
      <c r="AC510" s="9">
        <f t="shared" ca="1" si="1418"/>
        <v>971</v>
      </c>
      <c r="AD510" s="9">
        <f t="shared" ca="1" si="1418"/>
        <v>0</v>
      </c>
      <c r="AE510" s="9">
        <f t="shared" ca="1" si="1418"/>
        <v>971</v>
      </c>
      <c r="AF510" s="9">
        <f t="shared" ca="1" si="1418"/>
        <v>1915</v>
      </c>
      <c r="AG510" s="9">
        <f t="shared" ca="1" si="1418"/>
        <v>0</v>
      </c>
      <c r="AH510" s="9">
        <f t="shared" ca="1" si="1418"/>
        <v>1915</v>
      </c>
      <c r="AI510" s="9">
        <f t="shared" ca="1" si="1418"/>
        <v>2886</v>
      </c>
      <c r="AJ510" s="11">
        <f t="shared" ca="1" si="1405"/>
        <v>199.29991304347783</v>
      </c>
      <c r="AK510" s="8">
        <f t="shared" si="1414"/>
        <v>5887</v>
      </c>
      <c r="AL510" s="12">
        <f t="shared" ca="1" si="1406"/>
        <v>0.49023271615423814</v>
      </c>
      <c r="AM510" s="13">
        <f t="shared" si="1415"/>
        <v>1.5</v>
      </c>
      <c r="AN510" s="12">
        <f t="shared" ca="1" si="1407"/>
        <v>0.41973010743258338</v>
      </c>
      <c r="AO510" s="14">
        <f t="shared" ca="1" si="1408"/>
        <v>0.62959516114887504</v>
      </c>
      <c r="AP510" s="13">
        <f t="shared" ref="AP510:AQ510" ca="1" si="1419">SUM(T501)</f>
        <v>184.89424007744392</v>
      </c>
      <c r="AQ510" s="13">
        <f t="shared" ca="1" si="1419"/>
        <v>8.0388800033671277</v>
      </c>
      <c r="AR510" s="9">
        <f t="shared" ca="1" si="1410"/>
        <v>125.47826086956522</v>
      </c>
      <c r="AS510" s="76"/>
      <c r="AT510" s="76"/>
    </row>
    <row r="511" spans="1:46" ht="15.75" customHeight="1" x14ac:dyDescent="0.2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6"/>
      <c r="X511" s="8">
        <v>5</v>
      </c>
      <c r="Y511" s="8" t="s">
        <v>39</v>
      </c>
      <c r="Z511" s="8">
        <f t="shared" ref="Z511:AI511" si="1420">SUM(D502)</f>
        <v>21</v>
      </c>
      <c r="AA511" s="9">
        <f t="shared" ca="1" si="1420"/>
        <v>21</v>
      </c>
      <c r="AB511" s="10">
        <f t="shared" ca="1" si="1420"/>
        <v>4212.2049999999899</v>
      </c>
      <c r="AC511" s="9">
        <f t="shared" ca="1" si="1420"/>
        <v>830</v>
      </c>
      <c r="AD511" s="9">
        <f t="shared" ca="1" si="1420"/>
        <v>0</v>
      </c>
      <c r="AE511" s="9">
        <f t="shared" ca="1" si="1420"/>
        <v>830</v>
      </c>
      <c r="AF511" s="9">
        <f t="shared" ca="1" si="1420"/>
        <v>1305</v>
      </c>
      <c r="AG511" s="9">
        <f t="shared" ca="1" si="1420"/>
        <v>0</v>
      </c>
      <c r="AH511" s="9">
        <f t="shared" ca="1" si="1420"/>
        <v>1305</v>
      </c>
      <c r="AI511" s="9">
        <f t="shared" ca="1" si="1420"/>
        <v>2135</v>
      </c>
      <c r="AJ511" s="11">
        <f t="shared" ca="1" si="1405"/>
        <v>200.58119047618999</v>
      </c>
      <c r="AK511" s="8">
        <f t="shared" si="1414"/>
        <v>3569</v>
      </c>
      <c r="AL511" s="12">
        <f t="shared" ca="1" si="1406"/>
        <v>0.59820678061081534</v>
      </c>
      <c r="AM511" s="13">
        <f t="shared" si="1415"/>
        <v>1.5</v>
      </c>
      <c r="AN511" s="12">
        <f t="shared" ca="1" si="1407"/>
        <v>0.33790694739057975</v>
      </c>
      <c r="AO511" s="14">
        <f t="shared" ca="1" si="1408"/>
        <v>0.50686042108586959</v>
      </c>
      <c r="AP511" s="13">
        <f t="shared" ref="AP511:AQ511" ca="1" si="1421">SUM(T502)</f>
        <v>196.25425150258536</v>
      </c>
      <c r="AQ511" s="13">
        <f t="shared" ca="1" si="1421"/>
        <v>9.3454405477421609</v>
      </c>
      <c r="AR511" s="9">
        <f t="shared" ca="1" si="1410"/>
        <v>101.66666666666667</v>
      </c>
      <c r="AS511" s="76"/>
      <c r="AT511" s="76"/>
    </row>
    <row r="512" spans="1:46" ht="15.75" customHeight="1" x14ac:dyDescent="0.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6"/>
      <c r="X512" s="8">
        <v>6</v>
      </c>
      <c r="Y512" s="8" t="s">
        <v>41</v>
      </c>
      <c r="Z512" s="8">
        <f t="shared" ref="Z512:AI512" si="1422">SUM(D503)</f>
        <v>19</v>
      </c>
      <c r="AA512" s="9">
        <f t="shared" ca="1" si="1422"/>
        <v>19</v>
      </c>
      <c r="AB512" s="10">
        <f t="shared" ca="1" si="1422"/>
        <v>3812.136</v>
      </c>
      <c r="AC512" s="9">
        <f t="shared" ca="1" si="1422"/>
        <v>740</v>
      </c>
      <c r="AD512" s="9">
        <f t="shared" ca="1" si="1422"/>
        <v>0</v>
      </c>
      <c r="AE512" s="9">
        <f t="shared" ca="1" si="1422"/>
        <v>740</v>
      </c>
      <c r="AF512" s="9">
        <f t="shared" ca="1" si="1422"/>
        <v>988</v>
      </c>
      <c r="AG512" s="9">
        <f t="shared" ca="1" si="1422"/>
        <v>0</v>
      </c>
      <c r="AH512" s="9">
        <f t="shared" ca="1" si="1422"/>
        <v>988</v>
      </c>
      <c r="AI512" s="9">
        <f t="shared" ca="1" si="1422"/>
        <v>1728</v>
      </c>
      <c r="AJ512" s="11">
        <f t="shared" ca="1" si="1405"/>
        <v>200.63873684210526</v>
      </c>
      <c r="AK512" s="8">
        <f t="shared" si="1414"/>
        <v>3801</v>
      </c>
      <c r="AL512" s="12">
        <f t="shared" ca="1" si="1406"/>
        <v>0.45461720599842148</v>
      </c>
      <c r="AM512" s="13">
        <f t="shared" si="1415"/>
        <v>1.5</v>
      </c>
      <c r="AN512" s="12">
        <f t="shared" ca="1" si="1407"/>
        <v>0.30219278640636116</v>
      </c>
      <c r="AO512" s="14">
        <f t="shared" ca="1" si="1408"/>
        <v>0.45328917960954174</v>
      </c>
      <c r="AP512" s="13">
        <f t="shared" ref="AP512:AQ512" ca="1" si="1423">SUM(T503)</f>
        <v>128.66666666666666</v>
      </c>
      <c r="AQ512" s="13">
        <f t="shared" ca="1" si="1423"/>
        <v>6.7719298245614032</v>
      </c>
      <c r="AR512" s="9">
        <f t="shared" ca="1" si="1410"/>
        <v>90.94736842105263</v>
      </c>
      <c r="AS512" s="76"/>
      <c r="AT512" s="76"/>
    </row>
    <row r="513" spans="1:46" ht="15.75" customHeight="1" x14ac:dyDescent="0.25">
      <c r="A513" s="110" t="s">
        <v>45</v>
      </c>
      <c r="B513" s="76"/>
      <c r="C513" s="76"/>
      <c r="D513" s="75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24" t="s">
        <v>33</v>
      </c>
      <c r="Y513" s="24">
        <v>6</v>
      </c>
      <c r="Z513" s="24">
        <f t="shared" ref="Z513:AI513" si="1424">SUM(Z507:Z512)</f>
        <v>132</v>
      </c>
      <c r="AA513" s="25">
        <f t="shared" ca="1" si="1424"/>
        <v>132</v>
      </c>
      <c r="AB513" s="27">
        <f t="shared" ca="1" si="1424"/>
        <v>26078.03799999996</v>
      </c>
      <c r="AC513" s="25">
        <f t="shared" ca="1" si="1424"/>
        <v>7501</v>
      </c>
      <c r="AD513" s="25">
        <f t="shared" ca="1" si="1424"/>
        <v>114</v>
      </c>
      <c r="AE513" s="25">
        <f t="shared" ca="1" si="1424"/>
        <v>7615</v>
      </c>
      <c r="AF513" s="25">
        <f t="shared" ca="1" si="1424"/>
        <v>11303</v>
      </c>
      <c r="AG513" s="25">
        <f t="shared" ca="1" si="1424"/>
        <v>0</v>
      </c>
      <c r="AH513" s="25">
        <f t="shared" ca="1" si="1424"/>
        <v>11303</v>
      </c>
      <c r="AI513" s="25">
        <f t="shared" ca="1" si="1424"/>
        <v>18918</v>
      </c>
      <c r="AJ513" s="27">
        <f t="shared" ca="1" si="1405"/>
        <v>197.56089393939365</v>
      </c>
      <c r="AK513" s="24">
        <f>SUM(AK507:AK512)</f>
        <v>37031</v>
      </c>
      <c r="AL513" s="28">
        <f t="shared" ca="1" si="1406"/>
        <v>0.51086927169128571</v>
      </c>
      <c r="AM513" s="29">
        <v>1.5</v>
      </c>
      <c r="AN513" s="28">
        <f t="shared" ca="1" si="1407"/>
        <v>0.48362534021923037</v>
      </c>
      <c r="AO513" s="30">
        <f t="shared" ca="1" si="1408"/>
        <v>0.72543801032884558</v>
      </c>
      <c r="AP513" s="29">
        <f ca="1">SUM(AP507:AP512)</f>
        <v>1068.2137196203557</v>
      </c>
      <c r="AQ513" s="29">
        <f ca="1">AP513/AA513</f>
        <v>8.0925281789420893</v>
      </c>
      <c r="AR513" s="25">
        <f t="shared" ca="1" si="1410"/>
        <v>143.31818181818181</v>
      </c>
      <c r="AS513" s="76"/>
      <c r="AT513" s="76"/>
    </row>
    <row r="514" spans="1:46" ht="15.75" customHeight="1" x14ac:dyDescent="0.2">
      <c r="A514" s="110" t="s">
        <v>45</v>
      </c>
      <c r="B514" s="76"/>
      <c r="C514" s="76"/>
      <c r="D514" s="75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7" t="s">
        <v>1</v>
      </c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9"/>
      <c r="AS514" s="76"/>
      <c r="AT514" s="76"/>
    </row>
    <row r="515" spans="1:46" ht="15.75" customHeight="1" x14ac:dyDescent="0.2">
      <c r="A515" s="109">
        <v>46223</v>
      </c>
      <c r="B515" s="80" t="s">
        <v>2</v>
      </c>
      <c r="C515" s="80" t="s">
        <v>3</v>
      </c>
      <c r="D515" s="80" t="s">
        <v>4</v>
      </c>
      <c r="E515" s="80" t="s">
        <v>5</v>
      </c>
      <c r="F515" s="81" t="s">
        <v>6</v>
      </c>
      <c r="G515" s="80" t="s">
        <v>7</v>
      </c>
      <c r="H515" s="80" t="s">
        <v>8</v>
      </c>
      <c r="I515" s="80" t="s">
        <v>9</v>
      </c>
      <c r="J515" s="80" t="s">
        <v>10</v>
      </c>
      <c r="K515" s="80" t="s">
        <v>11</v>
      </c>
      <c r="L515" s="80" t="s">
        <v>12</v>
      </c>
      <c r="M515" s="80" t="s">
        <v>13</v>
      </c>
      <c r="N515" s="81" t="s">
        <v>14</v>
      </c>
      <c r="O515" s="80" t="s">
        <v>15</v>
      </c>
      <c r="P515" s="80" t="s">
        <v>16</v>
      </c>
      <c r="Q515" s="80" t="s">
        <v>17</v>
      </c>
      <c r="R515" s="80" t="s">
        <v>18</v>
      </c>
      <c r="S515" s="106" t="s">
        <v>19</v>
      </c>
      <c r="T515" s="107" t="s">
        <v>20</v>
      </c>
      <c r="U515" s="107" t="s">
        <v>21</v>
      </c>
      <c r="V515" s="105" t="s">
        <v>22</v>
      </c>
      <c r="W515" s="76"/>
      <c r="X515" s="1" t="s">
        <v>2</v>
      </c>
      <c r="Y515" s="1" t="s">
        <v>3</v>
      </c>
      <c r="Z515" s="1" t="s">
        <v>4</v>
      </c>
      <c r="AA515" s="1" t="s">
        <v>5</v>
      </c>
      <c r="AB515" s="2" t="s">
        <v>6</v>
      </c>
      <c r="AC515" s="1" t="s">
        <v>7</v>
      </c>
      <c r="AD515" s="1" t="s">
        <v>8</v>
      </c>
      <c r="AE515" s="1" t="s">
        <v>9</v>
      </c>
      <c r="AF515" s="1" t="s">
        <v>10</v>
      </c>
      <c r="AG515" s="1" t="s">
        <v>11</v>
      </c>
      <c r="AH515" s="1" t="s">
        <v>12</v>
      </c>
      <c r="AI515" s="1" t="s">
        <v>13</v>
      </c>
      <c r="AJ515" s="2" t="s">
        <v>14</v>
      </c>
      <c r="AK515" s="1" t="s">
        <v>15</v>
      </c>
      <c r="AL515" s="1" t="s">
        <v>16</v>
      </c>
      <c r="AM515" s="3" t="s">
        <v>17</v>
      </c>
      <c r="AN515" s="4" t="s">
        <v>18</v>
      </c>
      <c r="AO515" s="5" t="s">
        <v>19</v>
      </c>
      <c r="AP515" s="6" t="s">
        <v>20</v>
      </c>
      <c r="AQ515" s="6" t="s">
        <v>21</v>
      </c>
      <c r="AR515" s="7" t="s">
        <v>22</v>
      </c>
      <c r="AS515" s="76"/>
      <c r="AT515" s="76"/>
    </row>
    <row r="516" spans="1:46" ht="15.75" customHeight="1" x14ac:dyDescent="0.2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6"/>
      <c r="X516" s="8">
        <v>1</v>
      </c>
      <c r="Y516" s="8" t="s">
        <v>23</v>
      </c>
      <c r="Z516" s="8">
        <f t="shared" ref="Z516:AI516" si="1425">SUM(D524)</f>
        <v>35</v>
      </c>
      <c r="AA516" s="9">
        <f t="shared" ca="1" si="1425"/>
        <v>34</v>
      </c>
      <c r="AB516" s="10">
        <f t="shared" ca="1" si="1425"/>
        <v>6579.2999999999902</v>
      </c>
      <c r="AC516" s="9">
        <f t="shared" ca="1" si="1425"/>
        <v>1795</v>
      </c>
      <c r="AD516" s="9">
        <f t="shared" ca="1" si="1425"/>
        <v>0</v>
      </c>
      <c r="AE516" s="9">
        <f t="shared" ca="1" si="1425"/>
        <v>1795</v>
      </c>
      <c r="AF516" s="9">
        <f t="shared" ca="1" si="1425"/>
        <v>3217</v>
      </c>
      <c r="AG516" s="9">
        <f t="shared" ca="1" si="1425"/>
        <v>0</v>
      </c>
      <c r="AH516" s="9">
        <f t="shared" ca="1" si="1425"/>
        <v>3217</v>
      </c>
      <c r="AI516" s="9">
        <f t="shared" ca="1" si="1425"/>
        <v>5012</v>
      </c>
      <c r="AJ516" s="11">
        <f t="shared" ref="AJ516:AJ518" ca="1" si="1426">AB516/AA516</f>
        <v>193.50882352941147</v>
      </c>
      <c r="AK516" s="8">
        <f>SUM(O524)</f>
        <v>6853</v>
      </c>
      <c r="AL516" s="12">
        <f t="shared" ref="AL516:AL522" ca="1" si="1427">AI516/AK516</f>
        <v>0.73135852911133814</v>
      </c>
      <c r="AM516" s="13">
        <f t="shared" ref="AM516:AM518" si="1428">SUM(Q524)</f>
        <v>1.5</v>
      </c>
      <c r="AN516" s="12">
        <f t="shared" ref="AN516:AN522" ca="1" si="1429">AO516/AM516</f>
        <v>0.50785544561478246</v>
      </c>
      <c r="AO516" s="14">
        <f t="shared" ref="AO516:AO522" ca="1" si="1430">AI516/AB516</f>
        <v>0.76178316842217375</v>
      </c>
      <c r="AP516" s="13">
        <f t="shared" ref="AP516:AQ516" ca="1" si="1431">SUM(T524)</f>
        <v>194.99999999999969</v>
      </c>
      <c r="AQ516" s="13">
        <f t="shared" ca="1" si="1431"/>
        <v>5.73529411764705</v>
      </c>
      <c r="AR516" s="9">
        <f t="shared" ref="AR516:AR522" ca="1" si="1432">AI516/AA516</f>
        <v>147.41176470588235</v>
      </c>
      <c r="AS516" s="76"/>
      <c r="AT516" s="76"/>
    </row>
    <row r="517" spans="1:46" ht="15.75" customHeight="1" x14ac:dyDescent="0.2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6"/>
      <c r="X517" s="8">
        <v>2</v>
      </c>
      <c r="Y517" s="8" t="s">
        <v>24</v>
      </c>
      <c r="Z517" s="8">
        <f t="shared" ref="Z517:AI517" si="1433">SUM(D525)</f>
        <v>44</v>
      </c>
      <c r="AA517" s="9">
        <f t="shared" ca="1" si="1433"/>
        <v>42</v>
      </c>
      <c r="AB517" s="10">
        <f t="shared" ca="1" si="1433"/>
        <v>8049.0079999999898</v>
      </c>
      <c r="AC517" s="9">
        <f t="shared" ca="1" si="1433"/>
        <v>997</v>
      </c>
      <c r="AD517" s="9">
        <f t="shared" ca="1" si="1433"/>
        <v>10</v>
      </c>
      <c r="AE517" s="9">
        <f t="shared" ca="1" si="1433"/>
        <v>1007</v>
      </c>
      <c r="AF517" s="9">
        <f t="shared" ca="1" si="1433"/>
        <v>1632</v>
      </c>
      <c r="AG517" s="9">
        <f t="shared" ca="1" si="1433"/>
        <v>17</v>
      </c>
      <c r="AH517" s="9">
        <f t="shared" ca="1" si="1433"/>
        <v>1649</v>
      </c>
      <c r="AI517" s="9">
        <f t="shared" ca="1" si="1433"/>
        <v>2656</v>
      </c>
      <c r="AJ517" s="11">
        <f t="shared" ca="1" si="1426"/>
        <v>191.64304761904737</v>
      </c>
      <c r="AK517" s="8">
        <v>1580</v>
      </c>
      <c r="AL517" s="15">
        <f t="shared" ca="1" si="1427"/>
        <v>1.6810126582278482</v>
      </c>
      <c r="AM517" s="13">
        <f t="shared" si="1428"/>
        <v>1.5</v>
      </c>
      <c r="AN517" s="12">
        <f t="shared" ca="1" si="1429"/>
        <v>0.21998570092943989</v>
      </c>
      <c r="AO517" s="14">
        <f t="shared" ca="1" si="1430"/>
        <v>0.32997855139415982</v>
      </c>
      <c r="AP517" s="13">
        <f t="shared" ref="AP517:AQ517" ca="1" si="1434">SUM(T525)</f>
        <v>300.28009699682855</v>
      </c>
      <c r="AQ517" s="13">
        <f t="shared" ca="1" si="1434"/>
        <v>7.1495261189721084</v>
      </c>
      <c r="AR517" s="9">
        <f t="shared" ca="1" si="1432"/>
        <v>63.238095238095241</v>
      </c>
      <c r="AS517" s="76"/>
      <c r="AT517" s="76"/>
    </row>
    <row r="518" spans="1:46" ht="15.75" customHeight="1" x14ac:dyDescent="0.2">
      <c r="A518" s="70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6"/>
      <c r="X518" s="8">
        <v>3</v>
      </c>
      <c r="Y518" s="8" t="s">
        <v>25</v>
      </c>
      <c r="Z518" s="8">
        <f t="shared" ref="Z518:AI518" si="1435">SUM(D526)</f>
        <v>32</v>
      </c>
      <c r="AA518" s="9">
        <f t="shared" ca="1" si="1435"/>
        <v>30</v>
      </c>
      <c r="AB518" s="10">
        <f t="shared" ca="1" si="1435"/>
        <v>5712.3320000000003</v>
      </c>
      <c r="AC518" s="9">
        <f t="shared" ca="1" si="1435"/>
        <v>2050</v>
      </c>
      <c r="AD518" s="9">
        <f t="shared" ca="1" si="1435"/>
        <v>265</v>
      </c>
      <c r="AE518" s="9">
        <f t="shared" ca="1" si="1435"/>
        <v>2315</v>
      </c>
      <c r="AF518" s="9">
        <f t="shared" ca="1" si="1435"/>
        <v>3270</v>
      </c>
      <c r="AG518" s="9">
        <f t="shared" ca="1" si="1435"/>
        <v>294</v>
      </c>
      <c r="AH518" s="9">
        <f t="shared" ca="1" si="1435"/>
        <v>3564</v>
      </c>
      <c r="AI518" s="9">
        <f t="shared" ca="1" si="1435"/>
        <v>5879</v>
      </c>
      <c r="AJ518" s="11">
        <f t="shared" ca="1" si="1426"/>
        <v>190.41106666666667</v>
      </c>
      <c r="AK518" s="8">
        <f>SUM(O526)</f>
        <v>6622</v>
      </c>
      <c r="AL518" s="12">
        <f t="shared" ca="1" si="1427"/>
        <v>0.88779824826336451</v>
      </c>
      <c r="AM518" s="13">
        <f t="shared" si="1428"/>
        <v>1.5</v>
      </c>
      <c r="AN518" s="12">
        <f t="shared" ca="1" si="1429"/>
        <v>0.68611791704917247</v>
      </c>
      <c r="AO518" s="14">
        <f t="shared" ca="1" si="1430"/>
        <v>1.0291768755737587</v>
      </c>
      <c r="AP518" s="13">
        <f t="shared" ref="AP518:AQ518" ca="1" si="1436">SUM(T526)</f>
        <v>239.61124161073826</v>
      </c>
      <c r="AQ518" s="13">
        <f t="shared" ca="1" si="1436"/>
        <v>7.9870413870246084</v>
      </c>
      <c r="AR518" s="9">
        <f t="shared" ca="1" si="1432"/>
        <v>195.96666666666667</v>
      </c>
      <c r="AS518" s="76"/>
      <c r="AT518" s="76"/>
    </row>
    <row r="519" spans="1:46" ht="15.75" customHeight="1" x14ac:dyDescent="0.25">
      <c r="A519" s="70"/>
      <c r="B519" s="16">
        <v>1</v>
      </c>
      <c r="C519" s="16" t="s">
        <v>26</v>
      </c>
      <c r="D519" s="17">
        <v>20</v>
      </c>
      <c r="E519" s="18">
        <f ca="1">IFERROR(__xludf.DUMMYFUNCTION("COUNT(IMPORTRANGE(""https://docs.google.com/spreadsheets/d/1z0o91thOT38lgejTE_Bd2p3v_9VCDdQRkUsMIVqpQCk/edit"",""20!d2:d21""))"),18)</f>
        <v>18</v>
      </c>
      <c r="F519" s="19">
        <f ca="1">IFERROR(__xludf.DUMMYFUNCTION("SUM(IMPORTRANGE(""https://docs.google.com/spreadsheets/d/1z0o91thOT38lgejTE_Bd2p3v_9VCDdQRkUsMIVqpQCk/edit"",""20!Q2:Q21""))"),3517.719)</f>
        <v>3517.7190000000001</v>
      </c>
      <c r="G519" s="18">
        <f ca="1">IFERROR(__xludf.DUMMYFUNCTION("IMPORTRANGE(""https://docs.google.com/spreadsheets/d/1z0o91thOT38lgejTE_Bd2p3v_9VCDdQRkUsMIVqpQCk/edit"",""20!e28"")"),1938)</f>
        <v>1938</v>
      </c>
      <c r="H519" s="18">
        <f ca="1">IFERROR(__xludf.DUMMYFUNCTION("IMPORTRANGE(""https://docs.google.com/spreadsheets/d/1z0o91thOT38lgejTE_Bd2p3v_9VCDdQRkUsMIVqpQCk/edit"",""20!e29"")"),0)</f>
        <v>0</v>
      </c>
      <c r="I519" s="18">
        <f t="shared" ref="I519:I536" ca="1" si="1437">SUM(G519:H519)</f>
        <v>1938</v>
      </c>
      <c r="J519" s="18">
        <f ca="1">IFERROR(__xludf.DUMMYFUNCTION("IMPORTRANGE(""https://docs.google.com/spreadsheets/d/1z0o91thOT38lgejTE_Bd2p3v_9VCDdQRkUsMIVqpQCk/edit"",""20!e32"")"),2930)</f>
        <v>2930</v>
      </c>
      <c r="K519" s="18">
        <f ca="1">IFERROR(__xludf.DUMMYFUNCTION("IMPORTRANGE(""https://docs.google.com/spreadsheets/d/1z0o91thOT38lgejTE_Bd2p3v_9VCDdQRkUsMIVqpQCk/edit"",""20!e33"")"),0)</f>
        <v>0</v>
      </c>
      <c r="L519" s="18">
        <f t="shared" ref="L519:L525" ca="1" si="1438">SUM(J519:K519)</f>
        <v>2930</v>
      </c>
      <c r="M519" s="18">
        <f t="shared" ref="M519:M536" ca="1" si="1439">SUM(I519+L519)</f>
        <v>4868</v>
      </c>
      <c r="N519" s="19">
        <f t="shared" ref="N519:N537" ca="1" si="1440">F519/E519</f>
        <v>195.42883333333333</v>
      </c>
      <c r="O519" s="16">
        <v>5161</v>
      </c>
      <c r="P519" s="20">
        <f t="shared" ref="P519:P537" ca="1" si="1441">M519/O519</f>
        <v>0.94322805657818254</v>
      </c>
      <c r="Q519" s="21">
        <v>1.5</v>
      </c>
      <c r="R519" s="20">
        <f t="shared" ref="R519:R537" ca="1" si="1442">S519/Q519</f>
        <v>0.92256753121364532</v>
      </c>
      <c r="S519" s="22">
        <f t="shared" ref="S519:S537" ca="1" si="1443">M519/F519</f>
        <v>1.3838512968204679</v>
      </c>
      <c r="T519" s="21">
        <f ca="1">F519/14.415</f>
        <v>244.03184183142562</v>
      </c>
      <c r="U519" s="21">
        <f t="shared" ref="U519:U537" ca="1" si="1444">T519/E519</f>
        <v>13.557324546190312</v>
      </c>
      <c r="V519" s="18">
        <f t="shared" ref="V519:V537" ca="1" si="1445">M519/E519</f>
        <v>270.44444444444446</v>
      </c>
      <c r="W519" s="76"/>
      <c r="X519" s="8">
        <v>4</v>
      </c>
      <c r="Y519" s="8" t="s">
        <v>27</v>
      </c>
      <c r="Z519" s="8">
        <f t="shared" ref="Z519:AK519" si="1446">SUM(D532)</f>
        <v>30</v>
      </c>
      <c r="AA519" s="9">
        <f t="shared" ca="1" si="1446"/>
        <v>30</v>
      </c>
      <c r="AB519" s="10">
        <f t="shared" ca="1" si="1446"/>
        <v>5585.6699999999901</v>
      </c>
      <c r="AC519" s="9">
        <f t="shared" ca="1" si="1446"/>
        <v>2468</v>
      </c>
      <c r="AD519" s="9">
        <f t="shared" ca="1" si="1446"/>
        <v>0</v>
      </c>
      <c r="AE519" s="9">
        <f t="shared" ca="1" si="1446"/>
        <v>2468</v>
      </c>
      <c r="AF519" s="9">
        <f t="shared" ca="1" si="1446"/>
        <v>2680</v>
      </c>
      <c r="AG519" s="9">
        <f t="shared" ca="1" si="1446"/>
        <v>0</v>
      </c>
      <c r="AH519" s="9">
        <f t="shared" ca="1" si="1446"/>
        <v>2680</v>
      </c>
      <c r="AI519" s="9">
        <f t="shared" ca="1" si="1446"/>
        <v>5148</v>
      </c>
      <c r="AJ519" s="11">
        <f t="shared" ca="1" si="1446"/>
        <v>186.18899999999968</v>
      </c>
      <c r="AK519" s="8">
        <f t="shared" si="1446"/>
        <v>8101</v>
      </c>
      <c r="AL519" s="12">
        <f t="shared" ca="1" si="1427"/>
        <v>0.63547710159239601</v>
      </c>
      <c r="AM519" s="13">
        <f>SUM(Q532)</f>
        <v>1.5</v>
      </c>
      <c r="AN519" s="12">
        <f t="shared" ca="1" si="1429"/>
        <v>0.61442942386499844</v>
      </c>
      <c r="AO519" s="14">
        <f t="shared" ca="1" si="1430"/>
        <v>0.92164413579749771</v>
      </c>
      <c r="AP519" s="13">
        <f t="shared" ref="AP519:AQ519" ca="1" si="1447">SUM(T532)</f>
        <v>279.4931198398794</v>
      </c>
      <c r="AQ519" s="13">
        <f t="shared" ca="1" si="1447"/>
        <v>9.3164373279959793</v>
      </c>
      <c r="AR519" s="9">
        <f t="shared" ca="1" si="1432"/>
        <v>171.6</v>
      </c>
      <c r="AS519" s="76"/>
      <c r="AT519" s="76"/>
    </row>
    <row r="520" spans="1:46" ht="15.75" customHeight="1" x14ac:dyDescent="0.25">
      <c r="A520" s="70"/>
      <c r="B520" s="16">
        <v>2</v>
      </c>
      <c r="C520" s="16" t="s">
        <v>28</v>
      </c>
      <c r="D520" s="17">
        <v>33</v>
      </c>
      <c r="E520" s="18">
        <f ca="1">IFERROR(__xludf.DUMMYFUNCTION("COUNT(IMPORTRANGE(""https://docs.google.com/spreadsheets/d/10a85iNN0y9GF6ngQfF1JXGAzFk-T7ywH4-TZtQcOTaE/edit"",""20!d2:d34""))"),33)</f>
        <v>33</v>
      </c>
      <c r="F520" s="19">
        <f ca="1">IFERROR(__xludf.DUMMYFUNCTION("SUM(IMPORTRANGE(""https://docs.google.com/spreadsheets/d/10a85iNN0y9GF6ngQfF1JXGAzFk-T7ywH4-TZtQcOTaE/edit"",""20!Q2:Q34""))"),6158.06899999999)</f>
        <v>6158.0689999999904</v>
      </c>
      <c r="G520" s="18">
        <f ca="1">IFERROR(__xludf.DUMMYFUNCTION("IMPORTRANGE(""https://docs.google.com/spreadsheets/d/10a85iNN0y9GF6ngQfF1JXGAzFk-T7ywH4-TZtQcOTaE/edit"",""20!e41"")"),2555)</f>
        <v>2555</v>
      </c>
      <c r="H520" s="18">
        <f ca="1">IFERROR(__xludf.DUMMYFUNCTION("IMPORTRANGE(""https://docs.google.com/spreadsheets/d/10a85iNN0y9GF6ngQfF1JXGAzFk-T7ywH4-TZtQcOTaE/edit"",""20!e42"")"),100)</f>
        <v>100</v>
      </c>
      <c r="I520" s="18">
        <f t="shared" ca="1" si="1437"/>
        <v>2655</v>
      </c>
      <c r="J520" s="18">
        <f ca="1">IFERROR(__xludf.DUMMYFUNCTION("IMPORTRANGE(""https://docs.google.com/spreadsheets/d/10a85iNN0y9GF6ngQfF1JXGAzFk-T7ywH4-TZtQcOTaE/edit"",""20!e45"")"),2790)</f>
        <v>2790</v>
      </c>
      <c r="K520" s="18">
        <f ca="1">IFERROR(__xludf.DUMMYFUNCTION("IMPORTRANGE(""https://docs.google.com/spreadsheets/d/10a85iNN0y9GF6ngQfF1JXGAzFk-T7ywH4-TZtQcOTaE/edit"",""20!e46"")"),444)</f>
        <v>444</v>
      </c>
      <c r="L520" s="18">
        <f t="shared" ca="1" si="1438"/>
        <v>3234</v>
      </c>
      <c r="M520" s="18">
        <f t="shared" ca="1" si="1439"/>
        <v>5889</v>
      </c>
      <c r="N520" s="19">
        <f t="shared" ca="1" si="1440"/>
        <v>186.60815151515123</v>
      </c>
      <c r="O520" s="16">
        <v>7315</v>
      </c>
      <c r="P520" s="20">
        <f t="shared" ca="1" si="1441"/>
        <v>0.80505809979494192</v>
      </c>
      <c r="Q520" s="21">
        <v>1.5</v>
      </c>
      <c r="R520" s="20">
        <f t="shared" ca="1" si="1442"/>
        <v>0.63753751378882018</v>
      </c>
      <c r="S520" s="22">
        <f t="shared" ca="1" si="1443"/>
        <v>0.95630627068323026</v>
      </c>
      <c r="T520" s="21">
        <f ca="1">F520/30.897</f>
        <v>199.3096093471855</v>
      </c>
      <c r="U520" s="21">
        <f t="shared" ca="1" si="1444"/>
        <v>6.0396851317328943</v>
      </c>
      <c r="V520" s="18">
        <f t="shared" ca="1" si="1445"/>
        <v>178.45454545454547</v>
      </c>
      <c r="W520" s="76"/>
      <c r="X520" s="8">
        <v>5</v>
      </c>
      <c r="Y520" s="8" t="s">
        <v>29</v>
      </c>
      <c r="Z520" s="8">
        <f t="shared" ref="Z520:AI520" si="1448">SUM(D535)</f>
        <v>30</v>
      </c>
      <c r="AA520" s="9">
        <f t="shared" ca="1" si="1448"/>
        <v>28</v>
      </c>
      <c r="AB520" s="10">
        <f t="shared" ca="1" si="1448"/>
        <v>5650.2459999999901</v>
      </c>
      <c r="AC520" s="9">
        <f t="shared" ca="1" si="1448"/>
        <v>2706</v>
      </c>
      <c r="AD520" s="9">
        <f t="shared" ca="1" si="1448"/>
        <v>0</v>
      </c>
      <c r="AE520" s="9">
        <f t="shared" ca="1" si="1448"/>
        <v>2706</v>
      </c>
      <c r="AF520" s="9">
        <f t="shared" ca="1" si="1448"/>
        <v>4270</v>
      </c>
      <c r="AG520" s="9">
        <f t="shared" ca="1" si="1448"/>
        <v>0</v>
      </c>
      <c r="AH520" s="9">
        <f t="shared" ca="1" si="1448"/>
        <v>4270</v>
      </c>
      <c r="AI520" s="9">
        <f t="shared" ca="1" si="1448"/>
        <v>6976</v>
      </c>
      <c r="AJ520" s="11">
        <f t="shared" ref="AJ520:AJ522" ca="1" si="1449">AB520/AA520</f>
        <v>201.79449999999966</v>
      </c>
      <c r="AK520" s="8">
        <f t="shared" ref="AK520:AK521" si="1450">SUM(O535)</f>
        <v>9201</v>
      </c>
      <c r="AL520" s="12">
        <f t="shared" ca="1" si="1427"/>
        <v>0.75817845886316704</v>
      </c>
      <c r="AM520" s="13">
        <f t="shared" ref="AM520:AM521" si="1451">SUM(Q535)</f>
        <v>1.5</v>
      </c>
      <c r="AN520" s="12">
        <f t="shared" ca="1" si="1429"/>
        <v>0.82309100642107891</v>
      </c>
      <c r="AO520" s="14">
        <f t="shared" ca="1" si="1430"/>
        <v>1.2346365096316183</v>
      </c>
      <c r="AP520" s="13">
        <f t="shared" ref="AP520:AQ520" ca="1" si="1452">SUM(T535)</f>
        <v>216.99999999999963</v>
      </c>
      <c r="AQ520" s="13">
        <f t="shared" ca="1" si="1452"/>
        <v>7.7499999999999867</v>
      </c>
      <c r="AR520" s="9">
        <f t="shared" ca="1" si="1432"/>
        <v>249.14285714285714</v>
      </c>
      <c r="AS520" s="76"/>
      <c r="AT520" s="76"/>
    </row>
    <row r="521" spans="1:46" ht="15.75" customHeight="1" x14ac:dyDescent="0.25">
      <c r="A521" s="70"/>
      <c r="B521" s="16">
        <v>3</v>
      </c>
      <c r="C521" s="16" t="s">
        <v>30</v>
      </c>
      <c r="D521" s="17">
        <v>60</v>
      </c>
      <c r="E521" s="18">
        <f ca="1">IFERROR(__xludf.DUMMYFUNCTION("COUNT(IMPORTRANGE(""https://docs.google.com/spreadsheets/d/1WojVzHhpzodJL1e5UDHeu3A3u5MTSZwvxHu0BrwvL9w/edit"",""20!d2:d61""))"),59)</f>
        <v>59</v>
      </c>
      <c r="F521" s="23">
        <f ca="1">IFERROR(__xludf.DUMMYFUNCTION("SUM(IMPORTRANGE(""https://docs.google.com/spreadsheets/d/1WojVzHhpzodJL1e5UDHeu3A3u5MTSZwvxHu0BrwvL9w/edit"",""20!Q2:Q61""))"),12018.8179999999)</f>
        <v>12018.817999999899</v>
      </c>
      <c r="G521" s="18">
        <f ca="1">IFERROR(__xludf.DUMMYFUNCTION("IMPORTRANGE(""https://docs.google.com/spreadsheets/d/1WojVzHhpzodJL1e5UDHeu3A3u5MTSZwvxHu0BrwvL9w/edit"",""20!e68"")"),3470)</f>
        <v>3470</v>
      </c>
      <c r="H521" s="18">
        <f ca="1">IFERROR(__xludf.DUMMYFUNCTION("IMPORTRANGE(""https://docs.google.com/spreadsheets/d/1WojVzHhpzodJL1e5UDHeu3A3u5MTSZwvxHu0BrwvL9w/edit"",""20!e69"")"),0)</f>
        <v>0</v>
      </c>
      <c r="I521" s="18">
        <f t="shared" ca="1" si="1437"/>
        <v>3470</v>
      </c>
      <c r="J521" s="18">
        <f ca="1">IFERROR(__xludf.DUMMYFUNCTION("IMPORTRANGE(""https://docs.google.com/spreadsheets/d/1WojVzHhpzodJL1e5UDHeu3A3u5MTSZwvxHu0BrwvL9w/edit"",""20!e72"")"),5858)</f>
        <v>5858</v>
      </c>
      <c r="K521" s="18">
        <f ca="1">IFERROR(__xludf.DUMMYFUNCTION("IMPORTRANGE(""https://docs.google.com/spreadsheets/d/1WojVzHhpzodJL1e5UDHeu3A3u5MTSZwvxHu0BrwvL9w/edit"",""20!e73"")"),0)</f>
        <v>0</v>
      </c>
      <c r="L521" s="18">
        <f t="shared" ca="1" si="1438"/>
        <v>5858</v>
      </c>
      <c r="M521" s="18">
        <f t="shared" ca="1" si="1439"/>
        <v>9328</v>
      </c>
      <c r="N521" s="19">
        <f t="shared" ca="1" si="1440"/>
        <v>203.70877966101523</v>
      </c>
      <c r="O521" s="16">
        <v>11164</v>
      </c>
      <c r="P521" s="20">
        <f t="shared" ca="1" si="1441"/>
        <v>0.83554281619491222</v>
      </c>
      <c r="Q521" s="21">
        <v>1.5</v>
      </c>
      <c r="R521" s="20">
        <f t="shared" ca="1" si="1442"/>
        <v>0.51741083579655822</v>
      </c>
      <c r="S521" s="22">
        <f t="shared" ca="1" si="1443"/>
        <v>0.77611625369483739</v>
      </c>
      <c r="T521" s="21">
        <f ca="1">F521/29.603</f>
        <v>405.99999999999659</v>
      </c>
      <c r="U521" s="21">
        <f t="shared" ca="1" si="1444"/>
        <v>6.8813559322033324</v>
      </c>
      <c r="V521" s="18">
        <f t="shared" ca="1" si="1445"/>
        <v>158.10169491525423</v>
      </c>
      <c r="W521" s="76"/>
      <c r="X521" s="8">
        <v>6</v>
      </c>
      <c r="Y521" s="8" t="s">
        <v>31</v>
      </c>
      <c r="Z521" s="8">
        <f t="shared" ref="Z521:AI521" si="1453">SUM(D536)</f>
        <v>15</v>
      </c>
      <c r="AA521" s="9">
        <f t="shared" ca="1" si="1453"/>
        <v>13</v>
      </c>
      <c r="AB521" s="11">
        <f t="shared" ca="1" si="1453"/>
        <v>2434.04</v>
      </c>
      <c r="AC521" s="9">
        <f t="shared" ca="1" si="1453"/>
        <v>864</v>
      </c>
      <c r="AD521" s="9">
        <f t="shared" ca="1" si="1453"/>
        <v>12</v>
      </c>
      <c r="AE521" s="9">
        <f t="shared" ca="1" si="1453"/>
        <v>876</v>
      </c>
      <c r="AF521" s="9">
        <f t="shared" ca="1" si="1453"/>
        <v>1008</v>
      </c>
      <c r="AG521" s="9">
        <f t="shared" ca="1" si="1453"/>
        <v>0</v>
      </c>
      <c r="AH521" s="9">
        <f t="shared" ca="1" si="1453"/>
        <v>1008</v>
      </c>
      <c r="AI521" s="9">
        <f t="shared" ca="1" si="1453"/>
        <v>1884</v>
      </c>
      <c r="AJ521" s="11">
        <f t="shared" ca="1" si="1449"/>
        <v>187.23384615384614</v>
      </c>
      <c r="AK521" s="8">
        <f t="shared" si="1450"/>
        <v>2717</v>
      </c>
      <c r="AL521" s="12">
        <f t="shared" ca="1" si="1427"/>
        <v>0.69341185130658811</v>
      </c>
      <c r="AM521" s="13">
        <f t="shared" si="1451"/>
        <v>1.5</v>
      </c>
      <c r="AN521" s="12">
        <f t="shared" ca="1" si="1429"/>
        <v>0.51601452728796571</v>
      </c>
      <c r="AO521" s="14">
        <f t="shared" ca="1" si="1430"/>
        <v>0.77402179093194856</v>
      </c>
      <c r="AP521" s="13">
        <f t="shared" ref="AP521:AQ521" ca="1" si="1454">SUM(T536)</f>
        <v>55.999999999999993</v>
      </c>
      <c r="AQ521" s="13">
        <f t="shared" ca="1" si="1454"/>
        <v>4.3076923076923075</v>
      </c>
      <c r="AR521" s="9">
        <f t="shared" ca="1" si="1432"/>
        <v>144.92307692307693</v>
      </c>
      <c r="AS521" s="76"/>
      <c r="AT521" s="76"/>
    </row>
    <row r="522" spans="1:46" ht="15.75" customHeight="1" x14ac:dyDescent="0.25">
      <c r="A522" s="70"/>
      <c r="B522" s="16">
        <v>4</v>
      </c>
      <c r="C522" s="16" t="s">
        <v>32</v>
      </c>
      <c r="D522" s="17">
        <v>42</v>
      </c>
      <c r="E522" s="18">
        <f ca="1">IFERROR(__xludf.DUMMYFUNCTION("COUNT(IMPORTRANGE(""https://docs.google.com/spreadsheets/d/1vmCj5YcMSPHj1m64syDndQ6cqVL3yolcU03Y8KHmvdc/edit"",""20!d2:d43""))"),41)</f>
        <v>41</v>
      </c>
      <c r="F522" s="23">
        <f ca="1">IFERROR(__xludf.DUMMYFUNCTION("SUM(IMPORTRANGE(""https://docs.google.com/spreadsheets/d/1vmCj5YcMSPHj1m64syDndQ6cqVL3yolcU03Y8KHmvdc/edit"",""20!Q2:Q43""))"),8078.65799999999)</f>
        <v>8078.6579999999904</v>
      </c>
      <c r="G522" s="16">
        <f ca="1">IFERROR(__xludf.DUMMYFUNCTION("IMPORTRANGE(""https://docs.google.com/spreadsheets/d/1vmCj5YcMSPHj1m64syDndQ6cqVL3yolcU03Y8KHmvdc/edit"",""20!e50"")"),4620)</f>
        <v>4620</v>
      </c>
      <c r="H522" s="16">
        <f ca="1">IFERROR(__xludf.DUMMYFUNCTION("IMPORTRANGE(""https://docs.google.com/spreadsheets/d/1vmCj5YcMSPHj1m64syDndQ6cqVL3yolcU03Y8KHmvdc/edit"",""20!e51"")"),20)</f>
        <v>20</v>
      </c>
      <c r="I522" s="18">
        <f t="shared" ca="1" si="1437"/>
        <v>4640</v>
      </c>
      <c r="J522" s="16">
        <f ca="1">IFERROR(__xludf.DUMMYFUNCTION("IMPORTRANGE(""https://docs.google.com/spreadsheets/d/1vmCj5YcMSPHj1m64syDndQ6cqVL3yolcU03Y8KHmvdc/edit"",""20!e54"")"),5404)</f>
        <v>5404</v>
      </c>
      <c r="K522" s="16">
        <f ca="1">IFERROR(__xludf.DUMMYFUNCTION("IMPORTRANGE(""https://docs.google.com/spreadsheets/d/1vmCj5YcMSPHj1m64syDndQ6cqVL3yolcU03Y8KHmvdc/edit"",""20!e55"")"),23)</f>
        <v>23</v>
      </c>
      <c r="L522" s="18">
        <f t="shared" ca="1" si="1438"/>
        <v>5427</v>
      </c>
      <c r="M522" s="18">
        <f t="shared" ca="1" si="1439"/>
        <v>10067</v>
      </c>
      <c r="N522" s="19">
        <f t="shared" ca="1" si="1440"/>
        <v>197.04043902439</v>
      </c>
      <c r="O522" s="16">
        <v>13817</v>
      </c>
      <c r="P522" s="20">
        <f t="shared" ca="1" si="1441"/>
        <v>0.72859520880075268</v>
      </c>
      <c r="Q522" s="21">
        <v>1.5</v>
      </c>
      <c r="R522" s="20">
        <f t="shared" ca="1" si="1442"/>
        <v>0.83074853934073467</v>
      </c>
      <c r="S522" s="22">
        <f t="shared" ca="1" si="1443"/>
        <v>1.2461228090111021</v>
      </c>
      <c r="T522" s="21">
        <f ca="1">F522/25.089</f>
        <v>321.99999999999966</v>
      </c>
      <c r="U522" s="21">
        <f t="shared" ca="1" si="1444"/>
        <v>7.8536585365853577</v>
      </c>
      <c r="V522" s="18">
        <f t="shared" ca="1" si="1445"/>
        <v>245.53658536585365</v>
      </c>
      <c r="W522" s="76"/>
      <c r="X522" s="24" t="s">
        <v>33</v>
      </c>
      <c r="Y522" s="24">
        <v>6</v>
      </c>
      <c r="Z522" s="24">
        <f t="shared" ref="Z522:AI522" si="1455">SUM(Z516:Z521)</f>
        <v>186</v>
      </c>
      <c r="AA522" s="25">
        <f t="shared" ca="1" si="1455"/>
        <v>177</v>
      </c>
      <c r="AB522" s="26">
        <f t="shared" ca="1" si="1455"/>
        <v>34010.595999999961</v>
      </c>
      <c r="AC522" s="25">
        <f t="shared" ca="1" si="1455"/>
        <v>10880</v>
      </c>
      <c r="AD522" s="25">
        <f t="shared" ca="1" si="1455"/>
        <v>287</v>
      </c>
      <c r="AE522" s="25">
        <f t="shared" ca="1" si="1455"/>
        <v>11167</v>
      </c>
      <c r="AF522" s="25">
        <f t="shared" ca="1" si="1455"/>
        <v>16077</v>
      </c>
      <c r="AG522" s="25">
        <f t="shared" ca="1" si="1455"/>
        <v>311</v>
      </c>
      <c r="AH522" s="25">
        <f t="shared" ca="1" si="1455"/>
        <v>16388</v>
      </c>
      <c r="AI522" s="25">
        <f t="shared" ca="1" si="1455"/>
        <v>27555</v>
      </c>
      <c r="AJ522" s="27">
        <f t="shared" ca="1" si="1449"/>
        <v>192.15025988700543</v>
      </c>
      <c r="AK522" s="24">
        <f>SUM(AK516:AK521)</f>
        <v>35074</v>
      </c>
      <c r="AL522" s="28">
        <f t="shared" ca="1" si="1427"/>
        <v>0.78562467924958657</v>
      </c>
      <c r="AM522" s="29">
        <v>1.5</v>
      </c>
      <c r="AN522" s="28">
        <f t="shared" ca="1" si="1429"/>
        <v>0.54012578903351238</v>
      </c>
      <c r="AO522" s="30">
        <f t="shared" ca="1" si="1430"/>
        <v>0.81018868355026863</v>
      </c>
      <c r="AP522" s="29">
        <f ca="1">SUM(AP516:AP521)</f>
        <v>1287.3844584474455</v>
      </c>
      <c r="AQ522" s="29">
        <f ca="1">AP522/AA522</f>
        <v>7.2733585223019519</v>
      </c>
      <c r="AR522" s="25">
        <f t="shared" ca="1" si="1432"/>
        <v>155.67796610169492</v>
      </c>
      <c r="AS522" s="76"/>
      <c r="AT522" s="76"/>
    </row>
    <row r="523" spans="1:46" ht="15.75" customHeight="1" x14ac:dyDescent="0.25">
      <c r="A523" s="70"/>
      <c r="B523" s="16">
        <v>5</v>
      </c>
      <c r="C523" s="16" t="s">
        <v>34</v>
      </c>
      <c r="D523" s="17">
        <v>40</v>
      </c>
      <c r="E523" s="18">
        <f ca="1">IFERROR(__xludf.DUMMYFUNCTION("COUNT(IMPORTRANGE(""https://docs.google.com/spreadsheets/d/14_Y-fpuq1wcec3DlT_1PBYekOC0YblQMrWVfO12YO3k/edit"",""20!d2:d41""))"),40)</f>
        <v>40</v>
      </c>
      <c r="F523" s="23">
        <f ca="1">IFERROR(__xludf.DUMMYFUNCTION("SUM(IMPORTRANGE(""https://docs.google.com/spreadsheets/d/14_Y-fpuq1wcec3DlT_1PBYekOC0YblQMrWVfO12YO3k/edit"",""20!Q2:Q41""))"),7638.813)</f>
        <v>7638.8130000000001</v>
      </c>
      <c r="G523" s="18">
        <f ca="1">IFERROR(__xludf.DUMMYFUNCTION("IMPORTRANGE(""https://docs.google.com/spreadsheets/d/14_Y-fpuq1wcec3DlT_1PBYekOC0YblQMrWVfO12YO3k/edit"",""20!e48"")"),2695)</f>
        <v>2695</v>
      </c>
      <c r="H523" s="18">
        <f ca="1">IFERROR(__xludf.DUMMYFUNCTION("IMPORTRANGE(""https://docs.google.com/spreadsheets/d/14_Y-fpuq1wcec3DlT_1PBYekOC0YblQMrWVfO12YO3k/edit"",""20!e49"")"),0)</f>
        <v>0</v>
      </c>
      <c r="I523" s="18">
        <f t="shared" ca="1" si="1437"/>
        <v>2695</v>
      </c>
      <c r="J523" s="18">
        <f ca="1">IFERROR(__xludf.DUMMYFUNCTION("IMPORTRANGE(""https://docs.google.com/spreadsheets/d/14_Y-fpuq1wcec3DlT_1PBYekOC0YblQMrWVfO12YO3k/edit"",""20!e52"")"),3595)</f>
        <v>3595</v>
      </c>
      <c r="K523" s="18">
        <f ca="1">IFERROR(__xludf.DUMMYFUNCTION("IMPORTRANGE(""https://docs.google.com/spreadsheets/d/14_Y-fpuq1wcec3DlT_1PBYekOC0YblQMrWVfO12YO3k/edit"",""20!e53"")"),0)</f>
        <v>0</v>
      </c>
      <c r="L523" s="18">
        <f t="shared" ca="1" si="1438"/>
        <v>3595</v>
      </c>
      <c r="M523" s="18">
        <f t="shared" ca="1" si="1439"/>
        <v>6290</v>
      </c>
      <c r="N523" s="19">
        <f t="shared" ca="1" si="1440"/>
        <v>190.970325</v>
      </c>
      <c r="O523" s="16">
        <v>9354</v>
      </c>
      <c r="P523" s="20">
        <f t="shared" ca="1" si="1441"/>
        <v>0.67243959803292708</v>
      </c>
      <c r="Q523" s="21">
        <v>1.5</v>
      </c>
      <c r="R523" s="20">
        <f t="shared" ca="1" si="1442"/>
        <v>0.54895090812320357</v>
      </c>
      <c r="S523" s="22">
        <f t="shared" ca="1" si="1443"/>
        <v>0.82342636218480536</v>
      </c>
      <c r="T523" s="21">
        <f ca="1">F523/30.713</f>
        <v>248.71595090027023</v>
      </c>
      <c r="U523" s="21">
        <f t="shared" ca="1" si="1444"/>
        <v>6.2178987725067554</v>
      </c>
      <c r="V523" s="18">
        <f t="shared" ca="1" si="1445"/>
        <v>157.25</v>
      </c>
      <c r="W523" s="76"/>
      <c r="X523" s="100" t="s">
        <v>35</v>
      </c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9"/>
      <c r="AS523" s="76"/>
      <c r="AT523" s="76"/>
    </row>
    <row r="524" spans="1:46" ht="15.75" customHeight="1" x14ac:dyDescent="0.25">
      <c r="A524" s="70"/>
      <c r="B524" s="16">
        <v>6</v>
      </c>
      <c r="C524" s="16" t="s">
        <v>23</v>
      </c>
      <c r="D524" s="17">
        <v>35</v>
      </c>
      <c r="E524" s="18">
        <f ca="1">IFERROR(__xludf.DUMMYFUNCTION("COUNT(IMPORTRANGE(""https://docs.google.com/spreadsheets/d/1lJqjdj05V4LOXuBOiTdE65GV4ZITyx1cMLcDdcuoUnE/edit"",""20!d2:d36""))"),34)</f>
        <v>34</v>
      </c>
      <c r="F524" s="23">
        <f ca="1">IFERROR(__xludf.DUMMYFUNCTION("SUM(IMPORTRANGE(""https://docs.google.com/spreadsheets/d/1lJqjdj05V4LOXuBOiTdE65GV4ZITyx1cMLcDdcuoUnE/edit"",""20!Q2:Q36""))"),6579.29999999999)</f>
        <v>6579.2999999999902</v>
      </c>
      <c r="G524" s="18">
        <f ca="1">IFERROR(__xludf.DUMMYFUNCTION("IMPORTRANGE(""https://docs.google.com/spreadsheets/d/1lJqjdj05V4LOXuBOiTdE65GV4ZITyx1cMLcDdcuoUnE/edit"",""20!e43"")"),1795)</f>
        <v>1795</v>
      </c>
      <c r="H524" s="18">
        <f ca="1">IFERROR(__xludf.DUMMYFUNCTION("IMPORTRANGE(""https://docs.google.com/spreadsheets/d/1lJqjdj05V4LOXuBOiTdE65GV4ZITyx1cMLcDdcuoUnE/edit"",""20!e44"")"),0)</f>
        <v>0</v>
      </c>
      <c r="I524" s="18">
        <f t="shared" ca="1" si="1437"/>
        <v>1795</v>
      </c>
      <c r="J524" s="18">
        <f ca="1">IFERROR(__xludf.DUMMYFUNCTION("IMPORTRANGE(""https://docs.google.com/spreadsheets/d/1lJqjdj05V4LOXuBOiTdE65GV4ZITyx1cMLcDdcuoUnE/edit"",""20!e47"")"),3217)</f>
        <v>3217</v>
      </c>
      <c r="K524" s="18">
        <f ca="1">IFERROR(__xludf.DUMMYFUNCTION("IMPORTRANGE(""https://docs.google.com/spreadsheets/d/1lJqjdj05V4LOXuBOiTdE65GV4ZITyx1cMLcDdcuoUnE/edit"",""20!e48"")"),0)</f>
        <v>0</v>
      </c>
      <c r="L524" s="18">
        <f t="shared" ca="1" si="1438"/>
        <v>3217</v>
      </c>
      <c r="M524" s="18">
        <f t="shared" ca="1" si="1439"/>
        <v>5012</v>
      </c>
      <c r="N524" s="19">
        <f t="shared" ca="1" si="1440"/>
        <v>193.50882352941147</v>
      </c>
      <c r="O524" s="16">
        <v>6853</v>
      </c>
      <c r="P524" s="20">
        <f t="shared" ca="1" si="1441"/>
        <v>0.73135852911133814</v>
      </c>
      <c r="Q524" s="21">
        <v>1.5</v>
      </c>
      <c r="R524" s="20">
        <f t="shared" ca="1" si="1442"/>
        <v>0.50785544561478246</v>
      </c>
      <c r="S524" s="22">
        <f t="shared" ca="1" si="1443"/>
        <v>0.76178316842217375</v>
      </c>
      <c r="T524" s="21">
        <f ca="1">F524/33.74</f>
        <v>194.99999999999969</v>
      </c>
      <c r="U524" s="21">
        <f t="shared" ca="1" si="1444"/>
        <v>5.73529411764705</v>
      </c>
      <c r="V524" s="18">
        <f t="shared" ca="1" si="1445"/>
        <v>147.41176470588235</v>
      </c>
      <c r="W524" s="76"/>
      <c r="X524" s="1" t="s">
        <v>2</v>
      </c>
      <c r="Y524" s="1" t="s">
        <v>3</v>
      </c>
      <c r="Z524" s="1" t="s">
        <v>4</v>
      </c>
      <c r="AA524" s="1" t="s">
        <v>5</v>
      </c>
      <c r="AB524" s="2" t="s">
        <v>6</v>
      </c>
      <c r="AC524" s="1" t="s">
        <v>7</v>
      </c>
      <c r="AD524" s="1" t="s">
        <v>8</v>
      </c>
      <c r="AE524" s="1" t="s">
        <v>9</v>
      </c>
      <c r="AF524" s="1" t="s">
        <v>10</v>
      </c>
      <c r="AG524" s="1" t="s">
        <v>11</v>
      </c>
      <c r="AH524" s="1" t="s">
        <v>12</v>
      </c>
      <c r="AI524" s="1" t="s">
        <v>13</v>
      </c>
      <c r="AJ524" s="2" t="s">
        <v>14</v>
      </c>
      <c r="AK524" s="1" t="s">
        <v>15</v>
      </c>
      <c r="AL524" s="1" t="s">
        <v>16</v>
      </c>
      <c r="AM524" s="3" t="s">
        <v>17</v>
      </c>
      <c r="AN524" s="4" t="s">
        <v>18</v>
      </c>
      <c r="AO524" s="5" t="s">
        <v>19</v>
      </c>
      <c r="AP524" s="6" t="s">
        <v>20</v>
      </c>
      <c r="AQ524" s="6" t="s">
        <v>21</v>
      </c>
      <c r="AR524" s="7" t="s">
        <v>22</v>
      </c>
      <c r="AS524" s="76"/>
      <c r="AT524" s="76"/>
    </row>
    <row r="525" spans="1:46" ht="15.75" customHeight="1" x14ac:dyDescent="0.25">
      <c r="A525" s="70"/>
      <c r="B525" s="16">
        <v>7</v>
      </c>
      <c r="C525" s="16" t="s">
        <v>24</v>
      </c>
      <c r="D525" s="17">
        <v>44</v>
      </c>
      <c r="E525" s="31">
        <f ca="1">IFERROR(__xludf.DUMMYFUNCTION("COUNT(IMPORTRANGE(""https://docs.google.com/spreadsheets/d/1_7EEO26q9Yq-XhNFiy7I6Zh4Yg6uGjTs9y0UqNvPKcQ/edit"",""20!d2:d45""))"),42)</f>
        <v>42</v>
      </c>
      <c r="F525" s="32">
        <f ca="1">IFERROR(__xludf.DUMMYFUNCTION("SUM(IMPORTRANGE(""https://docs.google.com/spreadsheets/d/1_7EEO26q9Yq-XhNFiy7I6Zh4Yg6uGjTs9y0UqNvPKcQ/edit"",""20!Q2:Q45""))"),8049.00799999999)</f>
        <v>8049.0079999999898</v>
      </c>
      <c r="G525" s="31">
        <f ca="1">IFERROR(__xludf.DUMMYFUNCTION("IMPORTRANGE(""https://docs.google.com/spreadsheets/d/1_7EEO26q9Yq-XhNFiy7I6Zh4Yg6uGjTs9y0UqNvPKcQ/edit"",""20!e53"")"),997)</f>
        <v>997</v>
      </c>
      <c r="H525" s="31">
        <f ca="1">IFERROR(__xludf.DUMMYFUNCTION("IMPORTRANGE(""https://docs.google.com/spreadsheets/d/1_7EEO26q9Yq-XhNFiy7I6Zh4Yg6uGjTs9y0UqNvPKcQ/edit"",""20!e54"")"),10)</f>
        <v>10</v>
      </c>
      <c r="I525" s="31">
        <f t="shared" ca="1" si="1437"/>
        <v>1007</v>
      </c>
      <c r="J525" s="31">
        <f ca="1">IFERROR(__xludf.DUMMYFUNCTION("IMPORTRANGE(""https://docs.google.com/spreadsheets/d/1_7EEO26q9Yq-XhNFiy7I6Zh4Yg6uGjTs9y0UqNvPKcQ/edit"",""20!e57"")"),1632)</f>
        <v>1632</v>
      </c>
      <c r="K525" s="31">
        <f ca="1">IFERROR(__xludf.DUMMYFUNCTION("IMPORTRANGE(""https://docs.google.com/spreadsheets/d/1_7EEO26q9Yq-XhNFiy7I6Zh4Yg6uGjTs9y0UqNvPKcQ/edit"",""20!e58"")"),17)</f>
        <v>17</v>
      </c>
      <c r="L525" s="18">
        <f t="shared" ca="1" si="1438"/>
        <v>1649</v>
      </c>
      <c r="M525" s="18">
        <f t="shared" ca="1" si="1439"/>
        <v>2656</v>
      </c>
      <c r="N525" s="19">
        <f t="shared" ca="1" si="1440"/>
        <v>191.64304761904737</v>
      </c>
      <c r="O525" s="16">
        <v>1580</v>
      </c>
      <c r="P525" s="33">
        <f t="shared" ca="1" si="1441"/>
        <v>1.6810126582278482</v>
      </c>
      <c r="Q525" s="21">
        <v>1.5</v>
      </c>
      <c r="R525" s="20">
        <f t="shared" ca="1" si="1442"/>
        <v>0.21998570092943989</v>
      </c>
      <c r="S525" s="22">
        <f t="shared" ca="1" si="1443"/>
        <v>0.32997855139415982</v>
      </c>
      <c r="T525" s="21">
        <f ca="1">F525/26.805</f>
        <v>300.28009699682855</v>
      </c>
      <c r="U525" s="21">
        <f t="shared" ca="1" si="1444"/>
        <v>7.1495261189721084</v>
      </c>
      <c r="V525" s="18">
        <f t="shared" ca="1" si="1445"/>
        <v>63.238095238095241</v>
      </c>
      <c r="W525" s="76"/>
      <c r="X525" s="8">
        <v>1</v>
      </c>
      <c r="Y525" s="8" t="s">
        <v>28</v>
      </c>
      <c r="Z525" s="8">
        <f t="shared" ref="Z525:AI525" si="1456">SUM(D520)</f>
        <v>33</v>
      </c>
      <c r="AA525" s="9">
        <f t="shared" ca="1" si="1456"/>
        <v>33</v>
      </c>
      <c r="AB525" s="11">
        <f t="shared" ca="1" si="1456"/>
        <v>6158.0689999999904</v>
      </c>
      <c r="AC525" s="9">
        <f t="shared" ca="1" si="1456"/>
        <v>2555</v>
      </c>
      <c r="AD525" s="9">
        <f t="shared" ca="1" si="1456"/>
        <v>100</v>
      </c>
      <c r="AE525" s="9">
        <f t="shared" ca="1" si="1456"/>
        <v>2655</v>
      </c>
      <c r="AF525" s="9">
        <f t="shared" ca="1" si="1456"/>
        <v>2790</v>
      </c>
      <c r="AG525" s="9">
        <f t="shared" ca="1" si="1456"/>
        <v>444</v>
      </c>
      <c r="AH525" s="9">
        <f t="shared" ca="1" si="1456"/>
        <v>3234</v>
      </c>
      <c r="AI525" s="9">
        <f t="shared" ca="1" si="1456"/>
        <v>5889</v>
      </c>
      <c r="AJ525" s="11">
        <f t="shared" ref="AJ525:AJ531" ca="1" si="1457">AB525/AA525</f>
        <v>186.60815151515123</v>
      </c>
      <c r="AK525" s="8">
        <f t="shared" ref="AK525:AK526" si="1458">SUM(O520)</f>
        <v>7315</v>
      </c>
      <c r="AL525" s="12">
        <f t="shared" ref="AL525:AL531" ca="1" si="1459">AI525/AK525</f>
        <v>0.80505809979494192</v>
      </c>
      <c r="AM525" s="13">
        <f t="shared" ref="AM525:AM526" si="1460">SUM(Q520)</f>
        <v>1.5</v>
      </c>
      <c r="AN525" s="12">
        <f t="shared" ref="AN525:AN531" ca="1" si="1461">AO525/AM525</f>
        <v>0.63753751378882018</v>
      </c>
      <c r="AO525" s="14">
        <f t="shared" ref="AO525:AO531" ca="1" si="1462">AI525/AB525</f>
        <v>0.95630627068323026</v>
      </c>
      <c r="AP525" s="13">
        <f t="shared" ref="AP525:AQ525" ca="1" si="1463">SUM(T520)</f>
        <v>199.3096093471855</v>
      </c>
      <c r="AQ525" s="13">
        <f t="shared" ca="1" si="1463"/>
        <v>6.0396851317328943</v>
      </c>
      <c r="AR525" s="9">
        <f t="shared" ref="AR525:AR531" ca="1" si="1464">AI525/AA525</f>
        <v>178.45454545454547</v>
      </c>
      <c r="AS525" s="76"/>
      <c r="AT525" s="76"/>
    </row>
    <row r="526" spans="1:46" ht="15.75" customHeight="1" x14ac:dyDescent="0.25">
      <c r="A526" s="70"/>
      <c r="B526" s="16">
        <v>8</v>
      </c>
      <c r="C526" s="16" t="s">
        <v>25</v>
      </c>
      <c r="D526" s="34">
        <v>32</v>
      </c>
      <c r="E526" s="18">
        <f ca="1">IFERROR(__xludf.DUMMYFUNCTION("COUNT(IMPORTRANGE(""https://docs.google.com/spreadsheets/d/1vLOLpiE-XsbnCnwWPcoi87PlUSXfqIAAQn3kvqHfO6s/edit"",""20!d2:D33""))"),30)</f>
        <v>30</v>
      </c>
      <c r="F526" s="23">
        <f ca="1">IFERROR(__xludf.DUMMYFUNCTION("SUM(IMPORTRANGE(""https://docs.google.com/spreadsheets/d/1vLOLpiE-XsbnCnwWPcoi87PlUSXfqIAAQn3kvqHfO6s/edit"",""20!Q2:Q33""))"),5712.332)</f>
        <v>5712.3320000000003</v>
      </c>
      <c r="G526" s="18">
        <f ca="1">IFERROR(__xludf.DUMMYFUNCTION("IMPORTRANGE(""https://docs.google.com/spreadsheets/d/1vLOLpiE-XsbnCnwWPcoi87PlUSXfqIAAQn3kvqHfO6s/edit"",""20!e40"")"),2050)</f>
        <v>2050</v>
      </c>
      <c r="H526" s="18">
        <f ca="1">IFERROR(__xludf.DUMMYFUNCTION("IMPORTRANGE(""https://docs.google.com/spreadsheets/d/1vLOLpiE-XsbnCnwWPcoi87PlUSXfqIAAQn3kvqHfO6s/edit"",""20!e41"")"),265)</f>
        <v>265</v>
      </c>
      <c r="I526" s="18">
        <f t="shared" ca="1" si="1437"/>
        <v>2315</v>
      </c>
      <c r="J526" s="18">
        <f ca="1">IFERROR(__xludf.DUMMYFUNCTION("IMPORTRANGE(""https://docs.google.com/spreadsheets/d/1vLOLpiE-XsbnCnwWPcoi87PlUSXfqIAAQn3kvqHfO6s/edit"",""20!e44"")"),3270)</f>
        <v>3270</v>
      </c>
      <c r="K526" s="18">
        <f ca="1">IFERROR(__xludf.DUMMYFUNCTION("IMPORTRANGE(""https://docs.google.com/spreadsheets/d/1vLOLpiE-XsbnCnwWPcoi87PlUSXfqIAAQn3kvqHfO6s/edit"",""20!e45"")"),294)</f>
        <v>294</v>
      </c>
      <c r="L526" s="18">
        <f ca="1">J526+K526</f>
        <v>3564</v>
      </c>
      <c r="M526" s="18">
        <f t="shared" ca="1" si="1439"/>
        <v>5879</v>
      </c>
      <c r="N526" s="19">
        <f t="shared" ca="1" si="1440"/>
        <v>190.41106666666667</v>
      </c>
      <c r="O526" s="16">
        <v>6622</v>
      </c>
      <c r="P526" s="20">
        <f t="shared" ca="1" si="1441"/>
        <v>0.88779824826336451</v>
      </c>
      <c r="Q526" s="21">
        <v>1.5</v>
      </c>
      <c r="R526" s="20">
        <f t="shared" ca="1" si="1442"/>
        <v>0.68611791704917247</v>
      </c>
      <c r="S526" s="22">
        <f t="shared" ca="1" si="1443"/>
        <v>1.0291768755737587</v>
      </c>
      <c r="T526" s="21">
        <f ca="1">F526/23.84</f>
        <v>239.61124161073826</v>
      </c>
      <c r="U526" s="21">
        <f t="shared" ca="1" si="1444"/>
        <v>7.9870413870246084</v>
      </c>
      <c r="V526" s="18">
        <f t="shared" ca="1" si="1445"/>
        <v>195.96666666666667</v>
      </c>
      <c r="W526" s="76"/>
      <c r="X526" s="8">
        <v>2</v>
      </c>
      <c r="Y526" s="8" t="s">
        <v>30</v>
      </c>
      <c r="Z526" s="8">
        <f t="shared" ref="Z526:AI526" si="1465">SUM(D521)</f>
        <v>60</v>
      </c>
      <c r="AA526" s="9">
        <f t="shared" ca="1" si="1465"/>
        <v>59</v>
      </c>
      <c r="AB526" s="10">
        <f t="shared" ca="1" si="1465"/>
        <v>12018.817999999899</v>
      </c>
      <c r="AC526" s="9">
        <f t="shared" ca="1" si="1465"/>
        <v>3470</v>
      </c>
      <c r="AD526" s="9">
        <f t="shared" ca="1" si="1465"/>
        <v>0</v>
      </c>
      <c r="AE526" s="9">
        <f t="shared" ca="1" si="1465"/>
        <v>3470</v>
      </c>
      <c r="AF526" s="9">
        <f t="shared" ca="1" si="1465"/>
        <v>5858</v>
      </c>
      <c r="AG526" s="9">
        <f t="shared" ca="1" si="1465"/>
        <v>0</v>
      </c>
      <c r="AH526" s="9">
        <f t="shared" ca="1" si="1465"/>
        <v>5858</v>
      </c>
      <c r="AI526" s="9">
        <f t="shared" ca="1" si="1465"/>
        <v>9328</v>
      </c>
      <c r="AJ526" s="11">
        <f t="shared" ca="1" si="1457"/>
        <v>203.70877966101523</v>
      </c>
      <c r="AK526" s="8">
        <f t="shared" si="1458"/>
        <v>11164</v>
      </c>
      <c r="AL526" s="12">
        <f t="shared" ca="1" si="1459"/>
        <v>0.83554281619491222</v>
      </c>
      <c r="AM526" s="13">
        <f t="shared" si="1460"/>
        <v>1.5</v>
      </c>
      <c r="AN526" s="12">
        <f t="shared" ca="1" si="1461"/>
        <v>0.51741083579655822</v>
      </c>
      <c r="AO526" s="14">
        <f t="shared" ca="1" si="1462"/>
        <v>0.77611625369483739</v>
      </c>
      <c r="AP526" s="13">
        <f t="shared" ref="AP526:AQ526" ca="1" si="1466">SUM(T521)</f>
        <v>405.99999999999659</v>
      </c>
      <c r="AQ526" s="13">
        <f t="shared" ca="1" si="1466"/>
        <v>6.8813559322033324</v>
      </c>
      <c r="AR526" s="9">
        <f t="shared" ca="1" si="1464"/>
        <v>158.10169491525423</v>
      </c>
      <c r="AS526" s="76"/>
      <c r="AT526" s="76"/>
    </row>
    <row r="527" spans="1:46" ht="15.75" customHeight="1" x14ac:dyDescent="0.25">
      <c r="A527" s="70"/>
      <c r="B527" s="16">
        <v>9</v>
      </c>
      <c r="C527" s="16" t="s">
        <v>36</v>
      </c>
      <c r="D527" s="34">
        <v>29</v>
      </c>
      <c r="E527" s="18">
        <f ca="1">IFERROR(__xludf.DUMMYFUNCTION("COUNT(IMPORTRANGE(""https://docs.google.com/spreadsheets/d/1WJJVq25XDtGjt-J2JPxeKs3jIvDZtkIREC0lFPXwf74/edit"",""20!d2:d31""))"),28)</f>
        <v>28</v>
      </c>
      <c r="F527" s="23">
        <f ca="1">IFERROR(__xludf.DUMMYFUNCTION("SUM(IMPORTRANGE(""https://docs.google.com/spreadsheets/d/1WJJVq25XDtGjt-J2JPxeKs3jIvDZtkIREC0lFPXwf74/edit"",""20!Q2:Q31""))"),5604.11999999999)</f>
        <v>5604.1199999999899</v>
      </c>
      <c r="G527" s="18">
        <f ca="1">IFERROR(__xludf.DUMMYFUNCTION("IMPORTRANGE(""https://docs.google.com/spreadsheets/d/1WJJVq25XDtGjt-J2JPxeKs3jIvDZtkIREC0lFPXwf74/edit"",""20!e38"")"),1424)</f>
        <v>1424</v>
      </c>
      <c r="H527" s="18">
        <f ca="1">IFERROR(__xludf.DUMMYFUNCTION("IMPORTRANGE(""https://docs.google.com/spreadsheets/d/1WJJVq25XDtGjt-J2JPxeKs3jIvDZtkIREC0lFPXwf74/edit"",""20!e39"")"),0)</f>
        <v>0</v>
      </c>
      <c r="I527" s="18">
        <f t="shared" ca="1" si="1437"/>
        <v>1424</v>
      </c>
      <c r="J527" s="18">
        <f ca="1">IFERROR(__xludf.DUMMYFUNCTION("IMPORTRANGE(""https://docs.google.com/spreadsheets/d/1WJJVq25XDtGjt-J2JPxeKs3jIvDZtkIREC0lFPXwf74/edit"",""20!e42"")"),2464)</f>
        <v>2464</v>
      </c>
      <c r="K527" s="18">
        <f ca="1">IFERROR(__xludf.DUMMYFUNCTION("IMPORTRANGE(""https://docs.google.com/spreadsheets/d/1WJJVq25XDtGjt-J2JPxeKs3jIvDZtkIREC0lFPXwf74/edit"",""20!e43"")"),0)</f>
        <v>0</v>
      </c>
      <c r="L527" s="18">
        <f t="shared" ref="L527:L536" ca="1" si="1467">SUM(J527:K527)</f>
        <v>2464</v>
      </c>
      <c r="M527" s="18">
        <f t="shared" ca="1" si="1439"/>
        <v>3888</v>
      </c>
      <c r="N527" s="19">
        <f t="shared" ca="1" si="1440"/>
        <v>200.14714285714248</v>
      </c>
      <c r="O527" s="16">
        <v>4796</v>
      </c>
      <c r="P527" s="20">
        <f t="shared" ca="1" si="1441"/>
        <v>0.81067556296914101</v>
      </c>
      <c r="Q527" s="21">
        <v>1.5</v>
      </c>
      <c r="R527" s="20">
        <f t="shared" ca="1" si="1442"/>
        <v>0.46251686259394958</v>
      </c>
      <c r="S527" s="22">
        <f t="shared" ca="1" si="1443"/>
        <v>0.6937752938909244</v>
      </c>
      <c r="T527" s="21">
        <f ca="1">F527/37.414</f>
        <v>149.78671085689822</v>
      </c>
      <c r="U527" s="21">
        <f t="shared" ca="1" si="1444"/>
        <v>5.3495253877463655</v>
      </c>
      <c r="V527" s="18">
        <f t="shared" ca="1" si="1445"/>
        <v>138.85714285714286</v>
      </c>
      <c r="W527" s="76"/>
      <c r="X527" s="8">
        <v>3</v>
      </c>
      <c r="Y527" s="8" t="s">
        <v>34</v>
      </c>
      <c r="Z527" s="8">
        <f t="shared" ref="Z527:AI527" si="1468">SUM(D523)</f>
        <v>40</v>
      </c>
      <c r="AA527" s="9">
        <f t="shared" ca="1" si="1468"/>
        <v>40</v>
      </c>
      <c r="AB527" s="10">
        <f t="shared" ca="1" si="1468"/>
        <v>7638.8130000000001</v>
      </c>
      <c r="AC527" s="9">
        <f t="shared" ca="1" si="1468"/>
        <v>2695</v>
      </c>
      <c r="AD527" s="9">
        <f t="shared" ca="1" si="1468"/>
        <v>0</v>
      </c>
      <c r="AE527" s="9">
        <f t="shared" ca="1" si="1468"/>
        <v>2695</v>
      </c>
      <c r="AF527" s="9">
        <f t="shared" ca="1" si="1468"/>
        <v>3595</v>
      </c>
      <c r="AG527" s="9">
        <f t="shared" ca="1" si="1468"/>
        <v>0</v>
      </c>
      <c r="AH527" s="9">
        <f t="shared" ca="1" si="1468"/>
        <v>3595</v>
      </c>
      <c r="AI527" s="9">
        <f t="shared" ca="1" si="1468"/>
        <v>6290</v>
      </c>
      <c r="AJ527" s="11">
        <f t="shared" ca="1" si="1457"/>
        <v>190.970325</v>
      </c>
      <c r="AK527" s="8">
        <f>SUM(O523)</f>
        <v>9354</v>
      </c>
      <c r="AL527" s="12">
        <f t="shared" ca="1" si="1459"/>
        <v>0.67243959803292708</v>
      </c>
      <c r="AM527" s="13">
        <f>SUM(Q523)</f>
        <v>1.5</v>
      </c>
      <c r="AN527" s="12">
        <f t="shared" ca="1" si="1461"/>
        <v>0.54895090812320357</v>
      </c>
      <c r="AO527" s="14">
        <f t="shared" ca="1" si="1462"/>
        <v>0.82342636218480536</v>
      </c>
      <c r="AP527" s="13">
        <f t="shared" ref="AP527:AQ527" ca="1" si="1469">SUM(T523)</f>
        <v>248.71595090027023</v>
      </c>
      <c r="AQ527" s="13">
        <f t="shared" ca="1" si="1469"/>
        <v>6.2178987725067554</v>
      </c>
      <c r="AR527" s="9">
        <f t="shared" ca="1" si="1464"/>
        <v>157.25</v>
      </c>
      <c r="AS527" s="76"/>
      <c r="AT527" s="76"/>
    </row>
    <row r="528" spans="1:46" ht="15.75" customHeight="1" x14ac:dyDescent="0.25">
      <c r="A528" s="70"/>
      <c r="B528" s="16">
        <v>10</v>
      </c>
      <c r="C528" s="16" t="s">
        <v>37</v>
      </c>
      <c r="D528" s="17">
        <v>30</v>
      </c>
      <c r="E528" s="18">
        <f ca="1">IFERROR(__xludf.DUMMYFUNCTION("COUNT(IMPORTRANGE(""https://docs.google.com/spreadsheets/d/1rJyYfywRpWJW0zvDJHLOJtqUQqffoCGaqTVxxTDgV0k/edit"",""20!d2:d31""))"),29)</f>
        <v>29</v>
      </c>
      <c r="F528" s="23">
        <f ca="1">IFERROR(__xludf.DUMMYFUNCTION("SUM(IMPORTRANGE(""https://docs.google.com/spreadsheets/d/1rJyYfywRpWJW0zvDJHLOJtqUQqffoCGaqTVxxTDgV0k/edit"",""20!Q2:Q31""))"),5710.848)</f>
        <v>5710.848</v>
      </c>
      <c r="G528" s="18">
        <f ca="1">IFERROR(__xludf.DUMMYFUNCTION("(IMPORTRANGE(""https://docs.google.com/spreadsheets/d/1rJyYfywRpWJW0zvDJHLOJtqUQqffoCGaqTVxxTDgV0k/edit"",""20!e38""))"),2105)</f>
        <v>2105</v>
      </c>
      <c r="H528" s="18">
        <f ca="1">IFERROR(__xludf.DUMMYFUNCTION("(IMPORTRANGE(""https://docs.google.com/spreadsheets/d/1rJyYfywRpWJW0zvDJHLOJtqUQqffoCGaqTVxxTDgV0k/edit"",""20!e39""))"),90)</f>
        <v>90</v>
      </c>
      <c r="I528" s="18">
        <f t="shared" ca="1" si="1437"/>
        <v>2195</v>
      </c>
      <c r="J528" s="18">
        <f ca="1">IFERROR(__xludf.DUMMYFUNCTION("(IMPORTRANGE(""https://docs.google.com/spreadsheets/d/1rJyYfywRpWJW0zvDJHLOJtqUQqffoCGaqTVxxTDgV0k/edit"",""20!e42""))"),3253)</f>
        <v>3253</v>
      </c>
      <c r="K528" s="18">
        <f ca="1">IFERROR(__xludf.DUMMYFUNCTION("(IMPORTRANGE(""https://docs.google.com/spreadsheets/d/1rJyYfywRpWJW0zvDJHLOJtqUQqffoCGaqTVxxTDgV0k/edit"",""20!e43""))"),0)</f>
        <v>0</v>
      </c>
      <c r="L528" s="18">
        <f t="shared" ca="1" si="1467"/>
        <v>3253</v>
      </c>
      <c r="M528" s="18">
        <f t="shared" ca="1" si="1439"/>
        <v>5448</v>
      </c>
      <c r="N528" s="19">
        <f t="shared" ca="1" si="1440"/>
        <v>196.92579310344829</v>
      </c>
      <c r="O528" s="16">
        <v>5887</v>
      </c>
      <c r="P528" s="20">
        <f t="shared" ca="1" si="1441"/>
        <v>0.92542891116018344</v>
      </c>
      <c r="Q528" s="21">
        <v>1.5</v>
      </c>
      <c r="R528" s="20">
        <f t="shared" ca="1" si="1442"/>
        <v>0.63598260713645327</v>
      </c>
      <c r="S528" s="22">
        <f t="shared" ca="1" si="1443"/>
        <v>0.95397391070467996</v>
      </c>
      <c r="T528" s="21">
        <f ca="1">F528/24.792</f>
        <v>230.35043562439495</v>
      </c>
      <c r="U528" s="21">
        <f t="shared" ca="1" si="1444"/>
        <v>7.9431184698067225</v>
      </c>
      <c r="V528" s="18">
        <f t="shared" ca="1" si="1445"/>
        <v>187.86206896551724</v>
      </c>
      <c r="W528" s="76"/>
      <c r="X528" s="8">
        <v>4</v>
      </c>
      <c r="Y528" s="8" t="s">
        <v>38</v>
      </c>
      <c r="Z528" s="8">
        <f t="shared" ref="Z528:AI528" si="1470">SUM(D531)</f>
        <v>30</v>
      </c>
      <c r="AA528" s="9">
        <f t="shared" ca="1" si="1470"/>
        <v>30</v>
      </c>
      <c r="AB528" s="10">
        <f t="shared" ca="1" si="1470"/>
        <v>6427.9799999999896</v>
      </c>
      <c r="AC528" s="9">
        <f t="shared" ca="1" si="1470"/>
        <v>2129</v>
      </c>
      <c r="AD528" s="9">
        <f t="shared" ca="1" si="1470"/>
        <v>82</v>
      </c>
      <c r="AE528" s="9">
        <f t="shared" ca="1" si="1470"/>
        <v>2211</v>
      </c>
      <c r="AF528" s="9">
        <f t="shared" ca="1" si="1470"/>
        <v>3219</v>
      </c>
      <c r="AG528" s="9">
        <f t="shared" ca="1" si="1470"/>
        <v>25</v>
      </c>
      <c r="AH528" s="9">
        <f t="shared" ca="1" si="1470"/>
        <v>3244</v>
      </c>
      <c r="AI528" s="9">
        <f t="shared" ca="1" si="1470"/>
        <v>5455</v>
      </c>
      <c r="AJ528" s="11">
        <f t="shared" ca="1" si="1457"/>
        <v>214.26599999999965</v>
      </c>
      <c r="AK528" s="8">
        <v>7324</v>
      </c>
      <c r="AL528" s="12">
        <f t="shared" ca="1" si="1459"/>
        <v>0.74481157837247403</v>
      </c>
      <c r="AM528" s="13">
        <f>SUM(Q531)</f>
        <v>1.5</v>
      </c>
      <c r="AN528" s="12">
        <f t="shared" ca="1" si="1461"/>
        <v>0.56575575323300209</v>
      </c>
      <c r="AO528" s="14">
        <f t="shared" ca="1" si="1462"/>
        <v>0.84863362984950308</v>
      </c>
      <c r="AP528" s="13">
        <f t="shared" ref="AP528:AQ528" ca="1" si="1471">SUM(T531)</f>
        <v>155.99999999999974</v>
      </c>
      <c r="AQ528" s="13">
        <f t="shared" ca="1" si="1471"/>
        <v>5.1999999999999913</v>
      </c>
      <c r="AR528" s="9">
        <f t="shared" ca="1" si="1464"/>
        <v>181.83333333333334</v>
      </c>
      <c r="AS528" s="76"/>
      <c r="AT528" s="76"/>
    </row>
    <row r="529" spans="1:46" ht="15.75" customHeight="1" x14ac:dyDescent="0.25">
      <c r="A529" s="70"/>
      <c r="B529" s="16">
        <v>12</v>
      </c>
      <c r="C529" s="16" t="s">
        <v>39</v>
      </c>
      <c r="D529" s="17">
        <v>28</v>
      </c>
      <c r="E529" s="18">
        <f ca="1">IFERROR(__xludf.DUMMYFUNCTION("COUNT(IMPORTRANGE(""https://docs.google.com/spreadsheets/d/1uaTn2DZCfr7O1PvovOd0wElzVz8kpl_iPfnrkNPp0Is/edit"",""20!d2:d29""))"),28)</f>
        <v>28</v>
      </c>
      <c r="F529" s="23">
        <f ca="1">IFERROR(__xludf.DUMMYFUNCTION("SUM(IMPORTRANGE(""https://docs.google.com/spreadsheets/d/1uaTn2DZCfr7O1PvovOd0wElzVz8kpl_iPfnrkNPp0Is/edit"",""20!Q2:Q29""))"),5103.829)</f>
        <v>5103.8289999999997</v>
      </c>
      <c r="G529" s="18">
        <f ca="1">IFERROR(__xludf.DUMMYFUNCTION("IMPORTRANGE(""https://docs.google.com/spreadsheets/d/1uaTn2DZCfr7O1PvovOd0wElzVz8kpl_iPfnrkNPp0Is/edit"",""20!e36"")"),1299)</f>
        <v>1299</v>
      </c>
      <c r="H529" s="18">
        <f ca="1">IFERROR(__xludf.DUMMYFUNCTION("(IMPORTRANGE(""https://docs.google.com/spreadsheets/d/1uaTn2DZCfr7O1PvovOd0wElzVz8kpl_iPfnrkNPp0Is/edit"",""20!e37""))"),70)</f>
        <v>70</v>
      </c>
      <c r="I529" s="18">
        <f t="shared" ca="1" si="1437"/>
        <v>1369</v>
      </c>
      <c r="J529" s="18">
        <f ca="1">IFERROR(__xludf.DUMMYFUNCTION("IMPORTRANGE(""https://docs.google.com/spreadsheets/d/1uaTn2DZCfr7O1PvovOd0wElzVz8kpl_iPfnrkNPp0Is/edit"",""20!e40"")"),1580)</f>
        <v>1580</v>
      </c>
      <c r="K529" s="18">
        <f ca="1">IFERROR(__xludf.DUMMYFUNCTION("IMPORTRANGE(""https://docs.google.com/spreadsheets/d/1uaTn2DZCfr7O1PvovOd0wElzVz8kpl_iPfnrkNPp0Is/edit"",""20!e41"")"),69)</f>
        <v>69</v>
      </c>
      <c r="L529" s="18">
        <f t="shared" ca="1" si="1467"/>
        <v>1649</v>
      </c>
      <c r="M529" s="18">
        <f t="shared" ca="1" si="1439"/>
        <v>3018</v>
      </c>
      <c r="N529" s="19">
        <f t="shared" ca="1" si="1440"/>
        <v>182.27960714285715</v>
      </c>
      <c r="O529" s="16">
        <v>3569</v>
      </c>
      <c r="P529" s="20">
        <f t="shared" ca="1" si="1441"/>
        <v>0.84561501821238438</v>
      </c>
      <c r="Q529" s="21">
        <v>1.5</v>
      </c>
      <c r="R529" s="20">
        <f t="shared" ca="1" si="1442"/>
        <v>0.39421383435847873</v>
      </c>
      <c r="S529" s="22">
        <f t="shared" ca="1" si="1443"/>
        <v>0.59132075153771813</v>
      </c>
      <c r="T529" s="21">
        <f ca="1">F529/21.463</f>
        <v>237.7966267530168</v>
      </c>
      <c r="U529" s="21">
        <f t="shared" ca="1" si="1444"/>
        <v>8.4927366697506006</v>
      </c>
      <c r="V529" s="18">
        <f t="shared" ca="1" si="1445"/>
        <v>107.78571428571429</v>
      </c>
      <c r="W529" s="76"/>
      <c r="X529" s="8">
        <v>5</v>
      </c>
      <c r="Y529" s="8" t="s">
        <v>40</v>
      </c>
      <c r="Z529" s="8">
        <f t="shared" ref="Z529:AI529" si="1472">SUM(D533)</f>
        <v>30</v>
      </c>
      <c r="AA529" s="9">
        <f t="shared" ca="1" si="1472"/>
        <v>30</v>
      </c>
      <c r="AB529" s="10">
        <f t="shared" ca="1" si="1472"/>
        <v>5887.70099999999</v>
      </c>
      <c r="AC529" s="9">
        <f t="shared" ca="1" si="1472"/>
        <v>3031</v>
      </c>
      <c r="AD529" s="9">
        <f t="shared" ca="1" si="1472"/>
        <v>170</v>
      </c>
      <c r="AE529" s="9">
        <f t="shared" ca="1" si="1472"/>
        <v>3201</v>
      </c>
      <c r="AF529" s="9">
        <f t="shared" ca="1" si="1472"/>
        <v>3853</v>
      </c>
      <c r="AG529" s="9">
        <f t="shared" ca="1" si="1472"/>
        <v>103</v>
      </c>
      <c r="AH529" s="9">
        <f t="shared" ca="1" si="1472"/>
        <v>3956</v>
      </c>
      <c r="AI529" s="9">
        <f t="shared" ca="1" si="1472"/>
        <v>7157</v>
      </c>
      <c r="AJ529" s="11">
        <f t="shared" ca="1" si="1457"/>
        <v>196.25669999999965</v>
      </c>
      <c r="AK529" s="8">
        <f t="shared" ref="AK529:AK530" si="1473">SUM(O533)</f>
        <v>8239</v>
      </c>
      <c r="AL529" s="12">
        <f t="shared" ca="1" si="1459"/>
        <v>0.86867338269207428</v>
      </c>
      <c r="AM529" s="13">
        <f t="shared" ref="AM529:AM530" si="1474">SUM(Q533)</f>
        <v>1.5</v>
      </c>
      <c r="AN529" s="12">
        <f t="shared" ca="1" si="1461"/>
        <v>0.8103898844953813</v>
      </c>
      <c r="AO529" s="14">
        <f t="shared" ca="1" si="1462"/>
        <v>1.215584826743072</v>
      </c>
      <c r="AP529" s="13">
        <f t="shared" ref="AP529:AQ529" ca="1" si="1475">SUM(T533)</f>
        <v>206.99999999999963</v>
      </c>
      <c r="AQ529" s="13">
        <f t="shared" ca="1" si="1475"/>
        <v>6.8999999999999879</v>
      </c>
      <c r="AR529" s="9">
        <f t="shared" ca="1" si="1464"/>
        <v>238.56666666666666</v>
      </c>
      <c r="AS529" s="76"/>
      <c r="AT529" s="76"/>
    </row>
    <row r="530" spans="1:46" ht="15.75" customHeight="1" x14ac:dyDescent="0.25">
      <c r="A530" s="70"/>
      <c r="B530" s="16">
        <v>12</v>
      </c>
      <c r="C530" s="16" t="s">
        <v>41</v>
      </c>
      <c r="D530" s="17">
        <v>24</v>
      </c>
      <c r="E530" s="18">
        <f ca="1">IFERROR(__xludf.DUMMYFUNCTION("COUNT(IMPORTRANGE(""https://docs.google.com/spreadsheets/d/1oYscvfOJW7GMkxt8QcupWuzb3ohaYePd3Mt2V2ufHok/edit"",""20!d2:d25""))"),23)</f>
        <v>23</v>
      </c>
      <c r="F530" s="23">
        <f ca="1">IFERROR(__xludf.DUMMYFUNCTION("SUM(IMPORTRANGE(""https://docs.google.com/spreadsheets/d/1oYscvfOJW7GMkxt8QcupWuzb3ohaYePd3Mt2V2ufHok/edit"",""20!Q2:Q25""))"),4510.04)</f>
        <v>4510.04</v>
      </c>
      <c r="G530" s="18">
        <f ca="1">IFERROR(__xludf.DUMMYFUNCTION("IMPORTRANGE(""https://docs.google.com/spreadsheets/d/1oYscvfOJW7GMkxt8QcupWuzb3ohaYePd3Mt2V2ufHok/edit"",""20!e32"")"),1343)</f>
        <v>1343</v>
      </c>
      <c r="H530" s="18">
        <f ca="1">IFERROR(__xludf.DUMMYFUNCTION("IMPORTRANGE(""https://docs.google.com/spreadsheets/d/1oYscvfOJW7GMkxt8QcupWuzb3ohaYePd3Mt2V2ufHok/edit"",""20!e33"")"),0)</f>
        <v>0</v>
      </c>
      <c r="I530" s="18">
        <f t="shared" ca="1" si="1437"/>
        <v>1343</v>
      </c>
      <c r="J530" s="18">
        <f ca="1">IFERROR(__xludf.DUMMYFUNCTION("IMPORTRANGE(""https://docs.google.com/spreadsheets/d/1oYscvfOJW7GMkxt8QcupWuzb3ohaYePd3Mt2V2ufHok/edit"",""20!e36"")"),1671)</f>
        <v>1671</v>
      </c>
      <c r="K530" s="18">
        <f ca="1">IFERROR(__xludf.DUMMYFUNCTION("IMPORTRANGE(""https://docs.google.com/spreadsheets/d/1oYscvfOJW7GMkxt8QcupWuzb3ohaYePd3Mt2V2ufHok/edit"",""20!e37"")"),0)</f>
        <v>0</v>
      </c>
      <c r="L530" s="18">
        <f t="shared" ca="1" si="1467"/>
        <v>1671</v>
      </c>
      <c r="M530" s="18">
        <f t="shared" ca="1" si="1439"/>
        <v>3014</v>
      </c>
      <c r="N530" s="19">
        <f t="shared" ca="1" si="1440"/>
        <v>196.08869565217393</v>
      </c>
      <c r="O530" s="16">
        <v>3801</v>
      </c>
      <c r="P530" s="20">
        <f t="shared" ca="1" si="1441"/>
        <v>0.79294922388845046</v>
      </c>
      <c r="Q530" s="21">
        <v>1.5</v>
      </c>
      <c r="R530" s="20">
        <f t="shared" ca="1" si="1442"/>
        <v>0.44552450384771164</v>
      </c>
      <c r="S530" s="22">
        <f t="shared" ca="1" si="1443"/>
        <v>0.66828675577156749</v>
      </c>
      <c r="T530" s="21">
        <f ca="1">F530/29.628</f>
        <v>152.22222222222223</v>
      </c>
      <c r="U530" s="21">
        <f t="shared" ca="1" si="1444"/>
        <v>6.6183574879227054</v>
      </c>
      <c r="V530" s="18">
        <f t="shared" ca="1" si="1445"/>
        <v>131.04347826086956</v>
      </c>
      <c r="W530" s="76"/>
      <c r="X530" s="8">
        <v>6</v>
      </c>
      <c r="Y530" s="8" t="s">
        <v>42</v>
      </c>
      <c r="Z530" s="8">
        <f t="shared" ref="Z530:AI530" si="1476">SUM(D534)</f>
        <v>33</v>
      </c>
      <c r="AA530" s="9">
        <f t="shared" ca="1" si="1476"/>
        <v>32</v>
      </c>
      <c r="AB530" s="10">
        <f t="shared" ca="1" si="1476"/>
        <v>6266.4309999999896</v>
      </c>
      <c r="AC530" s="9">
        <f t="shared" ca="1" si="1476"/>
        <v>3169</v>
      </c>
      <c r="AD530" s="9">
        <f t="shared" ca="1" si="1476"/>
        <v>218</v>
      </c>
      <c r="AE530" s="9">
        <f t="shared" ca="1" si="1476"/>
        <v>3387</v>
      </c>
      <c r="AF530" s="9">
        <f t="shared" ca="1" si="1476"/>
        <v>3428</v>
      </c>
      <c r="AG530" s="9">
        <f t="shared" ca="1" si="1476"/>
        <v>195</v>
      </c>
      <c r="AH530" s="9">
        <f t="shared" ca="1" si="1476"/>
        <v>3623</v>
      </c>
      <c r="AI530" s="9">
        <f t="shared" ca="1" si="1476"/>
        <v>7010</v>
      </c>
      <c r="AJ530" s="11">
        <f t="shared" ca="1" si="1457"/>
        <v>195.82596874999967</v>
      </c>
      <c r="AK530" s="8">
        <f t="shared" si="1473"/>
        <v>9877</v>
      </c>
      <c r="AL530" s="12">
        <f t="shared" ca="1" si="1459"/>
        <v>0.70972967500253115</v>
      </c>
      <c r="AM530" s="13">
        <f t="shared" si="1474"/>
        <v>1.5</v>
      </c>
      <c r="AN530" s="12">
        <f t="shared" ca="1" si="1461"/>
        <v>0.74577272666583916</v>
      </c>
      <c r="AO530" s="14">
        <f t="shared" ca="1" si="1462"/>
        <v>1.1186590899987587</v>
      </c>
      <c r="AP530" s="13">
        <f t="shared" ref="AP530:AQ530" ca="1" si="1477">SUM(T534)</f>
        <v>239.58826228254594</v>
      </c>
      <c r="AQ530" s="13">
        <f t="shared" ca="1" si="1477"/>
        <v>7.4871331963295606</v>
      </c>
      <c r="AR530" s="9">
        <f t="shared" ca="1" si="1464"/>
        <v>219.0625</v>
      </c>
      <c r="AS530" s="76"/>
      <c r="AT530" s="76"/>
    </row>
    <row r="531" spans="1:46" ht="15.75" customHeight="1" x14ac:dyDescent="0.25">
      <c r="A531" s="70"/>
      <c r="B531" s="16">
        <v>13</v>
      </c>
      <c r="C531" s="16" t="s">
        <v>43</v>
      </c>
      <c r="D531" s="17">
        <v>30</v>
      </c>
      <c r="E531" s="18">
        <f ca="1">IFERROR(__xludf.DUMMYFUNCTION("COUNT(IMPORTRANGE(""https://docs.google.com/spreadsheets/d/1AxBmuQEdOYAeRnZ4C8vO6kuTNp7X_SGhpLXuY0n4ln4/edit"",""20!d2:d31""))"),30)</f>
        <v>30</v>
      </c>
      <c r="F531" s="23">
        <f ca="1">IFERROR(__xludf.DUMMYFUNCTION("SUM(IMPORTRANGE(""https://docs.google.com/spreadsheets/d/1AxBmuQEdOYAeRnZ4C8vO6kuTNp7X_SGhpLXuY0n4ln4/edit"",""20!Q2:Q31""))"),6427.97999999999)</f>
        <v>6427.9799999999896</v>
      </c>
      <c r="G531" s="18">
        <f ca="1">IFERROR(__xludf.DUMMYFUNCTION("IMPORTRANGE(""https://docs.google.com/spreadsheets/d/1AxBmuQEdOYAeRnZ4C8vO6kuTNp7X_SGhpLXuY0n4ln4/edit"",""20!e38"")"),2129)</f>
        <v>2129</v>
      </c>
      <c r="H531" s="18">
        <f ca="1">IFERROR(__xludf.DUMMYFUNCTION("IMPORTRANGE(""https://docs.google.com/spreadsheets/d/1AxBmuQEdOYAeRnZ4C8vO6kuTNp7X_SGhpLXuY0n4ln4/edit"",""20!e39"")"),82)</f>
        <v>82</v>
      </c>
      <c r="I531" s="18">
        <f t="shared" ca="1" si="1437"/>
        <v>2211</v>
      </c>
      <c r="J531" s="18">
        <f ca="1">IFERROR(__xludf.DUMMYFUNCTION("IMPORTRANGE(""https://docs.google.com/spreadsheets/d/1AxBmuQEdOYAeRnZ4C8vO6kuTNp7X_SGhpLXuY0n4ln4/edit"",""20!e42"")"),3219)</f>
        <v>3219</v>
      </c>
      <c r="K531" s="18">
        <f ca="1">IFERROR(__xludf.DUMMYFUNCTION("IMPORTRANGE(""https://docs.google.com/spreadsheets/d/1AxBmuQEdOYAeRnZ4C8vO6kuTNp7X_SGhpLXuY0n4ln4/edit"",""20!e43"")"),25)</f>
        <v>25</v>
      </c>
      <c r="L531" s="18">
        <f t="shared" ca="1" si="1467"/>
        <v>3244</v>
      </c>
      <c r="M531" s="18">
        <f t="shared" ca="1" si="1439"/>
        <v>5455</v>
      </c>
      <c r="N531" s="19">
        <f t="shared" ca="1" si="1440"/>
        <v>214.26599999999965</v>
      </c>
      <c r="O531" s="16">
        <v>8345</v>
      </c>
      <c r="P531" s="20">
        <f t="shared" ca="1" si="1441"/>
        <v>0.65368484122228876</v>
      </c>
      <c r="Q531" s="21">
        <v>1.5</v>
      </c>
      <c r="R531" s="20">
        <f t="shared" ca="1" si="1442"/>
        <v>0.56575575323300209</v>
      </c>
      <c r="S531" s="22">
        <f t="shared" ca="1" si="1443"/>
        <v>0.84863362984950308</v>
      </c>
      <c r="T531" s="21">
        <f ca="1">F531/41.205</f>
        <v>155.99999999999974</v>
      </c>
      <c r="U531" s="21">
        <f t="shared" ca="1" si="1444"/>
        <v>5.1999999999999913</v>
      </c>
      <c r="V531" s="18">
        <f t="shared" ca="1" si="1445"/>
        <v>181.83333333333334</v>
      </c>
      <c r="W531" s="76"/>
      <c r="X531" s="24" t="s">
        <v>33</v>
      </c>
      <c r="Y531" s="24">
        <v>6</v>
      </c>
      <c r="Z531" s="24">
        <f t="shared" ref="Z531:AI531" si="1478">SUM(Z525:Z530)</f>
        <v>226</v>
      </c>
      <c r="AA531" s="25">
        <f t="shared" ca="1" si="1478"/>
        <v>224</v>
      </c>
      <c r="AB531" s="27">
        <f t="shared" ca="1" si="1478"/>
        <v>44397.811999999853</v>
      </c>
      <c r="AC531" s="25">
        <f t="shared" ca="1" si="1478"/>
        <v>17049</v>
      </c>
      <c r="AD531" s="25">
        <f t="shared" ca="1" si="1478"/>
        <v>570</v>
      </c>
      <c r="AE531" s="25">
        <f t="shared" ca="1" si="1478"/>
        <v>17619</v>
      </c>
      <c r="AF531" s="25">
        <f t="shared" ca="1" si="1478"/>
        <v>22743</v>
      </c>
      <c r="AG531" s="25">
        <f t="shared" ca="1" si="1478"/>
        <v>767</v>
      </c>
      <c r="AH531" s="25">
        <f t="shared" ca="1" si="1478"/>
        <v>23510</v>
      </c>
      <c r="AI531" s="25">
        <f t="shared" ca="1" si="1478"/>
        <v>41129</v>
      </c>
      <c r="AJ531" s="27">
        <f t="shared" ca="1" si="1457"/>
        <v>198.20451785714221</v>
      </c>
      <c r="AK531" s="24">
        <f>SUM(AK525:AK530)</f>
        <v>53273</v>
      </c>
      <c r="AL531" s="28">
        <f t="shared" ca="1" si="1459"/>
        <v>0.77204212265124927</v>
      </c>
      <c r="AM531" s="29">
        <v>1.5</v>
      </c>
      <c r="AN531" s="28">
        <f t="shared" ca="1" si="1461"/>
        <v>0.61758298659702926</v>
      </c>
      <c r="AO531" s="30">
        <f t="shared" ca="1" si="1462"/>
        <v>0.92637447989554389</v>
      </c>
      <c r="AP531" s="29">
        <f ca="1">SUM(AP525:AP530)</f>
        <v>1456.6138225299976</v>
      </c>
      <c r="AQ531" s="29">
        <f ca="1">AP531/AA531</f>
        <v>6.5027402791517748</v>
      </c>
      <c r="AR531" s="25">
        <f t="shared" ca="1" si="1464"/>
        <v>183.61160714285714</v>
      </c>
      <c r="AS531" s="76"/>
      <c r="AT531" s="76"/>
    </row>
    <row r="532" spans="1:46" ht="15.75" customHeight="1" x14ac:dyDescent="0.25">
      <c r="A532" s="70"/>
      <c r="B532" s="16">
        <v>14</v>
      </c>
      <c r="C532" s="16" t="s">
        <v>27</v>
      </c>
      <c r="D532" s="17">
        <v>30</v>
      </c>
      <c r="E532" s="18">
        <f ca="1">IFERROR(__xludf.DUMMYFUNCTION("COUNT(IMPORTRANGE(""https://docs.google.com/spreadsheets/d/1LsL4JuXvBtfJ-TVi4NFml9lV_pmd61b789A_nbO-QrA/edit"",""20!d2:d31""))"),30)</f>
        <v>30</v>
      </c>
      <c r="F532" s="23">
        <f ca="1">IFERROR(__xludf.DUMMYFUNCTION("SUM(IMPORTRANGE(""https://docs.google.com/spreadsheets/d/1LsL4JuXvBtfJ-TVi4NFml9lV_pmd61b789A_nbO-QrA/edit"",""20!Q2:Q31""))"),5585.66999999999)</f>
        <v>5585.6699999999901</v>
      </c>
      <c r="G532" s="18">
        <f ca="1">IFERROR(__xludf.DUMMYFUNCTION("IMPORTRANGE(""https://docs.google.com/spreadsheets/d/1LsL4JuXvBtfJ-TVi4NFml9lV_pmd61b789A_nbO-QrA/edit"",""20!e38"")"),2468)</f>
        <v>2468</v>
      </c>
      <c r="H532" s="18">
        <f ca="1">IFERROR(__xludf.DUMMYFUNCTION("IMPORTRANGE(""https://docs.google.com/spreadsheets/d/1LsL4JuXvBtfJ-TVi4NFml9lV_pmd61b789A_nbO-QrA/edit"",""20!e39"")"),0)</f>
        <v>0</v>
      </c>
      <c r="I532" s="18">
        <f t="shared" ca="1" si="1437"/>
        <v>2468</v>
      </c>
      <c r="J532" s="18">
        <f ca="1">IFERROR(__xludf.DUMMYFUNCTION("IMPORTRANGE(""https://docs.google.com/spreadsheets/d/1LsL4JuXvBtfJ-TVi4NFml9lV_pmd61b789A_nbO-QrA/edit"",""20!e42"")"),2680)</f>
        <v>2680</v>
      </c>
      <c r="K532" s="18">
        <f ca="1">IFERROR(__xludf.DUMMYFUNCTION("IMPORTRANGE(""https://docs.google.com/spreadsheets/d/1LsL4JuXvBtfJ-TVi4NFml9lV_pmd61b789A_nbO-QrA/edit"",""20!e43"")"),0)</f>
        <v>0</v>
      </c>
      <c r="L532" s="18">
        <f t="shared" ca="1" si="1467"/>
        <v>2680</v>
      </c>
      <c r="M532" s="18">
        <f t="shared" ca="1" si="1439"/>
        <v>5148</v>
      </c>
      <c r="N532" s="19">
        <f t="shared" ca="1" si="1440"/>
        <v>186.18899999999968</v>
      </c>
      <c r="O532" s="16">
        <v>8101</v>
      </c>
      <c r="P532" s="20">
        <f t="shared" ca="1" si="1441"/>
        <v>0.63547710159239601</v>
      </c>
      <c r="Q532" s="21">
        <v>1.5</v>
      </c>
      <c r="R532" s="20">
        <f t="shared" ca="1" si="1442"/>
        <v>0.61442942386499844</v>
      </c>
      <c r="S532" s="22">
        <f t="shared" ca="1" si="1443"/>
        <v>0.92164413579749771</v>
      </c>
      <c r="T532" s="21">
        <f ca="1">F532/19.985</f>
        <v>279.4931198398794</v>
      </c>
      <c r="U532" s="21">
        <f t="shared" ca="1" si="1444"/>
        <v>9.3164373279959793</v>
      </c>
      <c r="V532" s="18">
        <f t="shared" ca="1" si="1445"/>
        <v>171.6</v>
      </c>
      <c r="W532" s="76"/>
      <c r="X532" s="97" t="s">
        <v>44</v>
      </c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9"/>
      <c r="AS532" s="76"/>
      <c r="AT532" s="76"/>
    </row>
    <row r="533" spans="1:46" ht="15.75" customHeight="1" x14ac:dyDescent="0.25">
      <c r="A533" s="70"/>
      <c r="B533" s="16">
        <v>15</v>
      </c>
      <c r="C533" s="16" t="s">
        <v>40</v>
      </c>
      <c r="D533" s="17">
        <v>30</v>
      </c>
      <c r="E533" s="18">
        <f ca="1">IFERROR(__xludf.DUMMYFUNCTION("COUNT(IMPORTRANGE(""https://docs.google.com/spreadsheets/d/1Krav0MVlY0vbUNsFRDnb_kR72_tyuGnWBYbGjNZrl18/edit"",""20!d2:d31""))"),30)</f>
        <v>30</v>
      </c>
      <c r="F533" s="23">
        <f ca="1">IFERROR(__xludf.DUMMYFUNCTION("SUM(IMPORTRANGE(""https://docs.google.com/spreadsheets/d/1Krav0MVlY0vbUNsFRDnb_kR72_tyuGnWBYbGjNZrl18/edit"",""20!Q2:Q31""))"),5887.70099999999)</f>
        <v>5887.70099999999</v>
      </c>
      <c r="G533" s="18">
        <f ca="1">IFERROR(__xludf.DUMMYFUNCTION("IMPORTRANGE(""https://docs.google.com/spreadsheets/d/1Krav0MVlY0vbUNsFRDnb_kR72_tyuGnWBYbGjNZrl18/edit"",""20!e38"")"),3031)</f>
        <v>3031</v>
      </c>
      <c r="H533" s="18">
        <f ca="1">IFERROR(__xludf.DUMMYFUNCTION("IMPORTRANGE(""https://docs.google.com/spreadsheets/d/1Krav0MVlY0vbUNsFRDnb_kR72_tyuGnWBYbGjNZrl18/edit"",""20!e39"")"),170)</f>
        <v>170</v>
      </c>
      <c r="I533" s="18">
        <f t="shared" ca="1" si="1437"/>
        <v>3201</v>
      </c>
      <c r="J533" s="18">
        <f ca="1">IFERROR(__xludf.DUMMYFUNCTION("IMPORTRANGE(""https://docs.google.com/spreadsheets/d/1Krav0MVlY0vbUNsFRDnb_kR72_tyuGnWBYbGjNZrl18/edit"",""20!e42"")"),3853)</f>
        <v>3853</v>
      </c>
      <c r="K533" s="18">
        <f ca="1">IFERROR(__xludf.DUMMYFUNCTION("IMPORTRANGE(""https://docs.google.com/spreadsheets/d/1Krav0MVlY0vbUNsFRDnb_kR72_tyuGnWBYbGjNZrl18/edit"",""20!e43"")"),103)</f>
        <v>103</v>
      </c>
      <c r="L533" s="18">
        <f t="shared" ca="1" si="1467"/>
        <v>3956</v>
      </c>
      <c r="M533" s="18">
        <f t="shared" ca="1" si="1439"/>
        <v>7157</v>
      </c>
      <c r="N533" s="19">
        <f t="shared" ca="1" si="1440"/>
        <v>196.25669999999965</v>
      </c>
      <c r="O533" s="16">
        <v>8239</v>
      </c>
      <c r="P533" s="20">
        <f t="shared" ca="1" si="1441"/>
        <v>0.86867338269207428</v>
      </c>
      <c r="Q533" s="21">
        <v>1.5</v>
      </c>
      <c r="R533" s="20">
        <f t="shared" ca="1" si="1442"/>
        <v>0.8103898844953813</v>
      </c>
      <c r="S533" s="22">
        <f t="shared" ca="1" si="1443"/>
        <v>1.215584826743072</v>
      </c>
      <c r="T533" s="21">
        <f ca="1">F533/28.443</f>
        <v>206.99999999999963</v>
      </c>
      <c r="U533" s="21">
        <f t="shared" ca="1" si="1444"/>
        <v>6.8999999999999879</v>
      </c>
      <c r="V533" s="18">
        <f t="shared" ca="1" si="1445"/>
        <v>238.56666666666666</v>
      </c>
      <c r="W533" s="76"/>
      <c r="X533" s="1" t="s">
        <v>2</v>
      </c>
      <c r="Y533" s="1" t="s">
        <v>3</v>
      </c>
      <c r="Z533" s="1" t="s">
        <v>4</v>
      </c>
      <c r="AA533" s="1" t="s">
        <v>5</v>
      </c>
      <c r="AB533" s="2" t="s">
        <v>6</v>
      </c>
      <c r="AC533" s="1" t="s">
        <v>7</v>
      </c>
      <c r="AD533" s="1" t="s">
        <v>8</v>
      </c>
      <c r="AE533" s="1" t="s">
        <v>9</v>
      </c>
      <c r="AF533" s="1" t="s">
        <v>10</v>
      </c>
      <c r="AG533" s="1" t="s">
        <v>11</v>
      </c>
      <c r="AH533" s="1" t="s">
        <v>12</v>
      </c>
      <c r="AI533" s="1" t="s">
        <v>13</v>
      </c>
      <c r="AJ533" s="2" t="s">
        <v>14</v>
      </c>
      <c r="AK533" s="1" t="s">
        <v>15</v>
      </c>
      <c r="AL533" s="1" t="s">
        <v>16</v>
      </c>
      <c r="AM533" s="3" t="s">
        <v>17</v>
      </c>
      <c r="AN533" s="4" t="s">
        <v>18</v>
      </c>
      <c r="AO533" s="5" t="s">
        <v>19</v>
      </c>
      <c r="AP533" s="6" t="s">
        <v>20</v>
      </c>
      <c r="AQ533" s="6" t="s">
        <v>21</v>
      </c>
      <c r="AR533" s="7" t="s">
        <v>22</v>
      </c>
      <c r="AS533" s="76"/>
      <c r="AT533" s="76"/>
    </row>
    <row r="534" spans="1:46" ht="15.75" customHeight="1" x14ac:dyDescent="0.25">
      <c r="A534" s="70"/>
      <c r="B534" s="16">
        <v>16</v>
      </c>
      <c r="C534" s="16" t="s">
        <v>42</v>
      </c>
      <c r="D534" s="17">
        <v>33</v>
      </c>
      <c r="E534" s="18">
        <f ca="1">IFERROR(__xludf.DUMMYFUNCTION("COUNT(IMPORTRANGE(""https://docs.google.com/spreadsheets/d/1uXtm-E8PG0CetlFmSpTX3RK0LNEMnpR-mxbET9AGD6w/edit"",""20!d2:d34""))"),32)</f>
        <v>32</v>
      </c>
      <c r="F534" s="23">
        <f ca="1">IFERROR(__xludf.DUMMYFUNCTION("SUM(IMPORTRANGE(""https://docs.google.com/spreadsheets/d/1uXtm-E8PG0CetlFmSpTX3RK0LNEMnpR-mxbET9AGD6w/edit"",""20!Q2:Q34""))"),6266.43099999999)</f>
        <v>6266.4309999999896</v>
      </c>
      <c r="G534" s="18">
        <f ca="1">IFERROR(__xludf.DUMMYFUNCTION("IMPORTRANGE(""https://docs.google.com/spreadsheets/d/1uXtm-E8PG0CetlFmSpTX3RK0LNEMnpR-mxbET9AGD6w/edit"",""20!e41"")"),3169)</f>
        <v>3169</v>
      </c>
      <c r="H534" s="18">
        <f ca="1">IFERROR(__xludf.DUMMYFUNCTION("IMPORTRANGE(""https://docs.google.com/spreadsheets/d/1uXtm-E8PG0CetlFmSpTX3RK0LNEMnpR-mxbET9AGD6w/edit"",""20!e42"")"),218)</f>
        <v>218</v>
      </c>
      <c r="I534" s="18">
        <f t="shared" ca="1" si="1437"/>
        <v>3387</v>
      </c>
      <c r="J534" s="18">
        <f ca="1">IFERROR(__xludf.DUMMYFUNCTION("IMPORTRANGE(""https://docs.google.com/spreadsheets/d/1uXtm-E8PG0CetlFmSpTX3RK0LNEMnpR-mxbET9AGD6w/edit"",""20!e45"")"),3428)</f>
        <v>3428</v>
      </c>
      <c r="K534" s="18">
        <f ca="1">IFERROR(__xludf.DUMMYFUNCTION("IMPORTRANGE(""https://docs.google.com/spreadsheets/d/1uXtm-E8PG0CetlFmSpTX3RK0LNEMnpR-mxbET9AGD6w/edit"",""20!e46"")"),195)</f>
        <v>195</v>
      </c>
      <c r="L534" s="18">
        <f t="shared" ca="1" si="1467"/>
        <v>3623</v>
      </c>
      <c r="M534" s="18">
        <f t="shared" ca="1" si="1439"/>
        <v>7010</v>
      </c>
      <c r="N534" s="19">
        <f t="shared" ca="1" si="1440"/>
        <v>195.82596874999967</v>
      </c>
      <c r="O534" s="16">
        <v>9877</v>
      </c>
      <c r="P534" s="20">
        <f t="shared" ca="1" si="1441"/>
        <v>0.70972967500253115</v>
      </c>
      <c r="Q534" s="21">
        <v>1.5</v>
      </c>
      <c r="R534" s="20">
        <f t="shared" ca="1" si="1442"/>
        <v>0.74577272666583916</v>
      </c>
      <c r="S534" s="22">
        <f t="shared" ca="1" si="1443"/>
        <v>1.1186590899987587</v>
      </c>
      <c r="T534" s="21">
        <f ca="1">F534/26.155</f>
        <v>239.58826228254594</v>
      </c>
      <c r="U534" s="21">
        <f t="shared" ca="1" si="1444"/>
        <v>7.4871331963295606</v>
      </c>
      <c r="V534" s="18">
        <f t="shared" ca="1" si="1445"/>
        <v>219.0625</v>
      </c>
      <c r="W534" s="76"/>
      <c r="X534" s="8">
        <v>1</v>
      </c>
      <c r="Y534" s="8" t="s">
        <v>26</v>
      </c>
      <c r="Z534" s="8">
        <f t="shared" ref="Z534:AI534" si="1479">SUM(D519)</f>
        <v>20</v>
      </c>
      <c r="AA534" s="9">
        <f t="shared" ca="1" si="1479"/>
        <v>18</v>
      </c>
      <c r="AB534" s="11">
        <f t="shared" ca="1" si="1479"/>
        <v>3517.7190000000001</v>
      </c>
      <c r="AC534" s="9">
        <f t="shared" ca="1" si="1479"/>
        <v>1938</v>
      </c>
      <c r="AD534" s="9">
        <f t="shared" ca="1" si="1479"/>
        <v>0</v>
      </c>
      <c r="AE534" s="9">
        <f t="shared" ca="1" si="1479"/>
        <v>1938</v>
      </c>
      <c r="AF534" s="9">
        <f t="shared" ca="1" si="1479"/>
        <v>2930</v>
      </c>
      <c r="AG534" s="9">
        <f t="shared" ca="1" si="1479"/>
        <v>0</v>
      </c>
      <c r="AH534" s="9">
        <f t="shared" ca="1" si="1479"/>
        <v>2930</v>
      </c>
      <c r="AI534" s="9">
        <f t="shared" ca="1" si="1479"/>
        <v>4868</v>
      </c>
      <c r="AJ534" s="11">
        <f t="shared" ref="AJ534:AJ540" ca="1" si="1480">AB534/AA534</f>
        <v>195.42883333333333</v>
      </c>
      <c r="AK534" s="8">
        <f>SUM(O519)</f>
        <v>5161</v>
      </c>
      <c r="AL534" s="12">
        <f t="shared" ref="AL534:AL540" ca="1" si="1481">AI534/AK534</f>
        <v>0.94322805657818254</v>
      </c>
      <c r="AM534" s="13">
        <f>SUM(Q519)</f>
        <v>1.5</v>
      </c>
      <c r="AN534" s="12">
        <f t="shared" ref="AN534:AN540" ca="1" si="1482">AO534/AM534</f>
        <v>0.92256753121364532</v>
      </c>
      <c r="AO534" s="14">
        <f t="shared" ref="AO534:AO540" ca="1" si="1483">AI534/AB534</f>
        <v>1.3838512968204679</v>
      </c>
      <c r="AP534" s="13">
        <f t="shared" ref="AP534:AQ534" ca="1" si="1484">SUM(T519)</f>
        <v>244.03184183142562</v>
      </c>
      <c r="AQ534" s="13">
        <f t="shared" ca="1" si="1484"/>
        <v>13.557324546190312</v>
      </c>
      <c r="AR534" s="9">
        <f t="shared" ref="AR534:AR540" ca="1" si="1485">AI534/AA534</f>
        <v>270.44444444444446</v>
      </c>
      <c r="AS534" s="76"/>
      <c r="AT534" s="76"/>
    </row>
    <row r="535" spans="1:46" ht="15.75" customHeight="1" x14ac:dyDescent="0.25">
      <c r="A535" s="70"/>
      <c r="B535" s="16">
        <v>17</v>
      </c>
      <c r="C535" s="16" t="s">
        <v>29</v>
      </c>
      <c r="D535" s="17">
        <v>30</v>
      </c>
      <c r="E535" s="18">
        <f ca="1">IFERROR(__xludf.DUMMYFUNCTION("COUNT(IMPORTRANGE(""https://docs.google.com/spreadsheets/d/12xcKI0lSnAsjEsxfm9K8Qx0B_89Gzsh816mowItkQao/edit"",""20!d2:d31""))"),28)</f>
        <v>28</v>
      </c>
      <c r="F535" s="23">
        <f ca="1">IFERROR(__xludf.DUMMYFUNCTION("SUM(IMPORTRANGE(""https://docs.google.com/spreadsheets/d/12xcKI0lSnAsjEsxfm9K8Qx0B_89Gzsh816mowItkQao/edit"",""20!Q2:Q31""))"),5650.24599999999)</f>
        <v>5650.2459999999901</v>
      </c>
      <c r="G535" s="18">
        <f ca="1">IFERROR(__xludf.DUMMYFUNCTION("IMPORTRANGE(""https://docs.google.com/spreadsheets/d/12xcKI0lSnAsjEsxfm9K8Qx0B_89Gzsh816mowItkQao/edit"",""20!e38"")"),2706)</f>
        <v>2706</v>
      </c>
      <c r="H535" s="18">
        <f ca="1">IFERROR(__xludf.DUMMYFUNCTION("IMPORTRANGE(""https://docs.google.com/spreadsheets/d/12xcKI0lSnAsjEsxfm9K8Qx0B_89Gzsh816mowItkQao/edit"",""20!e39"")"),0)</f>
        <v>0</v>
      </c>
      <c r="I535" s="18">
        <f t="shared" ca="1" si="1437"/>
        <v>2706</v>
      </c>
      <c r="J535" s="18">
        <f ca="1">IFERROR(__xludf.DUMMYFUNCTION("IMPORTRANGE(""https://docs.google.com/spreadsheets/d/12xcKI0lSnAsjEsxfm9K8Qx0B_89Gzsh816mowItkQao/edit"",""20!e42"")"),4270)</f>
        <v>4270</v>
      </c>
      <c r="K535" s="18">
        <f ca="1">IFERROR(__xludf.DUMMYFUNCTION("IMPORTRANGE(""https://docs.google.com/spreadsheets/d/12xcKI0lSnAsjEsxfm9K8Qx0B_89Gzsh816mowItkQao/edit"",""20!e43"")"),0)</f>
        <v>0</v>
      </c>
      <c r="L535" s="18">
        <f t="shared" ca="1" si="1467"/>
        <v>4270</v>
      </c>
      <c r="M535" s="18">
        <f t="shared" ca="1" si="1439"/>
        <v>6976</v>
      </c>
      <c r="N535" s="19">
        <f t="shared" ca="1" si="1440"/>
        <v>201.79449999999966</v>
      </c>
      <c r="O535" s="16">
        <v>9201</v>
      </c>
      <c r="P535" s="20">
        <f t="shared" ca="1" si="1441"/>
        <v>0.75817845886316704</v>
      </c>
      <c r="Q535" s="21">
        <v>1.5</v>
      </c>
      <c r="R535" s="20">
        <f t="shared" ca="1" si="1442"/>
        <v>0.82309100642107891</v>
      </c>
      <c r="S535" s="22">
        <f t="shared" ca="1" si="1443"/>
        <v>1.2346365096316183</v>
      </c>
      <c r="T535" s="21">
        <f ca="1">F535/26.038</f>
        <v>216.99999999999963</v>
      </c>
      <c r="U535" s="21">
        <f t="shared" ca="1" si="1444"/>
        <v>7.7499999999999867</v>
      </c>
      <c r="V535" s="18">
        <f t="shared" ca="1" si="1445"/>
        <v>249.14285714285714</v>
      </c>
      <c r="W535" s="76"/>
      <c r="X535" s="8">
        <v>2</v>
      </c>
      <c r="Y535" s="8" t="s">
        <v>32</v>
      </c>
      <c r="Z535" s="8">
        <f t="shared" ref="Z535:AI535" si="1486">SUM(D522)</f>
        <v>42</v>
      </c>
      <c r="AA535" s="9">
        <f t="shared" ca="1" si="1486"/>
        <v>41</v>
      </c>
      <c r="AB535" s="10">
        <f t="shared" ca="1" si="1486"/>
        <v>8078.6579999999904</v>
      </c>
      <c r="AC535" s="8">
        <f t="shared" ca="1" si="1486"/>
        <v>4620</v>
      </c>
      <c r="AD535" s="8">
        <f t="shared" ca="1" si="1486"/>
        <v>20</v>
      </c>
      <c r="AE535" s="9">
        <f t="shared" ca="1" si="1486"/>
        <v>4640</v>
      </c>
      <c r="AF535" s="8">
        <f t="shared" ca="1" si="1486"/>
        <v>5404</v>
      </c>
      <c r="AG535" s="8">
        <f t="shared" ca="1" si="1486"/>
        <v>23</v>
      </c>
      <c r="AH535" s="9">
        <f t="shared" ca="1" si="1486"/>
        <v>5427</v>
      </c>
      <c r="AI535" s="9">
        <f t="shared" ca="1" si="1486"/>
        <v>10067</v>
      </c>
      <c r="AJ535" s="11">
        <f t="shared" ca="1" si="1480"/>
        <v>197.04043902439</v>
      </c>
      <c r="AK535" s="8">
        <f>SUM(O522)</f>
        <v>13817</v>
      </c>
      <c r="AL535" s="12">
        <f t="shared" ca="1" si="1481"/>
        <v>0.72859520880075268</v>
      </c>
      <c r="AM535" s="13">
        <f>SUM(Q522)</f>
        <v>1.5</v>
      </c>
      <c r="AN535" s="12">
        <f t="shared" ca="1" si="1482"/>
        <v>0.83074853934073467</v>
      </c>
      <c r="AO535" s="14">
        <f t="shared" ca="1" si="1483"/>
        <v>1.2461228090111021</v>
      </c>
      <c r="AP535" s="13">
        <f t="shared" ref="AP535:AQ535" ca="1" si="1487">SUM(T522)</f>
        <v>321.99999999999966</v>
      </c>
      <c r="AQ535" s="13">
        <f t="shared" ca="1" si="1487"/>
        <v>7.8536585365853577</v>
      </c>
      <c r="AR535" s="9">
        <f t="shared" ca="1" si="1485"/>
        <v>245.53658536585365</v>
      </c>
      <c r="AS535" s="76"/>
      <c r="AT535" s="76"/>
    </row>
    <row r="536" spans="1:46" ht="15.75" customHeight="1" x14ac:dyDescent="0.25">
      <c r="A536" s="70"/>
      <c r="B536" s="16">
        <v>18</v>
      </c>
      <c r="C536" s="16" t="s">
        <v>31</v>
      </c>
      <c r="D536" s="17">
        <v>15</v>
      </c>
      <c r="E536" s="18">
        <f ca="1">IFERROR(__xludf.DUMMYFUNCTION("COUNT(IMPORTRANGE(""https://docs.google.com/spreadsheets/d/1fgCFOFzOla4Qim6_-zG-lbYhLCItqv_kZiAHoErRgcM/edit"",""20!d2:d16""))"),13)</f>
        <v>13</v>
      </c>
      <c r="F536" s="19">
        <f ca="1">IFERROR(__xludf.DUMMYFUNCTION("SUM(IMPORTRANGE(""https://docs.google.com/spreadsheets/d/1fgCFOFzOla4Qim6_-zG-lbYhLCItqv_kZiAHoErRgcM/edit"",""20!Q2:Q16""))"),2434.04)</f>
        <v>2434.04</v>
      </c>
      <c r="G536" s="18">
        <f ca="1">IFERROR(__xludf.DUMMYFUNCTION("IMPORTRANGE(""https://docs.google.com/spreadsheets/d/1fgCFOFzOla4Qim6_-zG-lbYhLCItqv_kZiAHoErRgcM/edit"",""20!e23"")"),864)</f>
        <v>864</v>
      </c>
      <c r="H536" s="18">
        <f ca="1">IFERROR(__xludf.DUMMYFUNCTION("IMPORTRANGE(""https://docs.google.com/spreadsheets/d/1fgCFOFzOla4Qim6_-zG-lbYhLCItqv_kZiAHoErRgcM/edit"",""20!e24"")"),12)</f>
        <v>12</v>
      </c>
      <c r="I536" s="18">
        <f t="shared" ca="1" si="1437"/>
        <v>876</v>
      </c>
      <c r="J536" s="18">
        <f ca="1">IFERROR(__xludf.DUMMYFUNCTION("IMPORTRANGE(""https://docs.google.com/spreadsheets/d/1fgCFOFzOla4Qim6_-zG-lbYhLCItqv_kZiAHoErRgcM/edit"",""20!e27"")"),1008)</f>
        <v>1008</v>
      </c>
      <c r="K536" s="18">
        <f ca="1">IFERROR(__xludf.DUMMYFUNCTION("IMPORTRANGE(""https://docs.google.com/spreadsheets/d/1fgCFOFzOla4Qim6_-zG-lbYhLCItqv_kZiAHoErRgcM/edit"",""20!e28"")"),0)</f>
        <v>0</v>
      </c>
      <c r="L536" s="18">
        <f t="shared" ca="1" si="1467"/>
        <v>1008</v>
      </c>
      <c r="M536" s="18">
        <f t="shared" ca="1" si="1439"/>
        <v>1884</v>
      </c>
      <c r="N536" s="19">
        <f t="shared" ca="1" si="1440"/>
        <v>187.23384615384614</v>
      </c>
      <c r="O536" s="16">
        <v>2717</v>
      </c>
      <c r="P536" s="20">
        <f t="shared" ca="1" si="1441"/>
        <v>0.69341185130658811</v>
      </c>
      <c r="Q536" s="21">
        <v>1.5</v>
      </c>
      <c r="R536" s="20">
        <f t="shared" ca="1" si="1442"/>
        <v>0.51601452728796571</v>
      </c>
      <c r="S536" s="22">
        <f t="shared" ca="1" si="1443"/>
        <v>0.77402179093194856</v>
      </c>
      <c r="T536" s="21">
        <f ca="1">F536/43.465</f>
        <v>55.999999999999993</v>
      </c>
      <c r="U536" s="21">
        <f t="shared" ca="1" si="1444"/>
        <v>4.3076923076923075</v>
      </c>
      <c r="V536" s="18">
        <f t="shared" ca="1" si="1445"/>
        <v>144.92307692307693</v>
      </c>
      <c r="W536" s="76"/>
      <c r="X536" s="8">
        <v>3</v>
      </c>
      <c r="Y536" s="8" t="s">
        <v>36</v>
      </c>
      <c r="Z536" s="8">
        <f t="shared" ref="Z536:AI536" si="1488">SUM(D527)</f>
        <v>29</v>
      </c>
      <c r="AA536" s="9">
        <f t="shared" ca="1" si="1488"/>
        <v>28</v>
      </c>
      <c r="AB536" s="10">
        <f t="shared" ca="1" si="1488"/>
        <v>5604.1199999999899</v>
      </c>
      <c r="AC536" s="9">
        <f t="shared" ca="1" si="1488"/>
        <v>1424</v>
      </c>
      <c r="AD536" s="9">
        <f t="shared" ca="1" si="1488"/>
        <v>0</v>
      </c>
      <c r="AE536" s="9">
        <f t="shared" ca="1" si="1488"/>
        <v>1424</v>
      </c>
      <c r="AF536" s="9">
        <f t="shared" ca="1" si="1488"/>
        <v>2464</v>
      </c>
      <c r="AG536" s="9">
        <f t="shared" ca="1" si="1488"/>
        <v>0</v>
      </c>
      <c r="AH536" s="9">
        <f t="shared" ca="1" si="1488"/>
        <v>2464</v>
      </c>
      <c r="AI536" s="9">
        <f t="shared" ca="1" si="1488"/>
        <v>3888</v>
      </c>
      <c r="AJ536" s="11">
        <f t="shared" ca="1" si="1480"/>
        <v>200.14714285714248</v>
      </c>
      <c r="AK536" s="8">
        <f t="shared" ref="AK536:AK539" si="1489">SUM(O527)</f>
        <v>4796</v>
      </c>
      <c r="AL536" s="12">
        <f t="shared" ca="1" si="1481"/>
        <v>0.81067556296914101</v>
      </c>
      <c r="AM536" s="13">
        <f t="shared" ref="AM536:AM539" si="1490">SUM(Q527)</f>
        <v>1.5</v>
      </c>
      <c r="AN536" s="12">
        <f t="shared" ca="1" si="1482"/>
        <v>0.46251686259394958</v>
      </c>
      <c r="AO536" s="14">
        <f t="shared" ca="1" si="1483"/>
        <v>0.6937752938909244</v>
      </c>
      <c r="AP536" s="13">
        <f t="shared" ref="AP536:AQ536" ca="1" si="1491">SUM(T527)</f>
        <v>149.78671085689822</v>
      </c>
      <c r="AQ536" s="13">
        <f t="shared" ca="1" si="1491"/>
        <v>5.3495253877463655</v>
      </c>
      <c r="AR536" s="9">
        <f t="shared" ca="1" si="1485"/>
        <v>138.85714285714286</v>
      </c>
      <c r="AS536" s="76"/>
      <c r="AT536" s="76"/>
    </row>
    <row r="537" spans="1:46" ht="15.75" customHeight="1" x14ac:dyDescent="0.2">
      <c r="A537" s="70"/>
      <c r="B537" s="98" t="s">
        <v>33</v>
      </c>
      <c r="C537" s="98">
        <v>18</v>
      </c>
      <c r="D537" s="98">
        <f t="shared" ref="D537:M537" si="1492">SUM(D519:D536)</f>
        <v>585</v>
      </c>
      <c r="E537" s="74">
        <f t="shared" ca="1" si="1492"/>
        <v>568</v>
      </c>
      <c r="F537" s="99">
        <f t="shared" ca="1" si="1492"/>
        <v>110933.62199999978</v>
      </c>
      <c r="G537" s="74">
        <f t="shared" ca="1" si="1492"/>
        <v>40658</v>
      </c>
      <c r="H537" s="74">
        <f t="shared" ca="1" si="1492"/>
        <v>1037</v>
      </c>
      <c r="I537" s="74">
        <f t="shared" ca="1" si="1492"/>
        <v>41695</v>
      </c>
      <c r="J537" s="74">
        <f t="shared" ca="1" si="1492"/>
        <v>56122</v>
      </c>
      <c r="K537" s="74">
        <f t="shared" ca="1" si="1492"/>
        <v>1170</v>
      </c>
      <c r="L537" s="74">
        <f t="shared" ca="1" si="1492"/>
        <v>57292</v>
      </c>
      <c r="M537" s="74">
        <f t="shared" ca="1" si="1492"/>
        <v>98987</v>
      </c>
      <c r="N537" s="99">
        <f t="shared" ca="1" si="1440"/>
        <v>195.3056725352109</v>
      </c>
      <c r="O537" s="98">
        <f>SUM(O519:O536)</f>
        <v>126399</v>
      </c>
      <c r="P537" s="69">
        <f t="shared" ca="1" si="1441"/>
        <v>0.78313119565819345</v>
      </c>
      <c r="Q537" s="72">
        <v>1.5</v>
      </c>
      <c r="R537" s="69">
        <f t="shared" ca="1" si="1442"/>
        <v>0.59487225012209066</v>
      </c>
      <c r="S537" s="73">
        <f t="shared" ca="1" si="1443"/>
        <v>0.89230837518313599</v>
      </c>
      <c r="T537" s="72">
        <f ca="1">SUM(T519:T536)</f>
        <v>4080.1861182653997</v>
      </c>
      <c r="U537" s="72">
        <f t="shared" ca="1" si="1444"/>
        <v>7.1834262645517599</v>
      </c>
      <c r="V537" s="74">
        <f t="shared" ca="1" si="1445"/>
        <v>174.27288732394365</v>
      </c>
      <c r="W537" s="76"/>
      <c r="X537" s="8">
        <v>4</v>
      </c>
      <c r="Y537" s="8" t="s">
        <v>37</v>
      </c>
      <c r="Z537" s="8">
        <f t="shared" ref="Z537:AI537" si="1493">SUM(D528)</f>
        <v>30</v>
      </c>
      <c r="AA537" s="9">
        <f t="shared" ca="1" si="1493"/>
        <v>29</v>
      </c>
      <c r="AB537" s="10">
        <f t="shared" ca="1" si="1493"/>
        <v>5710.848</v>
      </c>
      <c r="AC537" s="9">
        <f t="shared" ca="1" si="1493"/>
        <v>2105</v>
      </c>
      <c r="AD537" s="9">
        <f t="shared" ca="1" si="1493"/>
        <v>90</v>
      </c>
      <c r="AE537" s="9">
        <f t="shared" ca="1" si="1493"/>
        <v>2195</v>
      </c>
      <c r="AF537" s="9">
        <f t="shared" ca="1" si="1493"/>
        <v>3253</v>
      </c>
      <c r="AG537" s="9">
        <f t="shared" ca="1" si="1493"/>
        <v>0</v>
      </c>
      <c r="AH537" s="9">
        <f t="shared" ca="1" si="1493"/>
        <v>3253</v>
      </c>
      <c r="AI537" s="9">
        <f t="shared" ca="1" si="1493"/>
        <v>5448</v>
      </c>
      <c r="AJ537" s="11">
        <f t="shared" ca="1" si="1480"/>
        <v>196.92579310344829</v>
      </c>
      <c r="AK537" s="8">
        <f t="shared" si="1489"/>
        <v>5887</v>
      </c>
      <c r="AL537" s="12">
        <f t="shared" ca="1" si="1481"/>
        <v>0.92542891116018344</v>
      </c>
      <c r="AM537" s="13">
        <f t="shared" si="1490"/>
        <v>1.5</v>
      </c>
      <c r="AN537" s="12">
        <f t="shared" ca="1" si="1482"/>
        <v>0.63598260713645327</v>
      </c>
      <c r="AO537" s="14">
        <f t="shared" ca="1" si="1483"/>
        <v>0.95397391070467996</v>
      </c>
      <c r="AP537" s="13">
        <f t="shared" ref="AP537:AQ537" ca="1" si="1494">SUM(T528)</f>
        <v>230.35043562439495</v>
      </c>
      <c r="AQ537" s="13">
        <f t="shared" ca="1" si="1494"/>
        <v>7.9431184698067225</v>
      </c>
      <c r="AR537" s="9">
        <f t="shared" ca="1" si="1485"/>
        <v>187.86206896551724</v>
      </c>
      <c r="AS537" s="76"/>
      <c r="AT537" s="76"/>
    </row>
    <row r="538" spans="1:46" ht="15.75" customHeight="1" x14ac:dyDescent="0.2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6"/>
      <c r="X538" s="8">
        <v>5</v>
      </c>
      <c r="Y538" s="8" t="s">
        <v>39</v>
      </c>
      <c r="Z538" s="8">
        <f t="shared" ref="Z538:AI538" si="1495">SUM(D529)</f>
        <v>28</v>
      </c>
      <c r="AA538" s="9">
        <f t="shared" ca="1" si="1495"/>
        <v>28</v>
      </c>
      <c r="AB538" s="10">
        <f t="shared" ca="1" si="1495"/>
        <v>5103.8289999999997</v>
      </c>
      <c r="AC538" s="9">
        <f t="shared" ca="1" si="1495"/>
        <v>1299</v>
      </c>
      <c r="AD538" s="9">
        <f t="shared" ca="1" si="1495"/>
        <v>70</v>
      </c>
      <c r="AE538" s="9">
        <f t="shared" ca="1" si="1495"/>
        <v>1369</v>
      </c>
      <c r="AF538" s="9">
        <f t="shared" ca="1" si="1495"/>
        <v>1580</v>
      </c>
      <c r="AG538" s="9">
        <f t="shared" ca="1" si="1495"/>
        <v>69</v>
      </c>
      <c r="AH538" s="9">
        <f t="shared" ca="1" si="1495"/>
        <v>1649</v>
      </c>
      <c r="AI538" s="9">
        <f t="shared" ca="1" si="1495"/>
        <v>3018</v>
      </c>
      <c r="AJ538" s="11">
        <f t="shared" ca="1" si="1480"/>
        <v>182.27960714285715</v>
      </c>
      <c r="AK538" s="8">
        <f t="shared" si="1489"/>
        <v>3569</v>
      </c>
      <c r="AL538" s="12">
        <f t="shared" ca="1" si="1481"/>
        <v>0.84561501821238438</v>
      </c>
      <c r="AM538" s="13">
        <f t="shared" si="1490"/>
        <v>1.5</v>
      </c>
      <c r="AN538" s="12">
        <f t="shared" ca="1" si="1482"/>
        <v>0.39421383435847873</v>
      </c>
      <c r="AO538" s="14">
        <f t="shared" ca="1" si="1483"/>
        <v>0.59132075153771813</v>
      </c>
      <c r="AP538" s="13">
        <f t="shared" ref="AP538:AQ538" ca="1" si="1496">SUM(T529)</f>
        <v>237.7966267530168</v>
      </c>
      <c r="AQ538" s="13">
        <f t="shared" ca="1" si="1496"/>
        <v>8.4927366697506006</v>
      </c>
      <c r="AR538" s="9">
        <f t="shared" ca="1" si="1485"/>
        <v>107.78571428571429</v>
      </c>
      <c r="AS538" s="76"/>
      <c r="AT538" s="76"/>
    </row>
    <row r="539" spans="1:46" ht="15.75" customHeight="1" x14ac:dyDescent="0.2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6"/>
      <c r="X539" s="8">
        <v>6</v>
      </c>
      <c r="Y539" s="8" t="s">
        <v>41</v>
      </c>
      <c r="Z539" s="8">
        <f t="shared" ref="Z539:AI539" si="1497">SUM(D530)</f>
        <v>24</v>
      </c>
      <c r="AA539" s="9">
        <f t="shared" ca="1" si="1497"/>
        <v>23</v>
      </c>
      <c r="AB539" s="10">
        <f t="shared" ca="1" si="1497"/>
        <v>4510.04</v>
      </c>
      <c r="AC539" s="9">
        <f t="shared" ca="1" si="1497"/>
        <v>1343</v>
      </c>
      <c r="AD539" s="9">
        <f t="shared" ca="1" si="1497"/>
        <v>0</v>
      </c>
      <c r="AE539" s="9">
        <f t="shared" ca="1" si="1497"/>
        <v>1343</v>
      </c>
      <c r="AF539" s="9">
        <f t="shared" ca="1" si="1497"/>
        <v>1671</v>
      </c>
      <c r="AG539" s="9">
        <f t="shared" ca="1" si="1497"/>
        <v>0</v>
      </c>
      <c r="AH539" s="9">
        <f t="shared" ca="1" si="1497"/>
        <v>1671</v>
      </c>
      <c r="AI539" s="9">
        <f t="shared" ca="1" si="1497"/>
        <v>3014</v>
      </c>
      <c r="AJ539" s="11">
        <f t="shared" ca="1" si="1480"/>
        <v>196.08869565217393</v>
      </c>
      <c r="AK539" s="8">
        <f t="shared" si="1489"/>
        <v>3801</v>
      </c>
      <c r="AL539" s="12">
        <f t="shared" ca="1" si="1481"/>
        <v>0.79294922388845046</v>
      </c>
      <c r="AM539" s="13">
        <f t="shared" si="1490"/>
        <v>1.5</v>
      </c>
      <c r="AN539" s="12">
        <f t="shared" ca="1" si="1482"/>
        <v>0.44552450384771164</v>
      </c>
      <c r="AO539" s="14">
        <f t="shared" ca="1" si="1483"/>
        <v>0.66828675577156749</v>
      </c>
      <c r="AP539" s="13">
        <f t="shared" ref="AP539:AQ539" ca="1" si="1498">SUM(T530)</f>
        <v>152.22222222222223</v>
      </c>
      <c r="AQ539" s="13">
        <f t="shared" ca="1" si="1498"/>
        <v>6.6183574879227054</v>
      </c>
      <c r="AR539" s="9">
        <f t="shared" ca="1" si="1485"/>
        <v>131.04347826086956</v>
      </c>
      <c r="AS539" s="76"/>
      <c r="AT539" s="76"/>
    </row>
    <row r="540" spans="1:46" ht="15.75" customHeight="1" x14ac:dyDescent="0.25">
      <c r="A540" s="110" t="s">
        <v>45</v>
      </c>
      <c r="B540" s="76"/>
      <c r="C540" s="76"/>
      <c r="D540" s="75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24" t="s">
        <v>33</v>
      </c>
      <c r="Y540" s="24">
        <v>6</v>
      </c>
      <c r="Z540" s="24">
        <f t="shared" ref="Z540:AI540" si="1499">SUM(Z534:Z539)</f>
        <v>173</v>
      </c>
      <c r="AA540" s="25">
        <f t="shared" ca="1" si="1499"/>
        <v>167</v>
      </c>
      <c r="AB540" s="27">
        <f t="shared" ca="1" si="1499"/>
        <v>32525.213999999978</v>
      </c>
      <c r="AC540" s="25">
        <f t="shared" ca="1" si="1499"/>
        <v>12729</v>
      </c>
      <c r="AD540" s="25">
        <f t="shared" ca="1" si="1499"/>
        <v>180</v>
      </c>
      <c r="AE540" s="25">
        <f t="shared" ca="1" si="1499"/>
        <v>12909</v>
      </c>
      <c r="AF540" s="25">
        <f t="shared" ca="1" si="1499"/>
        <v>17302</v>
      </c>
      <c r="AG540" s="25">
        <f t="shared" ca="1" si="1499"/>
        <v>92</v>
      </c>
      <c r="AH540" s="25">
        <f t="shared" ca="1" si="1499"/>
        <v>17394</v>
      </c>
      <c r="AI540" s="25">
        <f t="shared" ca="1" si="1499"/>
        <v>30303</v>
      </c>
      <c r="AJ540" s="27">
        <f t="shared" ca="1" si="1480"/>
        <v>194.76176047904178</v>
      </c>
      <c r="AK540" s="24">
        <f>SUM(AK534:AK539)</f>
        <v>37031</v>
      </c>
      <c r="AL540" s="28">
        <f t="shared" ca="1" si="1481"/>
        <v>0.81831438524479494</v>
      </c>
      <c r="AM540" s="29">
        <v>1.5</v>
      </c>
      <c r="AN540" s="28">
        <f t="shared" ca="1" si="1482"/>
        <v>0.62111812700140923</v>
      </c>
      <c r="AO540" s="30">
        <f t="shared" ca="1" si="1483"/>
        <v>0.93167719050211384</v>
      </c>
      <c r="AP540" s="29">
        <f ca="1">SUM(AP534:AP539)</f>
        <v>1336.1878372879576</v>
      </c>
      <c r="AQ540" s="29">
        <f ca="1">AP540/AA540</f>
        <v>8.0011247741793863</v>
      </c>
      <c r="AR540" s="25">
        <f t="shared" ca="1" si="1485"/>
        <v>181.45508982035929</v>
      </c>
      <c r="AS540" s="76"/>
      <c r="AT540" s="76"/>
    </row>
    <row r="541" spans="1:46" ht="15.75" customHeight="1" x14ac:dyDescent="0.2">
      <c r="A541" s="110" t="s">
        <v>45</v>
      </c>
      <c r="B541" s="76"/>
      <c r="C541" s="76"/>
      <c r="D541" s="75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7" t="s">
        <v>1</v>
      </c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9"/>
      <c r="AS541" s="76"/>
      <c r="AT541" s="76"/>
    </row>
    <row r="542" spans="1:46" ht="15.75" customHeight="1" x14ac:dyDescent="0.2">
      <c r="A542" s="109">
        <v>46224</v>
      </c>
      <c r="B542" s="80" t="s">
        <v>2</v>
      </c>
      <c r="C542" s="80" t="s">
        <v>3</v>
      </c>
      <c r="D542" s="80" t="s">
        <v>4</v>
      </c>
      <c r="E542" s="80" t="s">
        <v>5</v>
      </c>
      <c r="F542" s="81" t="s">
        <v>6</v>
      </c>
      <c r="G542" s="80" t="s">
        <v>7</v>
      </c>
      <c r="H542" s="80" t="s">
        <v>8</v>
      </c>
      <c r="I542" s="80" t="s">
        <v>9</v>
      </c>
      <c r="J542" s="80" t="s">
        <v>10</v>
      </c>
      <c r="K542" s="80" t="s">
        <v>11</v>
      </c>
      <c r="L542" s="80" t="s">
        <v>12</v>
      </c>
      <c r="M542" s="80" t="s">
        <v>13</v>
      </c>
      <c r="N542" s="81" t="s">
        <v>14</v>
      </c>
      <c r="O542" s="80" t="s">
        <v>15</v>
      </c>
      <c r="P542" s="80" t="s">
        <v>16</v>
      </c>
      <c r="Q542" s="80" t="s">
        <v>17</v>
      </c>
      <c r="R542" s="80" t="s">
        <v>18</v>
      </c>
      <c r="S542" s="106" t="s">
        <v>19</v>
      </c>
      <c r="T542" s="107" t="s">
        <v>20</v>
      </c>
      <c r="U542" s="107" t="s">
        <v>21</v>
      </c>
      <c r="V542" s="105" t="s">
        <v>22</v>
      </c>
      <c r="W542" s="76"/>
      <c r="X542" s="1" t="s">
        <v>2</v>
      </c>
      <c r="Y542" s="1" t="s">
        <v>3</v>
      </c>
      <c r="Z542" s="1" t="s">
        <v>4</v>
      </c>
      <c r="AA542" s="1" t="s">
        <v>5</v>
      </c>
      <c r="AB542" s="2" t="s">
        <v>6</v>
      </c>
      <c r="AC542" s="1" t="s">
        <v>7</v>
      </c>
      <c r="AD542" s="1" t="s">
        <v>8</v>
      </c>
      <c r="AE542" s="1" t="s">
        <v>9</v>
      </c>
      <c r="AF542" s="1" t="s">
        <v>10</v>
      </c>
      <c r="AG542" s="1" t="s">
        <v>11</v>
      </c>
      <c r="AH542" s="1" t="s">
        <v>12</v>
      </c>
      <c r="AI542" s="1" t="s">
        <v>13</v>
      </c>
      <c r="AJ542" s="2" t="s">
        <v>14</v>
      </c>
      <c r="AK542" s="1" t="s">
        <v>15</v>
      </c>
      <c r="AL542" s="1" t="s">
        <v>16</v>
      </c>
      <c r="AM542" s="3" t="s">
        <v>17</v>
      </c>
      <c r="AN542" s="4" t="s">
        <v>18</v>
      </c>
      <c r="AO542" s="5" t="s">
        <v>19</v>
      </c>
      <c r="AP542" s="6" t="s">
        <v>20</v>
      </c>
      <c r="AQ542" s="6" t="s">
        <v>21</v>
      </c>
      <c r="AR542" s="7" t="s">
        <v>22</v>
      </c>
      <c r="AS542" s="76"/>
      <c r="AT542" s="76"/>
    </row>
    <row r="543" spans="1:46" ht="15.75" customHeight="1" x14ac:dyDescent="0.2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6"/>
      <c r="X543" s="8">
        <v>1</v>
      </c>
      <c r="Y543" s="8" t="s">
        <v>23</v>
      </c>
      <c r="Z543" s="8">
        <f t="shared" ref="Z543:AI543" si="1500">SUM(D551)</f>
        <v>35</v>
      </c>
      <c r="AA543" s="9">
        <f t="shared" ca="1" si="1500"/>
        <v>35</v>
      </c>
      <c r="AB543" s="10">
        <f t="shared" ca="1" si="1500"/>
        <v>6950.4399999999896</v>
      </c>
      <c r="AC543" s="9">
        <f t="shared" ca="1" si="1500"/>
        <v>1911</v>
      </c>
      <c r="AD543" s="9">
        <f t="shared" ca="1" si="1500"/>
        <v>0</v>
      </c>
      <c r="AE543" s="9">
        <f t="shared" ca="1" si="1500"/>
        <v>1911</v>
      </c>
      <c r="AF543" s="9">
        <f t="shared" ca="1" si="1500"/>
        <v>3234</v>
      </c>
      <c r="AG543" s="9">
        <f t="shared" ca="1" si="1500"/>
        <v>0</v>
      </c>
      <c r="AH543" s="9">
        <f t="shared" ca="1" si="1500"/>
        <v>3234</v>
      </c>
      <c r="AI543" s="9">
        <f t="shared" ca="1" si="1500"/>
        <v>5145</v>
      </c>
      <c r="AJ543" s="11">
        <f t="shared" ref="AJ543:AJ545" ca="1" si="1501">AB543/AA543</f>
        <v>198.58399999999969</v>
      </c>
      <c r="AK543" s="8">
        <f>SUM(O551)</f>
        <v>6853</v>
      </c>
      <c r="AL543" s="12">
        <f t="shared" ref="AL543:AL549" ca="1" si="1502">AI543/AK543</f>
        <v>0.75076608784473953</v>
      </c>
      <c r="AM543" s="13">
        <f t="shared" ref="AM543:AM545" si="1503">SUM(Q551)</f>
        <v>1.5</v>
      </c>
      <c r="AN543" s="12">
        <f t="shared" ref="AN543:AN549" ca="1" si="1504">AO543/AM543</f>
        <v>0.49349393707448813</v>
      </c>
      <c r="AO543" s="14">
        <f t="shared" ref="AO543:AO549" ca="1" si="1505">AI543/AB543</f>
        <v>0.74024090561173217</v>
      </c>
      <c r="AP543" s="13">
        <f t="shared" ref="AP543:AQ543" ca="1" si="1506">SUM(T551)</f>
        <v>205.99999999999969</v>
      </c>
      <c r="AQ543" s="13">
        <f t="shared" ca="1" si="1506"/>
        <v>5.8857142857142764</v>
      </c>
      <c r="AR543" s="9">
        <f t="shared" ref="AR543:AR549" ca="1" si="1507">AI543/AA543</f>
        <v>147</v>
      </c>
      <c r="AS543" s="76"/>
      <c r="AT543" s="76"/>
    </row>
    <row r="544" spans="1:46" ht="15.75" customHeight="1" x14ac:dyDescent="0.2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6"/>
      <c r="X544" s="8">
        <v>2</v>
      </c>
      <c r="Y544" s="8" t="s">
        <v>24</v>
      </c>
      <c r="Z544" s="8">
        <f t="shared" ref="Z544:AI544" si="1508">SUM(D552)</f>
        <v>44</v>
      </c>
      <c r="AA544" s="9">
        <f t="shared" ca="1" si="1508"/>
        <v>41</v>
      </c>
      <c r="AB544" s="10">
        <f t="shared" ca="1" si="1508"/>
        <v>8020.9859999999899</v>
      </c>
      <c r="AC544" s="9">
        <f t="shared" ca="1" si="1508"/>
        <v>1011</v>
      </c>
      <c r="AD544" s="9">
        <f t="shared" ca="1" si="1508"/>
        <v>0</v>
      </c>
      <c r="AE544" s="9">
        <f t="shared" ca="1" si="1508"/>
        <v>1011</v>
      </c>
      <c r="AF544" s="9">
        <f t="shared" ca="1" si="1508"/>
        <v>1745</v>
      </c>
      <c r="AG544" s="9">
        <f t="shared" ca="1" si="1508"/>
        <v>0</v>
      </c>
      <c r="AH544" s="9">
        <f t="shared" ca="1" si="1508"/>
        <v>1745</v>
      </c>
      <c r="AI544" s="9">
        <f t="shared" ca="1" si="1508"/>
        <v>2756</v>
      </c>
      <c r="AJ544" s="11">
        <f t="shared" ca="1" si="1501"/>
        <v>195.63380487804852</v>
      </c>
      <c r="AK544" s="8">
        <v>1580</v>
      </c>
      <c r="AL544" s="15">
        <f t="shared" ca="1" si="1502"/>
        <v>1.7443037974683544</v>
      </c>
      <c r="AM544" s="13">
        <f t="shared" si="1503"/>
        <v>1.5</v>
      </c>
      <c r="AN544" s="12">
        <f t="shared" ca="1" si="1504"/>
        <v>0.22906576988581398</v>
      </c>
      <c r="AO544" s="14">
        <f t="shared" ca="1" si="1505"/>
        <v>0.34359865482872098</v>
      </c>
      <c r="AP544" s="13">
        <f t="shared" ref="AP544:AQ544" ca="1" si="1509">SUM(T552)</f>
        <v>299.2346950195855</v>
      </c>
      <c r="AQ544" s="13">
        <f t="shared" ca="1" si="1509"/>
        <v>7.2984071955996468</v>
      </c>
      <c r="AR544" s="9">
        <f t="shared" ca="1" si="1507"/>
        <v>67.219512195121951</v>
      </c>
      <c r="AS544" s="76"/>
      <c r="AT544" s="76"/>
    </row>
    <row r="545" spans="1:46" ht="15.75" customHeight="1" x14ac:dyDescent="0.2">
      <c r="A545" s="70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6"/>
      <c r="X545" s="8">
        <v>3</v>
      </c>
      <c r="Y545" s="8" t="s">
        <v>25</v>
      </c>
      <c r="Z545" s="8">
        <f t="shared" ref="Z545:AI545" si="1510">SUM(D553)</f>
        <v>32</v>
      </c>
      <c r="AA545" s="9">
        <f t="shared" ca="1" si="1510"/>
        <v>31</v>
      </c>
      <c r="AB545" s="10">
        <f t="shared" ca="1" si="1510"/>
        <v>6130.4160000000002</v>
      </c>
      <c r="AC545" s="9">
        <f t="shared" ca="1" si="1510"/>
        <v>2278</v>
      </c>
      <c r="AD545" s="9">
        <f t="shared" ca="1" si="1510"/>
        <v>295</v>
      </c>
      <c r="AE545" s="9">
        <f t="shared" ca="1" si="1510"/>
        <v>2573</v>
      </c>
      <c r="AF545" s="9">
        <f t="shared" ca="1" si="1510"/>
        <v>3249</v>
      </c>
      <c r="AG545" s="9">
        <f t="shared" ca="1" si="1510"/>
        <v>353</v>
      </c>
      <c r="AH545" s="9">
        <f t="shared" ca="1" si="1510"/>
        <v>3602</v>
      </c>
      <c r="AI545" s="9">
        <f t="shared" ca="1" si="1510"/>
        <v>6175</v>
      </c>
      <c r="AJ545" s="11">
        <f t="shared" ca="1" si="1501"/>
        <v>197.75535483870968</v>
      </c>
      <c r="AK545" s="8">
        <f>SUM(O553)</f>
        <v>6622</v>
      </c>
      <c r="AL545" s="12">
        <f t="shared" ca="1" si="1502"/>
        <v>0.93249773482331622</v>
      </c>
      <c r="AM545" s="13">
        <f t="shared" si="1503"/>
        <v>1.5</v>
      </c>
      <c r="AN545" s="12">
        <f t="shared" ca="1" si="1504"/>
        <v>0.67151505977190895</v>
      </c>
      <c r="AO545" s="14">
        <f t="shared" ca="1" si="1505"/>
        <v>1.0072725896578634</v>
      </c>
      <c r="AP545" s="13">
        <f t="shared" ref="AP545:AQ545" ca="1" si="1511">SUM(T553)</f>
        <v>257.14832214765102</v>
      </c>
      <c r="AQ545" s="13">
        <f t="shared" ca="1" si="1511"/>
        <v>8.295107166053258</v>
      </c>
      <c r="AR545" s="9">
        <f t="shared" ca="1" si="1507"/>
        <v>199.19354838709677</v>
      </c>
      <c r="AS545" s="76"/>
      <c r="AT545" s="76"/>
    </row>
    <row r="546" spans="1:46" ht="15.75" customHeight="1" x14ac:dyDescent="0.25">
      <c r="A546" s="70"/>
      <c r="B546" s="16">
        <v>1</v>
      </c>
      <c r="C546" s="16" t="s">
        <v>26</v>
      </c>
      <c r="D546" s="17">
        <v>20</v>
      </c>
      <c r="E546" s="18">
        <f ca="1">IFERROR(__xludf.DUMMYFUNCTION("COUNT(IMPORTRANGE(""https://docs.google.com/spreadsheets/d/1z0o91thOT38lgejTE_Bd2p3v_9VCDdQRkUsMIVqpQCk/edit"",""21!d2:d21""))"),18)</f>
        <v>18</v>
      </c>
      <c r="F546" s="19">
        <f ca="1">IFERROR(__xludf.DUMMYFUNCTION("SUM(IMPORTRANGE(""https://docs.google.com/spreadsheets/d/1z0o91thOT38lgejTE_Bd2p3v_9VCDdQRkUsMIVqpQCk/edit"",""21!Q2:Q21""))"),3352.023)</f>
        <v>3352.0230000000001</v>
      </c>
      <c r="G546" s="18">
        <f ca="1">IFERROR(__xludf.DUMMYFUNCTION("IMPORTRANGE(""https://docs.google.com/spreadsheets/d/1z0o91thOT38lgejTE_Bd2p3v_9VCDdQRkUsMIVqpQCk/edit"",""21!e28"")"),1719)</f>
        <v>1719</v>
      </c>
      <c r="H546" s="18">
        <f ca="1">IFERROR(__xludf.DUMMYFUNCTION("IMPORTRANGE(""https://docs.google.com/spreadsheets/d/1z0o91thOT38lgejTE_Bd2p3v_9VCDdQRkUsMIVqpQCk/edit"",""21!e29"")"),0)</f>
        <v>0</v>
      </c>
      <c r="I546" s="18">
        <f t="shared" ref="I546:I563" ca="1" si="1512">SUM(G546:H546)</f>
        <v>1719</v>
      </c>
      <c r="J546" s="18">
        <f ca="1">IFERROR(__xludf.DUMMYFUNCTION("IMPORTRANGE(""https://docs.google.com/spreadsheets/d/1z0o91thOT38lgejTE_Bd2p3v_9VCDdQRkUsMIVqpQCk/edit"",""21!e32"")"),3022)</f>
        <v>3022</v>
      </c>
      <c r="K546" s="18">
        <f ca="1">IFERROR(__xludf.DUMMYFUNCTION("IMPORTRANGE(""https://docs.google.com/spreadsheets/d/1z0o91thOT38lgejTE_Bd2p3v_9VCDdQRkUsMIVqpQCk/edit"",""21!e33"")"),35)</f>
        <v>35</v>
      </c>
      <c r="L546" s="18">
        <f t="shared" ref="L546:L552" ca="1" si="1513">SUM(J546:K546)</f>
        <v>3057</v>
      </c>
      <c r="M546" s="18">
        <f t="shared" ref="M546:M563" ca="1" si="1514">SUM(I546+L546)</f>
        <v>4776</v>
      </c>
      <c r="N546" s="19">
        <f t="shared" ref="N546:N564" ca="1" si="1515">F546/E546</f>
        <v>186.2235</v>
      </c>
      <c r="O546" s="16">
        <v>5161</v>
      </c>
      <c r="P546" s="20">
        <f t="shared" ref="P546:P564" ca="1" si="1516">M546/O546</f>
        <v>0.92540205386552998</v>
      </c>
      <c r="Q546" s="21">
        <v>1.5</v>
      </c>
      <c r="R546" s="20">
        <f t="shared" ref="R546:R564" ca="1" si="1517">S546/Q546</f>
        <v>0.94987415062486136</v>
      </c>
      <c r="S546" s="22">
        <f t="shared" ref="S546:S564" ca="1" si="1518">M546/F546</f>
        <v>1.424811225937292</v>
      </c>
      <c r="T546" s="21">
        <f ca="1">F546/14.415</f>
        <v>232.5371488033299</v>
      </c>
      <c r="U546" s="21">
        <f t="shared" ref="U546:U564" ca="1" si="1519">T546/E546</f>
        <v>12.918730489073884</v>
      </c>
      <c r="V546" s="18">
        <f t="shared" ref="V546:V564" ca="1" si="1520">M546/E546</f>
        <v>265.33333333333331</v>
      </c>
      <c r="W546" s="76"/>
      <c r="X546" s="8">
        <v>4</v>
      </c>
      <c r="Y546" s="8" t="s">
        <v>27</v>
      </c>
      <c r="Z546" s="8">
        <f t="shared" ref="Z546:AK546" si="1521">SUM(D559)</f>
        <v>30</v>
      </c>
      <c r="AA546" s="9">
        <f t="shared" ca="1" si="1521"/>
        <v>28</v>
      </c>
      <c r="AB546" s="10">
        <f t="shared" ca="1" si="1521"/>
        <v>5585.67</v>
      </c>
      <c r="AC546" s="9">
        <f t="shared" ca="1" si="1521"/>
        <v>2274</v>
      </c>
      <c r="AD546" s="9">
        <f t="shared" ca="1" si="1521"/>
        <v>0</v>
      </c>
      <c r="AE546" s="9">
        <f t="shared" ca="1" si="1521"/>
        <v>2274</v>
      </c>
      <c r="AF546" s="9">
        <f t="shared" ca="1" si="1521"/>
        <v>3438</v>
      </c>
      <c r="AG546" s="9">
        <f t="shared" ca="1" si="1521"/>
        <v>43</v>
      </c>
      <c r="AH546" s="9">
        <f t="shared" ca="1" si="1521"/>
        <v>3481</v>
      </c>
      <c r="AI546" s="9">
        <f t="shared" ca="1" si="1521"/>
        <v>5755</v>
      </c>
      <c r="AJ546" s="11">
        <f t="shared" ca="1" si="1521"/>
        <v>199.48821428571429</v>
      </c>
      <c r="AK546" s="8">
        <f t="shared" si="1521"/>
        <v>8101</v>
      </c>
      <c r="AL546" s="12">
        <f t="shared" ca="1" si="1502"/>
        <v>0.71040612270090109</v>
      </c>
      <c r="AM546" s="13">
        <f>SUM(Q559)</f>
        <v>1.5</v>
      </c>
      <c r="AN546" s="12">
        <f t="shared" ca="1" si="1504"/>
        <v>0.6868767160728555</v>
      </c>
      <c r="AO546" s="14">
        <f t="shared" ca="1" si="1505"/>
        <v>1.0303150741092832</v>
      </c>
      <c r="AP546" s="13">
        <f t="shared" ref="AP546:AQ546" ca="1" si="1522">SUM(T559)</f>
        <v>279.49311983987991</v>
      </c>
      <c r="AQ546" s="13">
        <f t="shared" ca="1" si="1522"/>
        <v>9.981897137138569</v>
      </c>
      <c r="AR546" s="9">
        <f t="shared" ca="1" si="1507"/>
        <v>205.53571428571428</v>
      </c>
      <c r="AS546" s="76"/>
      <c r="AT546" s="76"/>
    </row>
    <row r="547" spans="1:46" ht="15.75" customHeight="1" x14ac:dyDescent="0.25">
      <c r="A547" s="70"/>
      <c r="B547" s="16">
        <v>2</v>
      </c>
      <c r="C547" s="16" t="s">
        <v>28</v>
      </c>
      <c r="D547" s="44">
        <v>33</v>
      </c>
      <c r="E547" s="18">
        <f ca="1">IFERROR(__xludf.DUMMYFUNCTION("COUNT(IMPORTRANGE(""https://docs.google.com/spreadsheets/d/10a85iNN0y9GF6ngQfF1JXGAzFk-T7ywH4-TZtQcOTaE/edit"",""21!d2:d34""))"),33)</f>
        <v>33</v>
      </c>
      <c r="F547" s="19">
        <f ca="1">IFERROR(__xludf.DUMMYFUNCTION("SUM(IMPORTRANGE(""https://docs.google.com/spreadsheets/d/10a85iNN0y9GF6ngQfF1JXGAzFk-T7ywH4-TZtQcOTaE/edit"",""21!Q2:Q34""))"),6295.929)</f>
        <v>6295.9290000000001</v>
      </c>
      <c r="G547" s="18">
        <f ca="1">IFERROR(__xludf.DUMMYFUNCTION("IMPORTRANGE(""https://docs.google.com/spreadsheets/d/10a85iNN0y9GF6ngQfF1JXGAzFk-T7ywH4-TZtQcOTaE/edit"",""21!e41"")"),2643)</f>
        <v>2643</v>
      </c>
      <c r="H547" s="18">
        <f ca="1">IFERROR(__xludf.DUMMYFUNCTION("IMPORTRANGE(""https://docs.google.com/spreadsheets/d/10a85iNN0y9GF6ngQfF1JXGAzFk-T7ywH4-TZtQcOTaE/edit"",""21!e42"")"),129)</f>
        <v>129</v>
      </c>
      <c r="I547" s="18">
        <f t="shared" ca="1" si="1512"/>
        <v>2772</v>
      </c>
      <c r="J547" s="18">
        <f ca="1">IFERROR(__xludf.DUMMYFUNCTION("IMPORTRANGE(""https://docs.google.com/spreadsheets/d/10a85iNN0y9GF6ngQfF1JXGAzFk-T7ywH4-TZtQcOTaE/edit"",""21!e45"")"),2907)</f>
        <v>2907</v>
      </c>
      <c r="K547" s="18">
        <f ca="1">IFERROR(__xludf.DUMMYFUNCTION("IMPORTRANGE(""https://docs.google.com/spreadsheets/d/10a85iNN0y9GF6ngQfF1JXGAzFk-T7ywH4-TZtQcOTaE/edit"",""21!e46"")"),323)</f>
        <v>323</v>
      </c>
      <c r="L547" s="18">
        <f t="shared" ca="1" si="1513"/>
        <v>3230</v>
      </c>
      <c r="M547" s="18">
        <f t="shared" ca="1" si="1514"/>
        <v>6002</v>
      </c>
      <c r="N547" s="19">
        <f t="shared" ca="1" si="1515"/>
        <v>190.78572727272729</v>
      </c>
      <c r="O547" s="16">
        <v>7315</v>
      </c>
      <c r="P547" s="20">
        <f t="shared" ca="1" si="1516"/>
        <v>0.82050580997949418</v>
      </c>
      <c r="Q547" s="21">
        <v>1.5</v>
      </c>
      <c r="R547" s="20">
        <f t="shared" ca="1" si="1517"/>
        <v>0.63554295693825857</v>
      </c>
      <c r="S547" s="22">
        <f t="shared" ca="1" si="1518"/>
        <v>0.95331443540738781</v>
      </c>
      <c r="T547" s="21">
        <f ca="1">F547/30.897</f>
        <v>203.77153121662298</v>
      </c>
      <c r="U547" s="21">
        <f t="shared" ca="1" si="1519"/>
        <v>6.1748948853522112</v>
      </c>
      <c r="V547" s="18">
        <f t="shared" ca="1" si="1520"/>
        <v>181.87878787878788</v>
      </c>
      <c r="W547" s="76"/>
      <c r="X547" s="8">
        <v>5</v>
      </c>
      <c r="Y547" s="8" t="s">
        <v>29</v>
      </c>
      <c r="Z547" s="8">
        <f t="shared" ref="Z547:AI547" si="1523">SUM(D562)</f>
        <v>30</v>
      </c>
      <c r="AA547" s="9">
        <f t="shared" ca="1" si="1523"/>
        <v>29</v>
      </c>
      <c r="AB547" s="10">
        <f t="shared" ca="1" si="1523"/>
        <v>5806.4739999999902</v>
      </c>
      <c r="AC547" s="9">
        <f t="shared" ca="1" si="1523"/>
        <v>2802</v>
      </c>
      <c r="AD547" s="9">
        <f t="shared" ca="1" si="1523"/>
        <v>0</v>
      </c>
      <c r="AE547" s="9">
        <f t="shared" ca="1" si="1523"/>
        <v>2802</v>
      </c>
      <c r="AF547" s="9">
        <f t="shared" ca="1" si="1523"/>
        <v>4325</v>
      </c>
      <c r="AG547" s="9">
        <f t="shared" ca="1" si="1523"/>
        <v>0</v>
      </c>
      <c r="AH547" s="9">
        <f t="shared" ca="1" si="1523"/>
        <v>4325</v>
      </c>
      <c r="AI547" s="9">
        <f t="shared" ca="1" si="1523"/>
        <v>7127</v>
      </c>
      <c r="AJ547" s="11">
        <f t="shared" ref="AJ547:AJ549" ca="1" si="1524">AB547/AA547</f>
        <v>200.22324137931</v>
      </c>
      <c r="AK547" s="8">
        <f t="shared" ref="AK547:AK548" si="1525">SUM(O562)</f>
        <v>9201</v>
      </c>
      <c r="AL547" s="12">
        <f t="shared" ca="1" si="1502"/>
        <v>0.77458971850885772</v>
      </c>
      <c r="AM547" s="13">
        <f t="shared" ref="AM547:AM548" si="1526">SUM(Q562)</f>
        <v>1.5</v>
      </c>
      <c r="AN547" s="12">
        <f t="shared" ca="1" si="1504"/>
        <v>0.81828203025335888</v>
      </c>
      <c r="AO547" s="14">
        <f t="shared" ca="1" si="1505"/>
        <v>1.2274230453800383</v>
      </c>
      <c r="AP547" s="13">
        <f t="shared" ref="AP547:AQ547" ca="1" si="1527">SUM(T562)</f>
        <v>222.99999999999963</v>
      </c>
      <c r="AQ547" s="13">
        <f t="shared" ca="1" si="1527"/>
        <v>7.6896551724137803</v>
      </c>
      <c r="AR547" s="9">
        <f t="shared" ca="1" si="1507"/>
        <v>245.75862068965517</v>
      </c>
      <c r="AS547" s="76"/>
      <c r="AT547" s="76"/>
    </row>
    <row r="548" spans="1:46" ht="15.75" customHeight="1" x14ac:dyDescent="0.25">
      <c r="A548" s="70"/>
      <c r="B548" s="16">
        <v>3</v>
      </c>
      <c r="C548" s="16" t="s">
        <v>30</v>
      </c>
      <c r="D548" s="44">
        <v>60</v>
      </c>
      <c r="E548" s="18">
        <f ca="1">IFERROR(__xludf.DUMMYFUNCTION("COUNT(IMPORTRANGE(""https://docs.google.com/spreadsheets/d/1WojVzHhpzodJL1e5UDHeu3A3u5MTSZwvxHu0BrwvL9w/edit"",""21!d2:d61""))"),60)</f>
        <v>60</v>
      </c>
      <c r="F548" s="23">
        <f ca="1">IFERROR(__xludf.DUMMYFUNCTION("SUM(IMPORTRANGE(""https://docs.google.com/spreadsheets/d/1WojVzHhpzodJL1e5UDHeu3A3u5MTSZwvxHu0BrwvL9w/edit"",""21!Q2:Q61""))"),11959.6119999999)</f>
        <v>11959.611999999899</v>
      </c>
      <c r="G548" s="18">
        <f ca="1">IFERROR(__xludf.DUMMYFUNCTION("IMPORTRANGE(""https://docs.google.com/spreadsheets/d/1WojVzHhpzodJL1e5UDHeu3A3u5MTSZwvxHu0BrwvL9w/edit"",""21!e68"")"),3684)</f>
        <v>3684</v>
      </c>
      <c r="H548" s="18">
        <f ca="1">IFERROR(__xludf.DUMMYFUNCTION("IMPORTRANGE(""https://docs.google.com/spreadsheets/d/1WojVzHhpzodJL1e5UDHeu3A3u5MTSZwvxHu0BrwvL9w/edit"",""21!e69"")"),0)</f>
        <v>0</v>
      </c>
      <c r="I548" s="18">
        <f t="shared" ca="1" si="1512"/>
        <v>3684</v>
      </c>
      <c r="J548" s="18">
        <f ca="1">IFERROR(__xludf.DUMMYFUNCTION("IMPORTRANGE(""https://docs.google.com/spreadsheets/d/1WojVzHhpzodJL1e5UDHeu3A3u5MTSZwvxHu0BrwvL9w/edit"",""21!e72"")"),5739)</f>
        <v>5739</v>
      </c>
      <c r="K548" s="18">
        <f ca="1">IFERROR(__xludf.DUMMYFUNCTION("IMPORTRANGE(""https://docs.google.com/spreadsheets/d/1WojVzHhpzodJL1e5UDHeu3A3u5MTSZwvxHu0BrwvL9w/edit"",""21!e73"")"),0)</f>
        <v>0</v>
      </c>
      <c r="L548" s="18">
        <f t="shared" ca="1" si="1513"/>
        <v>5739</v>
      </c>
      <c r="M548" s="18">
        <f t="shared" ca="1" si="1514"/>
        <v>9423</v>
      </c>
      <c r="N548" s="19">
        <f t="shared" ca="1" si="1515"/>
        <v>199.32686666666498</v>
      </c>
      <c r="O548" s="16">
        <v>11164</v>
      </c>
      <c r="P548" s="20">
        <f t="shared" ca="1" si="1516"/>
        <v>0.84405231099964173</v>
      </c>
      <c r="Q548" s="21">
        <v>1.5</v>
      </c>
      <c r="R548" s="20">
        <f t="shared" ca="1" si="1517"/>
        <v>0.52526787658329155</v>
      </c>
      <c r="S548" s="22">
        <f t="shared" ca="1" si="1518"/>
        <v>0.78790181487493738</v>
      </c>
      <c r="T548" s="21">
        <f ca="1">F548/29.603</f>
        <v>403.99999999999659</v>
      </c>
      <c r="U548" s="21">
        <f t="shared" ca="1" si="1519"/>
        <v>6.7333333333332765</v>
      </c>
      <c r="V548" s="18">
        <f t="shared" ca="1" si="1520"/>
        <v>157.05000000000001</v>
      </c>
      <c r="W548" s="76"/>
      <c r="X548" s="8">
        <v>6</v>
      </c>
      <c r="Y548" s="8" t="s">
        <v>31</v>
      </c>
      <c r="Z548" s="8">
        <f t="shared" ref="Z548:AI548" si="1528">SUM(D563)</f>
        <v>15</v>
      </c>
      <c r="AA548" s="9">
        <f t="shared" ca="1" si="1528"/>
        <v>14</v>
      </c>
      <c r="AB548" s="11">
        <f t="shared" ca="1" si="1528"/>
        <v>2738.2950000000001</v>
      </c>
      <c r="AC548" s="9">
        <f t="shared" ca="1" si="1528"/>
        <v>851</v>
      </c>
      <c r="AD548" s="9">
        <f t="shared" ca="1" si="1528"/>
        <v>0</v>
      </c>
      <c r="AE548" s="9">
        <f t="shared" ca="1" si="1528"/>
        <v>851</v>
      </c>
      <c r="AF548" s="9">
        <f t="shared" ca="1" si="1528"/>
        <v>1188</v>
      </c>
      <c r="AG548" s="9">
        <f t="shared" ca="1" si="1528"/>
        <v>0</v>
      </c>
      <c r="AH548" s="9">
        <f t="shared" ca="1" si="1528"/>
        <v>1188</v>
      </c>
      <c r="AI548" s="9">
        <f t="shared" ca="1" si="1528"/>
        <v>2039</v>
      </c>
      <c r="AJ548" s="11">
        <f t="shared" ca="1" si="1524"/>
        <v>195.5925</v>
      </c>
      <c r="AK548" s="8">
        <f t="shared" si="1525"/>
        <v>2717</v>
      </c>
      <c r="AL548" s="12">
        <f t="shared" ca="1" si="1502"/>
        <v>0.75046006624953998</v>
      </c>
      <c r="AM548" s="13">
        <f t="shared" si="1526"/>
        <v>1.5</v>
      </c>
      <c r="AN548" s="12">
        <f t="shared" ca="1" si="1504"/>
        <v>0.4964159571314754</v>
      </c>
      <c r="AO548" s="14">
        <f t="shared" ca="1" si="1505"/>
        <v>0.74462393569721308</v>
      </c>
      <c r="AP548" s="13">
        <f t="shared" ref="AP548:AQ548" ca="1" si="1529">SUM(T563)</f>
        <v>63</v>
      </c>
      <c r="AQ548" s="13">
        <f t="shared" ca="1" si="1529"/>
        <v>4.5</v>
      </c>
      <c r="AR548" s="9">
        <f t="shared" ca="1" si="1507"/>
        <v>145.64285714285714</v>
      </c>
      <c r="AS548" s="76"/>
      <c r="AT548" s="76"/>
    </row>
    <row r="549" spans="1:46" ht="15.75" customHeight="1" x14ac:dyDescent="0.25">
      <c r="A549" s="70"/>
      <c r="B549" s="16">
        <v>4</v>
      </c>
      <c r="C549" s="16" t="s">
        <v>32</v>
      </c>
      <c r="D549" s="44">
        <v>42</v>
      </c>
      <c r="E549" s="18">
        <f ca="1">IFERROR(__xludf.DUMMYFUNCTION("COUNT(IMPORTRANGE(""https://docs.google.com/spreadsheets/d/1vmCj5YcMSPHj1m64syDndQ6cqVL3yolcU03Y8KHmvdc/edit"",""21!d2:d43""))"),42)</f>
        <v>42</v>
      </c>
      <c r="F549" s="23">
        <f ca="1">IFERROR(__xludf.DUMMYFUNCTION("SUM(IMPORTRANGE(""https://docs.google.com/spreadsheets/d/1vmCj5YcMSPHj1m64syDndQ6cqVL3yolcU03Y8KHmvdc/edit"",""21!Q2:Q43""))"),8429.90399999999)</f>
        <v>8429.9039999999895</v>
      </c>
      <c r="G549" s="16">
        <f ca="1">IFERROR(__xludf.DUMMYFUNCTION("IMPORTRANGE(""https://docs.google.com/spreadsheets/d/1vmCj5YcMSPHj1m64syDndQ6cqVL3yolcU03Y8KHmvdc/edit"",""21!e50"")"),4474)</f>
        <v>4474</v>
      </c>
      <c r="H549" s="16">
        <f ca="1">IFERROR(__xludf.DUMMYFUNCTION("IMPORTRANGE(""https://docs.google.com/spreadsheets/d/1vmCj5YcMSPHj1m64syDndQ6cqVL3yolcU03Y8KHmvdc/edit"",""21!e51"")"),0)</f>
        <v>0</v>
      </c>
      <c r="I549" s="18">
        <f t="shared" ca="1" si="1512"/>
        <v>4474</v>
      </c>
      <c r="J549" s="16">
        <f ca="1">IFERROR(__xludf.DUMMYFUNCTION("IMPORTRANGE(""https://docs.google.com/spreadsheets/d/1vmCj5YcMSPHj1m64syDndQ6cqVL3yolcU03Y8KHmvdc/edit"",""21!e54"")"),5430)</f>
        <v>5430</v>
      </c>
      <c r="K549" s="16">
        <f ca="1">IFERROR(__xludf.DUMMYFUNCTION("IMPORTRANGE(""https://docs.google.com/spreadsheets/d/1vmCj5YcMSPHj1m64syDndQ6cqVL3yolcU03Y8KHmvdc/edit"",""21!e55"")"),0)</f>
        <v>0</v>
      </c>
      <c r="L549" s="18">
        <f t="shared" ca="1" si="1513"/>
        <v>5430</v>
      </c>
      <c r="M549" s="18">
        <f t="shared" ca="1" si="1514"/>
        <v>9904</v>
      </c>
      <c r="N549" s="19">
        <f t="shared" ca="1" si="1515"/>
        <v>200.71199999999976</v>
      </c>
      <c r="O549" s="16">
        <v>13817</v>
      </c>
      <c r="P549" s="20">
        <f t="shared" ca="1" si="1516"/>
        <v>0.71679814720995871</v>
      </c>
      <c r="Q549" s="21">
        <v>1.5</v>
      </c>
      <c r="R549" s="20">
        <f t="shared" ca="1" si="1517"/>
        <v>0.78324339952942224</v>
      </c>
      <c r="S549" s="22">
        <f t="shared" ca="1" si="1518"/>
        <v>1.1748650992941334</v>
      </c>
      <c r="T549" s="21">
        <f ca="1">F549/25.089</f>
        <v>335.9999999999996</v>
      </c>
      <c r="U549" s="21">
        <f t="shared" ca="1" si="1519"/>
        <v>7.9999999999999902</v>
      </c>
      <c r="V549" s="18">
        <f t="shared" ca="1" si="1520"/>
        <v>235.8095238095238</v>
      </c>
      <c r="W549" s="76"/>
      <c r="X549" s="24" t="s">
        <v>33</v>
      </c>
      <c r="Y549" s="24">
        <v>6</v>
      </c>
      <c r="Z549" s="24">
        <f t="shared" ref="Z549:AI549" si="1530">SUM(Z543:Z548)</f>
        <v>186</v>
      </c>
      <c r="AA549" s="25">
        <f t="shared" ca="1" si="1530"/>
        <v>178</v>
      </c>
      <c r="AB549" s="26">
        <f t="shared" ca="1" si="1530"/>
        <v>35232.280999999974</v>
      </c>
      <c r="AC549" s="25">
        <f t="shared" ca="1" si="1530"/>
        <v>11127</v>
      </c>
      <c r="AD549" s="25">
        <f t="shared" ca="1" si="1530"/>
        <v>295</v>
      </c>
      <c r="AE549" s="25">
        <f t="shared" ca="1" si="1530"/>
        <v>11422</v>
      </c>
      <c r="AF549" s="25">
        <f t="shared" ca="1" si="1530"/>
        <v>17179</v>
      </c>
      <c r="AG549" s="25">
        <f t="shared" ca="1" si="1530"/>
        <v>396</v>
      </c>
      <c r="AH549" s="25">
        <f t="shared" ca="1" si="1530"/>
        <v>17575</v>
      </c>
      <c r="AI549" s="25">
        <f t="shared" ca="1" si="1530"/>
        <v>28997</v>
      </c>
      <c r="AJ549" s="27">
        <f t="shared" ca="1" si="1524"/>
        <v>197.93416292134816</v>
      </c>
      <c r="AK549" s="24">
        <f>SUM(AK543:AK548)</f>
        <v>35074</v>
      </c>
      <c r="AL549" s="28">
        <f t="shared" ca="1" si="1502"/>
        <v>0.8267377544619946</v>
      </c>
      <c r="AM549" s="29">
        <v>1.5</v>
      </c>
      <c r="AN549" s="28">
        <f t="shared" ca="1" si="1504"/>
        <v>0.54868242375034837</v>
      </c>
      <c r="AO549" s="30">
        <f t="shared" ca="1" si="1505"/>
        <v>0.82302363562552261</v>
      </c>
      <c r="AP549" s="29">
        <f ca="1">SUM(AP543:AP548)</f>
        <v>1327.8761370071156</v>
      </c>
      <c r="AQ549" s="29">
        <f ca="1">AP549/AA549</f>
        <v>7.4599782977927847</v>
      </c>
      <c r="AR549" s="25">
        <f t="shared" ca="1" si="1507"/>
        <v>162.90449438202248</v>
      </c>
      <c r="AS549" s="76"/>
      <c r="AT549" s="76"/>
    </row>
    <row r="550" spans="1:46" ht="15.75" customHeight="1" x14ac:dyDescent="0.25">
      <c r="A550" s="70"/>
      <c r="B550" s="16">
        <v>5</v>
      </c>
      <c r="C550" s="16" t="s">
        <v>34</v>
      </c>
      <c r="D550" s="44">
        <v>40</v>
      </c>
      <c r="E550" s="18">
        <f ca="1">IFERROR(__xludf.DUMMYFUNCTION("COUNT(IMPORTRANGE(""https://docs.google.com/spreadsheets/d/14_Y-fpuq1wcec3DlT_1PBYekOC0YblQMrWVfO12YO3k/edit"",""21!d2:d41""))"),39)</f>
        <v>39</v>
      </c>
      <c r="F550" s="23">
        <f ca="1">IFERROR(__xludf.DUMMYFUNCTION("SUM(IMPORTRANGE(""https://docs.google.com/spreadsheets/d/14_Y-fpuq1wcec3DlT_1PBYekOC0YblQMrWVfO12YO3k/edit"",""21!Q2:Q41""))"),7823.772)</f>
        <v>7823.7719999999999</v>
      </c>
      <c r="G550" s="18">
        <f ca="1">IFERROR(__xludf.DUMMYFUNCTION("IMPORTRANGE(""https://docs.google.com/spreadsheets/d/14_Y-fpuq1wcec3DlT_1PBYekOC0YblQMrWVfO12YO3k/edit"",""21!e48"")"),2760)</f>
        <v>2760</v>
      </c>
      <c r="H550" s="18">
        <f ca="1">IFERROR(__xludf.DUMMYFUNCTION("IMPORTRANGE(""https://docs.google.com/spreadsheets/d/14_Y-fpuq1wcec3DlT_1PBYekOC0YblQMrWVfO12YO3k/edit"",""21!e49"")"),0)</f>
        <v>0</v>
      </c>
      <c r="I550" s="18">
        <f t="shared" ca="1" si="1512"/>
        <v>2760</v>
      </c>
      <c r="J550" s="18">
        <f ca="1">IFERROR(__xludf.DUMMYFUNCTION("IMPORTRANGE(""https://docs.google.com/spreadsheets/d/14_Y-fpuq1wcec3DlT_1PBYekOC0YblQMrWVfO12YO3k/edit"",""21!e52"")"),3502)</f>
        <v>3502</v>
      </c>
      <c r="K550" s="18">
        <f ca="1">IFERROR(__xludf.DUMMYFUNCTION("IMPORTRANGE(""https://docs.google.com/spreadsheets/d/14_Y-fpuq1wcec3DlT_1PBYekOC0YblQMrWVfO12YO3k/edit"",""21!e53"")"),0)</f>
        <v>0</v>
      </c>
      <c r="L550" s="18">
        <f t="shared" ca="1" si="1513"/>
        <v>3502</v>
      </c>
      <c r="M550" s="18">
        <f t="shared" ca="1" si="1514"/>
        <v>6262</v>
      </c>
      <c r="N550" s="19">
        <f t="shared" ca="1" si="1515"/>
        <v>200.60953846153845</v>
      </c>
      <c r="O550" s="16">
        <v>9354</v>
      </c>
      <c r="P550" s="20">
        <f t="shared" ca="1" si="1516"/>
        <v>0.66944622621338468</v>
      </c>
      <c r="Q550" s="21">
        <v>1.5</v>
      </c>
      <c r="R550" s="20">
        <f t="shared" ca="1" si="1517"/>
        <v>0.53358746480171793</v>
      </c>
      <c r="S550" s="22">
        <f t="shared" ca="1" si="1518"/>
        <v>0.80038119720257694</v>
      </c>
      <c r="T550" s="21">
        <f ca="1">F550/30.713</f>
        <v>254.73812392146647</v>
      </c>
      <c r="U550" s="21">
        <f t="shared" ca="1" si="1519"/>
        <v>6.531746767217089</v>
      </c>
      <c r="V550" s="18">
        <f t="shared" ca="1" si="1520"/>
        <v>160.56410256410257</v>
      </c>
      <c r="W550" s="76"/>
      <c r="X550" s="100" t="s">
        <v>35</v>
      </c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9"/>
      <c r="AS550" s="76"/>
      <c r="AT550" s="76"/>
    </row>
    <row r="551" spans="1:46" ht="15.75" customHeight="1" x14ac:dyDescent="0.25">
      <c r="A551" s="70"/>
      <c r="B551" s="16">
        <v>6</v>
      </c>
      <c r="C551" s="16" t="s">
        <v>23</v>
      </c>
      <c r="D551" s="44">
        <v>35</v>
      </c>
      <c r="E551" s="18">
        <f ca="1">IFERROR(__xludf.DUMMYFUNCTION("COUNT(IMPORTRANGE(""https://docs.google.com/spreadsheets/d/1lJqjdj05V4LOXuBOiTdE65GV4ZITyx1cMLcDdcuoUnE/edit"",""21!d2:d36""))"),35)</f>
        <v>35</v>
      </c>
      <c r="F551" s="23">
        <f ca="1">IFERROR(__xludf.DUMMYFUNCTION("SUM(IMPORTRANGE(""https://docs.google.com/spreadsheets/d/1lJqjdj05V4LOXuBOiTdE65GV4ZITyx1cMLcDdcuoUnE/edit"",""21!Q2:Q36""))"),6950.43999999999)</f>
        <v>6950.4399999999896</v>
      </c>
      <c r="G551" s="18">
        <f ca="1">IFERROR(__xludf.DUMMYFUNCTION("IMPORTRANGE(""https://docs.google.com/spreadsheets/d/1lJqjdj05V4LOXuBOiTdE65GV4ZITyx1cMLcDdcuoUnE/edit"",""21!e43"")"),1911)</f>
        <v>1911</v>
      </c>
      <c r="H551" s="18">
        <f ca="1">IFERROR(__xludf.DUMMYFUNCTION("IMPORTRANGE(""https://docs.google.com/spreadsheets/d/1lJqjdj05V4LOXuBOiTdE65GV4ZITyx1cMLcDdcuoUnE/edit"",""21!e44"")"),0)</f>
        <v>0</v>
      </c>
      <c r="I551" s="18">
        <f t="shared" ca="1" si="1512"/>
        <v>1911</v>
      </c>
      <c r="J551" s="18">
        <f ca="1">IFERROR(__xludf.DUMMYFUNCTION("IMPORTRANGE(""https://docs.google.com/spreadsheets/d/1lJqjdj05V4LOXuBOiTdE65GV4ZITyx1cMLcDdcuoUnE/edit"",""21!e47"")"),3234)</f>
        <v>3234</v>
      </c>
      <c r="K551" s="18">
        <f ca="1">IFERROR(__xludf.DUMMYFUNCTION("IMPORTRANGE(""https://docs.google.com/spreadsheets/d/1lJqjdj05V4LOXuBOiTdE65GV4ZITyx1cMLcDdcuoUnE/edit"",""21!e48"")"),0)</f>
        <v>0</v>
      </c>
      <c r="L551" s="18">
        <f t="shared" ca="1" si="1513"/>
        <v>3234</v>
      </c>
      <c r="M551" s="18">
        <f t="shared" ca="1" si="1514"/>
        <v>5145</v>
      </c>
      <c r="N551" s="19">
        <f t="shared" ca="1" si="1515"/>
        <v>198.58399999999969</v>
      </c>
      <c r="O551" s="16">
        <v>6853</v>
      </c>
      <c r="P551" s="20">
        <f t="shared" ca="1" si="1516"/>
        <v>0.75076608784473953</v>
      </c>
      <c r="Q551" s="21">
        <v>1.5</v>
      </c>
      <c r="R551" s="20">
        <f t="shared" ca="1" si="1517"/>
        <v>0.49349393707448813</v>
      </c>
      <c r="S551" s="22">
        <f t="shared" ca="1" si="1518"/>
        <v>0.74024090561173217</v>
      </c>
      <c r="T551" s="21">
        <f ca="1">F551/33.74</f>
        <v>205.99999999999969</v>
      </c>
      <c r="U551" s="21">
        <f t="shared" ca="1" si="1519"/>
        <v>5.8857142857142764</v>
      </c>
      <c r="V551" s="18">
        <f t="shared" ca="1" si="1520"/>
        <v>147</v>
      </c>
      <c r="W551" s="76"/>
      <c r="X551" s="1" t="s">
        <v>2</v>
      </c>
      <c r="Y551" s="1" t="s">
        <v>3</v>
      </c>
      <c r="Z551" s="1" t="s">
        <v>4</v>
      </c>
      <c r="AA551" s="1" t="s">
        <v>5</v>
      </c>
      <c r="AB551" s="2" t="s">
        <v>6</v>
      </c>
      <c r="AC551" s="1" t="s">
        <v>7</v>
      </c>
      <c r="AD551" s="1" t="s">
        <v>8</v>
      </c>
      <c r="AE551" s="1" t="s">
        <v>9</v>
      </c>
      <c r="AF551" s="1" t="s">
        <v>10</v>
      </c>
      <c r="AG551" s="1" t="s">
        <v>11</v>
      </c>
      <c r="AH551" s="1" t="s">
        <v>12</v>
      </c>
      <c r="AI551" s="1" t="s">
        <v>13</v>
      </c>
      <c r="AJ551" s="2" t="s">
        <v>14</v>
      </c>
      <c r="AK551" s="1" t="s">
        <v>15</v>
      </c>
      <c r="AL551" s="1" t="s">
        <v>16</v>
      </c>
      <c r="AM551" s="3" t="s">
        <v>17</v>
      </c>
      <c r="AN551" s="4" t="s">
        <v>18</v>
      </c>
      <c r="AO551" s="5" t="s">
        <v>19</v>
      </c>
      <c r="AP551" s="6" t="s">
        <v>20</v>
      </c>
      <c r="AQ551" s="6" t="s">
        <v>21</v>
      </c>
      <c r="AR551" s="7" t="s">
        <v>22</v>
      </c>
      <c r="AS551" s="76"/>
      <c r="AT551" s="76"/>
    </row>
    <row r="552" spans="1:46" ht="15.75" customHeight="1" x14ac:dyDescent="0.25">
      <c r="A552" s="70"/>
      <c r="B552" s="16">
        <v>7</v>
      </c>
      <c r="C552" s="16" t="s">
        <v>24</v>
      </c>
      <c r="D552" s="44">
        <v>44</v>
      </c>
      <c r="E552" s="31">
        <f ca="1">IFERROR(__xludf.DUMMYFUNCTION("COUNT(IMPORTRANGE(""https://docs.google.com/spreadsheets/d/1_7EEO26q9Yq-XhNFiy7I6Zh4Yg6uGjTs9y0UqNvPKcQ/edit"",""21!d2:d45""))"),41)</f>
        <v>41</v>
      </c>
      <c r="F552" s="32">
        <f ca="1">IFERROR(__xludf.DUMMYFUNCTION("SUM(IMPORTRANGE(""https://docs.google.com/spreadsheets/d/1_7EEO26q9Yq-XhNFiy7I6Zh4Yg6uGjTs9y0UqNvPKcQ/edit"",""21!Q2:Q45""))"),8020.98599999999)</f>
        <v>8020.9859999999899</v>
      </c>
      <c r="G552" s="31">
        <f ca="1">IFERROR(__xludf.DUMMYFUNCTION("IMPORTRANGE(""https://docs.google.com/spreadsheets/d/1_7EEO26q9Yq-XhNFiy7I6Zh4Yg6uGjTs9y0UqNvPKcQ/edit"",""21!e53"")"),1011)</f>
        <v>1011</v>
      </c>
      <c r="H552" s="31">
        <f ca="1">IFERROR(__xludf.DUMMYFUNCTION("IMPORTRANGE(""https://docs.google.com/spreadsheets/d/1_7EEO26q9Yq-XhNFiy7I6Zh4Yg6uGjTs9y0UqNvPKcQ/edit"",""21!e54"")"),0)</f>
        <v>0</v>
      </c>
      <c r="I552" s="31">
        <f t="shared" ca="1" si="1512"/>
        <v>1011</v>
      </c>
      <c r="J552" s="31">
        <f ca="1">IFERROR(__xludf.DUMMYFUNCTION("IMPORTRANGE(""https://docs.google.com/spreadsheets/d/1_7EEO26q9Yq-XhNFiy7I6Zh4Yg6uGjTs9y0UqNvPKcQ/edit"",""21!e57"")"),1745)</f>
        <v>1745</v>
      </c>
      <c r="K552" s="31">
        <f ca="1">IFERROR(__xludf.DUMMYFUNCTION("IMPORTRANGE(""https://docs.google.com/spreadsheets/d/1_7EEO26q9Yq-XhNFiy7I6Zh4Yg6uGjTs9y0UqNvPKcQ/edit"",""21!e58"")"),0)</f>
        <v>0</v>
      </c>
      <c r="L552" s="18">
        <f t="shared" ca="1" si="1513"/>
        <v>1745</v>
      </c>
      <c r="M552" s="18">
        <f t="shared" ca="1" si="1514"/>
        <v>2756</v>
      </c>
      <c r="N552" s="19">
        <f t="shared" ca="1" si="1515"/>
        <v>195.63380487804852</v>
      </c>
      <c r="O552" s="16">
        <v>1580</v>
      </c>
      <c r="P552" s="33">
        <f t="shared" ca="1" si="1516"/>
        <v>1.7443037974683544</v>
      </c>
      <c r="Q552" s="21">
        <v>1.5</v>
      </c>
      <c r="R552" s="20">
        <f t="shared" ca="1" si="1517"/>
        <v>0.22906576988581398</v>
      </c>
      <c r="S552" s="22">
        <f t="shared" ca="1" si="1518"/>
        <v>0.34359865482872098</v>
      </c>
      <c r="T552" s="21">
        <f ca="1">F552/26.805</f>
        <v>299.2346950195855</v>
      </c>
      <c r="U552" s="21">
        <f t="shared" ca="1" si="1519"/>
        <v>7.2984071955996468</v>
      </c>
      <c r="V552" s="18">
        <f t="shared" ca="1" si="1520"/>
        <v>67.219512195121951</v>
      </c>
      <c r="W552" s="76"/>
      <c r="X552" s="8">
        <v>1</v>
      </c>
      <c r="Y552" s="8" t="s">
        <v>28</v>
      </c>
      <c r="Z552" s="8">
        <f t="shared" ref="Z552:AI552" si="1531">SUM(D547)</f>
        <v>33</v>
      </c>
      <c r="AA552" s="9">
        <f t="shared" ca="1" si="1531"/>
        <v>33</v>
      </c>
      <c r="AB552" s="11">
        <f t="shared" ca="1" si="1531"/>
        <v>6295.9290000000001</v>
      </c>
      <c r="AC552" s="9">
        <f t="shared" ca="1" si="1531"/>
        <v>2643</v>
      </c>
      <c r="AD552" s="9">
        <f t="shared" ca="1" si="1531"/>
        <v>129</v>
      </c>
      <c r="AE552" s="9">
        <f t="shared" ca="1" si="1531"/>
        <v>2772</v>
      </c>
      <c r="AF552" s="9">
        <f t="shared" ca="1" si="1531"/>
        <v>2907</v>
      </c>
      <c r="AG552" s="9">
        <f t="shared" ca="1" si="1531"/>
        <v>323</v>
      </c>
      <c r="AH552" s="9">
        <f t="shared" ca="1" si="1531"/>
        <v>3230</v>
      </c>
      <c r="AI552" s="9">
        <f t="shared" ca="1" si="1531"/>
        <v>6002</v>
      </c>
      <c r="AJ552" s="11">
        <f t="shared" ref="AJ552:AJ558" ca="1" si="1532">AB552/AA552</f>
        <v>190.78572727272729</v>
      </c>
      <c r="AK552" s="8">
        <f t="shared" ref="AK552:AK553" si="1533">SUM(O547)</f>
        <v>7315</v>
      </c>
      <c r="AL552" s="12">
        <f t="shared" ref="AL552:AL558" ca="1" si="1534">AI552/AK552</f>
        <v>0.82050580997949418</v>
      </c>
      <c r="AM552" s="13">
        <f t="shared" ref="AM552:AM553" si="1535">SUM(Q547)</f>
        <v>1.5</v>
      </c>
      <c r="AN552" s="12">
        <f t="shared" ref="AN552:AN558" ca="1" si="1536">AO552/AM552</f>
        <v>0.63554295693825857</v>
      </c>
      <c r="AO552" s="14">
        <f t="shared" ref="AO552:AO558" ca="1" si="1537">AI552/AB552</f>
        <v>0.95331443540738781</v>
      </c>
      <c r="AP552" s="13">
        <f t="shared" ref="AP552:AQ552" ca="1" si="1538">SUM(T547)</f>
        <v>203.77153121662298</v>
      </c>
      <c r="AQ552" s="13">
        <f t="shared" ca="1" si="1538"/>
        <v>6.1748948853522112</v>
      </c>
      <c r="AR552" s="9">
        <f t="shared" ref="AR552:AR558" ca="1" si="1539">AI552/AA552</f>
        <v>181.87878787878788</v>
      </c>
      <c r="AS552" s="76"/>
      <c r="AT552" s="76"/>
    </row>
    <row r="553" spans="1:46" ht="15.75" customHeight="1" x14ac:dyDescent="0.25">
      <c r="A553" s="70"/>
      <c r="B553" s="16">
        <v>8</v>
      </c>
      <c r="C553" s="16" t="s">
        <v>25</v>
      </c>
      <c r="D553" s="45">
        <v>32</v>
      </c>
      <c r="E553" s="18">
        <f ca="1">IFERROR(__xludf.DUMMYFUNCTION("COUNT(IMPORTRANGE(""https://docs.google.com/spreadsheets/d/1vLOLpiE-XsbnCnwWPcoi87PlUSXfqIAAQn3kvqHfO6s/edit"",""21!d2:D33""))"),31)</f>
        <v>31</v>
      </c>
      <c r="F553" s="23">
        <f ca="1">IFERROR(__xludf.DUMMYFUNCTION("SUM(IMPORTRANGE(""https://docs.google.com/spreadsheets/d/1vLOLpiE-XsbnCnwWPcoi87PlUSXfqIAAQn3kvqHfO6s/edit"",""21!Q2:Q33""))"),6130.416)</f>
        <v>6130.4160000000002</v>
      </c>
      <c r="G553" s="18">
        <f ca="1">IFERROR(__xludf.DUMMYFUNCTION("IMPORTRANGE(""https://docs.google.com/spreadsheets/d/1vLOLpiE-XsbnCnwWPcoi87PlUSXfqIAAQn3kvqHfO6s/edit"",""21!e40"")"),2278)</f>
        <v>2278</v>
      </c>
      <c r="H553" s="18">
        <f ca="1">IFERROR(__xludf.DUMMYFUNCTION("IMPORTRANGE(""https://docs.google.com/spreadsheets/d/1vLOLpiE-XsbnCnwWPcoi87PlUSXfqIAAQn3kvqHfO6s/edit"",""21!e41"")"),295)</f>
        <v>295</v>
      </c>
      <c r="I553" s="18">
        <f t="shared" ca="1" si="1512"/>
        <v>2573</v>
      </c>
      <c r="J553" s="18">
        <f ca="1">IFERROR(__xludf.DUMMYFUNCTION("IMPORTRANGE(""https://docs.google.com/spreadsheets/d/1vLOLpiE-XsbnCnwWPcoi87PlUSXfqIAAQn3kvqHfO6s/edit"",""21!e44"")"),3249)</f>
        <v>3249</v>
      </c>
      <c r="K553" s="18">
        <f ca="1">IFERROR(__xludf.DUMMYFUNCTION("IMPORTRANGE(""https://docs.google.com/spreadsheets/d/1vLOLpiE-XsbnCnwWPcoi87PlUSXfqIAAQn3kvqHfO6s/edit"",""21!e45"")"),353)</f>
        <v>353</v>
      </c>
      <c r="L553" s="18">
        <f ca="1">J553+K553</f>
        <v>3602</v>
      </c>
      <c r="M553" s="18">
        <f t="shared" ca="1" si="1514"/>
        <v>6175</v>
      </c>
      <c r="N553" s="19">
        <f t="shared" ca="1" si="1515"/>
        <v>197.75535483870968</v>
      </c>
      <c r="O553" s="16">
        <v>6622</v>
      </c>
      <c r="P553" s="20">
        <f t="shared" ca="1" si="1516"/>
        <v>0.93249773482331622</v>
      </c>
      <c r="Q553" s="21">
        <v>1.5</v>
      </c>
      <c r="R553" s="20">
        <f t="shared" ca="1" si="1517"/>
        <v>0.67151505977190895</v>
      </c>
      <c r="S553" s="22">
        <f t="shared" ca="1" si="1518"/>
        <v>1.0072725896578634</v>
      </c>
      <c r="T553" s="21">
        <f ca="1">F553/23.84</f>
        <v>257.14832214765102</v>
      </c>
      <c r="U553" s="21">
        <f t="shared" ca="1" si="1519"/>
        <v>8.295107166053258</v>
      </c>
      <c r="V553" s="18">
        <f t="shared" ca="1" si="1520"/>
        <v>199.19354838709677</v>
      </c>
      <c r="W553" s="76"/>
      <c r="X553" s="8">
        <v>2</v>
      </c>
      <c r="Y553" s="8" t="s">
        <v>30</v>
      </c>
      <c r="Z553" s="8">
        <f t="shared" ref="Z553:AI553" si="1540">SUM(D548)</f>
        <v>60</v>
      </c>
      <c r="AA553" s="9">
        <f t="shared" ca="1" si="1540"/>
        <v>60</v>
      </c>
      <c r="AB553" s="10">
        <f t="shared" ca="1" si="1540"/>
        <v>11959.611999999899</v>
      </c>
      <c r="AC553" s="9">
        <f t="shared" ca="1" si="1540"/>
        <v>3684</v>
      </c>
      <c r="AD553" s="9">
        <f t="shared" ca="1" si="1540"/>
        <v>0</v>
      </c>
      <c r="AE553" s="9">
        <f t="shared" ca="1" si="1540"/>
        <v>3684</v>
      </c>
      <c r="AF553" s="9">
        <f t="shared" ca="1" si="1540"/>
        <v>5739</v>
      </c>
      <c r="AG553" s="9">
        <f t="shared" ca="1" si="1540"/>
        <v>0</v>
      </c>
      <c r="AH553" s="9">
        <f t="shared" ca="1" si="1540"/>
        <v>5739</v>
      </c>
      <c r="AI553" s="9">
        <f t="shared" ca="1" si="1540"/>
        <v>9423</v>
      </c>
      <c r="AJ553" s="11">
        <f t="shared" ca="1" si="1532"/>
        <v>199.32686666666498</v>
      </c>
      <c r="AK553" s="8">
        <f t="shared" si="1533"/>
        <v>11164</v>
      </c>
      <c r="AL553" s="12">
        <f t="shared" ca="1" si="1534"/>
        <v>0.84405231099964173</v>
      </c>
      <c r="AM553" s="13">
        <f t="shared" si="1535"/>
        <v>1.5</v>
      </c>
      <c r="AN553" s="12">
        <f t="shared" ca="1" si="1536"/>
        <v>0.52526787658329155</v>
      </c>
      <c r="AO553" s="14">
        <f t="shared" ca="1" si="1537"/>
        <v>0.78790181487493738</v>
      </c>
      <c r="AP553" s="13">
        <f t="shared" ref="AP553:AQ553" ca="1" si="1541">SUM(T548)</f>
        <v>403.99999999999659</v>
      </c>
      <c r="AQ553" s="13">
        <f t="shared" ca="1" si="1541"/>
        <v>6.7333333333332765</v>
      </c>
      <c r="AR553" s="9">
        <f t="shared" ca="1" si="1539"/>
        <v>157.05000000000001</v>
      </c>
      <c r="AS553" s="76"/>
      <c r="AT553" s="76"/>
    </row>
    <row r="554" spans="1:46" ht="15.75" customHeight="1" x14ac:dyDescent="0.25">
      <c r="A554" s="70"/>
      <c r="B554" s="16">
        <v>9</v>
      </c>
      <c r="C554" s="16" t="s">
        <v>36</v>
      </c>
      <c r="D554" s="45">
        <v>29</v>
      </c>
      <c r="E554" s="18">
        <f ca="1">IFERROR(__xludf.DUMMYFUNCTION("COUNT(IMPORTRANGE(""https://docs.google.com/spreadsheets/d/1WJJVq25XDtGjt-J2JPxeKs3jIvDZtkIREC0lFPXwf74/edit"",""21!d2:d31""))"),28)</f>
        <v>28</v>
      </c>
      <c r="F554" s="23">
        <f ca="1">IFERROR(__xludf.DUMMYFUNCTION("SUM(IMPORTRANGE(""https://docs.google.com/spreadsheets/d/1WJJVq25XDtGjt-J2JPxeKs3jIvDZtkIREC0lFPXwf74/edit"",""21!Q2:Q31""))"),5604.11999999999)</f>
        <v>5604.1199999999899</v>
      </c>
      <c r="G554" s="18">
        <f ca="1">IFERROR(__xludf.DUMMYFUNCTION("IMPORTRANGE(""https://docs.google.com/spreadsheets/d/1WJJVq25XDtGjt-J2JPxeKs3jIvDZtkIREC0lFPXwf74/edit"",""21!e38"")"),1610)</f>
        <v>1610</v>
      </c>
      <c r="H554" s="18">
        <f ca="1">IFERROR(__xludf.DUMMYFUNCTION("IMPORTRANGE(""https://docs.google.com/spreadsheets/d/1WJJVq25XDtGjt-J2JPxeKs3jIvDZtkIREC0lFPXwf74/edit"",""21!e39"")"),0)</f>
        <v>0</v>
      </c>
      <c r="I554" s="18">
        <f t="shared" ca="1" si="1512"/>
        <v>1610</v>
      </c>
      <c r="J554" s="18">
        <f ca="1">IFERROR(__xludf.DUMMYFUNCTION("IMPORTRANGE(""https://docs.google.com/spreadsheets/d/1WJJVq25XDtGjt-J2JPxeKs3jIvDZtkIREC0lFPXwf74/edit"",""21!e42"")"),2490)</f>
        <v>2490</v>
      </c>
      <c r="K554" s="18">
        <f ca="1">IFERROR(__xludf.DUMMYFUNCTION("IMPORTRANGE(""https://docs.google.com/spreadsheets/d/1WJJVq25XDtGjt-J2JPxeKs3jIvDZtkIREC0lFPXwf74/edit"",""21!e43"")"),0)</f>
        <v>0</v>
      </c>
      <c r="L554" s="18">
        <f t="shared" ref="L554:L563" ca="1" si="1542">SUM(J554:K554)</f>
        <v>2490</v>
      </c>
      <c r="M554" s="18">
        <f t="shared" ca="1" si="1514"/>
        <v>4100</v>
      </c>
      <c r="N554" s="19">
        <f t="shared" ca="1" si="1515"/>
        <v>200.14714285714248</v>
      </c>
      <c r="O554" s="16">
        <v>4796</v>
      </c>
      <c r="P554" s="20">
        <f t="shared" ca="1" si="1516"/>
        <v>0.85487906588824025</v>
      </c>
      <c r="Q554" s="21">
        <v>1.5</v>
      </c>
      <c r="R554" s="20">
        <f t="shared" ca="1" si="1517"/>
        <v>0.4877364034555538</v>
      </c>
      <c r="S554" s="22">
        <f t="shared" ca="1" si="1518"/>
        <v>0.7316046051833307</v>
      </c>
      <c r="T554" s="21">
        <f ca="1">F554/37.414</f>
        <v>149.78671085689822</v>
      </c>
      <c r="U554" s="21">
        <f t="shared" ca="1" si="1519"/>
        <v>5.3495253877463655</v>
      </c>
      <c r="V554" s="18">
        <f t="shared" ca="1" si="1520"/>
        <v>146.42857142857142</v>
      </c>
      <c r="W554" s="76"/>
      <c r="X554" s="8">
        <v>3</v>
      </c>
      <c r="Y554" s="8" t="s">
        <v>34</v>
      </c>
      <c r="Z554" s="8">
        <f t="shared" ref="Z554:AI554" si="1543">SUM(D550)</f>
        <v>40</v>
      </c>
      <c r="AA554" s="9">
        <f t="shared" ca="1" si="1543"/>
        <v>39</v>
      </c>
      <c r="AB554" s="10">
        <f t="shared" ca="1" si="1543"/>
        <v>7823.7719999999999</v>
      </c>
      <c r="AC554" s="9">
        <f t="shared" ca="1" si="1543"/>
        <v>2760</v>
      </c>
      <c r="AD554" s="9">
        <f t="shared" ca="1" si="1543"/>
        <v>0</v>
      </c>
      <c r="AE554" s="9">
        <f t="shared" ca="1" si="1543"/>
        <v>2760</v>
      </c>
      <c r="AF554" s="9">
        <f t="shared" ca="1" si="1543"/>
        <v>3502</v>
      </c>
      <c r="AG554" s="9">
        <f t="shared" ca="1" si="1543"/>
        <v>0</v>
      </c>
      <c r="AH554" s="9">
        <f t="shared" ca="1" si="1543"/>
        <v>3502</v>
      </c>
      <c r="AI554" s="9">
        <f t="shared" ca="1" si="1543"/>
        <v>6262</v>
      </c>
      <c r="AJ554" s="11">
        <f t="shared" ca="1" si="1532"/>
        <v>200.60953846153845</v>
      </c>
      <c r="AK554" s="8">
        <f>SUM(O550)</f>
        <v>9354</v>
      </c>
      <c r="AL554" s="12">
        <f t="shared" ca="1" si="1534"/>
        <v>0.66944622621338468</v>
      </c>
      <c r="AM554" s="13">
        <f>SUM(Q550)</f>
        <v>1.5</v>
      </c>
      <c r="AN554" s="12">
        <f t="shared" ca="1" si="1536"/>
        <v>0.53358746480171793</v>
      </c>
      <c r="AO554" s="14">
        <f t="shared" ca="1" si="1537"/>
        <v>0.80038119720257694</v>
      </c>
      <c r="AP554" s="13">
        <f t="shared" ref="AP554:AQ554" ca="1" si="1544">SUM(T550)</f>
        <v>254.73812392146647</v>
      </c>
      <c r="AQ554" s="13">
        <f t="shared" ca="1" si="1544"/>
        <v>6.531746767217089</v>
      </c>
      <c r="AR554" s="9">
        <f t="shared" ca="1" si="1539"/>
        <v>160.56410256410257</v>
      </c>
      <c r="AS554" s="76"/>
      <c r="AT554" s="76"/>
    </row>
    <row r="555" spans="1:46" ht="15.75" customHeight="1" x14ac:dyDescent="0.25">
      <c r="A555" s="70"/>
      <c r="B555" s="16">
        <v>10</v>
      </c>
      <c r="C555" s="16" t="s">
        <v>37</v>
      </c>
      <c r="D555" s="44">
        <v>30</v>
      </c>
      <c r="E555" s="18">
        <f ca="1">IFERROR(__xludf.DUMMYFUNCTION("COUNT(IMPORTRANGE(""https://docs.google.com/spreadsheets/d/1rJyYfywRpWJW0zvDJHLOJtqUQqffoCGaqTVxxTDgV0k/edit"",""21!d2:d31""))"),28)</f>
        <v>28</v>
      </c>
      <c r="F555" s="23">
        <f ca="1">IFERROR(__xludf.DUMMYFUNCTION("SUM(IMPORTRANGE(""https://docs.google.com/spreadsheets/d/1rJyYfywRpWJW0zvDJHLOJtqUQqffoCGaqTVxxTDgV0k/edit"",""21!Q2:Q31""))"),5589.06)</f>
        <v>5589.06</v>
      </c>
      <c r="G555" s="18">
        <f ca="1">IFERROR(__xludf.DUMMYFUNCTION("(IMPORTRANGE(""https://docs.google.com/spreadsheets/d/1rJyYfywRpWJW0zvDJHLOJtqUQqffoCGaqTVxxTDgV0k/edit"",""21!e38""))"),2025)</f>
        <v>2025</v>
      </c>
      <c r="H555" s="18">
        <f ca="1">IFERROR(__xludf.DUMMYFUNCTION("(IMPORTRANGE(""https://docs.google.com/spreadsheets/d/1rJyYfywRpWJW0zvDJHLOJtqUQqffoCGaqTVxxTDgV0k/edit"",""21!e39""))"),0)</f>
        <v>0</v>
      </c>
      <c r="I555" s="18">
        <f t="shared" ca="1" si="1512"/>
        <v>2025</v>
      </c>
      <c r="J555" s="18">
        <f ca="1">IFERROR(__xludf.DUMMYFUNCTION("(IMPORTRANGE(""https://docs.google.com/spreadsheets/d/1rJyYfywRpWJW0zvDJHLOJtqUQqffoCGaqTVxxTDgV0k/edit"",""21!e42""))"),3105)</f>
        <v>3105</v>
      </c>
      <c r="K555" s="18">
        <f ca="1">IFERROR(__xludf.DUMMYFUNCTION("(IMPORTRANGE(""https://docs.google.com/spreadsheets/d/1rJyYfywRpWJW0zvDJHLOJtqUQqffoCGaqTVxxTDgV0k/edit"",""21!e43""))"),80)</f>
        <v>80</v>
      </c>
      <c r="L555" s="18">
        <f t="shared" ca="1" si="1542"/>
        <v>3185</v>
      </c>
      <c r="M555" s="18">
        <f t="shared" ca="1" si="1514"/>
        <v>5210</v>
      </c>
      <c r="N555" s="19">
        <f t="shared" ca="1" si="1515"/>
        <v>199.60928571428573</v>
      </c>
      <c r="O555" s="16">
        <v>5887</v>
      </c>
      <c r="P555" s="20">
        <f t="shared" ca="1" si="1516"/>
        <v>0.88500084932903011</v>
      </c>
      <c r="Q555" s="21">
        <v>1.5</v>
      </c>
      <c r="R555" s="20">
        <f t="shared" ca="1" si="1517"/>
        <v>0.62145214639551793</v>
      </c>
      <c r="S555" s="22">
        <f t="shared" ca="1" si="1518"/>
        <v>0.93217821959327685</v>
      </c>
      <c r="T555" s="21">
        <f ca="1">F555/24.792</f>
        <v>225.4380445304937</v>
      </c>
      <c r="U555" s="21">
        <f t="shared" ca="1" si="1519"/>
        <v>8.0513587332319183</v>
      </c>
      <c r="V555" s="18">
        <f t="shared" ca="1" si="1520"/>
        <v>186.07142857142858</v>
      </c>
      <c r="W555" s="76"/>
      <c r="X555" s="8">
        <v>4</v>
      </c>
      <c r="Y555" s="8" t="s">
        <v>38</v>
      </c>
      <c r="Z555" s="8">
        <f t="shared" ref="Z555:AI555" si="1545">SUM(D558)</f>
        <v>30</v>
      </c>
      <c r="AA555" s="9">
        <f t="shared" ca="1" si="1545"/>
        <v>30</v>
      </c>
      <c r="AB555" s="10">
        <f t="shared" ca="1" si="1545"/>
        <v>6345.5699999999897</v>
      </c>
      <c r="AC555" s="9">
        <f t="shared" ca="1" si="1545"/>
        <v>1954</v>
      </c>
      <c r="AD555" s="9">
        <f t="shared" ca="1" si="1545"/>
        <v>114</v>
      </c>
      <c r="AE555" s="9">
        <f t="shared" ca="1" si="1545"/>
        <v>2068</v>
      </c>
      <c r="AF555" s="9">
        <f t="shared" ca="1" si="1545"/>
        <v>3001</v>
      </c>
      <c r="AG555" s="9">
        <f t="shared" ca="1" si="1545"/>
        <v>0</v>
      </c>
      <c r="AH555" s="9">
        <f t="shared" ca="1" si="1545"/>
        <v>3001</v>
      </c>
      <c r="AI555" s="9">
        <f t="shared" ca="1" si="1545"/>
        <v>5069</v>
      </c>
      <c r="AJ555" s="11">
        <f t="shared" ca="1" si="1532"/>
        <v>211.51899999999966</v>
      </c>
      <c r="AK555" s="8">
        <v>7324</v>
      </c>
      <c r="AL555" s="12">
        <f t="shared" ca="1" si="1534"/>
        <v>0.69210813762971057</v>
      </c>
      <c r="AM555" s="13">
        <f>SUM(Q558)</f>
        <v>1.5</v>
      </c>
      <c r="AN555" s="12">
        <f t="shared" ca="1" si="1536"/>
        <v>0.53255000470144342</v>
      </c>
      <c r="AO555" s="14">
        <f t="shared" ca="1" si="1537"/>
        <v>0.79882500705216519</v>
      </c>
      <c r="AP555" s="13">
        <f t="shared" ref="AP555:AQ555" ca="1" si="1546">SUM(T558)</f>
        <v>153.99999999999974</v>
      </c>
      <c r="AQ555" s="13">
        <f t="shared" ca="1" si="1546"/>
        <v>5.1333333333333249</v>
      </c>
      <c r="AR555" s="9">
        <f t="shared" ca="1" si="1539"/>
        <v>168.96666666666667</v>
      </c>
      <c r="AS555" s="76"/>
      <c r="AT555" s="76"/>
    </row>
    <row r="556" spans="1:46" ht="15.75" customHeight="1" x14ac:dyDescent="0.25">
      <c r="A556" s="70"/>
      <c r="B556" s="16">
        <v>12</v>
      </c>
      <c r="C556" s="16" t="s">
        <v>39</v>
      </c>
      <c r="D556" s="44">
        <v>28</v>
      </c>
      <c r="E556" s="18">
        <f ca="1">IFERROR(__xludf.DUMMYFUNCTION("COUNT(IMPORTRANGE(""https://docs.google.com/spreadsheets/d/1uaTn2DZCfr7O1PvovOd0wElzVz8kpl_iPfnrkNPp0Is/edit"",""21!d2:d29""))"),27)</f>
        <v>27</v>
      </c>
      <c r="F556" s="23">
        <f ca="1">IFERROR(__xludf.DUMMYFUNCTION("SUM(IMPORTRANGE(""https://docs.google.com/spreadsheets/d/1uaTn2DZCfr7O1PvovOd0wElzVz8kpl_iPfnrkNPp0Is/edit"",""21!Q2:Q29""))"),5039.44)</f>
        <v>5039.4399999999996</v>
      </c>
      <c r="G556" s="18">
        <f ca="1">IFERROR(__xludf.DUMMYFUNCTION("IMPORTRANGE(""https://docs.google.com/spreadsheets/d/1uaTn2DZCfr7O1PvovOd0wElzVz8kpl_iPfnrkNPp0Is/edit"",""21!e36"")"),1099)</f>
        <v>1099</v>
      </c>
      <c r="H556" s="18">
        <f ca="1">IFERROR(__xludf.DUMMYFUNCTION("(IMPORTRANGE(""https://docs.google.com/spreadsheets/d/1uaTn2DZCfr7O1PvovOd0wElzVz8kpl_iPfnrkNPp0Is/edit"",""21!e37""))"),30)</f>
        <v>30</v>
      </c>
      <c r="I556" s="18">
        <f t="shared" ca="1" si="1512"/>
        <v>1129</v>
      </c>
      <c r="J556" s="18">
        <f ca="1">IFERROR(__xludf.DUMMYFUNCTION("IMPORTRANGE(""https://docs.google.com/spreadsheets/d/1uaTn2DZCfr7O1PvovOd0wElzVz8kpl_iPfnrkNPp0Is/edit"",""21!e40"")"),1671)</f>
        <v>1671</v>
      </c>
      <c r="K556" s="18">
        <f ca="1">IFERROR(__xludf.DUMMYFUNCTION("IMPORTRANGE(""https://docs.google.com/spreadsheets/d/1uaTn2DZCfr7O1PvovOd0wElzVz8kpl_iPfnrkNPp0Is/edit"",""21!e41"")"),0)</f>
        <v>0</v>
      </c>
      <c r="L556" s="18">
        <f t="shared" ca="1" si="1542"/>
        <v>1671</v>
      </c>
      <c r="M556" s="18">
        <f t="shared" ca="1" si="1514"/>
        <v>2800</v>
      </c>
      <c r="N556" s="19">
        <f t="shared" ca="1" si="1515"/>
        <v>186.64592592592592</v>
      </c>
      <c r="O556" s="16">
        <v>3569</v>
      </c>
      <c r="P556" s="20">
        <f t="shared" ca="1" si="1516"/>
        <v>0.78453348276828239</v>
      </c>
      <c r="Q556" s="21">
        <v>1.5</v>
      </c>
      <c r="R556" s="20">
        <f t="shared" ca="1" si="1517"/>
        <v>0.37041152720672671</v>
      </c>
      <c r="S556" s="22">
        <f t="shared" ca="1" si="1518"/>
        <v>0.55561729081009004</v>
      </c>
      <c r="T556" s="21">
        <f ca="1">F556/21.463</f>
        <v>234.7966267530168</v>
      </c>
      <c r="U556" s="21">
        <f t="shared" ca="1" si="1519"/>
        <v>8.6961713612228451</v>
      </c>
      <c r="V556" s="18">
        <f t="shared" ca="1" si="1520"/>
        <v>103.70370370370371</v>
      </c>
      <c r="W556" s="76"/>
      <c r="X556" s="8">
        <v>5</v>
      </c>
      <c r="Y556" s="8" t="s">
        <v>40</v>
      </c>
      <c r="Z556" s="8">
        <f t="shared" ref="Z556:AI556" si="1547">SUM(D560)</f>
        <v>30</v>
      </c>
      <c r="AA556" s="9">
        <f t="shared" ca="1" si="1547"/>
        <v>30</v>
      </c>
      <c r="AB556" s="10">
        <f t="shared" ca="1" si="1547"/>
        <v>5830.8149999999896</v>
      </c>
      <c r="AC556" s="9">
        <f t="shared" ca="1" si="1547"/>
        <v>3270</v>
      </c>
      <c r="AD556" s="9">
        <f t="shared" ca="1" si="1547"/>
        <v>58</v>
      </c>
      <c r="AE556" s="9">
        <f t="shared" ca="1" si="1547"/>
        <v>3328</v>
      </c>
      <c r="AF556" s="9">
        <f t="shared" ca="1" si="1547"/>
        <v>4040</v>
      </c>
      <c r="AG556" s="9">
        <f t="shared" ca="1" si="1547"/>
        <v>0</v>
      </c>
      <c r="AH556" s="9">
        <f t="shared" ca="1" si="1547"/>
        <v>4040</v>
      </c>
      <c r="AI556" s="9">
        <f t="shared" ca="1" si="1547"/>
        <v>7368</v>
      </c>
      <c r="AJ556" s="11">
        <f t="shared" ca="1" si="1532"/>
        <v>194.36049999999966</v>
      </c>
      <c r="AK556" s="8">
        <f t="shared" ref="AK556:AK557" si="1548">SUM(O560)</f>
        <v>8239</v>
      </c>
      <c r="AL556" s="12">
        <f t="shared" ca="1" si="1534"/>
        <v>0.89428328680665126</v>
      </c>
      <c r="AM556" s="13">
        <f t="shared" ref="AM556:AM557" si="1549">SUM(Q560)</f>
        <v>1.5</v>
      </c>
      <c r="AN556" s="12">
        <f t="shared" ca="1" si="1536"/>
        <v>0.8424208279631592</v>
      </c>
      <c r="AO556" s="14">
        <f t="shared" ca="1" si="1537"/>
        <v>1.2636312419447389</v>
      </c>
      <c r="AP556" s="13">
        <f t="shared" ref="AP556:AQ556" ca="1" si="1550">SUM(T560)</f>
        <v>204.99999999999963</v>
      </c>
      <c r="AQ556" s="13">
        <f t="shared" ca="1" si="1550"/>
        <v>6.8333333333333206</v>
      </c>
      <c r="AR556" s="9">
        <f t="shared" ca="1" si="1539"/>
        <v>245.6</v>
      </c>
      <c r="AS556" s="76"/>
      <c r="AT556" s="76"/>
    </row>
    <row r="557" spans="1:46" ht="15.75" customHeight="1" x14ac:dyDescent="0.25">
      <c r="A557" s="70"/>
      <c r="B557" s="16">
        <v>12</v>
      </c>
      <c r="C557" s="16" t="s">
        <v>41</v>
      </c>
      <c r="D557" s="44">
        <v>24</v>
      </c>
      <c r="E557" s="18">
        <f ca="1">IFERROR(__xludf.DUMMYFUNCTION("COUNT(IMPORTRANGE(""https://docs.google.com/spreadsheets/d/1oYscvfOJW7GMkxt8QcupWuzb3ohaYePd3Mt2V2ufHok/edit"",""21!d2:d25""))"),24)</f>
        <v>24</v>
      </c>
      <c r="F557" s="23">
        <f ca="1">IFERROR(__xludf.DUMMYFUNCTION("SUM(IMPORTRANGE(""https://docs.google.com/spreadsheets/d/1oYscvfOJW7GMkxt8QcupWuzb3ohaYePd3Mt2V2ufHok/edit"",""21!Q2:Q25""))"),4645.012)</f>
        <v>4645.0119999999997</v>
      </c>
      <c r="G557" s="18">
        <f ca="1">IFERROR(__xludf.DUMMYFUNCTION("IMPORTRANGE(""https://docs.google.com/spreadsheets/d/1oYscvfOJW7GMkxt8QcupWuzb3ohaYePd3Mt2V2ufHok/edit"",""21!e32"")"),1179)</f>
        <v>1179</v>
      </c>
      <c r="H557" s="18">
        <f ca="1">IFERROR(__xludf.DUMMYFUNCTION("IMPORTRANGE(""https://docs.google.com/spreadsheets/d/1oYscvfOJW7GMkxt8QcupWuzb3ohaYePd3Mt2V2ufHok/edit"",""21!e33"")"),0)</f>
        <v>0</v>
      </c>
      <c r="I557" s="18">
        <f t="shared" ca="1" si="1512"/>
        <v>1179</v>
      </c>
      <c r="J557" s="18">
        <f ca="1">IFERROR(__xludf.DUMMYFUNCTION("IMPORTRANGE(""https://docs.google.com/spreadsheets/d/1oYscvfOJW7GMkxt8QcupWuzb3ohaYePd3Mt2V2ufHok/edit"",""21!e36"")"),1725)</f>
        <v>1725</v>
      </c>
      <c r="K557" s="18">
        <f ca="1">IFERROR(__xludf.DUMMYFUNCTION("IMPORTRANGE(""https://docs.google.com/spreadsheets/d/1oYscvfOJW7GMkxt8QcupWuzb3ohaYePd3Mt2V2ufHok/edit"",""21!e37"")"),0)</f>
        <v>0</v>
      </c>
      <c r="L557" s="18">
        <f t="shared" ca="1" si="1542"/>
        <v>1725</v>
      </c>
      <c r="M557" s="18">
        <f t="shared" ca="1" si="1514"/>
        <v>2904</v>
      </c>
      <c r="N557" s="19">
        <f t="shared" ca="1" si="1515"/>
        <v>193.54216666666665</v>
      </c>
      <c r="O557" s="16">
        <v>3801</v>
      </c>
      <c r="P557" s="20">
        <f t="shared" ca="1" si="1516"/>
        <v>0.76400947119179163</v>
      </c>
      <c r="Q557" s="21">
        <v>1.5</v>
      </c>
      <c r="R557" s="20">
        <f t="shared" ca="1" si="1517"/>
        <v>0.41679117298297613</v>
      </c>
      <c r="S557" s="22">
        <f t="shared" ca="1" si="1518"/>
        <v>0.62518675947446423</v>
      </c>
      <c r="T557" s="21">
        <f ca="1">F557/29.628</f>
        <v>156.77777777777777</v>
      </c>
      <c r="U557" s="21">
        <f t="shared" ca="1" si="1519"/>
        <v>6.5324074074074074</v>
      </c>
      <c r="V557" s="18">
        <f t="shared" ca="1" si="1520"/>
        <v>121</v>
      </c>
      <c r="W557" s="76"/>
      <c r="X557" s="8">
        <v>6</v>
      </c>
      <c r="Y557" s="8" t="s">
        <v>42</v>
      </c>
      <c r="Z557" s="8">
        <f t="shared" ref="Z557:AI557" si="1551">SUM(D561)</f>
        <v>33</v>
      </c>
      <c r="AA557" s="9">
        <f t="shared" ca="1" si="1551"/>
        <v>32</v>
      </c>
      <c r="AB557" s="10">
        <f t="shared" ca="1" si="1551"/>
        <v>6240.2759999999898</v>
      </c>
      <c r="AC557" s="9">
        <f t="shared" ca="1" si="1551"/>
        <v>3010</v>
      </c>
      <c r="AD557" s="9">
        <f t="shared" ca="1" si="1551"/>
        <v>25</v>
      </c>
      <c r="AE557" s="9">
        <f t="shared" ca="1" si="1551"/>
        <v>3035</v>
      </c>
      <c r="AF557" s="9">
        <f t="shared" ca="1" si="1551"/>
        <v>4640</v>
      </c>
      <c r="AG557" s="9">
        <f t="shared" ca="1" si="1551"/>
        <v>0</v>
      </c>
      <c r="AH557" s="9">
        <f t="shared" ca="1" si="1551"/>
        <v>4640</v>
      </c>
      <c r="AI557" s="9">
        <f t="shared" ca="1" si="1551"/>
        <v>7675</v>
      </c>
      <c r="AJ557" s="11">
        <f t="shared" ca="1" si="1532"/>
        <v>195.00862499999968</v>
      </c>
      <c r="AK557" s="8">
        <f t="shared" si="1548"/>
        <v>9877</v>
      </c>
      <c r="AL557" s="12">
        <f t="shared" ca="1" si="1534"/>
        <v>0.77705781107623773</v>
      </c>
      <c r="AM557" s="13">
        <f t="shared" si="1549"/>
        <v>1.5</v>
      </c>
      <c r="AN557" s="12">
        <f t="shared" ca="1" si="1536"/>
        <v>0.81994236579706969</v>
      </c>
      <c r="AO557" s="14">
        <f t="shared" ca="1" si="1537"/>
        <v>1.2299135486956045</v>
      </c>
      <c r="AP557" s="13">
        <f t="shared" ref="AP557:AQ557" ca="1" si="1552">SUM(T561)</f>
        <v>238.58826228254597</v>
      </c>
      <c r="AQ557" s="13">
        <f t="shared" ca="1" si="1552"/>
        <v>7.4558831963295615</v>
      </c>
      <c r="AR557" s="9">
        <f t="shared" ca="1" si="1539"/>
        <v>239.84375</v>
      </c>
      <c r="AS557" s="76"/>
      <c r="AT557" s="76"/>
    </row>
    <row r="558" spans="1:46" ht="15.75" customHeight="1" x14ac:dyDescent="0.25">
      <c r="A558" s="70"/>
      <c r="B558" s="16">
        <v>13</v>
      </c>
      <c r="C558" s="16" t="s">
        <v>43</v>
      </c>
      <c r="D558" s="44">
        <v>30</v>
      </c>
      <c r="E558" s="18">
        <f ca="1">IFERROR(__xludf.DUMMYFUNCTION("COUNT(IMPORTRANGE(""https://docs.google.com/spreadsheets/d/1AxBmuQEdOYAeRnZ4C8vO6kuTNp7X_SGhpLXuY0n4ln4/edit"",""21!d2:d31""))"),30)</f>
        <v>30</v>
      </c>
      <c r="F558" s="23">
        <f ca="1">IFERROR(__xludf.DUMMYFUNCTION("SUM(IMPORTRANGE(""https://docs.google.com/spreadsheets/d/1AxBmuQEdOYAeRnZ4C8vO6kuTNp7X_SGhpLXuY0n4ln4/edit"",""21!Q2:Q31""))"),6345.56999999999)</f>
        <v>6345.5699999999897</v>
      </c>
      <c r="G558" s="18">
        <f ca="1">IFERROR(__xludf.DUMMYFUNCTION("IMPORTRANGE(""https://docs.google.com/spreadsheets/d/1AxBmuQEdOYAeRnZ4C8vO6kuTNp7X_SGhpLXuY0n4ln4/edit"",""21!e38"")"),1954)</f>
        <v>1954</v>
      </c>
      <c r="H558" s="18">
        <f ca="1">IFERROR(__xludf.DUMMYFUNCTION("IMPORTRANGE(""https://docs.google.com/spreadsheets/d/1AxBmuQEdOYAeRnZ4C8vO6kuTNp7X_SGhpLXuY0n4ln4/edit"",""21!e39"")"),114)</f>
        <v>114</v>
      </c>
      <c r="I558" s="18">
        <f t="shared" ca="1" si="1512"/>
        <v>2068</v>
      </c>
      <c r="J558" s="18">
        <f ca="1">IFERROR(__xludf.DUMMYFUNCTION("IMPORTRANGE(""https://docs.google.com/spreadsheets/d/1AxBmuQEdOYAeRnZ4C8vO6kuTNp7X_SGhpLXuY0n4ln4/edit"",""21!e42"")"),3001)</f>
        <v>3001</v>
      </c>
      <c r="K558" s="18">
        <f ca="1">IFERROR(__xludf.DUMMYFUNCTION("IMPORTRANGE(""https://docs.google.com/spreadsheets/d/1AxBmuQEdOYAeRnZ4C8vO6kuTNp7X_SGhpLXuY0n4ln4/edit"",""21!e43"")"),0)</f>
        <v>0</v>
      </c>
      <c r="L558" s="18">
        <f t="shared" ca="1" si="1542"/>
        <v>3001</v>
      </c>
      <c r="M558" s="18">
        <f t="shared" ca="1" si="1514"/>
        <v>5069</v>
      </c>
      <c r="N558" s="19">
        <f t="shared" ca="1" si="1515"/>
        <v>211.51899999999966</v>
      </c>
      <c r="O558" s="16">
        <v>8345</v>
      </c>
      <c r="P558" s="20">
        <f t="shared" ca="1" si="1516"/>
        <v>0.60742959856201317</v>
      </c>
      <c r="Q558" s="21">
        <v>1.5</v>
      </c>
      <c r="R558" s="20">
        <f t="shared" ca="1" si="1517"/>
        <v>0.53255000470144342</v>
      </c>
      <c r="S558" s="22">
        <f t="shared" ca="1" si="1518"/>
        <v>0.79882500705216519</v>
      </c>
      <c r="T558" s="21">
        <f ca="1">F558/41.205</f>
        <v>153.99999999999974</v>
      </c>
      <c r="U558" s="21">
        <f t="shared" ca="1" si="1519"/>
        <v>5.1333333333333249</v>
      </c>
      <c r="V558" s="18">
        <f t="shared" ca="1" si="1520"/>
        <v>168.96666666666667</v>
      </c>
      <c r="W558" s="76"/>
      <c r="X558" s="24" t="s">
        <v>33</v>
      </c>
      <c r="Y558" s="24">
        <v>6</v>
      </c>
      <c r="Z558" s="24">
        <f t="shared" ref="Z558:AI558" si="1553">SUM(Z552:Z557)</f>
        <v>226</v>
      </c>
      <c r="AA558" s="25">
        <f t="shared" ca="1" si="1553"/>
        <v>224</v>
      </c>
      <c r="AB558" s="27">
        <f t="shared" ca="1" si="1553"/>
        <v>44495.973999999871</v>
      </c>
      <c r="AC558" s="25">
        <f t="shared" ca="1" si="1553"/>
        <v>17321</v>
      </c>
      <c r="AD558" s="25">
        <f t="shared" ca="1" si="1553"/>
        <v>326</v>
      </c>
      <c r="AE558" s="25">
        <f t="shared" ca="1" si="1553"/>
        <v>17647</v>
      </c>
      <c r="AF558" s="25">
        <f t="shared" ca="1" si="1553"/>
        <v>23829</v>
      </c>
      <c r="AG558" s="25">
        <f t="shared" ca="1" si="1553"/>
        <v>323</v>
      </c>
      <c r="AH558" s="25">
        <f t="shared" ca="1" si="1553"/>
        <v>24152</v>
      </c>
      <c r="AI558" s="25">
        <f t="shared" ca="1" si="1553"/>
        <v>41799</v>
      </c>
      <c r="AJ558" s="27">
        <f t="shared" ca="1" si="1532"/>
        <v>198.64274107142799</v>
      </c>
      <c r="AK558" s="24">
        <f>SUM(AK552:AK557)</f>
        <v>53273</v>
      </c>
      <c r="AL558" s="28">
        <f t="shared" ca="1" si="1534"/>
        <v>0.78461885007414633</v>
      </c>
      <c r="AM558" s="29">
        <v>1.5</v>
      </c>
      <c r="AN558" s="28">
        <f t="shared" ca="1" si="1536"/>
        <v>0.62625890603046652</v>
      </c>
      <c r="AO558" s="30">
        <f t="shared" ca="1" si="1537"/>
        <v>0.93938835904569973</v>
      </c>
      <c r="AP558" s="29">
        <f ca="1">SUM(AP552:AP557)</f>
        <v>1460.0979174206313</v>
      </c>
      <c r="AQ558" s="29">
        <f ca="1">AP558/AA558</f>
        <v>6.5182942741992473</v>
      </c>
      <c r="AR558" s="25">
        <f t="shared" ca="1" si="1539"/>
        <v>186.60267857142858</v>
      </c>
      <c r="AS558" s="76"/>
      <c r="AT558" s="76"/>
    </row>
    <row r="559" spans="1:46" ht="15.75" customHeight="1" x14ac:dyDescent="0.25">
      <c r="A559" s="70"/>
      <c r="B559" s="16">
        <v>14</v>
      </c>
      <c r="C559" s="16" t="s">
        <v>27</v>
      </c>
      <c r="D559" s="44">
        <v>30</v>
      </c>
      <c r="E559" s="18">
        <f ca="1">IFERROR(__xludf.DUMMYFUNCTION("COUNT(IMPORTRANGE(""https://docs.google.com/spreadsheets/d/1LsL4JuXvBtfJ-TVi4NFml9lV_pmd61b789A_nbO-QrA/edit"",""21!d2:d31""))"),28)</f>
        <v>28</v>
      </c>
      <c r="F559" s="23">
        <f ca="1">IFERROR(__xludf.DUMMYFUNCTION("SUM(IMPORTRANGE(""https://docs.google.com/spreadsheets/d/1LsL4JuXvBtfJ-TVi4NFml9lV_pmd61b789A_nbO-QrA/edit"",""21!Q2:Q31""))"),5585.67)</f>
        <v>5585.67</v>
      </c>
      <c r="G559" s="18">
        <f ca="1">IFERROR(__xludf.DUMMYFUNCTION("IMPORTRANGE(""https://docs.google.com/spreadsheets/d/1LsL4JuXvBtfJ-TVi4NFml9lV_pmd61b789A_nbO-QrA/edit"",""21!e38"")"),2274)</f>
        <v>2274</v>
      </c>
      <c r="H559" s="18">
        <f ca="1">IFERROR(__xludf.DUMMYFUNCTION("IMPORTRANGE(""https://docs.google.com/spreadsheets/d/1LsL4JuXvBtfJ-TVi4NFml9lV_pmd61b789A_nbO-QrA/edit"",""21!e39"")"),0)</f>
        <v>0</v>
      </c>
      <c r="I559" s="18">
        <f t="shared" ca="1" si="1512"/>
        <v>2274</v>
      </c>
      <c r="J559" s="18">
        <f ca="1">IFERROR(__xludf.DUMMYFUNCTION("IMPORTRANGE(""https://docs.google.com/spreadsheets/d/1LsL4JuXvBtfJ-TVi4NFml9lV_pmd61b789A_nbO-QrA/edit"",""21!e42"")"),3438)</f>
        <v>3438</v>
      </c>
      <c r="K559" s="18">
        <f ca="1">IFERROR(__xludf.DUMMYFUNCTION("IMPORTRANGE(""https://docs.google.com/spreadsheets/d/1LsL4JuXvBtfJ-TVi4NFml9lV_pmd61b789A_nbO-QrA/edit"",""21!e43"")"),43)</f>
        <v>43</v>
      </c>
      <c r="L559" s="18">
        <f t="shared" ca="1" si="1542"/>
        <v>3481</v>
      </c>
      <c r="M559" s="18">
        <f t="shared" ca="1" si="1514"/>
        <v>5755</v>
      </c>
      <c r="N559" s="19">
        <f t="shared" ca="1" si="1515"/>
        <v>199.48821428571429</v>
      </c>
      <c r="O559" s="16">
        <v>8101</v>
      </c>
      <c r="P559" s="20">
        <f t="shared" ca="1" si="1516"/>
        <v>0.71040612270090109</v>
      </c>
      <c r="Q559" s="21">
        <v>1.5</v>
      </c>
      <c r="R559" s="20">
        <f t="shared" ca="1" si="1517"/>
        <v>0.6868767160728555</v>
      </c>
      <c r="S559" s="22">
        <f t="shared" ca="1" si="1518"/>
        <v>1.0303150741092832</v>
      </c>
      <c r="T559" s="21">
        <f ca="1">F559/19.985</f>
        <v>279.49311983987991</v>
      </c>
      <c r="U559" s="21">
        <f t="shared" ca="1" si="1519"/>
        <v>9.981897137138569</v>
      </c>
      <c r="V559" s="18">
        <f t="shared" ca="1" si="1520"/>
        <v>205.53571428571428</v>
      </c>
      <c r="W559" s="76"/>
      <c r="X559" s="97" t="s">
        <v>44</v>
      </c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9"/>
      <c r="AS559" s="76"/>
      <c r="AT559" s="76"/>
    </row>
    <row r="560" spans="1:46" ht="15.75" customHeight="1" x14ac:dyDescent="0.25">
      <c r="A560" s="70"/>
      <c r="B560" s="16">
        <v>15</v>
      </c>
      <c r="C560" s="16" t="s">
        <v>40</v>
      </c>
      <c r="D560" s="44">
        <v>30</v>
      </c>
      <c r="E560" s="18">
        <f ca="1">IFERROR(__xludf.DUMMYFUNCTION("COUNT(IMPORTRANGE(""https://docs.google.com/spreadsheets/d/1Krav0MVlY0vbUNsFRDnb_kR72_tyuGnWBYbGjNZrl18/edit"",""21!d2:d31""))"),30)</f>
        <v>30</v>
      </c>
      <c r="F560" s="23">
        <f ca="1">IFERROR(__xludf.DUMMYFUNCTION("SUM(IMPORTRANGE(""https://docs.google.com/spreadsheets/d/1Krav0MVlY0vbUNsFRDnb_kR72_tyuGnWBYbGjNZrl18/edit"",""21!Q2:Q31""))"),5830.81499999999)</f>
        <v>5830.8149999999896</v>
      </c>
      <c r="G560" s="18">
        <f ca="1">IFERROR(__xludf.DUMMYFUNCTION("IMPORTRANGE(""https://docs.google.com/spreadsheets/d/1Krav0MVlY0vbUNsFRDnb_kR72_tyuGnWBYbGjNZrl18/edit"",""21!e38"")"),3270)</f>
        <v>3270</v>
      </c>
      <c r="H560" s="18">
        <f ca="1">IFERROR(__xludf.DUMMYFUNCTION("IMPORTRANGE(""https://docs.google.com/spreadsheets/d/1Krav0MVlY0vbUNsFRDnb_kR72_tyuGnWBYbGjNZrl18/edit"",""21!e39"")"),58)</f>
        <v>58</v>
      </c>
      <c r="I560" s="18">
        <f t="shared" ca="1" si="1512"/>
        <v>3328</v>
      </c>
      <c r="J560" s="18">
        <f ca="1">IFERROR(__xludf.DUMMYFUNCTION("IMPORTRANGE(""https://docs.google.com/spreadsheets/d/1Krav0MVlY0vbUNsFRDnb_kR72_tyuGnWBYbGjNZrl18/edit"",""21!e42"")"),4040)</f>
        <v>4040</v>
      </c>
      <c r="K560" s="18">
        <f ca="1">IFERROR(__xludf.DUMMYFUNCTION("IMPORTRANGE(""https://docs.google.com/spreadsheets/d/1Krav0MVlY0vbUNsFRDnb_kR72_tyuGnWBYbGjNZrl18/edit"",""21!e43"")"),0)</f>
        <v>0</v>
      </c>
      <c r="L560" s="18">
        <f t="shared" ca="1" si="1542"/>
        <v>4040</v>
      </c>
      <c r="M560" s="18">
        <f t="shared" ca="1" si="1514"/>
        <v>7368</v>
      </c>
      <c r="N560" s="19">
        <f t="shared" ca="1" si="1515"/>
        <v>194.36049999999966</v>
      </c>
      <c r="O560" s="16">
        <v>8239</v>
      </c>
      <c r="P560" s="20">
        <f t="shared" ca="1" si="1516"/>
        <v>0.89428328680665126</v>
      </c>
      <c r="Q560" s="21">
        <v>1.5</v>
      </c>
      <c r="R560" s="20">
        <f t="shared" ca="1" si="1517"/>
        <v>0.8424208279631592</v>
      </c>
      <c r="S560" s="22">
        <f t="shared" ca="1" si="1518"/>
        <v>1.2636312419447389</v>
      </c>
      <c r="T560" s="21">
        <f ca="1">F560/28.443</f>
        <v>204.99999999999963</v>
      </c>
      <c r="U560" s="21">
        <f t="shared" ca="1" si="1519"/>
        <v>6.8333333333333206</v>
      </c>
      <c r="V560" s="18">
        <f t="shared" ca="1" si="1520"/>
        <v>245.6</v>
      </c>
      <c r="W560" s="76"/>
      <c r="X560" s="1" t="s">
        <v>2</v>
      </c>
      <c r="Y560" s="1" t="s">
        <v>3</v>
      </c>
      <c r="Z560" s="1" t="s">
        <v>4</v>
      </c>
      <c r="AA560" s="1" t="s">
        <v>5</v>
      </c>
      <c r="AB560" s="2" t="s">
        <v>6</v>
      </c>
      <c r="AC560" s="1" t="s">
        <v>7</v>
      </c>
      <c r="AD560" s="1" t="s">
        <v>8</v>
      </c>
      <c r="AE560" s="1" t="s">
        <v>9</v>
      </c>
      <c r="AF560" s="1" t="s">
        <v>10</v>
      </c>
      <c r="AG560" s="1" t="s">
        <v>11</v>
      </c>
      <c r="AH560" s="1" t="s">
        <v>12</v>
      </c>
      <c r="AI560" s="1" t="s">
        <v>13</v>
      </c>
      <c r="AJ560" s="2" t="s">
        <v>14</v>
      </c>
      <c r="AK560" s="1" t="s">
        <v>15</v>
      </c>
      <c r="AL560" s="1" t="s">
        <v>16</v>
      </c>
      <c r="AM560" s="3" t="s">
        <v>17</v>
      </c>
      <c r="AN560" s="4" t="s">
        <v>18</v>
      </c>
      <c r="AO560" s="5" t="s">
        <v>19</v>
      </c>
      <c r="AP560" s="6" t="s">
        <v>20</v>
      </c>
      <c r="AQ560" s="6" t="s">
        <v>21</v>
      </c>
      <c r="AR560" s="7" t="s">
        <v>22</v>
      </c>
      <c r="AS560" s="76"/>
      <c r="AT560" s="76"/>
    </row>
    <row r="561" spans="1:46" ht="15.75" customHeight="1" x14ac:dyDescent="0.25">
      <c r="A561" s="70"/>
      <c r="B561" s="16">
        <v>16</v>
      </c>
      <c r="C561" s="16" t="s">
        <v>42</v>
      </c>
      <c r="D561" s="44">
        <v>33</v>
      </c>
      <c r="E561" s="18">
        <f ca="1">IFERROR(__xludf.DUMMYFUNCTION("COUNT(IMPORTRANGE(""https://docs.google.com/spreadsheets/d/1uXtm-E8PG0CetlFmSpTX3RK0LNEMnpR-mxbET9AGD6w/edit"",""21!d2:d34""))"),32)</f>
        <v>32</v>
      </c>
      <c r="F561" s="23">
        <f ca="1">IFERROR(__xludf.DUMMYFUNCTION("SUM(IMPORTRANGE(""https://docs.google.com/spreadsheets/d/1uXtm-E8PG0CetlFmSpTX3RK0LNEMnpR-mxbET9AGD6w/edit"",""21!Q2:Q34""))"),6240.27599999999)</f>
        <v>6240.2759999999898</v>
      </c>
      <c r="G561" s="18">
        <f ca="1">IFERROR(__xludf.DUMMYFUNCTION("IMPORTRANGE(""https://docs.google.com/spreadsheets/d/1uXtm-E8PG0CetlFmSpTX3RK0LNEMnpR-mxbET9AGD6w/edit"",""21!e41"")"),3010)</f>
        <v>3010</v>
      </c>
      <c r="H561" s="18">
        <f ca="1">IFERROR(__xludf.DUMMYFUNCTION("IMPORTRANGE(""https://docs.google.com/spreadsheets/d/1uXtm-E8PG0CetlFmSpTX3RK0LNEMnpR-mxbET9AGD6w/edit"",""21!e42"")"),25)</f>
        <v>25</v>
      </c>
      <c r="I561" s="18">
        <f t="shared" ca="1" si="1512"/>
        <v>3035</v>
      </c>
      <c r="J561" s="18">
        <f ca="1">IFERROR(__xludf.DUMMYFUNCTION("IMPORTRANGE(""https://docs.google.com/spreadsheets/d/1uXtm-E8PG0CetlFmSpTX3RK0LNEMnpR-mxbET9AGD6w/edit"",""21!e45"")"),4640)</f>
        <v>4640</v>
      </c>
      <c r="K561" s="18">
        <f ca="1">IFERROR(__xludf.DUMMYFUNCTION("IMPORTRANGE(""https://docs.google.com/spreadsheets/d/1uXtm-E8PG0CetlFmSpTX3RK0LNEMnpR-mxbET9AGD6w/edit"",""21!e46"")"),0)</f>
        <v>0</v>
      </c>
      <c r="L561" s="18">
        <f t="shared" ca="1" si="1542"/>
        <v>4640</v>
      </c>
      <c r="M561" s="18">
        <f t="shared" ca="1" si="1514"/>
        <v>7675</v>
      </c>
      <c r="N561" s="19">
        <f t="shared" ca="1" si="1515"/>
        <v>195.00862499999968</v>
      </c>
      <c r="O561" s="16">
        <v>9877</v>
      </c>
      <c r="P561" s="20">
        <f t="shared" ca="1" si="1516"/>
        <v>0.77705781107623773</v>
      </c>
      <c r="Q561" s="21">
        <v>1.5</v>
      </c>
      <c r="R561" s="20">
        <f t="shared" ca="1" si="1517"/>
        <v>0.81994236579706969</v>
      </c>
      <c r="S561" s="22">
        <f t="shared" ca="1" si="1518"/>
        <v>1.2299135486956045</v>
      </c>
      <c r="T561" s="21">
        <f ca="1">F561/26.155</f>
        <v>238.58826228254597</v>
      </c>
      <c r="U561" s="21">
        <f t="shared" ca="1" si="1519"/>
        <v>7.4558831963295615</v>
      </c>
      <c r="V561" s="18">
        <f t="shared" ca="1" si="1520"/>
        <v>239.84375</v>
      </c>
      <c r="W561" s="76"/>
      <c r="X561" s="8">
        <v>1</v>
      </c>
      <c r="Y561" s="8" t="s">
        <v>26</v>
      </c>
      <c r="Z561" s="8">
        <f t="shared" ref="Z561:AI561" si="1554">SUM(D546)</f>
        <v>20</v>
      </c>
      <c r="AA561" s="9">
        <f t="shared" ca="1" si="1554"/>
        <v>18</v>
      </c>
      <c r="AB561" s="11">
        <f t="shared" ca="1" si="1554"/>
        <v>3352.0230000000001</v>
      </c>
      <c r="AC561" s="9">
        <f t="shared" ca="1" si="1554"/>
        <v>1719</v>
      </c>
      <c r="AD561" s="9">
        <f t="shared" ca="1" si="1554"/>
        <v>0</v>
      </c>
      <c r="AE561" s="9">
        <f t="shared" ca="1" si="1554"/>
        <v>1719</v>
      </c>
      <c r="AF561" s="9">
        <f t="shared" ca="1" si="1554"/>
        <v>3022</v>
      </c>
      <c r="AG561" s="9">
        <f t="shared" ca="1" si="1554"/>
        <v>35</v>
      </c>
      <c r="AH561" s="9">
        <f t="shared" ca="1" si="1554"/>
        <v>3057</v>
      </c>
      <c r="AI561" s="9">
        <f t="shared" ca="1" si="1554"/>
        <v>4776</v>
      </c>
      <c r="AJ561" s="11">
        <f t="shared" ref="AJ561:AJ567" ca="1" si="1555">AB561/AA561</f>
        <v>186.2235</v>
      </c>
      <c r="AK561" s="8">
        <f>SUM(O546)</f>
        <v>5161</v>
      </c>
      <c r="AL561" s="12">
        <f t="shared" ref="AL561:AL567" ca="1" si="1556">AI561/AK561</f>
        <v>0.92540205386552998</v>
      </c>
      <c r="AM561" s="13">
        <f>SUM(Q546)</f>
        <v>1.5</v>
      </c>
      <c r="AN561" s="12">
        <f t="shared" ref="AN561:AN567" ca="1" si="1557">AO561/AM561</f>
        <v>0.94987415062486136</v>
      </c>
      <c r="AO561" s="14">
        <f t="shared" ref="AO561:AO567" ca="1" si="1558">AI561/AB561</f>
        <v>1.424811225937292</v>
      </c>
      <c r="AP561" s="13">
        <f t="shared" ref="AP561:AQ561" ca="1" si="1559">SUM(T546)</f>
        <v>232.5371488033299</v>
      </c>
      <c r="AQ561" s="13">
        <f t="shared" ca="1" si="1559"/>
        <v>12.918730489073884</v>
      </c>
      <c r="AR561" s="9">
        <f t="shared" ref="AR561:AR567" ca="1" si="1560">AI561/AA561</f>
        <v>265.33333333333331</v>
      </c>
      <c r="AS561" s="76"/>
      <c r="AT561" s="76"/>
    </row>
    <row r="562" spans="1:46" ht="15.75" customHeight="1" x14ac:dyDescent="0.25">
      <c r="A562" s="70"/>
      <c r="B562" s="16">
        <v>17</v>
      </c>
      <c r="C562" s="16" t="s">
        <v>29</v>
      </c>
      <c r="D562" s="44">
        <v>30</v>
      </c>
      <c r="E562" s="18">
        <f ca="1">IFERROR(__xludf.DUMMYFUNCTION("COUNT(IMPORTRANGE(""https://docs.google.com/spreadsheets/d/12xcKI0lSnAsjEsxfm9K8Qx0B_89Gzsh816mowItkQao/edit"",""21!d2:d31""))"),29)</f>
        <v>29</v>
      </c>
      <c r="F562" s="23">
        <f ca="1">IFERROR(__xludf.DUMMYFUNCTION("SUM(IMPORTRANGE(""https://docs.google.com/spreadsheets/d/12xcKI0lSnAsjEsxfm9K8Qx0B_89Gzsh816mowItkQao/edit"",""21!Q2:Q31""))"),5806.47399999999)</f>
        <v>5806.4739999999902</v>
      </c>
      <c r="G562" s="18">
        <f ca="1">IFERROR(__xludf.DUMMYFUNCTION("IMPORTRANGE(""https://docs.google.com/spreadsheets/d/12xcKI0lSnAsjEsxfm9K8Qx0B_89Gzsh816mowItkQao/edit"",""21!e38"")"),2802)</f>
        <v>2802</v>
      </c>
      <c r="H562" s="18">
        <f ca="1">IFERROR(__xludf.DUMMYFUNCTION("IMPORTRANGE(""https://docs.google.com/spreadsheets/d/12xcKI0lSnAsjEsxfm9K8Qx0B_89Gzsh816mowItkQao/edit"",""21!e39"")"),0)</f>
        <v>0</v>
      </c>
      <c r="I562" s="18">
        <f t="shared" ca="1" si="1512"/>
        <v>2802</v>
      </c>
      <c r="J562" s="18">
        <f ca="1">IFERROR(__xludf.DUMMYFUNCTION("IMPORTRANGE(""https://docs.google.com/spreadsheets/d/12xcKI0lSnAsjEsxfm9K8Qx0B_89Gzsh816mowItkQao/edit"",""21!e42"")"),4325)</f>
        <v>4325</v>
      </c>
      <c r="K562" s="18">
        <f ca="1">IFERROR(__xludf.DUMMYFUNCTION("IMPORTRANGE(""https://docs.google.com/spreadsheets/d/12xcKI0lSnAsjEsxfm9K8Qx0B_89Gzsh816mowItkQao/edit"",""21!e43"")"),0)</f>
        <v>0</v>
      </c>
      <c r="L562" s="18">
        <f t="shared" ca="1" si="1542"/>
        <v>4325</v>
      </c>
      <c r="M562" s="18">
        <f t="shared" ca="1" si="1514"/>
        <v>7127</v>
      </c>
      <c r="N562" s="19">
        <f t="shared" ca="1" si="1515"/>
        <v>200.22324137931</v>
      </c>
      <c r="O562" s="16">
        <v>9201</v>
      </c>
      <c r="P562" s="20">
        <f t="shared" ca="1" si="1516"/>
        <v>0.77458971850885772</v>
      </c>
      <c r="Q562" s="21">
        <v>1.5</v>
      </c>
      <c r="R562" s="20">
        <f t="shared" ca="1" si="1517"/>
        <v>0.81828203025335888</v>
      </c>
      <c r="S562" s="22">
        <f t="shared" ca="1" si="1518"/>
        <v>1.2274230453800383</v>
      </c>
      <c r="T562" s="21">
        <f ca="1">F562/26.038</f>
        <v>222.99999999999963</v>
      </c>
      <c r="U562" s="21">
        <f t="shared" ca="1" si="1519"/>
        <v>7.6896551724137803</v>
      </c>
      <c r="V562" s="18">
        <f t="shared" ca="1" si="1520"/>
        <v>245.75862068965517</v>
      </c>
      <c r="W562" s="76"/>
      <c r="X562" s="8">
        <v>2</v>
      </c>
      <c r="Y562" s="8" t="s">
        <v>32</v>
      </c>
      <c r="Z562" s="8">
        <f t="shared" ref="Z562:AI562" si="1561">SUM(D549)</f>
        <v>42</v>
      </c>
      <c r="AA562" s="9">
        <f t="shared" ca="1" si="1561"/>
        <v>42</v>
      </c>
      <c r="AB562" s="10">
        <f t="shared" ca="1" si="1561"/>
        <v>8429.9039999999895</v>
      </c>
      <c r="AC562" s="8">
        <f t="shared" ca="1" si="1561"/>
        <v>4474</v>
      </c>
      <c r="AD562" s="8">
        <f t="shared" ca="1" si="1561"/>
        <v>0</v>
      </c>
      <c r="AE562" s="9">
        <f t="shared" ca="1" si="1561"/>
        <v>4474</v>
      </c>
      <c r="AF562" s="8">
        <f t="shared" ca="1" si="1561"/>
        <v>5430</v>
      </c>
      <c r="AG562" s="8">
        <f t="shared" ca="1" si="1561"/>
        <v>0</v>
      </c>
      <c r="AH562" s="9">
        <f t="shared" ca="1" si="1561"/>
        <v>5430</v>
      </c>
      <c r="AI562" s="9">
        <f t="shared" ca="1" si="1561"/>
        <v>9904</v>
      </c>
      <c r="AJ562" s="11">
        <f t="shared" ca="1" si="1555"/>
        <v>200.71199999999976</v>
      </c>
      <c r="AK562" s="8">
        <f>SUM(O549)</f>
        <v>13817</v>
      </c>
      <c r="AL562" s="12">
        <f t="shared" ca="1" si="1556"/>
        <v>0.71679814720995871</v>
      </c>
      <c r="AM562" s="13">
        <f>SUM(Q549)</f>
        <v>1.5</v>
      </c>
      <c r="AN562" s="12">
        <f t="shared" ca="1" si="1557"/>
        <v>0.78324339952942224</v>
      </c>
      <c r="AO562" s="14">
        <f t="shared" ca="1" si="1558"/>
        <v>1.1748650992941334</v>
      </c>
      <c r="AP562" s="13">
        <f t="shared" ref="AP562:AQ562" ca="1" si="1562">SUM(T549)</f>
        <v>335.9999999999996</v>
      </c>
      <c r="AQ562" s="13">
        <f t="shared" ca="1" si="1562"/>
        <v>7.9999999999999902</v>
      </c>
      <c r="AR562" s="9">
        <f t="shared" ca="1" si="1560"/>
        <v>235.8095238095238</v>
      </c>
      <c r="AS562" s="76"/>
      <c r="AT562" s="76"/>
    </row>
    <row r="563" spans="1:46" ht="15.75" customHeight="1" x14ac:dyDescent="0.25">
      <c r="A563" s="70"/>
      <c r="B563" s="16">
        <v>18</v>
      </c>
      <c r="C563" s="16" t="s">
        <v>31</v>
      </c>
      <c r="D563" s="44">
        <v>15</v>
      </c>
      <c r="E563" s="18">
        <f ca="1">IFERROR(__xludf.DUMMYFUNCTION("COUNT(IMPORTRANGE(""https://docs.google.com/spreadsheets/d/1fgCFOFzOla4Qim6_-zG-lbYhLCItqv_kZiAHoErRgcM/edit"",""21!d2:d16""))"),14)</f>
        <v>14</v>
      </c>
      <c r="F563" s="19">
        <f ca="1">IFERROR(__xludf.DUMMYFUNCTION("SUM(IMPORTRANGE(""https://docs.google.com/spreadsheets/d/1fgCFOFzOla4Qim6_-zG-lbYhLCItqv_kZiAHoErRgcM/edit"",""21!Q2:Q16""))"),2738.295)</f>
        <v>2738.2950000000001</v>
      </c>
      <c r="G563" s="18">
        <f ca="1">IFERROR(__xludf.DUMMYFUNCTION("IMPORTRANGE(""https://docs.google.com/spreadsheets/d/1fgCFOFzOla4Qim6_-zG-lbYhLCItqv_kZiAHoErRgcM/edit"",""21!e23"")"),851)</f>
        <v>851</v>
      </c>
      <c r="H563" s="18">
        <f ca="1">IFERROR(__xludf.DUMMYFUNCTION("IMPORTRANGE(""https://docs.google.com/spreadsheets/d/1fgCFOFzOla4Qim6_-zG-lbYhLCItqv_kZiAHoErRgcM/edit"",""21!e24"")"),0)</f>
        <v>0</v>
      </c>
      <c r="I563" s="18">
        <f t="shared" ca="1" si="1512"/>
        <v>851</v>
      </c>
      <c r="J563" s="18">
        <f ca="1">IFERROR(__xludf.DUMMYFUNCTION("IMPORTRANGE(""https://docs.google.com/spreadsheets/d/1fgCFOFzOla4Qim6_-zG-lbYhLCItqv_kZiAHoErRgcM/edit"",""21!e27"")"),1188)</f>
        <v>1188</v>
      </c>
      <c r="K563" s="18">
        <f ca="1">IFERROR(__xludf.DUMMYFUNCTION("IMPORTRANGE(""https://docs.google.com/spreadsheets/d/1fgCFOFzOla4Qim6_-zG-lbYhLCItqv_kZiAHoErRgcM/edit"",""21!e28"")"),0)</f>
        <v>0</v>
      </c>
      <c r="L563" s="18">
        <f t="shared" ca="1" si="1542"/>
        <v>1188</v>
      </c>
      <c r="M563" s="18">
        <f t="shared" ca="1" si="1514"/>
        <v>2039</v>
      </c>
      <c r="N563" s="19">
        <f t="shared" ca="1" si="1515"/>
        <v>195.5925</v>
      </c>
      <c r="O563" s="16">
        <v>2717</v>
      </c>
      <c r="P563" s="20">
        <f t="shared" ca="1" si="1516"/>
        <v>0.75046006624953998</v>
      </c>
      <c r="Q563" s="21">
        <v>1.5</v>
      </c>
      <c r="R563" s="20">
        <f t="shared" ca="1" si="1517"/>
        <v>0.4964159571314754</v>
      </c>
      <c r="S563" s="22">
        <f t="shared" ca="1" si="1518"/>
        <v>0.74462393569721308</v>
      </c>
      <c r="T563" s="21">
        <f ca="1">F563/43.465</f>
        <v>63</v>
      </c>
      <c r="U563" s="21">
        <f t="shared" ca="1" si="1519"/>
        <v>4.5</v>
      </c>
      <c r="V563" s="18">
        <f t="shared" ca="1" si="1520"/>
        <v>145.64285714285714</v>
      </c>
      <c r="W563" s="76"/>
      <c r="X563" s="8">
        <v>3</v>
      </c>
      <c r="Y563" s="8" t="s">
        <v>36</v>
      </c>
      <c r="Z563" s="8">
        <f t="shared" ref="Z563:AI563" si="1563">SUM(D554)</f>
        <v>29</v>
      </c>
      <c r="AA563" s="9">
        <f t="shared" ca="1" si="1563"/>
        <v>28</v>
      </c>
      <c r="AB563" s="10">
        <f t="shared" ca="1" si="1563"/>
        <v>5604.1199999999899</v>
      </c>
      <c r="AC563" s="9">
        <f t="shared" ca="1" si="1563"/>
        <v>1610</v>
      </c>
      <c r="AD563" s="9">
        <f t="shared" ca="1" si="1563"/>
        <v>0</v>
      </c>
      <c r="AE563" s="9">
        <f t="shared" ca="1" si="1563"/>
        <v>1610</v>
      </c>
      <c r="AF563" s="9">
        <f t="shared" ca="1" si="1563"/>
        <v>2490</v>
      </c>
      <c r="AG563" s="9">
        <f t="shared" ca="1" si="1563"/>
        <v>0</v>
      </c>
      <c r="AH563" s="9">
        <f t="shared" ca="1" si="1563"/>
        <v>2490</v>
      </c>
      <c r="AI563" s="9">
        <f t="shared" ca="1" si="1563"/>
        <v>4100</v>
      </c>
      <c r="AJ563" s="11">
        <f t="shared" ca="1" si="1555"/>
        <v>200.14714285714248</v>
      </c>
      <c r="AK563" s="8">
        <f t="shared" ref="AK563:AK566" si="1564">SUM(O554)</f>
        <v>4796</v>
      </c>
      <c r="AL563" s="12">
        <f t="shared" ca="1" si="1556"/>
        <v>0.85487906588824025</v>
      </c>
      <c r="AM563" s="13">
        <f t="shared" ref="AM563:AM566" si="1565">SUM(Q554)</f>
        <v>1.5</v>
      </c>
      <c r="AN563" s="12">
        <f t="shared" ca="1" si="1557"/>
        <v>0.4877364034555538</v>
      </c>
      <c r="AO563" s="14">
        <f t="shared" ca="1" si="1558"/>
        <v>0.7316046051833307</v>
      </c>
      <c r="AP563" s="13">
        <f t="shared" ref="AP563:AQ563" ca="1" si="1566">SUM(T554)</f>
        <v>149.78671085689822</v>
      </c>
      <c r="AQ563" s="13">
        <f t="shared" ca="1" si="1566"/>
        <v>5.3495253877463655</v>
      </c>
      <c r="AR563" s="9">
        <f t="shared" ca="1" si="1560"/>
        <v>146.42857142857142</v>
      </c>
      <c r="AS563" s="76"/>
      <c r="AT563" s="76"/>
    </row>
    <row r="564" spans="1:46" ht="15.75" customHeight="1" x14ac:dyDescent="0.2">
      <c r="A564" s="70"/>
      <c r="B564" s="98" t="s">
        <v>33</v>
      </c>
      <c r="C564" s="98">
        <v>18</v>
      </c>
      <c r="D564" s="98">
        <f t="shared" ref="D564:M564" si="1567">SUM(D546:D563)</f>
        <v>585</v>
      </c>
      <c r="E564" s="74">
        <f t="shared" ca="1" si="1567"/>
        <v>569</v>
      </c>
      <c r="F564" s="99">
        <f t="shared" ca="1" si="1567"/>
        <v>112387.81399999981</v>
      </c>
      <c r="G564" s="74">
        <f t="shared" ca="1" si="1567"/>
        <v>40554</v>
      </c>
      <c r="H564" s="74">
        <f t="shared" ca="1" si="1567"/>
        <v>651</v>
      </c>
      <c r="I564" s="74">
        <f t="shared" ca="1" si="1567"/>
        <v>41205</v>
      </c>
      <c r="J564" s="74">
        <f t="shared" ca="1" si="1567"/>
        <v>58451</v>
      </c>
      <c r="K564" s="74">
        <f t="shared" ca="1" si="1567"/>
        <v>834</v>
      </c>
      <c r="L564" s="74">
        <f t="shared" ca="1" si="1567"/>
        <v>59285</v>
      </c>
      <c r="M564" s="74">
        <f t="shared" ca="1" si="1567"/>
        <v>100490</v>
      </c>
      <c r="N564" s="99">
        <f t="shared" ca="1" si="1515"/>
        <v>197.51812653778526</v>
      </c>
      <c r="O564" s="98">
        <f>SUM(O546:O563)</f>
        <v>126399</v>
      </c>
      <c r="P564" s="69">
        <f t="shared" ca="1" si="1516"/>
        <v>0.79502211251671295</v>
      </c>
      <c r="Q564" s="72">
        <v>1.5</v>
      </c>
      <c r="R564" s="69">
        <f t="shared" ca="1" si="1517"/>
        <v>0.59609072326412049</v>
      </c>
      <c r="S564" s="73">
        <f t="shared" ca="1" si="1518"/>
        <v>0.89413608489618079</v>
      </c>
      <c r="T564" s="72">
        <f ca="1">SUM(T546:T563)</f>
        <v>4123.3103631492631</v>
      </c>
      <c r="U564" s="72">
        <f t="shared" ca="1" si="1519"/>
        <v>7.2465911478897418</v>
      </c>
      <c r="V564" s="74">
        <f t="shared" ca="1" si="1520"/>
        <v>176.60808435852371</v>
      </c>
      <c r="W564" s="76"/>
      <c r="X564" s="8">
        <v>4</v>
      </c>
      <c r="Y564" s="8" t="s">
        <v>37</v>
      </c>
      <c r="Z564" s="8">
        <f t="shared" ref="Z564:AI564" si="1568">SUM(D555)</f>
        <v>30</v>
      </c>
      <c r="AA564" s="9">
        <f t="shared" ca="1" si="1568"/>
        <v>28</v>
      </c>
      <c r="AB564" s="10">
        <f t="shared" ca="1" si="1568"/>
        <v>5589.06</v>
      </c>
      <c r="AC564" s="9">
        <f t="shared" ca="1" si="1568"/>
        <v>2025</v>
      </c>
      <c r="AD564" s="9">
        <f t="shared" ca="1" si="1568"/>
        <v>0</v>
      </c>
      <c r="AE564" s="9">
        <f t="shared" ca="1" si="1568"/>
        <v>2025</v>
      </c>
      <c r="AF564" s="9">
        <f t="shared" ca="1" si="1568"/>
        <v>3105</v>
      </c>
      <c r="AG564" s="9">
        <f t="shared" ca="1" si="1568"/>
        <v>80</v>
      </c>
      <c r="AH564" s="9">
        <f t="shared" ca="1" si="1568"/>
        <v>3185</v>
      </c>
      <c r="AI564" s="9">
        <f t="shared" ca="1" si="1568"/>
        <v>5210</v>
      </c>
      <c r="AJ564" s="11">
        <f t="shared" ca="1" si="1555"/>
        <v>199.60928571428573</v>
      </c>
      <c r="AK564" s="8">
        <f t="shared" si="1564"/>
        <v>5887</v>
      </c>
      <c r="AL564" s="12">
        <f t="shared" ca="1" si="1556"/>
        <v>0.88500084932903011</v>
      </c>
      <c r="AM564" s="13">
        <f t="shared" si="1565"/>
        <v>1.5</v>
      </c>
      <c r="AN564" s="12">
        <f t="shared" ca="1" si="1557"/>
        <v>0.62145214639551793</v>
      </c>
      <c r="AO564" s="14">
        <f t="shared" ca="1" si="1558"/>
        <v>0.93217821959327685</v>
      </c>
      <c r="AP564" s="13">
        <f t="shared" ref="AP564:AQ564" ca="1" si="1569">SUM(T555)</f>
        <v>225.4380445304937</v>
      </c>
      <c r="AQ564" s="13">
        <f t="shared" ca="1" si="1569"/>
        <v>8.0513587332319183</v>
      </c>
      <c r="AR564" s="9">
        <f t="shared" ca="1" si="1560"/>
        <v>186.07142857142858</v>
      </c>
      <c r="AS564" s="76"/>
      <c r="AT564" s="76"/>
    </row>
    <row r="565" spans="1:46" ht="15.75" customHeight="1" x14ac:dyDescent="0.2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6"/>
      <c r="X565" s="8">
        <v>5</v>
      </c>
      <c r="Y565" s="8" t="s">
        <v>39</v>
      </c>
      <c r="Z565" s="8">
        <f t="shared" ref="Z565:AI565" si="1570">SUM(D556)</f>
        <v>28</v>
      </c>
      <c r="AA565" s="9">
        <f t="shared" ca="1" si="1570"/>
        <v>27</v>
      </c>
      <c r="AB565" s="10">
        <f t="shared" ca="1" si="1570"/>
        <v>5039.4399999999996</v>
      </c>
      <c r="AC565" s="9">
        <f t="shared" ca="1" si="1570"/>
        <v>1099</v>
      </c>
      <c r="AD565" s="9">
        <f t="shared" ca="1" si="1570"/>
        <v>30</v>
      </c>
      <c r="AE565" s="9">
        <f t="shared" ca="1" si="1570"/>
        <v>1129</v>
      </c>
      <c r="AF565" s="9">
        <f t="shared" ca="1" si="1570"/>
        <v>1671</v>
      </c>
      <c r="AG565" s="9">
        <f t="shared" ca="1" si="1570"/>
        <v>0</v>
      </c>
      <c r="AH565" s="9">
        <f t="shared" ca="1" si="1570"/>
        <v>1671</v>
      </c>
      <c r="AI565" s="9">
        <f t="shared" ca="1" si="1570"/>
        <v>2800</v>
      </c>
      <c r="AJ565" s="11">
        <f t="shared" ca="1" si="1555"/>
        <v>186.64592592592592</v>
      </c>
      <c r="AK565" s="8">
        <f t="shared" si="1564"/>
        <v>3569</v>
      </c>
      <c r="AL565" s="12">
        <f t="shared" ca="1" si="1556"/>
        <v>0.78453348276828239</v>
      </c>
      <c r="AM565" s="13">
        <f t="shared" si="1565"/>
        <v>1.5</v>
      </c>
      <c r="AN565" s="12">
        <f t="shared" ca="1" si="1557"/>
        <v>0.37041152720672671</v>
      </c>
      <c r="AO565" s="14">
        <f t="shared" ca="1" si="1558"/>
        <v>0.55561729081009004</v>
      </c>
      <c r="AP565" s="13">
        <f t="shared" ref="AP565:AQ565" ca="1" si="1571">SUM(T556)</f>
        <v>234.7966267530168</v>
      </c>
      <c r="AQ565" s="13">
        <f t="shared" ca="1" si="1571"/>
        <v>8.6961713612228451</v>
      </c>
      <c r="AR565" s="9">
        <f t="shared" ca="1" si="1560"/>
        <v>103.70370370370371</v>
      </c>
      <c r="AS565" s="76"/>
      <c r="AT565" s="76"/>
    </row>
    <row r="566" spans="1:46" ht="15.75" customHeight="1" x14ac:dyDescent="0.2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6"/>
      <c r="X566" s="8">
        <v>6</v>
      </c>
      <c r="Y566" s="8" t="s">
        <v>41</v>
      </c>
      <c r="Z566" s="8">
        <f t="shared" ref="Z566:AI566" si="1572">SUM(D557)</f>
        <v>24</v>
      </c>
      <c r="AA566" s="9">
        <f t="shared" ca="1" si="1572"/>
        <v>24</v>
      </c>
      <c r="AB566" s="10">
        <f t="shared" ca="1" si="1572"/>
        <v>4645.0119999999997</v>
      </c>
      <c r="AC566" s="9">
        <f t="shared" ca="1" si="1572"/>
        <v>1179</v>
      </c>
      <c r="AD566" s="9">
        <f t="shared" ca="1" si="1572"/>
        <v>0</v>
      </c>
      <c r="AE566" s="9">
        <f t="shared" ca="1" si="1572"/>
        <v>1179</v>
      </c>
      <c r="AF566" s="9">
        <f t="shared" ca="1" si="1572"/>
        <v>1725</v>
      </c>
      <c r="AG566" s="9">
        <f t="shared" ca="1" si="1572"/>
        <v>0</v>
      </c>
      <c r="AH566" s="9">
        <f t="shared" ca="1" si="1572"/>
        <v>1725</v>
      </c>
      <c r="AI566" s="9">
        <f t="shared" ca="1" si="1572"/>
        <v>2904</v>
      </c>
      <c r="AJ566" s="11">
        <f t="shared" ca="1" si="1555"/>
        <v>193.54216666666665</v>
      </c>
      <c r="AK566" s="8">
        <f t="shared" si="1564"/>
        <v>3801</v>
      </c>
      <c r="AL566" s="12">
        <f t="shared" ca="1" si="1556"/>
        <v>0.76400947119179163</v>
      </c>
      <c r="AM566" s="13">
        <f t="shared" si="1565"/>
        <v>1.5</v>
      </c>
      <c r="AN566" s="12">
        <f t="shared" ca="1" si="1557"/>
        <v>0.41679117298297613</v>
      </c>
      <c r="AO566" s="14">
        <f t="shared" ca="1" si="1558"/>
        <v>0.62518675947446423</v>
      </c>
      <c r="AP566" s="13">
        <f t="shared" ref="AP566:AQ566" ca="1" si="1573">SUM(T557)</f>
        <v>156.77777777777777</v>
      </c>
      <c r="AQ566" s="13">
        <f t="shared" ca="1" si="1573"/>
        <v>6.5324074074074074</v>
      </c>
      <c r="AR566" s="9">
        <f t="shared" ca="1" si="1560"/>
        <v>121</v>
      </c>
      <c r="AS566" s="76"/>
      <c r="AT566" s="76"/>
    </row>
    <row r="567" spans="1:46" ht="15.75" customHeight="1" x14ac:dyDescent="0.25">
      <c r="A567" s="110" t="s">
        <v>45</v>
      </c>
      <c r="B567" s="76"/>
      <c r="C567" s="76"/>
      <c r="D567" s="75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24" t="s">
        <v>33</v>
      </c>
      <c r="Y567" s="24">
        <v>6</v>
      </c>
      <c r="Z567" s="24">
        <f t="shared" ref="Z567:AI567" si="1574">SUM(Z561:Z566)</f>
        <v>173</v>
      </c>
      <c r="AA567" s="25">
        <f t="shared" ca="1" si="1574"/>
        <v>167</v>
      </c>
      <c r="AB567" s="27">
        <f t="shared" ca="1" si="1574"/>
        <v>32659.558999999976</v>
      </c>
      <c r="AC567" s="25">
        <f t="shared" ca="1" si="1574"/>
        <v>12106</v>
      </c>
      <c r="AD567" s="25">
        <f t="shared" ca="1" si="1574"/>
        <v>30</v>
      </c>
      <c r="AE567" s="25">
        <f t="shared" ca="1" si="1574"/>
        <v>12136</v>
      </c>
      <c r="AF567" s="25">
        <f t="shared" ca="1" si="1574"/>
        <v>17443</v>
      </c>
      <c r="AG567" s="25">
        <f t="shared" ca="1" si="1574"/>
        <v>115</v>
      </c>
      <c r="AH567" s="25">
        <f t="shared" ca="1" si="1574"/>
        <v>17558</v>
      </c>
      <c r="AI567" s="25">
        <f t="shared" ca="1" si="1574"/>
        <v>29694</v>
      </c>
      <c r="AJ567" s="27">
        <f t="shared" ca="1" si="1555"/>
        <v>195.56622155688609</v>
      </c>
      <c r="AK567" s="24">
        <f>SUM(AK561:AK566)</f>
        <v>37031</v>
      </c>
      <c r="AL567" s="28">
        <f t="shared" ca="1" si="1556"/>
        <v>0.80186870459884962</v>
      </c>
      <c r="AM567" s="29">
        <v>1.5</v>
      </c>
      <c r="AN567" s="28">
        <f t="shared" ca="1" si="1557"/>
        <v>0.60613188316474254</v>
      </c>
      <c r="AO567" s="30">
        <f t="shared" ca="1" si="1558"/>
        <v>0.90919782474711375</v>
      </c>
      <c r="AP567" s="29">
        <f ca="1">SUM(AP561:AP566)</f>
        <v>1335.3363087215162</v>
      </c>
      <c r="AQ567" s="29">
        <f ca="1">AP567/AA567</f>
        <v>7.9960258007276419</v>
      </c>
      <c r="AR567" s="25">
        <f t="shared" ca="1" si="1560"/>
        <v>177.80838323353294</v>
      </c>
      <c r="AS567" s="76"/>
      <c r="AT567" s="76"/>
    </row>
    <row r="568" spans="1:46" ht="15.75" customHeight="1" x14ac:dyDescent="0.2">
      <c r="A568" s="110" t="s">
        <v>45</v>
      </c>
      <c r="B568" s="76"/>
      <c r="C568" s="76"/>
      <c r="D568" s="75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7" t="s">
        <v>1</v>
      </c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9"/>
      <c r="AS568" s="76"/>
      <c r="AT568" s="76"/>
    </row>
    <row r="569" spans="1:46" ht="15.75" customHeight="1" x14ac:dyDescent="0.2">
      <c r="A569" s="109">
        <v>46225</v>
      </c>
      <c r="B569" s="80" t="s">
        <v>2</v>
      </c>
      <c r="C569" s="80" t="s">
        <v>3</v>
      </c>
      <c r="D569" s="80" t="s">
        <v>4</v>
      </c>
      <c r="E569" s="80" t="s">
        <v>5</v>
      </c>
      <c r="F569" s="81" t="s">
        <v>6</v>
      </c>
      <c r="G569" s="80" t="s">
        <v>7</v>
      </c>
      <c r="H569" s="80" t="s">
        <v>8</v>
      </c>
      <c r="I569" s="80" t="s">
        <v>9</v>
      </c>
      <c r="J569" s="80" t="s">
        <v>10</v>
      </c>
      <c r="K569" s="80" t="s">
        <v>11</v>
      </c>
      <c r="L569" s="80" t="s">
        <v>12</v>
      </c>
      <c r="M569" s="80" t="s">
        <v>13</v>
      </c>
      <c r="N569" s="81" t="s">
        <v>14</v>
      </c>
      <c r="O569" s="80" t="s">
        <v>15</v>
      </c>
      <c r="P569" s="80" t="s">
        <v>16</v>
      </c>
      <c r="Q569" s="80" t="s">
        <v>17</v>
      </c>
      <c r="R569" s="80" t="s">
        <v>18</v>
      </c>
      <c r="S569" s="106" t="s">
        <v>19</v>
      </c>
      <c r="T569" s="107" t="s">
        <v>20</v>
      </c>
      <c r="U569" s="107" t="s">
        <v>21</v>
      </c>
      <c r="V569" s="105" t="s">
        <v>22</v>
      </c>
      <c r="W569" s="76"/>
      <c r="X569" s="1" t="s">
        <v>2</v>
      </c>
      <c r="Y569" s="1" t="s">
        <v>3</v>
      </c>
      <c r="Z569" s="1" t="s">
        <v>4</v>
      </c>
      <c r="AA569" s="1" t="s">
        <v>5</v>
      </c>
      <c r="AB569" s="2" t="s">
        <v>6</v>
      </c>
      <c r="AC569" s="1" t="s">
        <v>7</v>
      </c>
      <c r="AD569" s="1" t="s">
        <v>8</v>
      </c>
      <c r="AE569" s="1" t="s">
        <v>9</v>
      </c>
      <c r="AF569" s="1" t="s">
        <v>10</v>
      </c>
      <c r="AG569" s="1" t="s">
        <v>11</v>
      </c>
      <c r="AH569" s="1" t="s">
        <v>12</v>
      </c>
      <c r="AI569" s="1" t="s">
        <v>13</v>
      </c>
      <c r="AJ569" s="2" t="s">
        <v>14</v>
      </c>
      <c r="AK569" s="1" t="s">
        <v>15</v>
      </c>
      <c r="AL569" s="1" t="s">
        <v>16</v>
      </c>
      <c r="AM569" s="3" t="s">
        <v>17</v>
      </c>
      <c r="AN569" s="4" t="s">
        <v>18</v>
      </c>
      <c r="AO569" s="5" t="s">
        <v>19</v>
      </c>
      <c r="AP569" s="6" t="s">
        <v>20</v>
      </c>
      <c r="AQ569" s="6" t="s">
        <v>21</v>
      </c>
      <c r="AR569" s="7" t="s">
        <v>22</v>
      </c>
      <c r="AS569" s="76"/>
      <c r="AT569" s="76"/>
    </row>
    <row r="570" spans="1:46" ht="15.75" customHeight="1" x14ac:dyDescent="0.2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6"/>
      <c r="X570" s="8">
        <v>1</v>
      </c>
      <c r="Y570" s="8" t="s">
        <v>23</v>
      </c>
      <c r="Z570" s="8">
        <f t="shared" ref="Z570:AI570" si="1575">SUM(D578)</f>
        <v>35</v>
      </c>
      <c r="AA570" s="9">
        <f t="shared" ca="1" si="1575"/>
        <v>35</v>
      </c>
      <c r="AB570" s="10">
        <f t="shared" ca="1" si="1575"/>
        <v>6815.4799999999896</v>
      </c>
      <c r="AC570" s="9">
        <f t="shared" ca="1" si="1575"/>
        <v>1841</v>
      </c>
      <c r="AD570" s="9">
        <f t="shared" ca="1" si="1575"/>
        <v>0</v>
      </c>
      <c r="AE570" s="9">
        <f t="shared" ca="1" si="1575"/>
        <v>1841</v>
      </c>
      <c r="AF570" s="9">
        <f t="shared" ca="1" si="1575"/>
        <v>3309</v>
      </c>
      <c r="AG570" s="9">
        <f t="shared" ca="1" si="1575"/>
        <v>0</v>
      </c>
      <c r="AH570" s="9">
        <f t="shared" ca="1" si="1575"/>
        <v>3309</v>
      </c>
      <c r="AI570" s="9">
        <f t="shared" ca="1" si="1575"/>
        <v>5150</v>
      </c>
      <c r="AJ570" s="11">
        <f t="shared" ref="AJ570:AJ572" ca="1" si="1576">AB570/AA570</f>
        <v>194.7279999999997</v>
      </c>
      <c r="AK570" s="8">
        <f>SUM(O578)</f>
        <v>6853</v>
      </c>
      <c r="AL570" s="12">
        <f t="shared" ref="AL570:AL576" ca="1" si="1577">AI570/AK570</f>
        <v>0.75149569531592009</v>
      </c>
      <c r="AM570" s="13">
        <f t="shared" ref="AM570:AM572" si="1578">SUM(Q578)</f>
        <v>1.5</v>
      </c>
      <c r="AN570" s="12">
        <f t="shared" ref="AN570:AN576" ca="1" si="1579">AO570/AM570</f>
        <v>0.50375517694033856</v>
      </c>
      <c r="AO570" s="14">
        <f t="shared" ref="AO570:AO576" ca="1" si="1580">AI570/AB570</f>
        <v>0.75563276541050783</v>
      </c>
      <c r="AP570" s="13">
        <f t="shared" ref="AP570:AQ570" ca="1" si="1581">SUM(T578)</f>
        <v>201.99999999999969</v>
      </c>
      <c r="AQ570" s="13">
        <f t="shared" ca="1" si="1581"/>
        <v>5.7714285714285625</v>
      </c>
      <c r="AR570" s="9">
        <f t="shared" ref="AR570:AR576" ca="1" si="1582">AI570/AA570</f>
        <v>147.14285714285714</v>
      </c>
      <c r="AS570" s="76"/>
      <c r="AT570" s="76"/>
    </row>
    <row r="571" spans="1:46" ht="15.75" customHeight="1" x14ac:dyDescent="0.2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6"/>
      <c r="X571" s="8">
        <v>2</v>
      </c>
      <c r="Y571" s="8" t="s">
        <v>24</v>
      </c>
      <c r="Z571" s="8">
        <f t="shared" ref="Z571:AI571" si="1583">SUM(D579)</f>
        <v>44</v>
      </c>
      <c r="AA571" s="9">
        <f t="shared" ca="1" si="1583"/>
        <v>41</v>
      </c>
      <c r="AB571" s="10">
        <f t="shared" ca="1" si="1583"/>
        <v>7922.84799999999</v>
      </c>
      <c r="AC571" s="9">
        <f t="shared" ca="1" si="1583"/>
        <v>1006</v>
      </c>
      <c r="AD571" s="9">
        <f t="shared" ca="1" si="1583"/>
        <v>22</v>
      </c>
      <c r="AE571" s="9">
        <f t="shared" ca="1" si="1583"/>
        <v>1028</v>
      </c>
      <c r="AF571" s="9">
        <f t="shared" ca="1" si="1583"/>
        <v>1585</v>
      </c>
      <c r="AG571" s="9">
        <f t="shared" ca="1" si="1583"/>
        <v>18</v>
      </c>
      <c r="AH571" s="9">
        <f t="shared" ca="1" si="1583"/>
        <v>1603</v>
      </c>
      <c r="AI571" s="9">
        <f t="shared" ca="1" si="1583"/>
        <v>2631</v>
      </c>
      <c r="AJ571" s="11">
        <f t="shared" ca="1" si="1576"/>
        <v>193.24019512195096</v>
      </c>
      <c r="AK571" s="8">
        <v>1580</v>
      </c>
      <c r="AL571" s="15">
        <f t="shared" ca="1" si="1577"/>
        <v>1.6651898734177215</v>
      </c>
      <c r="AM571" s="13">
        <f t="shared" si="1578"/>
        <v>1.5</v>
      </c>
      <c r="AN571" s="12">
        <f t="shared" ca="1" si="1579"/>
        <v>0.22138503729971878</v>
      </c>
      <c r="AO571" s="14">
        <f t="shared" ca="1" si="1580"/>
        <v>0.33207755594957816</v>
      </c>
      <c r="AP571" s="13">
        <f t="shared" ref="AP571:AQ571" ca="1" si="1584">SUM(T579)</f>
        <v>295.57351240440181</v>
      </c>
      <c r="AQ571" s="13">
        <f t="shared" ca="1" si="1584"/>
        <v>7.2091100586439465</v>
      </c>
      <c r="AR571" s="9">
        <f t="shared" ca="1" si="1582"/>
        <v>64.170731707317074</v>
      </c>
      <c r="AS571" s="76"/>
      <c r="AT571" s="76"/>
    </row>
    <row r="572" spans="1:46" ht="15.75" customHeight="1" x14ac:dyDescent="0.2">
      <c r="A572" s="70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6"/>
      <c r="X572" s="8">
        <v>3</v>
      </c>
      <c r="Y572" s="8" t="s">
        <v>25</v>
      </c>
      <c r="Z572" s="8">
        <f t="shared" ref="Z572:AI572" si="1585">SUM(D580)</f>
        <v>32</v>
      </c>
      <c r="AA572" s="9">
        <f t="shared" ca="1" si="1585"/>
        <v>32</v>
      </c>
      <c r="AB572" s="10">
        <f t="shared" ca="1" si="1585"/>
        <v>5426.2520000000004</v>
      </c>
      <c r="AC572" s="9">
        <f t="shared" ca="1" si="1585"/>
        <v>2196</v>
      </c>
      <c r="AD572" s="9">
        <f t="shared" ca="1" si="1585"/>
        <v>525</v>
      </c>
      <c r="AE572" s="9">
        <f t="shared" ca="1" si="1585"/>
        <v>2721</v>
      </c>
      <c r="AF572" s="9">
        <f t="shared" ca="1" si="1585"/>
        <v>2874</v>
      </c>
      <c r="AG572" s="9">
        <f t="shared" ca="1" si="1585"/>
        <v>248</v>
      </c>
      <c r="AH572" s="9">
        <f t="shared" ca="1" si="1585"/>
        <v>3122</v>
      </c>
      <c r="AI572" s="9">
        <f t="shared" ca="1" si="1585"/>
        <v>5843</v>
      </c>
      <c r="AJ572" s="11">
        <f t="shared" ca="1" si="1576"/>
        <v>169.57037500000001</v>
      </c>
      <c r="AK572" s="8">
        <f>SUM(O580)</f>
        <v>6622</v>
      </c>
      <c r="AL572" s="12">
        <f t="shared" ca="1" si="1577"/>
        <v>0.88236182422228937</v>
      </c>
      <c r="AM572" s="13">
        <f t="shared" si="1578"/>
        <v>1.5</v>
      </c>
      <c r="AN572" s="12">
        <f t="shared" ca="1" si="1579"/>
        <v>0.7178681221095764</v>
      </c>
      <c r="AO572" s="14">
        <f t="shared" ca="1" si="1580"/>
        <v>1.0768021831643646</v>
      </c>
      <c r="AP572" s="13">
        <f t="shared" ref="AP572:AQ572" ca="1" si="1586">SUM(T580)</f>
        <v>227.61124161073826</v>
      </c>
      <c r="AQ572" s="13">
        <f t="shared" ca="1" si="1586"/>
        <v>7.1128513003355707</v>
      </c>
      <c r="AR572" s="9">
        <f t="shared" ca="1" si="1582"/>
        <v>182.59375</v>
      </c>
      <c r="AS572" s="76"/>
      <c r="AT572" s="76"/>
    </row>
    <row r="573" spans="1:46" ht="15.75" customHeight="1" x14ac:dyDescent="0.25">
      <c r="A573" s="70"/>
      <c r="B573" s="16">
        <v>1</v>
      </c>
      <c r="C573" s="16" t="s">
        <v>26</v>
      </c>
      <c r="D573" s="17">
        <v>20</v>
      </c>
      <c r="E573" s="18">
        <f ca="1">IFERROR(__xludf.DUMMYFUNCTION("COUNT(IMPORTRANGE(""https://docs.google.com/spreadsheets/d/1z0o91thOT38lgejTE_Bd2p3v_9VCDdQRkUsMIVqpQCk/edit"",""22!d2:d21""))"),19)</f>
        <v>19</v>
      </c>
      <c r="F573" s="19">
        <f ca="1">IFERROR(__xludf.DUMMYFUNCTION("SUM(IMPORTRANGE(""https://docs.google.com/spreadsheets/d/1z0o91thOT38lgejTE_Bd2p3v_9VCDdQRkUsMIVqpQCk/edit"",""22!Q2:Q21""))"),3669.153)</f>
        <v>3669.1529999999998</v>
      </c>
      <c r="G573" s="18">
        <f ca="1">IFERROR(__xludf.DUMMYFUNCTION("IMPORTRANGE(""https://docs.google.com/spreadsheets/d/1z0o91thOT38lgejTE_Bd2p3v_9VCDdQRkUsMIVqpQCk/edit"",""22!e28"")"),1696)</f>
        <v>1696</v>
      </c>
      <c r="H573" s="18">
        <f ca="1">IFERROR(__xludf.DUMMYFUNCTION("IMPORTRANGE(""https://docs.google.com/spreadsheets/d/1z0o91thOT38lgejTE_Bd2p3v_9VCDdQRkUsMIVqpQCk/edit"",""22!e29"")"),42)</f>
        <v>42</v>
      </c>
      <c r="I573" s="18">
        <f t="shared" ref="I573:I590" ca="1" si="1587">SUM(G573:H573)</f>
        <v>1738</v>
      </c>
      <c r="J573" s="18">
        <f ca="1">IFERROR(__xludf.DUMMYFUNCTION("IMPORTRANGE(""https://docs.google.com/spreadsheets/d/1z0o91thOT38lgejTE_Bd2p3v_9VCDdQRkUsMIVqpQCk/edit"",""22!e32"")"),3237)</f>
        <v>3237</v>
      </c>
      <c r="K573" s="18">
        <f ca="1">IFERROR(__xludf.DUMMYFUNCTION("IMPORTRANGE(""https://docs.google.com/spreadsheets/d/1z0o91thOT38lgejTE_Bd2p3v_9VCDdQRkUsMIVqpQCk/edit"",""22!e33"")"),140)</f>
        <v>140</v>
      </c>
      <c r="L573" s="18">
        <f t="shared" ref="L573:L579" ca="1" si="1588">SUM(J573:K573)</f>
        <v>3377</v>
      </c>
      <c r="M573" s="18">
        <f t="shared" ref="M573:M590" ca="1" si="1589">SUM(I573+L573)</f>
        <v>5115</v>
      </c>
      <c r="N573" s="19">
        <f t="shared" ref="N573:N591" ca="1" si="1590">F573/E573</f>
        <v>193.11331578947366</v>
      </c>
      <c r="O573" s="16">
        <v>5161</v>
      </c>
      <c r="P573" s="20">
        <f t="shared" ref="P573:P591" ca="1" si="1591">M573/O573</f>
        <v>0.99108699864367367</v>
      </c>
      <c r="Q573" s="21">
        <v>1.5</v>
      </c>
      <c r="R573" s="20">
        <f t="shared" ref="R573:R591" ca="1" si="1592">S573/Q573</f>
        <v>0.92936980278554759</v>
      </c>
      <c r="S573" s="22">
        <f t="shared" ref="S573:S591" ca="1" si="1593">M573/F573</f>
        <v>1.3940547041783213</v>
      </c>
      <c r="T573" s="21">
        <f ca="1">F573/14.415</f>
        <v>254.53714880332987</v>
      </c>
      <c r="U573" s="21">
        <f t="shared" ref="U573:U591" ca="1" si="1594">T573/E573</f>
        <v>13.39669204228052</v>
      </c>
      <c r="V573" s="18">
        <f t="shared" ref="V573:V591" ca="1" si="1595">M573/E573</f>
        <v>269.21052631578948</v>
      </c>
      <c r="W573" s="76"/>
      <c r="X573" s="8">
        <v>4</v>
      </c>
      <c r="Y573" s="8" t="s">
        <v>27</v>
      </c>
      <c r="Z573" s="8">
        <f t="shared" ref="Z573:AK573" si="1596">SUM(D586)</f>
        <v>30</v>
      </c>
      <c r="AA573" s="9">
        <f t="shared" ca="1" si="1596"/>
        <v>30</v>
      </c>
      <c r="AB573" s="10">
        <f t="shared" ca="1" si="1596"/>
        <v>5551.72299999999</v>
      </c>
      <c r="AC573" s="9">
        <f t="shared" ca="1" si="1596"/>
        <v>2142</v>
      </c>
      <c r="AD573" s="9">
        <f t="shared" ca="1" si="1596"/>
        <v>30</v>
      </c>
      <c r="AE573" s="9">
        <f t="shared" ca="1" si="1596"/>
        <v>2172</v>
      </c>
      <c r="AF573" s="9">
        <f t="shared" ca="1" si="1596"/>
        <v>3314</v>
      </c>
      <c r="AG573" s="9">
        <f t="shared" ca="1" si="1596"/>
        <v>0</v>
      </c>
      <c r="AH573" s="9">
        <f t="shared" ca="1" si="1596"/>
        <v>3314</v>
      </c>
      <c r="AI573" s="9">
        <f t="shared" ca="1" si="1596"/>
        <v>5486</v>
      </c>
      <c r="AJ573" s="11">
        <f t="shared" ca="1" si="1596"/>
        <v>185.05743333333299</v>
      </c>
      <c r="AK573" s="8">
        <f t="shared" si="1596"/>
        <v>8101</v>
      </c>
      <c r="AL573" s="12">
        <f t="shared" ca="1" si="1577"/>
        <v>0.67720034563634124</v>
      </c>
      <c r="AM573" s="13">
        <f>SUM(Q586)</f>
        <v>1.5</v>
      </c>
      <c r="AN573" s="12">
        <f t="shared" ca="1" si="1579"/>
        <v>0.65877446215046032</v>
      </c>
      <c r="AO573" s="14">
        <f t="shared" ca="1" si="1580"/>
        <v>0.98816169322569047</v>
      </c>
      <c r="AP573" s="13">
        <f t="shared" ref="AP573:AQ573" ca="1" si="1597">SUM(T586)</f>
        <v>277.79449587190345</v>
      </c>
      <c r="AQ573" s="13">
        <f t="shared" ca="1" si="1597"/>
        <v>9.259816529063448</v>
      </c>
      <c r="AR573" s="9">
        <f t="shared" ca="1" si="1582"/>
        <v>182.86666666666667</v>
      </c>
      <c r="AS573" s="76"/>
      <c r="AT573" s="76"/>
    </row>
    <row r="574" spans="1:46" ht="15.75" customHeight="1" x14ac:dyDescent="0.25">
      <c r="A574" s="70"/>
      <c r="B574" s="16">
        <v>2</v>
      </c>
      <c r="C574" s="16" t="s">
        <v>28</v>
      </c>
      <c r="D574" s="44">
        <v>33</v>
      </c>
      <c r="E574" s="18">
        <f ca="1">IFERROR(__xludf.DUMMYFUNCTION("COUNT(IMPORTRANGE(""https://docs.google.com/spreadsheets/d/10a85iNN0y9GF6ngQfF1JXGAzFk-T7ywH4-TZtQcOTaE/edit"",""22!d2:d34""))"),33)</f>
        <v>33</v>
      </c>
      <c r="F574" s="19">
        <f ca="1">IFERROR(__xludf.DUMMYFUNCTION("SUM(IMPORTRANGE(""https://docs.google.com/spreadsheets/d/10a85iNN0y9GF6ngQfF1JXGAzFk-T7ywH4-TZtQcOTaE/edit"",""22!Q2:Q34""))"),6374.348)</f>
        <v>6374.348</v>
      </c>
      <c r="G574" s="18">
        <f ca="1">IFERROR(__xludf.DUMMYFUNCTION("IMPORTRANGE(""https://docs.google.com/spreadsheets/d/10a85iNN0y9GF6ngQfF1JXGAzFk-T7ywH4-TZtQcOTaE/edit"",""22!e41"")"),2559)</f>
        <v>2559</v>
      </c>
      <c r="H574" s="18">
        <f ca="1">IFERROR(__xludf.DUMMYFUNCTION("IMPORTRANGE(""https://docs.google.com/spreadsheets/d/10a85iNN0y9GF6ngQfF1JXGAzFk-T7ywH4-TZtQcOTaE/edit"",""22!e42"")"),176)</f>
        <v>176</v>
      </c>
      <c r="I574" s="18">
        <f t="shared" ca="1" si="1587"/>
        <v>2735</v>
      </c>
      <c r="J574" s="18">
        <f ca="1">IFERROR(__xludf.DUMMYFUNCTION("IMPORTRANGE(""https://docs.google.com/spreadsheets/d/10a85iNN0y9GF6ngQfF1JXGAzFk-T7ywH4-TZtQcOTaE/edit"",""22!e45"")"),3335)</f>
        <v>3335</v>
      </c>
      <c r="K574" s="18">
        <f ca="1">IFERROR(__xludf.DUMMYFUNCTION("IMPORTRANGE(""https://docs.google.com/spreadsheets/d/10a85iNN0y9GF6ngQfF1JXGAzFk-T7ywH4-TZtQcOTaE/edit"",""22!e46"")"),111)</f>
        <v>111</v>
      </c>
      <c r="L574" s="18">
        <f t="shared" ca="1" si="1588"/>
        <v>3446</v>
      </c>
      <c r="M574" s="18">
        <f t="shared" ca="1" si="1589"/>
        <v>6181</v>
      </c>
      <c r="N574" s="19">
        <f t="shared" ca="1" si="1590"/>
        <v>193.16206060606061</v>
      </c>
      <c r="O574" s="16">
        <v>7315</v>
      </c>
      <c r="P574" s="20">
        <f t="shared" ca="1" si="1591"/>
        <v>0.84497607655502394</v>
      </c>
      <c r="Q574" s="21">
        <v>1.5</v>
      </c>
      <c r="R574" s="20">
        <f t="shared" ca="1" si="1592"/>
        <v>0.64644519983324833</v>
      </c>
      <c r="S574" s="22">
        <f t="shared" ca="1" si="1593"/>
        <v>0.96966779974987249</v>
      </c>
      <c r="T574" s="21">
        <f ca="1">F574/30.897</f>
        <v>206.30960934718581</v>
      </c>
      <c r="U574" s="21">
        <f t="shared" ca="1" si="1594"/>
        <v>6.2518063438541152</v>
      </c>
      <c r="V574" s="18">
        <f t="shared" ca="1" si="1595"/>
        <v>187.30303030303031</v>
      </c>
      <c r="W574" s="76"/>
      <c r="X574" s="8">
        <v>5</v>
      </c>
      <c r="Y574" s="8" t="s">
        <v>29</v>
      </c>
      <c r="Z574" s="8">
        <f t="shared" ref="Z574:AI574" si="1598">SUM(D589)</f>
        <v>30</v>
      </c>
      <c r="AA574" s="9">
        <f t="shared" ca="1" si="1598"/>
        <v>30</v>
      </c>
      <c r="AB574" s="10">
        <f t="shared" ca="1" si="1598"/>
        <v>6066.8539999999903</v>
      </c>
      <c r="AC574" s="9">
        <f t="shared" ca="1" si="1598"/>
        <v>2900</v>
      </c>
      <c r="AD574" s="9">
        <f t="shared" ca="1" si="1598"/>
        <v>0</v>
      </c>
      <c r="AE574" s="9">
        <f t="shared" ca="1" si="1598"/>
        <v>2900</v>
      </c>
      <c r="AF574" s="9">
        <f t="shared" ca="1" si="1598"/>
        <v>4011</v>
      </c>
      <c r="AG574" s="9">
        <f t="shared" ca="1" si="1598"/>
        <v>20</v>
      </c>
      <c r="AH574" s="9">
        <f t="shared" ca="1" si="1598"/>
        <v>4031</v>
      </c>
      <c r="AI574" s="9">
        <f t="shared" ca="1" si="1598"/>
        <v>6931</v>
      </c>
      <c r="AJ574" s="11">
        <f t="shared" ref="AJ574:AJ576" ca="1" si="1599">AB574/AA574</f>
        <v>202.22846666666635</v>
      </c>
      <c r="AK574" s="8">
        <f t="shared" ref="AK574:AK575" si="1600">SUM(O589)</f>
        <v>9201</v>
      </c>
      <c r="AL574" s="12">
        <f t="shared" ca="1" si="1577"/>
        <v>0.75328768612107377</v>
      </c>
      <c r="AM574" s="13">
        <f t="shared" ref="AM574:AM575" si="1601">SUM(Q589)</f>
        <v>1.5</v>
      </c>
      <c r="AN574" s="12">
        <f t="shared" ca="1" si="1579"/>
        <v>0.76162483334305964</v>
      </c>
      <c r="AO574" s="14">
        <f t="shared" ca="1" si="1580"/>
        <v>1.1424372500145894</v>
      </c>
      <c r="AP574" s="13">
        <f t="shared" ref="AP574:AQ574" ca="1" si="1602">SUM(T589)</f>
        <v>232.99999999999963</v>
      </c>
      <c r="AQ574" s="13">
        <f t="shared" ca="1" si="1602"/>
        <v>7.7666666666666542</v>
      </c>
      <c r="AR574" s="9">
        <f t="shared" ca="1" si="1582"/>
        <v>231.03333333333333</v>
      </c>
      <c r="AS574" s="76"/>
      <c r="AT574" s="76"/>
    </row>
    <row r="575" spans="1:46" ht="15.75" customHeight="1" x14ac:dyDescent="0.25">
      <c r="A575" s="70"/>
      <c r="B575" s="16">
        <v>3</v>
      </c>
      <c r="C575" s="16" t="s">
        <v>30</v>
      </c>
      <c r="D575" s="44">
        <v>60</v>
      </c>
      <c r="E575" s="18">
        <f ca="1">IFERROR(__xludf.DUMMYFUNCTION("COUNT(IMPORTRANGE(""https://docs.google.com/spreadsheets/d/1WojVzHhpzodJL1e5UDHeu3A3u5MTSZwvxHu0BrwvL9w/edit"",""22!d2:d61""))"),58)</f>
        <v>58</v>
      </c>
      <c r="F575" s="23">
        <f ca="1">IFERROR(__xludf.DUMMYFUNCTION("SUM(IMPORTRANGE(""https://docs.google.com/spreadsheets/d/1WojVzHhpzodJL1e5UDHeu3A3u5MTSZwvxHu0BrwvL9w/edit"",""22!Q2:Q61""))"),11587.4719999999)</f>
        <v>11587.4719999999</v>
      </c>
      <c r="G575" s="18">
        <f ca="1">IFERROR(__xludf.DUMMYFUNCTION("IMPORTRANGE(""https://docs.google.com/spreadsheets/d/1WojVzHhpzodJL1e5UDHeu3A3u5MTSZwvxHu0BrwvL9w/edit"",""22!e68"")"),3637)</f>
        <v>3637</v>
      </c>
      <c r="H575" s="18">
        <f ca="1">IFERROR(__xludf.DUMMYFUNCTION("IMPORTRANGE(""https://docs.google.com/spreadsheets/d/1WojVzHhpzodJL1e5UDHeu3A3u5MTSZwvxHu0BrwvL9w/edit"",""22!e69"")"),0)</f>
        <v>0</v>
      </c>
      <c r="I575" s="18">
        <f t="shared" ca="1" si="1587"/>
        <v>3637</v>
      </c>
      <c r="J575" s="18">
        <f ca="1">IFERROR(__xludf.DUMMYFUNCTION("IMPORTRANGE(""https://docs.google.com/spreadsheets/d/1WojVzHhpzodJL1e5UDHeu3A3u5MTSZwvxHu0BrwvL9w/edit"",""22!e72"")"),5616)</f>
        <v>5616</v>
      </c>
      <c r="K575" s="18">
        <f ca="1">IFERROR(__xludf.DUMMYFUNCTION("IMPORTRANGE(""https://docs.google.com/spreadsheets/d/1WojVzHhpzodJL1e5UDHeu3A3u5MTSZwvxHu0BrwvL9w/edit"",""22!e73"")"),0)</f>
        <v>0</v>
      </c>
      <c r="L575" s="18">
        <f t="shared" ca="1" si="1588"/>
        <v>5616</v>
      </c>
      <c r="M575" s="18">
        <f t="shared" ca="1" si="1589"/>
        <v>9253</v>
      </c>
      <c r="N575" s="19">
        <f t="shared" ca="1" si="1590"/>
        <v>199.78399999999826</v>
      </c>
      <c r="O575" s="16">
        <v>11164</v>
      </c>
      <c r="P575" s="20">
        <f t="shared" ca="1" si="1591"/>
        <v>0.82882479398065212</v>
      </c>
      <c r="Q575" s="21">
        <v>1.5</v>
      </c>
      <c r="R575" s="20">
        <f t="shared" ca="1" si="1592"/>
        <v>0.53235655427402284</v>
      </c>
      <c r="S575" s="22">
        <f t="shared" ca="1" si="1593"/>
        <v>0.79853483141103432</v>
      </c>
      <c r="T575" s="21">
        <f ca="1">F575/29.603</f>
        <v>391.42897679288922</v>
      </c>
      <c r="U575" s="21">
        <f t="shared" ca="1" si="1594"/>
        <v>6.7487754619463658</v>
      </c>
      <c r="V575" s="18">
        <f t="shared" ca="1" si="1595"/>
        <v>159.5344827586207</v>
      </c>
      <c r="W575" s="76"/>
      <c r="X575" s="8">
        <v>6</v>
      </c>
      <c r="Y575" s="8" t="s">
        <v>31</v>
      </c>
      <c r="Z575" s="8">
        <f t="shared" ref="Z575:AI575" si="1603">SUM(D590)</f>
        <v>15</v>
      </c>
      <c r="AA575" s="9">
        <f t="shared" ca="1" si="1603"/>
        <v>15</v>
      </c>
      <c r="AB575" s="11">
        <f t="shared" ca="1" si="1603"/>
        <v>2912.1549999999902</v>
      </c>
      <c r="AC575" s="9">
        <f t="shared" ca="1" si="1603"/>
        <v>917</v>
      </c>
      <c r="AD575" s="9">
        <f t="shared" ca="1" si="1603"/>
        <v>0</v>
      </c>
      <c r="AE575" s="9">
        <f t="shared" ca="1" si="1603"/>
        <v>917</v>
      </c>
      <c r="AF575" s="9">
        <f t="shared" ca="1" si="1603"/>
        <v>1354</v>
      </c>
      <c r="AG575" s="9">
        <f t="shared" ca="1" si="1603"/>
        <v>0</v>
      </c>
      <c r="AH575" s="9">
        <f t="shared" ca="1" si="1603"/>
        <v>1354</v>
      </c>
      <c r="AI575" s="9">
        <f t="shared" ca="1" si="1603"/>
        <v>2271</v>
      </c>
      <c r="AJ575" s="11">
        <f t="shared" ca="1" si="1599"/>
        <v>194.14366666666601</v>
      </c>
      <c r="AK575" s="8">
        <f t="shared" si="1600"/>
        <v>2717</v>
      </c>
      <c r="AL575" s="12">
        <f t="shared" ca="1" si="1577"/>
        <v>0.83584836216415159</v>
      </c>
      <c r="AM575" s="13">
        <f t="shared" si="1601"/>
        <v>1.5</v>
      </c>
      <c r="AN575" s="12">
        <f t="shared" ca="1" si="1579"/>
        <v>0.51988990970604421</v>
      </c>
      <c r="AO575" s="14">
        <f t="shared" ca="1" si="1580"/>
        <v>0.77983486455906625</v>
      </c>
      <c r="AP575" s="13">
        <f t="shared" ref="AP575:AQ575" ca="1" si="1604">SUM(T590)</f>
        <v>66.999999999999773</v>
      </c>
      <c r="AQ575" s="13">
        <f t="shared" ca="1" si="1604"/>
        <v>4.4666666666666517</v>
      </c>
      <c r="AR575" s="9">
        <f t="shared" ca="1" si="1582"/>
        <v>151.4</v>
      </c>
      <c r="AS575" s="76"/>
      <c r="AT575" s="76"/>
    </row>
    <row r="576" spans="1:46" ht="15.75" customHeight="1" x14ac:dyDescent="0.25">
      <c r="A576" s="70"/>
      <c r="B576" s="16">
        <v>4</v>
      </c>
      <c r="C576" s="16" t="s">
        <v>32</v>
      </c>
      <c r="D576" s="44">
        <v>42</v>
      </c>
      <c r="E576" s="18">
        <f ca="1">IFERROR(__xludf.DUMMYFUNCTION("COUNT(IMPORTRANGE(""https://docs.google.com/spreadsheets/d/1vmCj5YcMSPHj1m64syDndQ6cqVL3yolcU03Y8KHmvdc/edit"",""22!d2:d43""))"),42)</f>
        <v>42</v>
      </c>
      <c r="F576" s="23">
        <f ca="1">IFERROR(__xludf.DUMMYFUNCTION("SUM(IMPORTRANGE(""https://docs.google.com/spreadsheets/d/1vmCj5YcMSPHj1m64syDndQ6cqVL3yolcU03Y8KHmvdc/edit"",""22!Q2:Q43""))"),8229.19199999999)</f>
        <v>8229.19199999999</v>
      </c>
      <c r="G576" s="16">
        <f ca="1">IFERROR(__xludf.DUMMYFUNCTION("IMPORTRANGE(""https://docs.google.com/spreadsheets/d/1vmCj5YcMSPHj1m64syDndQ6cqVL3yolcU03Y8KHmvdc/edit"",""22!e50"")"),4548)</f>
        <v>4548</v>
      </c>
      <c r="H576" s="16">
        <f ca="1">IFERROR(__xludf.DUMMYFUNCTION("IMPORTRANGE(""https://docs.google.com/spreadsheets/d/1vmCj5YcMSPHj1m64syDndQ6cqVL3yolcU03Y8KHmvdc/edit"",""22!e51"")"),0)</f>
        <v>0</v>
      </c>
      <c r="I576" s="18">
        <f t="shared" ca="1" si="1587"/>
        <v>4548</v>
      </c>
      <c r="J576" s="16">
        <f ca="1">IFERROR(__xludf.DUMMYFUNCTION("IMPORTRANGE(""https://docs.google.com/spreadsheets/d/1vmCj5YcMSPHj1m64syDndQ6cqVL3yolcU03Y8KHmvdc/edit"",""22!e54"")"),5423)</f>
        <v>5423</v>
      </c>
      <c r="K576" s="16">
        <f ca="1">IFERROR(__xludf.DUMMYFUNCTION("IMPORTRANGE(""https://docs.google.com/spreadsheets/d/1vmCj5YcMSPHj1m64syDndQ6cqVL3yolcU03Y8KHmvdc/edit"",""22!e55"")"),0)</f>
        <v>0</v>
      </c>
      <c r="L576" s="18">
        <f t="shared" ca="1" si="1588"/>
        <v>5423</v>
      </c>
      <c r="M576" s="18">
        <f t="shared" ca="1" si="1589"/>
        <v>9971</v>
      </c>
      <c r="N576" s="19">
        <f t="shared" ca="1" si="1590"/>
        <v>195.93314285714263</v>
      </c>
      <c r="O576" s="16">
        <v>13817</v>
      </c>
      <c r="P576" s="20">
        <f t="shared" ca="1" si="1591"/>
        <v>0.72164724614605191</v>
      </c>
      <c r="Q576" s="21">
        <v>1.5</v>
      </c>
      <c r="R576" s="20">
        <f t="shared" ca="1" si="1592"/>
        <v>0.8077747284707103</v>
      </c>
      <c r="S576" s="22">
        <f t="shared" ca="1" si="1593"/>
        <v>1.2116620927060655</v>
      </c>
      <c r="T576" s="21">
        <f ca="1">F576/25.089</f>
        <v>327.9999999999996</v>
      </c>
      <c r="U576" s="21">
        <f t="shared" ca="1" si="1594"/>
        <v>7.8095238095238004</v>
      </c>
      <c r="V576" s="18">
        <f t="shared" ca="1" si="1595"/>
        <v>237.4047619047619</v>
      </c>
      <c r="W576" s="76"/>
      <c r="X576" s="24" t="s">
        <v>33</v>
      </c>
      <c r="Y576" s="24">
        <v>6</v>
      </c>
      <c r="Z576" s="24">
        <f t="shared" ref="Z576:AI576" si="1605">SUM(Z570:Z575)</f>
        <v>186</v>
      </c>
      <c r="AA576" s="25">
        <f t="shared" ca="1" si="1605"/>
        <v>183</v>
      </c>
      <c r="AB576" s="26">
        <f t="shared" ca="1" si="1605"/>
        <v>34695.311999999954</v>
      </c>
      <c r="AC576" s="25">
        <f t="shared" ca="1" si="1605"/>
        <v>11002</v>
      </c>
      <c r="AD576" s="25">
        <f t="shared" ca="1" si="1605"/>
        <v>577</v>
      </c>
      <c r="AE576" s="25">
        <f t="shared" ca="1" si="1605"/>
        <v>11579</v>
      </c>
      <c r="AF576" s="25">
        <f t="shared" ca="1" si="1605"/>
        <v>16447</v>
      </c>
      <c r="AG576" s="25">
        <f t="shared" ca="1" si="1605"/>
        <v>286</v>
      </c>
      <c r="AH576" s="25">
        <f t="shared" ca="1" si="1605"/>
        <v>16733</v>
      </c>
      <c r="AI576" s="25">
        <f t="shared" ca="1" si="1605"/>
        <v>28312</v>
      </c>
      <c r="AJ576" s="27">
        <f t="shared" ca="1" si="1599"/>
        <v>189.59186885245876</v>
      </c>
      <c r="AK576" s="24">
        <f>SUM(AK570:AK575)</f>
        <v>35074</v>
      </c>
      <c r="AL576" s="28">
        <f t="shared" ca="1" si="1577"/>
        <v>0.8072076181787079</v>
      </c>
      <c r="AM576" s="29">
        <v>1.5</v>
      </c>
      <c r="AN576" s="28">
        <f t="shared" ca="1" si="1579"/>
        <v>0.54401201714706271</v>
      </c>
      <c r="AO576" s="30">
        <f t="shared" ca="1" si="1580"/>
        <v>0.81601802572059412</v>
      </c>
      <c r="AP576" s="29">
        <f ca="1">SUM(AP570:AP575)</f>
        <v>1302.9792498870427</v>
      </c>
      <c r="AQ576" s="29">
        <f ca="1">AP576/AA576</f>
        <v>7.1201051906395776</v>
      </c>
      <c r="AR576" s="25">
        <f t="shared" ca="1" si="1582"/>
        <v>154.71038251366122</v>
      </c>
      <c r="AS576" s="76"/>
      <c r="AT576" s="76"/>
    </row>
    <row r="577" spans="1:46" ht="15.75" customHeight="1" x14ac:dyDescent="0.25">
      <c r="A577" s="70"/>
      <c r="B577" s="16">
        <v>5</v>
      </c>
      <c r="C577" s="16" t="s">
        <v>34</v>
      </c>
      <c r="D577" s="44">
        <v>40</v>
      </c>
      <c r="E577" s="18">
        <f ca="1">IFERROR(__xludf.DUMMYFUNCTION("COUNT(IMPORTRANGE(""https://docs.google.com/spreadsheets/d/14_Y-fpuq1wcec3DlT_1PBYekOC0YblQMrWVfO12YO3k/edit"",""22!d2:d41""))"),40)</f>
        <v>40</v>
      </c>
      <c r="F577" s="23">
        <f ca="1">IFERROR(__xludf.DUMMYFUNCTION("SUM(IMPORTRANGE(""https://docs.google.com/spreadsheets/d/14_Y-fpuq1wcec3DlT_1PBYekOC0YblQMrWVfO12YO3k/edit"",""22!Q2:Q41""))"),8008.731)</f>
        <v>8008.7309999999998</v>
      </c>
      <c r="G577" s="18">
        <f ca="1">IFERROR(__xludf.DUMMYFUNCTION("IMPORTRANGE(""https://docs.google.com/spreadsheets/d/14_Y-fpuq1wcec3DlT_1PBYekOC0YblQMrWVfO12YO3k/edit"",""22!e48"")"),3030)</f>
        <v>3030</v>
      </c>
      <c r="H577" s="18">
        <f ca="1">IFERROR(__xludf.DUMMYFUNCTION("IMPORTRANGE(""https://docs.google.com/spreadsheets/d/14_Y-fpuq1wcec3DlT_1PBYekOC0YblQMrWVfO12YO3k/edit"",""22!e49"")"),0)</f>
        <v>0</v>
      </c>
      <c r="I577" s="18">
        <f t="shared" ca="1" si="1587"/>
        <v>3030</v>
      </c>
      <c r="J577" s="18">
        <f ca="1">IFERROR(__xludf.DUMMYFUNCTION("IMPORTRANGE(""https://docs.google.com/spreadsheets/d/14_Y-fpuq1wcec3DlT_1PBYekOC0YblQMrWVfO12YO3k/edit"",""22!e52"")"),3430)</f>
        <v>3430</v>
      </c>
      <c r="K577" s="18">
        <f ca="1">IFERROR(__xludf.DUMMYFUNCTION("IMPORTRANGE(""https://docs.google.com/spreadsheets/d/14_Y-fpuq1wcec3DlT_1PBYekOC0YblQMrWVfO12YO3k/edit"",""22!e53"")"),0)</f>
        <v>0</v>
      </c>
      <c r="L577" s="18">
        <f t="shared" ca="1" si="1588"/>
        <v>3430</v>
      </c>
      <c r="M577" s="18">
        <f t="shared" ca="1" si="1589"/>
        <v>6460</v>
      </c>
      <c r="N577" s="19">
        <f t="shared" ca="1" si="1590"/>
        <v>200.21827500000001</v>
      </c>
      <c r="O577" s="16">
        <v>9354</v>
      </c>
      <c r="P577" s="20">
        <f t="shared" ca="1" si="1591"/>
        <v>0.69061364122300617</v>
      </c>
      <c r="Q577" s="21">
        <v>1.5</v>
      </c>
      <c r="R577" s="20">
        <f t="shared" ca="1" si="1592"/>
        <v>0.53774645030113588</v>
      </c>
      <c r="S577" s="22">
        <f t="shared" ca="1" si="1593"/>
        <v>0.80661967545170388</v>
      </c>
      <c r="T577" s="21">
        <f ca="1">F577/30.713</f>
        <v>260.76029694266271</v>
      </c>
      <c r="U577" s="21">
        <f t="shared" ca="1" si="1594"/>
        <v>6.5190074235665678</v>
      </c>
      <c r="V577" s="18">
        <f t="shared" ca="1" si="1595"/>
        <v>161.5</v>
      </c>
      <c r="W577" s="76"/>
      <c r="X577" s="100" t="s">
        <v>35</v>
      </c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9"/>
      <c r="AS577" s="76"/>
      <c r="AT577" s="76"/>
    </row>
    <row r="578" spans="1:46" ht="15.75" customHeight="1" x14ac:dyDescent="0.25">
      <c r="A578" s="70"/>
      <c r="B578" s="16">
        <v>6</v>
      </c>
      <c r="C578" s="16" t="s">
        <v>23</v>
      </c>
      <c r="D578" s="44">
        <v>35</v>
      </c>
      <c r="E578" s="18">
        <f ca="1">IFERROR(__xludf.DUMMYFUNCTION("COUNT(IMPORTRANGE(""https://docs.google.com/spreadsheets/d/1lJqjdj05V4LOXuBOiTdE65GV4ZITyx1cMLcDdcuoUnE/edit"",""22!d2:d36""))"),35)</f>
        <v>35</v>
      </c>
      <c r="F578" s="23">
        <f ca="1">IFERROR(__xludf.DUMMYFUNCTION("SUM(IMPORTRANGE(""https://docs.google.com/spreadsheets/d/1lJqjdj05V4LOXuBOiTdE65GV4ZITyx1cMLcDdcuoUnE/edit"",""22!Q2:Q36""))"),6815.47999999999)</f>
        <v>6815.4799999999896</v>
      </c>
      <c r="G578" s="18">
        <f ca="1">IFERROR(__xludf.DUMMYFUNCTION("IMPORTRANGE(""https://docs.google.com/spreadsheets/d/1lJqjdj05V4LOXuBOiTdE65GV4ZITyx1cMLcDdcuoUnE/edit"",""22!e43"")"),1841)</f>
        <v>1841</v>
      </c>
      <c r="H578" s="18">
        <f ca="1">IFERROR(__xludf.DUMMYFUNCTION("IMPORTRANGE(""https://docs.google.com/spreadsheets/d/1lJqjdj05V4LOXuBOiTdE65GV4ZITyx1cMLcDdcuoUnE/edit"",""22!e44"")"),0)</f>
        <v>0</v>
      </c>
      <c r="I578" s="18">
        <f t="shared" ca="1" si="1587"/>
        <v>1841</v>
      </c>
      <c r="J578" s="18">
        <f ca="1">IFERROR(__xludf.DUMMYFUNCTION("IMPORTRANGE(""https://docs.google.com/spreadsheets/d/1lJqjdj05V4LOXuBOiTdE65GV4ZITyx1cMLcDdcuoUnE/edit"",""22!e47"")"),3309)</f>
        <v>3309</v>
      </c>
      <c r="K578" s="18">
        <f ca="1">IFERROR(__xludf.DUMMYFUNCTION("IMPORTRANGE(""https://docs.google.com/spreadsheets/d/1lJqjdj05V4LOXuBOiTdE65GV4ZITyx1cMLcDdcuoUnE/edit"",""22!e48"")"),0)</f>
        <v>0</v>
      </c>
      <c r="L578" s="18">
        <f t="shared" ca="1" si="1588"/>
        <v>3309</v>
      </c>
      <c r="M578" s="18">
        <f t="shared" ca="1" si="1589"/>
        <v>5150</v>
      </c>
      <c r="N578" s="19">
        <f t="shared" ca="1" si="1590"/>
        <v>194.7279999999997</v>
      </c>
      <c r="O578" s="16">
        <v>6853</v>
      </c>
      <c r="P578" s="20">
        <f t="shared" ca="1" si="1591"/>
        <v>0.75149569531592009</v>
      </c>
      <c r="Q578" s="21">
        <v>1.5</v>
      </c>
      <c r="R578" s="20">
        <f t="shared" ca="1" si="1592"/>
        <v>0.50375517694033856</v>
      </c>
      <c r="S578" s="22">
        <f t="shared" ca="1" si="1593"/>
        <v>0.75563276541050783</v>
      </c>
      <c r="T578" s="21">
        <f ca="1">F578/33.74</f>
        <v>201.99999999999969</v>
      </c>
      <c r="U578" s="21">
        <f t="shared" ca="1" si="1594"/>
        <v>5.7714285714285625</v>
      </c>
      <c r="V578" s="18">
        <f t="shared" ca="1" si="1595"/>
        <v>147.14285714285714</v>
      </c>
      <c r="W578" s="76"/>
      <c r="X578" s="1" t="s">
        <v>2</v>
      </c>
      <c r="Y578" s="1" t="s">
        <v>3</v>
      </c>
      <c r="Z578" s="1" t="s">
        <v>4</v>
      </c>
      <c r="AA578" s="1" t="s">
        <v>5</v>
      </c>
      <c r="AB578" s="2" t="s">
        <v>6</v>
      </c>
      <c r="AC578" s="1" t="s">
        <v>7</v>
      </c>
      <c r="AD578" s="1" t="s">
        <v>8</v>
      </c>
      <c r="AE578" s="1" t="s">
        <v>9</v>
      </c>
      <c r="AF578" s="1" t="s">
        <v>10</v>
      </c>
      <c r="AG578" s="1" t="s">
        <v>11</v>
      </c>
      <c r="AH578" s="1" t="s">
        <v>12</v>
      </c>
      <c r="AI578" s="1" t="s">
        <v>13</v>
      </c>
      <c r="AJ578" s="2" t="s">
        <v>14</v>
      </c>
      <c r="AK578" s="1" t="s">
        <v>15</v>
      </c>
      <c r="AL578" s="1" t="s">
        <v>16</v>
      </c>
      <c r="AM578" s="3" t="s">
        <v>17</v>
      </c>
      <c r="AN578" s="4" t="s">
        <v>18</v>
      </c>
      <c r="AO578" s="5" t="s">
        <v>19</v>
      </c>
      <c r="AP578" s="6" t="s">
        <v>20</v>
      </c>
      <c r="AQ578" s="6" t="s">
        <v>21</v>
      </c>
      <c r="AR578" s="7" t="s">
        <v>22</v>
      </c>
      <c r="AS578" s="76"/>
      <c r="AT578" s="76"/>
    </row>
    <row r="579" spans="1:46" ht="15.75" customHeight="1" x14ac:dyDescent="0.25">
      <c r="A579" s="70"/>
      <c r="B579" s="16">
        <v>7</v>
      </c>
      <c r="C579" s="16" t="s">
        <v>24</v>
      </c>
      <c r="D579" s="44">
        <v>44</v>
      </c>
      <c r="E579" s="31">
        <f ca="1">IFERROR(__xludf.DUMMYFUNCTION("COUNT(IMPORTRANGE(""https://docs.google.com/spreadsheets/d/1_7EEO26q9Yq-XhNFiy7I6Zh4Yg6uGjTs9y0UqNvPKcQ/edit"",""22!d2:d45""))"),41)</f>
        <v>41</v>
      </c>
      <c r="F579" s="32">
        <f ca="1">IFERROR(__xludf.DUMMYFUNCTION("SUM(IMPORTRANGE(""https://docs.google.com/spreadsheets/d/1_7EEO26q9Yq-XhNFiy7I6Zh4Yg6uGjTs9y0UqNvPKcQ/edit"",""22!Q2:Q45""))"),7922.84799999999)</f>
        <v>7922.84799999999</v>
      </c>
      <c r="G579" s="31">
        <f ca="1">IFERROR(__xludf.DUMMYFUNCTION("IMPORTRANGE(""https://docs.google.com/spreadsheets/d/1_7EEO26q9Yq-XhNFiy7I6Zh4Yg6uGjTs9y0UqNvPKcQ/edit"",""22!e53"")"),1006)</f>
        <v>1006</v>
      </c>
      <c r="H579" s="31">
        <f ca="1">IFERROR(__xludf.DUMMYFUNCTION("IMPORTRANGE(""https://docs.google.com/spreadsheets/d/1_7EEO26q9Yq-XhNFiy7I6Zh4Yg6uGjTs9y0UqNvPKcQ/edit"",""22!e54"")"),22)</f>
        <v>22</v>
      </c>
      <c r="I579" s="31">
        <f t="shared" ca="1" si="1587"/>
        <v>1028</v>
      </c>
      <c r="J579" s="31">
        <f ca="1">IFERROR(__xludf.DUMMYFUNCTION("IMPORTRANGE(""https://docs.google.com/spreadsheets/d/1_7EEO26q9Yq-XhNFiy7I6Zh4Yg6uGjTs9y0UqNvPKcQ/edit"",""22!e57"")"),1585)</f>
        <v>1585</v>
      </c>
      <c r="K579" s="31">
        <f ca="1">IFERROR(__xludf.DUMMYFUNCTION("IMPORTRANGE(""https://docs.google.com/spreadsheets/d/1_7EEO26q9Yq-XhNFiy7I6Zh4Yg6uGjTs9y0UqNvPKcQ/edit"",""22!e58"")"),18)</f>
        <v>18</v>
      </c>
      <c r="L579" s="18">
        <f t="shared" ca="1" si="1588"/>
        <v>1603</v>
      </c>
      <c r="M579" s="18">
        <f t="shared" ca="1" si="1589"/>
        <v>2631</v>
      </c>
      <c r="N579" s="19">
        <f t="shared" ca="1" si="1590"/>
        <v>193.24019512195096</v>
      </c>
      <c r="O579" s="16">
        <v>1580</v>
      </c>
      <c r="P579" s="33">
        <f t="shared" ca="1" si="1591"/>
        <v>1.6651898734177215</v>
      </c>
      <c r="Q579" s="21">
        <v>1.5</v>
      </c>
      <c r="R579" s="20">
        <f t="shared" ca="1" si="1592"/>
        <v>0.22138503729971878</v>
      </c>
      <c r="S579" s="22">
        <f t="shared" ca="1" si="1593"/>
        <v>0.33207755594957816</v>
      </c>
      <c r="T579" s="21">
        <f ca="1">F579/26.805</f>
        <v>295.57351240440181</v>
      </c>
      <c r="U579" s="21">
        <f t="shared" ca="1" si="1594"/>
        <v>7.2091100586439465</v>
      </c>
      <c r="V579" s="18">
        <f t="shared" ca="1" si="1595"/>
        <v>64.170731707317074</v>
      </c>
      <c r="W579" s="76"/>
      <c r="X579" s="8">
        <v>1</v>
      </c>
      <c r="Y579" s="8" t="s">
        <v>28</v>
      </c>
      <c r="Z579" s="8">
        <f t="shared" ref="Z579:AI579" si="1606">SUM(D574)</f>
        <v>33</v>
      </c>
      <c r="AA579" s="9">
        <f t="shared" ca="1" si="1606"/>
        <v>33</v>
      </c>
      <c r="AB579" s="11">
        <f t="shared" ca="1" si="1606"/>
        <v>6374.348</v>
      </c>
      <c r="AC579" s="9">
        <f t="shared" ca="1" si="1606"/>
        <v>2559</v>
      </c>
      <c r="AD579" s="9">
        <f t="shared" ca="1" si="1606"/>
        <v>176</v>
      </c>
      <c r="AE579" s="9">
        <f t="shared" ca="1" si="1606"/>
        <v>2735</v>
      </c>
      <c r="AF579" s="9">
        <f t="shared" ca="1" si="1606"/>
        <v>3335</v>
      </c>
      <c r="AG579" s="9">
        <f t="shared" ca="1" si="1606"/>
        <v>111</v>
      </c>
      <c r="AH579" s="9">
        <f t="shared" ca="1" si="1606"/>
        <v>3446</v>
      </c>
      <c r="AI579" s="9">
        <f t="shared" ca="1" si="1606"/>
        <v>6181</v>
      </c>
      <c r="AJ579" s="11">
        <f t="shared" ref="AJ579:AJ585" ca="1" si="1607">AB579/AA579</f>
        <v>193.16206060606061</v>
      </c>
      <c r="AK579" s="8">
        <f t="shared" ref="AK579:AK580" si="1608">SUM(O574)</f>
        <v>7315</v>
      </c>
      <c r="AL579" s="12">
        <f t="shared" ref="AL579:AL585" ca="1" si="1609">AI579/AK579</f>
        <v>0.84497607655502394</v>
      </c>
      <c r="AM579" s="13">
        <f t="shared" ref="AM579:AM580" si="1610">SUM(Q574)</f>
        <v>1.5</v>
      </c>
      <c r="AN579" s="12">
        <f t="shared" ref="AN579:AN585" ca="1" si="1611">AO579/AM579</f>
        <v>0.64644519983324833</v>
      </c>
      <c r="AO579" s="14">
        <f t="shared" ref="AO579:AO585" ca="1" si="1612">AI579/AB579</f>
        <v>0.96966779974987249</v>
      </c>
      <c r="AP579" s="13">
        <f t="shared" ref="AP579:AQ579" ca="1" si="1613">SUM(T574)</f>
        <v>206.30960934718581</v>
      </c>
      <c r="AQ579" s="13">
        <f t="shared" ca="1" si="1613"/>
        <v>6.2518063438541152</v>
      </c>
      <c r="AR579" s="9">
        <f t="shared" ref="AR579:AR585" ca="1" si="1614">AI579/AA579</f>
        <v>187.30303030303031</v>
      </c>
      <c r="AS579" s="76"/>
      <c r="AT579" s="76"/>
    </row>
    <row r="580" spans="1:46" ht="15.75" customHeight="1" x14ac:dyDescent="0.25">
      <c r="A580" s="70"/>
      <c r="B580" s="16">
        <v>8</v>
      </c>
      <c r="C580" s="16" t="s">
        <v>25</v>
      </c>
      <c r="D580" s="45">
        <v>32</v>
      </c>
      <c r="E580" s="18">
        <f ca="1">IFERROR(__xludf.DUMMYFUNCTION("COUNT(IMPORTRANGE(""https://docs.google.com/spreadsheets/d/1vLOLpiE-XsbnCnwWPcoi87PlUSXfqIAAQn3kvqHfO6s/edit"",""22!d2:D33""))"),32)</f>
        <v>32</v>
      </c>
      <c r="F580" s="23">
        <f ca="1">IFERROR(__xludf.DUMMYFUNCTION("SUM(IMPORTRANGE(""https://docs.google.com/spreadsheets/d/1vLOLpiE-XsbnCnwWPcoi87PlUSXfqIAAQn3kvqHfO6s/edit"",""22!Q2:Q33""))"),5426.252)</f>
        <v>5426.2520000000004</v>
      </c>
      <c r="G580" s="18">
        <f ca="1">IFERROR(__xludf.DUMMYFUNCTION("IMPORTRANGE(""https://docs.google.com/spreadsheets/d/1vLOLpiE-XsbnCnwWPcoi87PlUSXfqIAAQn3kvqHfO6s/edit"",""22!e40"")"),2196)</f>
        <v>2196</v>
      </c>
      <c r="H580" s="18">
        <f ca="1">IFERROR(__xludf.DUMMYFUNCTION("IMPORTRANGE(""https://docs.google.com/spreadsheets/d/1vLOLpiE-XsbnCnwWPcoi87PlUSXfqIAAQn3kvqHfO6s/edit"",""22!e41"")"),525)</f>
        <v>525</v>
      </c>
      <c r="I580" s="18">
        <f t="shared" ca="1" si="1587"/>
        <v>2721</v>
      </c>
      <c r="J580" s="18">
        <f ca="1">IFERROR(__xludf.DUMMYFUNCTION("IMPORTRANGE(""https://docs.google.com/spreadsheets/d/1vLOLpiE-XsbnCnwWPcoi87PlUSXfqIAAQn3kvqHfO6s/edit"",""22!e44"")"),2874)</f>
        <v>2874</v>
      </c>
      <c r="K580" s="18">
        <f ca="1">IFERROR(__xludf.DUMMYFUNCTION("IMPORTRANGE(""https://docs.google.com/spreadsheets/d/1vLOLpiE-XsbnCnwWPcoi87PlUSXfqIAAQn3kvqHfO6s/edit"",""22!e45"")"),248)</f>
        <v>248</v>
      </c>
      <c r="L580" s="18">
        <f ca="1">J580+K580</f>
        <v>3122</v>
      </c>
      <c r="M580" s="18">
        <f t="shared" ca="1" si="1589"/>
        <v>5843</v>
      </c>
      <c r="N580" s="19">
        <f t="shared" ca="1" si="1590"/>
        <v>169.57037500000001</v>
      </c>
      <c r="O580" s="16">
        <v>6622</v>
      </c>
      <c r="P580" s="20">
        <f t="shared" ca="1" si="1591"/>
        <v>0.88236182422228937</v>
      </c>
      <c r="Q580" s="21">
        <v>1.5</v>
      </c>
      <c r="R580" s="20">
        <f t="shared" ca="1" si="1592"/>
        <v>0.7178681221095764</v>
      </c>
      <c r="S580" s="22">
        <f t="shared" ca="1" si="1593"/>
        <v>1.0768021831643646</v>
      </c>
      <c r="T580" s="21">
        <f ca="1">F580/23.84</f>
        <v>227.61124161073826</v>
      </c>
      <c r="U580" s="21">
        <f t="shared" ca="1" si="1594"/>
        <v>7.1128513003355707</v>
      </c>
      <c r="V580" s="18">
        <f t="shared" ca="1" si="1595"/>
        <v>182.59375</v>
      </c>
      <c r="W580" s="76"/>
      <c r="X580" s="8">
        <v>2</v>
      </c>
      <c r="Y580" s="8" t="s">
        <v>30</v>
      </c>
      <c r="Z580" s="8">
        <f t="shared" ref="Z580:AI580" si="1615">SUM(D575)</f>
        <v>60</v>
      </c>
      <c r="AA580" s="9">
        <f t="shared" ca="1" si="1615"/>
        <v>58</v>
      </c>
      <c r="AB580" s="10">
        <f t="shared" ca="1" si="1615"/>
        <v>11587.4719999999</v>
      </c>
      <c r="AC580" s="9">
        <f t="shared" ca="1" si="1615"/>
        <v>3637</v>
      </c>
      <c r="AD580" s="9">
        <f t="shared" ca="1" si="1615"/>
        <v>0</v>
      </c>
      <c r="AE580" s="9">
        <f t="shared" ca="1" si="1615"/>
        <v>3637</v>
      </c>
      <c r="AF580" s="9">
        <f t="shared" ca="1" si="1615"/>
        <v>5616</v>
      </c>
      <c r="AG580" s="9">
        <f t="shared" ca="1" si="1615"/>
        <v>0</v>
      </c>
      <c r="AH580" s="9">
        <f t="shared" ca="1" si="1615"/>
        <v>5616</v>
      </c>
      <c r="AI580" s="9">
        <f t="shared" ca="1" si="1615"/>
        <v>9253</v>
      </c>
      <c r="AJ580" s="11">
        <f t="shared" ca="1" si="1607"/>
        <v>199.78399999999826</v>
      </c>
      <c r="AK580" s="8">
        <f t="shared" si="1608"/>
        <v>11164</v>
      </c>
      <c r="AL580" s="12">
        <f t="shared" ca="1" si="1609"/>
        <v>0.82882479398065212</v>
      </c>
      <c r="AM580" s="13">
        <f t="shared" si="1610"/>
        <v>1.5</v>
      </c>
      <c r="AN580" s="12">
        <f t="shared" ca="1" si="1611"/>
        <v>0.53235655427402284</v>
      </c>
      <c r="AO580" s="14">
        <f t="shared" ca="1" si="1612"/>
        <v>0.79853483141103432</v>
      </c>
      <c r="AP580" s="13">
        <f t="shared" ref="AP580:AQ580" ca="1" si="1616">SUM(T575)</f>
        <v>391.42897679288922</v>
      </c>
      <c r="AQ580" s="13">
        <f t="shared" ca="1" si="1616"/>
        <v>6.7487754619463658</v>
      </c>
      <c r="AR580" s="9">
        <f t="shared" ca="1" si="1614"/>
        <v>159.5344827586207</v>
      </c>
      <c r="AS580" s="76"/>
      <c r="AT580" s="76"/>
    </row>
    <row r="581" spans="1:46" ht="15.75" customHeight="1" x14ac:dyDescent="0.25">
      <c r="A581" s="70"/>
      <c r="B581" s="16">
        <v>9</v>
      </c>
      <c r="C581" s="16" t="s">
        <v>36</v>
      </c>
      <c r="D581" s="45">
        <v>29</v>
      </c>
      <c r="E581" s="18">
        <f ca="1">IFERROR(__xludf.DUMMYFUNCTION("COUNT(IMPORTRANGE(""https://docs.google.com/spreadsheets/d/1WJJVq25XDtGjt-J2JPxeKs3jIvDZtkIREC0lFPXwf74/edit"",""22!d2:d31""))"),28)</f>
        <v>28</v>
      </c>
      <c r="F581" s="23">
        <f ca="1">IFERROR(__xludf.DUMMYFUNCTION("SUM(IMPORTRANGE(""https://docs.google.com/spreadsheets/d/1WJJVq25XDtGjt-J2JPxeKs3jIvDZtkIREC0lFPXwf74/edit"",""22!Q2:Q31""))"),5566.70599999999)</f>
        <v>5566.7059999999901</v>
      </c>
      <c r="G581" s="18">
        <f ca="1">IFERROR(__xludf.DUMMYFUNCTION("IMPORTRANGE(""https://docs.google.com/spreadsheets/d/1WJJVq25XDtGjt-J2JPxeKs3jIvDZtkIREC0lFPXwf74/edit"",""22!e38"")"),1579)</f>
        <v>1579</v>
      </c>
      <c r="H581" s="18">
        <f ca="1">IFERROR(__xludf.DUMMYFUNCTION("IMPORTRANGE(""https://docs.google.com/spreadsheets/d/1WJJVq25XDtGjt-J2JPxeKs3jIvDZtkIREC0lFPXwf74/edit"",""22!e39"")"),0)</f>
        <v>0</v>
      </c>
      <c r="I581" s="18">
        <f t="shared" ca="1" si="1587"/>
        <v>1579</v>
      </c>
      <c r="J581" s="18">
        <f ca="1">IFERROR(__xludf.DUMMYFUNCTION("IMPORTRANGE(""https://docs.google.com/spreadsheets/d/1WJJVq25XDtGjt-J2JPxeKs3jIvDZtkIREC0lFPXwf74/edit"",""22!e42"")"),2410)</f>
        <v>2410</v>
      </c>
      <c r="K581" s="18">
        <f ca="1">IFERROR(__xludf.DUMMYFUNCTION("IMPORTRANGE(""https://docs.google.com/spreadsheets/d/1WJJVq25XDtGjt-J2JPxeKs3jIvDZtkIREC0lFPXwf74/edit"",""22!e43"")"),0)</f>
        <v>0</v>
      </c>
      <c r="L581" s="18">
        <f t="shared" ref="L581:L590" ca="1" si="1617">SUM(J581:K581)</f>
        <v>2410</v>
      </c>
      <c r="M581" s="18">
        <f t="shared" ca="1" si="1589"/>
        <v>3989</v>
      </c>
      <c r="N581" s="19">
        <f t="shared" ca="1" si="1590"/>
        <v>198.81092857142821</v>
      </c>
      <c r="O581" s="16">
        <v>4796</v>
      </c>
      <c r="P581" s="20">
        <f t="shared" ca="1" si="1591"/>
        <v>0.83173477898248538</v>
      </c>
      <c r="Q581" s="21">
        <v>1.5</v>
      </c>
      <c r="R581" s="20">
        <f t="shared" ca="1" si="1592"/>
        <v>0.47772117538331255</v>
      </c>
      <c r="S581" s="22">
        <f t="shared" ca="1" si="1593"/>
        <v>0.71658176307496879</v>
      </c>
      <c r="T581" s="21">
        <f ca="1">F581/37.414</f>
        <v>148.78671085689822</v>
      </c>
      <c r="U581" s="21">
        <f t="shared" ca="1" si="1594"/>
        <v>5.3138111020320791</v>
      </c>
      <c r="V581" s="18">
        <f t="shared" ca="1" si="1595"/>
        <v>142.46428571428572</v>
      </c>
      <c r="W581" s="76"/>
      <c r="X581" s="8">
        <v>3</v>
      </c>
      <c r="Y581" s="8" t="s">
        <v>34</v>
      </c>
      <c r="Z581" s="8">
        <f t="shared" ref="Z581:AI581" si="1618">SUM(D577)</f>
        <v>40</v>
      </c>
      <c r="AA581" s="9">
        <f t="shared" ca="1" si="1618"/>
        <v>40</v>
      </c>
      <c r="AB581" s="10">
        <f t="shared" ca="1" si="1618"/>
        <v>8008.7309999999998</v>
      </c>
      <c r="AC581" s="9">
        <f t="shared" ca="1" si="1618"/>
        <v>3030</v>
      </c>
      <c r="AD581" s="9">
        <f t="shared" ca="1" si="1618"/>
        <v>0</v>
      </c>
      <c r="AE581" s="9">
        <f t="shared" ca="1" si="1618"/>
        <v>3030</v>
      </c>
      <c r="AF581" s="9">
        <f t="shared" ca="1" si="1618"/>
        <v>3430</v>
      </c>
      <c r="AG581" s="9">
        <f t="shared" ca="1" si="1618"/>
        <v>0</v>
      </c>
      <c r="AH581" s="9">
        <f t="shared" ca="1" si="1618"/>
        <v>3430</v>
      </c>
      <c r="AI581" s="9">
        <f t="shared" ca="1" si="1618"/>
        <v>6460</v>
      </c>
      <c r="AJ581" s="11">
        <f t="shared" ca="1" si="1607"/>
        <v>200.21827500000001</v>
      </c>
      <c r="AK581" s="8">
        <f>SUM(O577)</f>
        <v>9354</v>
      </c>
      <c r="AL581" s="12">
        <f t="shared" ca="1" si="1609"/>
        <v>0.69061364122300617</v>
      </c>
      <c r="AM581" s="13">
        <f>SUM(Q577)</f>
        <v>1.5</v>
      </c>
      <c r="AN581" s="12">
        <f t="shared" ca="1" si="1611"/>
        <v>0.53774645030113588</v>
      </c>
      <c r="AO581" s="14">
        <f t="shared" ca="1" si="1612"/>
        <v>0.80661967545170388</v>
      </c>
      <c r="AP581" s="13">
        <f t="shared" ref="AP581:AQ581" ca="1" si="1619">SUM(T577)</f>
        <v>260.76029694266271</v>
      </c>
      <c r="AQ581" s="13">
        <f t="shared" ca="1" si="1619"/>
        <v>6.5190074235665678</v>
      </c>
      <c r="AR581" s="9">
        <f t="shared" ca="1" si="1614"/>
        <v>161.5</v>
      </c>
      <c r="AS581" s="76"/>
      <c r="AT581" s="76"/>
    </row>
    <row r="582" spans="1:46" ht="15.75" customHeight="1" x14ac:dyDescent="0.25">
      <c r="A582" s="70"/>
      <c r="B582" s="16">
        <v>10</v>
      </c>
      <c r="C582" s="16" t="s">
        <v>37</v>
      </c>
      <c r="D582" s="44">
        <v>30</v>
      </c>
      <c r="E582" s="18">
        <f ca="1">IFERROR(__xludf.DUMMYFUNCTION("COUNT(IMPORTRANGE(""https://docs.google.com/spreadsheets/d/1rJyYfywRpWJW0zvDJHLOJtqUQqffoCGaqTVxxTDgV0k/edit"",""22!d2:d31""))"),30)</f>
        <v>30</v>
      </c>
      <c r="F582" s="23">
        <f ca="1">IFERROR(__xludf.DUMMYFUNCTION("SUM(IMPORTRANGE(""https://docs.google.com/spreadsheets/d/1rJyYfywRpWJW0zvDJHLOJtqUQqffoCGaqTVxxTDgV0k/edit"",""22!Q2:Q31""))"),5960.94)</f>
        <v>5960.94</v>
      </c>
      <c r="G582" s="18">
        <f ca="1">IFERROR(__xludf.DUMMYFUNCTION("(IMPORTRANGE(""https://docs.google.com/spreadsheets/d/1rJyYfywRpWJW0zvDJHLOJtqUQqffoCGaqTVxxTDgV0k/edit"",""22!e38""))"),2277)</f>
        <v>2277</v>
      </c>
      <c r="H582" s="18">
        <f ca="1">IFERROR(__xludf.DUMMYFUNCTION("(IMPORTRANGE(""https://docs.google.com/spreadsheets/d/1rJyYfywRpWJW0zvDJHLOJtqUQqffoCGaqTVxxTDgV0k/edit"",""22!e39""))"),0)</f>
        <v>0</v>
      </c>
      <c r="I582" s="18">
        <f t="shared" ca="1" si="1587"/>
        <v>2277</v>
      </c>
      <c r="J582" s="18">
        <f ca="1">IFERROR(__xludf.DUMMYFUNCTION("(IMPORTRANGE(""https://docs.google.com/spreadsheets/d/1rJyYfywRpWJW0zvDJHLOJtqUQqffoCGaqTVxxTDgV0k/edit"",""22!e42""))"),2934)</f>
        <v>2934</v>
      </c>
      <c r="K582" s="18">
        <f ca="1">IFERROR(__xludf.DUMMYFUNCTION("(IMPORTRANGE(""https://docs.google.com/spreadsheets/d/1rJyYfywRpWJW0zvDJHLOJtqUQqffoCGaqTVxxTDgV0k/edit"",""22!e43""))"),0)</f>
        <v>0</v>
      </c>
      <c r="L582" s="18">
        <f t="shared" ca="1" si="1617"/>
        <v>2934</v>
      </c>
      <c r="M582" s="18">
        <f t="shared" ca="1" si="1589"/>
        <v>5211</v>
      </c>
      <c r="N582" s="19">
        <f t="shared" ca="1" si="1590"/>
        <v>198.69799999999998</v>
      </c>
      <c r="O582" s="16">
        <v>5887</v>
      </c>
      <c r="P582" s="20">
        <f t="shared" ca="1" si="1591"/>
        <v>0.88517071513504331</v>
      </c>
      <c r="Q582" s="21">
        <v>1.5</v>
      </c>
      <c r="R582" s="20">
        <f t="shared" ca="1" si="1592"/>
        <v>0.58279398886752765</v>
      </c>
      <c r="S582" s="22">
        <f t="shared" ca="1" si="1593"/>
        <v>0.87419098330129141</v>
      </c>
      <c r="T582" s="21">
        <f ca="1">F582/24.792</f>
        <v>240.43804453049367</v>
      </c>
      <c r="U582" s="21">
        <f t="shared" ca="1" si="1594"/>
        <v>8.0146014843497895</v>
      </c>
      <c r="V582" s="18">
        <f t="shared" ca="1" si="1595"/>
        <v>173.7</v>
      </c>
      <c r="W582" s="76"/>
      <c r="X582" s="8">
        <v>4</v>
      </c>
      <c r="Y582" s="8" t="s">
        <v>38</v>
      </c>
      <c r="Z582" s="8">
        <f t="shared" ref="Z582:AI582" si="1620">SUM(D585)</f>
        <v>30</v>
      </c>
      <c r="AA582" s="9">
        <f t="shared" ca="1" si="1620"/>
        <v>30</v>
      </c>
      <c r="AB582" s="10">
        <f t="shared" ca="1" si="1620"/>
        <v>6325.4829999999902</v>
      </c>
      <c r="AC582" s="9">
        <f t="shared" ca="1" si="1620"/>
        <v>2259</v>
      </c>
      <c r="AD582" s="9">
        <f t="shared" ca="1" si="1620"/>
        <v>0</v>
      </c>
      <c r="AE582" s="9">
        <f t="shared" ca="1" si="1620"/>
        <v>2259</v>
      </c>
      <c r="AF582" s="9">
        <f t="shared" ca="1" si="1620"/>
        <v>2532</v>
      </c>
      <c r="AG582" s="9">
        <f t="shared" ca="1" si="1620"/>
        <v>117</v>
      </c>
      <c r="AH582" s="9">
        <f t="shared" ca="1" si="1620"/>
        <v>2649</v>
      </c>
      <c r="AI582" s="9">
        <f t="shared" ca="1" si="1620"/>
        <v>4908</v>
      </c>
      <c r="AJ582" s="11">
        <f t="shared" ca="1" si="1607"/>
        <v>210.849433333333</v>
      </c>
      <c r="AK582" s="8">
        <v>7324</v>
      </c>
      <c r="AL582" s="12">
        <f t="shared" ca="1" si="1609"/>
        <v>0.67012561441835061</v>
      </c>
      <c r="AM582" s="13">
        <f>SUM(Q585)</f>
        <v>1.5</v>
      </c>
      <c r="AN582" s="12">
        <f t="shared" ca="1" si="1611"/>
        <v>0.51727275213608281</v>
      </c>
      <c r="AO582" s="14">
        <f t="shared" ca="1" si="1612"/>
        <v>0.77590912820412417</v>
      </c>
      <c r="AP582" s="13">
        <f t="shared" ref="AP582:AQ582" ca="1" si="1621">SUM(T585)</f>
        <v>153.51251061764324</v>
      </c>
      <c r="AQ582" s="13">
        <f t="shared" ca="1" si="1621"/>
        <v>5.1170836872547749</v>
      </c>
      <c r="AR582" s="9">
        <f t="shared" ca="1" si="1614"/>
        <v>163.6</v>
      </c>
      <c r="AS582" s="76"/>
      <c r="AT582" s="76"/>
    </row>
    <row r="583" spans="1:46" ht="15.75" customHeight="1" x14ac:dyDescent="0.25">
      <c r="A583" s="70"/>
      <c r="B583" s="16">
        <v>12</v>
      </c>
      <c r="C583" s="16" t="s">
        <v>39</v>
      </c>
      <c r="D583" s="44">
        <v>28</v>
      </c>
      <c r="E583" s="18">
        <f ca="1">IFERROR(__xludf.DUMMYFUNCTION("COUNT(IMPORTRANGE(""https://docs.google.com/spreadsheets/d/1uaTn2DZCfr7O1PvovOd0wElzVz8kpl_iPfnrkNPp0Is/edit"",""22!d2:d29""))"),26)</f>
        <v>26</v>
      </c>
      <c r="F583" s="23">
        <f ca="1">IFERROR(__xludf.DUMMYFUNCTION("SUM(IMPORTRANGE(""https://docs.google.com/spreadsheets/d/1uaTn2DZCfr7O1PvovOd0wElzVz8kpl_iPfnrkNPp0Is/edit"",""22!Q2:Q29""))"),5094.007)</f>
        <v>5094.0069999999996</v>
      </c>
      <c r="G583" s="18">
        <f ca="1">IFERROR(__xludf.DUMMYFUNCTION("IMPORTRANGE(""https://docs.google.com/spreadsheets/d/1uaTn2DZCfr7O1PvovOd0wElzVz8kpl_iPfnrkNPp0Is/edit"",""22!e36"")"),1379)</f>
        <v>1379</v>
      </c>
      <c r="H583" s="18">
        <f ca="1">IFERROR(__xludf.DUMMYFUNCTION("(IMPORTRANGE(""https://docs.google.com/spreadsheets/d/1uaTn2DZCfr7O1PvovOd0wElzVz8kpl_iPfnrkNPp0Is/edit"",""22!e37""))"),0)</f>
        <v>0</v>
      </c>
      <c r="I583" s="18">
        <f t="shared" ca="1" si="1587"/>
        <v>1379</v>
      </c>
      <c r="J583" s="18">
        <f ca="1">IFERROR(__xludf.DUMMYFUNCTION("IMPORTRANGE(""https://docs.google.com/spreadsheets/d/1uaTn2DZCfr7O1PvovOd0wElzVz8kpl_iPfnrkNPp0Is/edit"",""22!e40"")"),1566)</f>
        <v>1566</v>
      </c>
      <c r="K583" s="18">
        <f ca="1">IFERROR(__xludf.DUMMYFUNCTION("IMPORTRANGE(""https://docs.google.com/spreadsheets/d/1uaTn2DZCfr7O1PvovOd0wElzVz8kpl_iPfnrkNPp0Is/edit"",""22!e41"")"),0)</f>
        <v>0</v>
      </c>
      <c r="L583" s="18">
        <f t="shared" ca="1" si="1617"/>
        <v>1566</v>
      </c>
      <c r="M583" s="18">
        <f t="shared" ca="1" si="1589"/>
        <v>2945</v>
      </c>
      <c r="N583" s="19">
        <f t="shared" ca="1" si="1590"/>
        <v>195.92334615384613</v>
      </c>
      <c r="O583" s="16">
        <v>3569</v>
      </c>
      <c r="P583" s="20">
        <f t="shared" ca="1" si="1591"/>
        <v>0.82516110955449706</v>
      </c>
      <c r="Q583" s="21">
        <v>1.5</v>
      </c>
      <c r="R583" s="20">
        <f t="shared" ca="1" si="1592"/>
        <v>0.38542022681424143</v>
      </c>
      <c r="S583" s="22">
        <f t="shared" ca="1" si="1593"/>
        <v>0.57813034022136212</v>
      </c>
      <c r="T583" s="21">
        <f ca="1">F583/21.463</f>
        <v>237.33900200344777</v>
      </c>
      <c r="U583" s="21">
        <f t="shared" ca="1" si="1594"/>
        <v>9.1284231539787601</v>
      </c>
      <c r="V583" s="18">
        <f t="shared" ca="1" si="1595"/>
        <v>113.26923076923077</v>
      </c>
      <c r="W583" s="76"/>
      <c r="X583" s="8">
        <v>5</v>
      </c>
      <c r="Y583" s="8" t="s">
        <v>40</v>
      </c>
      <c r="Z583" s="8">
        <f t="shared" ref="Z583:AI583" si="1622">SUM(D587)</f>
        <v>30</v>
      </c>
      <c r="AA583" s="9">
        <f t="shared" ca="1" si="1622"/>
        <v>30</v>
      </c>
      <c r="AB583" s="10">
        <f t="shared" ca="1" si="1622"/>
        <v>5788.81699999999</v>
      </c>
      <c r="AC583" s="9">
        <f t="shared" ca="1" si="1622"/>
        <v>3226</v>
      </c>
      <c r="AD583" s="9">
        <f t="shared" ca="1" si="1622"/>
        <v>48</v>
      </c>
      <c r="AE583" s="9">
        <f t="shared" ca="1" si="1622"/>
        <v>3274</v>
      </c>
      <c r="AF583" s="9">
        <f t="shared" ca="1" si="1622"/>
        <v>3983</v>
      </c>
      <c r="AG583" s="9">
        <f t="shared" ca="1" si="1622"/>
        <v>35</v>
      </c>
      <c r="AH583" s="9">
        <f t="shared" ca="1" si="1622"/>
        <v>4018</v>
      </c>
      <c r="AI583" s="9">
        <f t="shared" ca="1" si="1622"/>
        <v>7292</v>
      </c>
      <c r="AJ583" s="11">
        <f t="shared" ca="1" si="1607"/>
        <v>192.96056666666632</v>
      </c>
      <c r="AK583" s="8">
        <f t="shared" ref="AK583:AK584" si="1623">SUM(O587)</f>
        <v>8239</v>
      </c>
      <c r="AL583" s="12">
        <f t="shared" ca="1" si="1609"/>
        <v>0.8850588663672776</v>
      </c>
      <c r="AM583" s="13">
        <f t="shared" ref="AM583:AM584" si="1624">SUM(Q587)</f>
        <v>1.5</v>
      </c>
      <c r="AN583" s="12">
        <f t="shared" ca="1" si="1611"/>
        <v>0.83978010245156165</v>
      </c>
      <c r="AO583" s="14">
        <f t="shared" ca="1" si="1612"/>
        <v>1.2596701536773425</v>
      </c>
      <c r="AP583" s="13">
        <f t="shared" ref="AP583:AQ583" ca="1" si="1625">SUM(T587)</f>
        <v>203.52343283057306</v>
      </c>
      <c r="AQ583" s="13">
        <f t="shared" ca="1" si="1625"/>
        <v>6.7841144276857683</v>
      </c>
      <c r="AR583" s="9">
        <f t="shared" ca="1" si="1614"/>
        <v>243.06666666666666</v>
      </c>
      <c r="AS583" s="76"/>
      <c r="AT583" s="76"/>
    </row>
    <row r="584" spans="1:46" ht="15.75" customHeight="1" x14ac:dyDescent="0.25">
      <c r="A584" s="70"/>
      <c r="B584" s="16">
        <v>12</v>
      </c>
      <c r="C584" s="16" t="s">
        <v>41</v>
      </c>
      <c r="D584" s="44">
        <v>24</v>
      </c>
      <c r="E584" s="18">
        <f ca="1">IFERROR(__xludf.DUMMYFUNCTION("COUNT(IMPORTRANGE(""https://docs.google.com/spreadsheets/d/1oYscvfOJW7GMkxt8QcupWuzb3ohaYePd3Mt2V2ufHok/edit"",""22!d2:d25""))"),23)</f>
        <v>23</v>
      </c>
      <c r="F584" s="23">
        <f ca="1">IFERROR(__xludf.DUMMYFUNCTION("SUM(IMPORTRANGE(""https://docs.google.com/spreadsheets/d/1oYscvfOJW7GMkxt8QcupWuzb3ohaYePd3Mt2V2ufHok/edit"",""22!Q2:Q25""))"),4602.216)</f>
        <v>4602.2160000000003</v>
      </c>
      <c r="G584" s="18">
        <f ca="1">IFERROR(__xludf.DUMMYFUNCTION("IMPORTRANGE(""https://docs.google.com/spreadsheets/d/1oYscvfOJW7GMkxt8QcupWuzb3ohaYePd3Mt2V2ufHok/edit"",""22!e32"")"),1346)</f>
        <v>1346</v>
      </c>
      <c r="H584" s="18">
        <f ca="1">IFERROR(__xludf.DUMMYFUNCTION("IMPORTRANGE(""https://docs.google.com/spreadsheets/d/1oYscvfOJW7GMkxt8QcupWuzb3ohaYePd3Mt2V2ufHok/edit"",""22!e33"")"),0)</f>
        <v>0</v>
      </c>
      <c r="I584" s="18">
        <f t="shared" ca="1" si="1587"/>
        <v>1346</v>
      </c>
      <c r="J584" s="18">
        <f ca="1">IFERROR(__xludf.DUMMYFUNCTION("IMPORTRANGE(""https://docs.google.com/spreadsheets/d/1oYscvfOJW7GMkxt8QcupWuzb3ohaYePd3Mt2V2ufHok/edit"",""22!e36"")"),1753)</f>
        <v>1753</v>
      </c>
      <c r="K584" s="18">
        <f ca="1">IFERROR(__xludf.DUMMYFUNCTION("IMPORTRANGE(""https://docs.google.com/spreadsheets/d/1oYscvfOJW7GMkxt8QcupWuzb3ohaYePd3Mt2V2ufHok/edit"",""22!e37"")"),0)</f>
        <v>0</v>
      </c>
      <c r="L584" s="18">
        <f t="shared" ca="1" si="1617"/>
        <v>1753</v>
      </c>
      <c r="M584" s="18">
        <f t="shared" ca="1" si="1589"/>
        <v>3099</v>
      </c>
      <c r="N584" s="19">
        <f t="shared" ca="1" si="1590"/>
        <v>200.09634782608697</v>
      </c>
      <c r="O584" s="16">
        <v>3801</v>
      </c>
      <c r="P584" s="20">
        <f t="shared" ca="1" si="1591"/>
        <v>0.81531176006314132</v>
      </c>
      <c r="Q584" s="21">
        <v>1.5</v>
      </c>
      <c r="R584" s="20">
        <f t="shared" ca="1" si="1592"/>
        <v>0.44891417525817995</v>
      </c>
      <c r="S584" s="22">
        <f t="shared" ca="1" si="1593"/>
        <v>0.67337126288726989</v>
      </c>
      <c r="T584" s="21">
        <f ca="1">F584/29.628</f>
        <v>155.33333333333334</v>
      </c>
      <c r="U584" s="21">
        <f t="shared" ca="1" si="1594"/>
        <v>6.7536231884057978</v>
      </c>
      <c r="V584" s="18">
        <f t="shared" ca="1" si="1595"/>
        <v>134.7391304347826</v>
      </c>
      <c r="W584" s="76"/>
      <c r="X584" s="8">
        <v>6</v>
      </c>
      <c r="Y584" s="8" t="s">
        <v>42</v>
      </c>
      <c r="Z584" s="8">
        <f t="shared" ref="Z584:AI584" si="1626">SUM(D588)</f>
        <v>33</v>
      </c>
      <c r="AA584" s="9">
        <f t="shared" ca="1" si="1626"/>
        <v>31</v>
      </c>
      <c r="AB584" s="10">
        <f t="shared" ca="1" si="1626"/>
        <v>6049.4979999999896</v>
      </c>
      <c r="AC584" s="9">
        <f t="shared" ca="1" si="1626"/>
        <v>2986</v>
      </c>
      <c r="AD584" s="9">
        <f t="shared" ca="1" si="1626"/>
        <v>0</v>
      </c>
      <c r="AE584" s="9">
        <f t="shared" ca="1" si="1626"/>
        <v>2986</v>
      </c>
      <c r="AF584" s="9">
        <f t="shared" ca="1" si="1626"/>
        <v>4481</v>
      </c>
      <c r="AG584" s="9">
        <f t="shared" ca="1" si="1626"/>
        <v>0</v>
      </c>
      <c r="AH584" s="9">
        <f t="shared" ca="1" si="1626"/>
        <v>4481</v>
      </c>
      <c r="AI584" s="9">
        <f t="shared" ca="1" si="1626"/>
        <v>7467</v>
      </c>
      <c r="AJ584" s="11">
        <f t="shared" ca="1" si="1607"/>
        <v>195.14509677419321</v>
      </c>
      <c r="AK584" s="8">
        <f t="shared" si="1623"/>
        <v>9877</v>
      </c>
      <c r="AL584" s="12">
        <f t="shared" ca="1" si="1609"/>
        <v>0.75599878505619111</v>
      </c>
      <c r="AM584" s="13">
        <f t="shared" si="1624"/>
        <v>1.5</v>
      </c>
      <c r="AN584" s="12">
        <f t="shared" ca="1" si="1611"/>
        <v>0.8228781958436896</v>
      </c>
      <c r="AO584" s="14">
        <f t="shared" ca="1" si="1612"/>
        <v>1.2343172937655345</v>
      </c>
      <c r="AP584" s="13">
        <f t="shared" ref="AP584:AQ584" ca="1" si="1627">SUM(T588)</f>
        <v>231.29413114127277</v>
      </c>
      <c r="AQ584" s="13">
        <f t="shared" ca="1" si="1627"/>
        <v>7.4611010045571859</v>
      </c>
      <c r="AR584" s="9">
        <f t="shared" ca="1" si="1614"/>
        <v>240.87096774193549</v>
      </c>
      <c r="AS584" s="76"/>
      <c r="AT584" s="76"/>
    </row>
    <row r="585" spans="1:46" ht="15.75" customHeight="1" x14ac:dyDescent="0.25">
      <c r="A585" s="70"/>
      <c r="B585" s="16">
        <v>13</v>
      </c>
      <c r="C585" s="16" t="s">
        <v>43</v>
      </c>
      <c r="D585" s="44">
        <v>30</v>
      </c>
      <c r="E585" s="18">
        <f ca="1">IFERROR(__xludf.DUMMYFUNCTION("COUNT(IMPORTRANGE(""https://docs.google.com/spreadsheets/d/1AxBmuQEdOYAeRnZ4C8vO6kuTNp7X_SGhpLXuY0n4ln4/edit"",""22!d2:d31""))"),30)</f>
        <v>30</v>
      </c>
      <c r="F585" s="23">
        <f ca="1">IFERROR(__xludf.DUMMYFUNCTION("SUM(IMPORTRANGE(""https://docs.google.com/spreadsheets/d/1AxBmuQEdOYAeRnZ4C8vO6kuTNp7X_SGhpLXuY0n4ln4/edit"",""22!Q2:Q31""))"),6325.48299999999)</f>
        <v>6325.4829999999902</v>
      </c>
      <c r="G585" s="18">
        <f ca="1">IFERROR(__xludf.DUMMYFUNCTION("IMPORTRANGE(""https://docs.google.com/spreadsheets/d/1AxBmuQEdOYAeRnZ4C8vO6kuTNp7X_SGhpLXuY0n4ln4/edit"",""22!e38"")"),2259)</f>
        <v>2259</v>
      </c>
      <c r="H585" s="18">
        <f ca="1">IFERROR(__xludf.DUMMYFUNCTION("IMPORTRANGE(""https://docs.google.com/spreadsheets/d/1AxBmuQEdOYAeRnZ4C8vO6kuTNp7X_SGhpLXuY0n4ln4/edit"",""22!e39"")"),0)</f>
        <v>0</v>
      </c>
      <c r="I585" s="18">
        <f t="shared" ca="1" si="1587"/>
        <v>2259</v>
      </c>
      <c r="J585" s="18">
        <f ca="1">IFERROR(__xludf.DUMMYFUNCTION("IMPORTRANGE(""https://docs.google.com/spreadsheets/d/1AxBmuQEdOYAeRnZ4C8vO6kuTNp7X_SGhpLXuY0n4ln4/edit"",""22!e42"")"),2532)</f>
        <v>2532</v>
      </c>
      <c r="K585" s="18">
        <f ca="1">IFERROR(__xludf.DUMMYFUNCTION("IMPORTRANGE(""https://docs.google.com/spreadsheets/d/1AxBmuQEdOYAeRnZ4C8vO6kuTNp7X_SGhpLXuY0n4ln4/edit"",""22!e43"")"),117)</f>
        <v>117</v>
      </c>
      <c r="L585" s="18">
        <f t="shared" ca="1" si="1617"/>
        <v>2649</v>
      </c>
      <c r="M585" s="18">
        <f t="shared" ca="1" si="1589"/>
        <v>4908</v>
      </c>
      <c r="N585" s="19">
        <f t="shared" ca="1" si="1590"/>
        <v>210.849433333333</v>
      </c>
      <c r="O585" s="16">
        <v>8345</v>
      </c>
      <c r="P585" s="20">
        <f t="shared" ca="1" si="1591"/>
        <v>0.5881366087477532</v>
      </c>
      <c r="Q585" s="21">
        <v>1.5</v>
      </c>
      <c r="R585" s="20">
        <f t="shared" ca="1" si="1592"/>
        <v>0.51727275213608281</v>
      </c>
      <c r="S585" s="22">
        <f t="shared" ca="1" si="1593"/>
        <v>0.77590912820412417</v>
      </c>
      <c r="T585" s="21">
        <f ca="1">F585/41.205</f>
        <v>153.51251061764324</v>
      </c>
      <c r="U585" s="21">
        <f t="shared" ca="1" si="1594"/>
        <v>5.1170836872547749</v>
      </c>
      <c r="V585" s="18">
        <f t="shared" ca="1" si="1595"/>
        <v>163.6</v>
      </c>
      <c r="W585" s="76"/>
      <c r="X585" s="24" t="s">
        <v>33</v>
      </c>
      <c r="Y585" s="24">
        <v>6</v>
      </c>
      <c r="Z585" s="24">
        <f t="shared" ref="Z585:AI585" si="1628">SUM(Z579:Z584)</f>
        <v>226</v>
      </c>
      <c r="AA585" s="25">
        <f t="shared" ca="1" si="1628"/>
        <v>222</v>
      </c>
      <c r="AB585" s="27">
        <f t="shared" ca="1" si="1628"/>
        <v>44134.348999999871</v>
      </c>
      <c r="AC585" s="25">
        <f t="shared" ca="1" si="1628"/>
        <v>17697</v>
      </c>
      <c r="AD585" s="25">
        <f t="shared" ca="1" si="1628"/>
        <v>224</v>
      </c>
      <c r="AE585" s="25">
        <f t="shared" ca="1" si="1628"/>
        <v>17921</v>
      </c>
      <c r="AF585" s="25">
        <f t="shared" ca="1" si="1628"/>
        <v>23377</v>
      </c>
      <c r="AG585" s="25">
        <f t="shared" ca="1" si="1628"/>
        <v>263</v>
      </c>
      <c r="AH585" s="25">
        <f t="shared" ca="1" si="1628"/>
        <v>23640</v>
      </c>
      <c r="AI585" s="25">
        <f t="shared" ca="1" si="1628"/>
        <v>41561</v>
      </c>
      <c r="AJ585" s="27">
        <f t="shared" ca="1" si="1607"/>
        <v>198.80337387387328</v>
      </c>
      <c r="AK585" s="24">
        <f>SUM(AK579:AK584)</f>
        <v>53273</v>
      </c>
      <c r="AL585" s="28">
        <f t="shared" ca="1" si="1609"/>
        <v>0.78015129615377399</v>
      </c>
      <c r="AM585" s="29">
        <v>1.5</v>
      </c>
      <c r="AN585" s="28">
        <f t="shared" ca="1" si="1611"/>
        <v>0.62779521984868103</v>
      </c>
      <c r="AO585" s="30">
        <f t="shared" ca="1" si="1612"/>
        <v>0.94169282977302149</v>
      </c>
      <c r="AP585" s="29">
        <f ca="1">SUM(AP579:AP584)</f>
        <v>1446.828957672227</v>
      </c>
      <c r="AQ585" s="29">
        <f ca="1">AP585/AA585</f>
        <v>6.5172475570821033</v>
      </c>
      <c r="AR585" s="25">
        <f t="shared" ca="1" si="1614"/>
        <v>187.2117117117117</v>
      </c>
      <c r="AS585" s="76"/>
      <c r="AT585" s="76"/>
    </row>
    <row r="586" spans="1:46" ht="15.75" customHeight="1" x14ac:dyDescent="0.25">
      <c r="A586" s="70"/>
      <c r="B586" s="16">
        <v>14</v>
      </c>
      <c r="C586" s="16" t="s">
        <v>27</v>
      </c>
      <c r="D586" s="44">
        <v>30</v>
      </c>
      <c r="E586" s="18">
        <f ca="1">IFERROR(__xludf.DUMMYFUNCTION("COUNT(IMPORTRANGE(""https://docs.google.com/spreadsheets/d/1LsL4JuXvBtfJ-TVi4NFml9lV_pmd61b789A_nbO-QrA/edit"",""22!d2:d31""))"),30)</f>
        <v>30</v>
      </c>
      <c r="F586" s="23">
        <f ca="1">IFERROR(__xludf.DUMMYFUNCTION("SUM(IMPORTRANGE(""https://docs.google.com/spreadsheets/d/1LsL4JuXvBtfJ-TVi4NFml9lV_pmd61b789A_nbO-QrA/edit"",""22!Q2:Q31""))"),5551.72299999999)</f>
        <v>5551.72299999999</v>
      </c>
      <c r="G586" s="18">
        <f ca="1">IFERROR(__xludf.DUMMYFUNCTION("IMPORTRANGE(""https://docs.google.com/spreadsheets/d/1LsL4JuXvBtfJ-TVi4NFml9lV_pmd61b789A_nbO-QrA/edit"",""22!e38"")"),2142)</f>
        <v>2142</v>
      </c>
      <c r="H586" s="18">
        <f ca="1">IFERROR(__xludf.DUMMYFUNCTION("IMPORTRANGE(""https://docs.google.com/spreadsheets/d/1LsL4JuXvBtfJ-TVi4NFml9lV_pmd61b789A_nbO-QrA/edit"",""22!e39"")"),30)</f>
        <v>30</v>
      </c>
      <c r="I586" s="18">
        <f t="shared" ca="1" si="1587"/>
        <v>2172</v>
      </c>
      <c r="J586" s="18">
        <f ca="1">IFERROR(__xludf.DUMMYFUNCTION("IMPORTRANGE(""https://docs.google.com/spreadsheets/d/1LsL4JuXvBtfJ-TVi4NFml9lV_pmd61b789A_nbO-QrA/edit"",""22!e42"")"),3314)</f>
        <v>3314</v>
      </c>
      <c r="K586" s="18">
        <f ca="1">IFERROR(__xludf.DUMMYFUNCTION("IMPORTRANGE(""https://docs.google.com/spreadsheets/d/1LsL4JuXvBtfJ-TVi4NFml9lV_pmd61b789A_nbO-QrA/edit"",""22!e43"")"),0)</f>
        <v>0</v>
      </c>
      <c r="L586" s="18">
        <f t="shared" ca="1" si="1617"/>
        <v>3314</v>
      </c>
      <c r="M586" s="18">
        <f t="shared" ca="1" si="1589"/>
        <v>5486</v>
      </c>
      <c r="N586" s="19">
        <f t="shared" ca="1" si="1590"/>
        <v>185.05743333333299</v>
      </c>
      <c r="O586" s="16">
        <v>8101</v>
      </c>
      <c r="P586" s="20">
        <f t="shared" ca="1" si="1591"/>
        <v>0.67720034563634124</v>
      </c>
      <c r="Q586" s="21">
        <v>1.5</v>
      </c>
      <c r="R586" s="20">
        <f t="shared" ca="1" si="1592"/>
        <v>0.65877446215046032</v>
      </c>
      <c r="S586" s="22">
        <f t="shared" ca="1" si="1593"/>
        <v>0.98816169322569047</v>
      </c>
      <c r="T586" s="21">
        <f ca="1">F586/19.985</f>
        <v>277.79449587190345</v>
      </c>
      <c r="U586" s="21">
        <f t="shared" ca="1" si="1594"/>
        <v>9.259816529063448</v>
      </c>
      <c r="V586" s="18">
        <f t="shared" ca="1" si="1595"/>
        <v>182.86666666666667</v>
      </c>
      <c r="W586" s="76"/>
      <c r="X586" s="97" t="s">
        <v>44</v>
      </c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9"/>
      <c r="AS586" s="76"/>
      <c r="AT586" s="76"/>
    </row>
    <row r="587" spans="1:46" ht="15.75" customHeight="1" x14ac:dyDescent="0.25">
      <c r="A587" s="70"/>
      <c r="B587" s="16">
        <v>15</v>
      </c>
      <c r="C587" s="16" t="s">
        <v>40</v>
      </c>
      <c r="D587" s="44">
        <v>30</v>
      </c>
      <c r="E587" s="18">
        <f ca="1">IFERROR(__xludf.DUMMYFUNCTION("COUNT(IMPORTRANGE(""https://docs.google.com/spreadsheets/d/1Krav0MVlY0vbUNsFRDnb_kR72_tyuGnWBYbGjNZrl18/edit"",""22!d2:d31""))"),30)</f>
        <v>30</v>
      </c>
      <c r="F587" s="23">
        <f ca="1">IFERROR(__xludf.DUMMYFUNCTION("SUM(IMPORTRANGE(""https://docs.google.com/spreadsheets/d/1Krav0MVlY0vbUNsFRDnb_kR72_tyuGnWBYbGjNZrl18/edit"",""22!Q2:Q31""))"),5788.81699999999)</f>
        <v>5788.81699999999</v>
      </c>
      <c r="G587" s="18">
        <f ca="1">IFERROR(__xludf.DUMMYFUNCTION("IMPORTRANGE(""https://docs.google.com/spreadsheets/d/1Krav0MVlY0vbUNsFRDnb_kR72_tyuGnWBYbGjNZrl18/edit"",""22!e38"")"),3226)</f>
        <v>3226</v>
      </c>
      <c r="H587" s="18">
        <f ca="1">IFERROR(__xludf.DUMMYFUNCTION("IMPORTRANGE(""https://docs.google.com/spreadsheets/d/1Krav0MVlY0vbUNsFRDnb_kR72_tyuGnWBYbGjNZrl18/edit"",""22!e39"")"),48)</f>
        <v>48</v>
      </c>
      <c r="I587" s="18">
        <f t="shared" ca="1" si="1587"/>
        <v>3274</v>
      </c>
      <c r="J587" s="18">
        <f ca="1">IFERROR(__xludf.DUMMYFUNCTION("IMPORTRANGE(""https://docs.google.com/spreadsheets/d/1Krav0MVlY0vbUNsFRDnb_kR72_tyuGnWBYbGjNZrl18/edit"",""22!e42"")"),3983)</f>
        <v>3983</v>
      </c>
      <c r="K587" s="18">
        <f ca="1">IFERROR(__xludf.DUMMYFUNCTION("IMPORTRANGE(""https://docs.google.com/spreadsheets/d/1Krav0MVlY0vbUNsFRDnb_kR72_tyuGnWBYbGjNZrl18/edit"",""22!e43"")"),35)</f>
        <v>35</v>
      </c>
      <c r="L587" s="18">
        <f t="shared" ca="1" si="1617"/>
        <v>4018</v>
      </c>
      <c r="M587" s="18">
        <f t="shared" ca="1" si="1589"/>
        <v>7292</v>
      </c>
      <c r="N587" s="19">
        <f t="shared" ca="1" si="1590"/>
        <v>192.96056666666632</v>
      </c>
      <c r="O587" s="16">
        <v>8239</v>
      </c>
      <c r="P587" s="20">
        <f t="shared" ca="1" si="1591"/>
        <v>0.8850588663672776</v>
      </c>
      <c r="Q587" s="21">
        <v>1.5</v>
      </c>
      <c r="R587" s="20">
        <f t="shared" ca="1" si="1592"/>
        <v>0.83978010245156165</v>
      </c>
      <c r="S587" s="22">
        <f t="shared" ca="1" si="1593"/>
        <v>1.2596701536773425</v>
      </c>
      <c r="T587" s="21">
        <f ca="1">F587/28.443</f>
        <v>203.52343283057306</v>
      </c>
      <c r="U587" s="21">
        <f t="shared" ca="1" si="1594"/>
        <v>6.7841144276857683</v>
      </c>
      <c r="V587" s="18">
        <f t="shared" ca="1" si="1595"/>
        <v>243.06666666666666</v>
      </c>
      <c r="W587" s="76"/>
      <c r="X587" s="1" t="s">
        <v>2</v>
      </c>
      <c r="Y587" s="1" t="s">
        <v>3</v>
      </c>
      <c r="Z587" s="1" t="s">
        <v>4</v>
      </c>
      <c r="AA587" s="1" t="s">
        <v>5</v>
      </c>
      <c r="AB587" s="2" t="s">
        <v>6</v>
      </c>
      <c r="AC587" s="1" t="s">
        <v>7</v>
      </c>
      <c r="AD587" s="1" t="s">
        <v>8</v>
      </c>
      <c r="AE587" s="1" t="s">
        <v>9</v>
      </c>
      <c r="AF587" s="1" t="s">
        <v>10</v>
      </c>
      <c r="AG587" s="1" t="s">
        <v>11</v>
      </c>
      <c r="AH587" s="1" t="s">
        <v>12</v>
      </c>
      <c r="AI587" s="1" t="s">
        <v>13</v>
      </c>
      <c r="AJ587" s="2" t="s">
        <v>14</v>
      </c>
      <c r="AK587" s="1" t="s">
        <v>15</v>
      </c>
      <c r="AL587" s="1" t="s">
        <v>16</v>
      </c>
      <c r="AM587" s="3" t="s">
        <v>17</v>
      </c>
      <c r="AN587" s="4" t="s">
        <v>18</v>
      </c>
      <c r="AO587" s="5" t="s">
        <v>19</v>
      </c>
      <c r="AP587" s="6" t="s">
        <v>20</v>
      </c>
      <c r="AQ587" s="6" t="s">
        <v>21</v>
      </c>
      <c r="AR587" s="7" t="s">
        <v>22</v>
      </c>
      <c r="AS587" s="76"/>
      <c r="AT587" s="76"/>
    </row>
    <row r="588" spans="1:46" ht="15.75" customHeight="1" x14ac:dyDescent="0.25">
      <c r="A588" s="70"/>
      <c r="B588" s="16">
        <v>16</v>
      </c>
      <c r="C588" s="16" t="s">
        <v>42</v>
      </c>
      <c r="D588" s="44">
        <v>33</v>
      </c>
      <c r="E588" s="18">
        <f ca="1">IFERROR(__xludf.DUMMYFUNCTION("COUNT(IMPORTRANGE(""https://docs.google.com/spreadsheets/d/1uXtm-E8PG0CetlFmSpTX3RK0LNEMnpR-mxbET9AGD6w/edit"",""22!d2:d34""))"),31)</f>
        <v>31</v>
      </c>
      <c r="F588" s="23">
        <f ca="1">IFERROR(__xludf.DUMMYFUNCTION("SUM(IMPORTRANGE(""https://docs.google.com/spreadsheets/d/1uXtm-E8PG0CetlFmSpTX3RK0LNEMnpR-mxbET9AGD6w/edit"",""22!Q2:Q34""))"),6049.49799999999)</f>
        <v>6049.4979999999896</v>
      </c>
      <c r="G588" s="18">
        <f ca="1">IFERROR(__xludf.DUMMYFUNCTION("IMPORTRANGE(""https://docs.google.com/spreadsheets/d/1uXtm-E8PG0CetlFmSpTX3RK0LNEMnpR-mxbET9AGD6w/edit"",""22!e41"")"),2986)</f>
        <v>2986</v>
      </c>
      <c r="H588" s="18">
        <f ca="1">IFERROR(__xludf.DUMMYFUNCTION("IMPORTRANGE(""https://docs.google.com/spreadsheets/d/1uXtm-E8PG0CetlFmSpTX3RK0LNEMnpR-mxbET9AGD6w/edit"",""22!e42"")"),0)</f>
        <v>0</v>
      </c>
      <c r="I588" s="18">
        <f t="shared" ca="1" si="1587"/>
        <v>2986</v>
      </c>
      <c r="J588" s="18">
        <f ca="1">IFERROR(__xludf.DUMMYFUNCTION("IMPORTRANGE(""https://docs.google.com/spreadsheets/d/1uXtm-E8PG0CetlFmSpTX3RK0LNEMnpR-mxbET9AGD6w/edit"",""22!e45"")"),4481)</f>
        <v>4481</v>
      </c>
      <c r="K588" s="18">
        <f ca="1">IFERROR(__xludf.DUMMYFUNCTION("IMPORTRANGE(""https://docs.google.com/spreadsheets/d/1uXtm-E8PG0CetlFmSpTX3RK0LNEMnpR-mxbET9AGD6w/edit"",""22!e46"")"),0)</f>
        <v>0</v>
      </c>
      <c r="L588" s="18">
        <f t="shared" ca="1" si="1617"/>
        <v>4481</v>
      </c>
      <c r="M588" s="18">
        <f t="shared" ca="1" si="1589"/>
        <v>7467</v>
      </c>
      <c r="N588" s="19">
        <f t="shared" ca="1" si="1590"/>
        <v>195.14509677419321</v>
      </c>
      <c r="O588" s="16">
        <v>9877</v>
      </c>
      <c r="P588" s="20">
        <f t="shared" ca="1" si="1591"/>
        <v>0.75599878505619111</v>
      </c>
      <c r="Q588" s="21">
        <v>1.5</v>
      </c>
      <c r="R588" s="20">
        <f t="shared" ca="1" si="1592"/>
        <v>0.8228781958436896</v>
      </c>
      <c r="S588" s="22">
        <f t="shared" ca="1" si="1593"/>
        <v>1.2343172937655345</v>
      </c>
      <c r="T588" s="21">
        <f ca="1">F588/26.155</f>
        <v>231.29413114127277</v>
      </c>
      <c r="U588" s="21">
        <f t="shared" ca="1" si="1594"/>
        <v>7.4611010045571859</v>
      </c>
      <c r="V588" s="18">
        <f t="shared" ca="1" si="1595"/>
        <v>240.87096774193549</v>
      </c>
      <c r="W588" s="76"/>
      <c r="X588" s="8">
        <v>1</v>
      </c>
      <c r="Y588" s="8" t="s">
        <v>26</v>
      </c>
      <c r="Z588" s="8">
        <f t="shared" ref="Z588:AI588" si="1629">SUM(D573)</f>
        <v>20</v>
      </c>
      <c r="AA588" s="9">
        <f t="shared" ca="1" si="1629"/>
        <v>19</v>
      </c>
      <c r="AB588" s="11">
        <f t="shared" ca="1" si="1629"/>
        <v>3669.1529999999998</v>
      </c>
      <c r="AC588" s="9">
        <f t="shared" ca="1" si="1629"/>
        <v>1696</v>
      </c>
      <c r="AD588" s="9">
        <f t="shared" ca="1" si="1629"/>
        <v>42</v>
      </c>
      <c r="AE588" s="9">
        <f t="shared" ca="1" si="1629"/>
        <v>1738</v>
      </c>
      <c r="AF588" s="9">
        <f t="shared" ca="1" si="1629"/>
        <v>3237</v>
      </c>
      <c r="AG588" s="9">
        <f t="shared" ca="1" si="1629"/>
        <v>140</v>
      </c>
      <c r="AH588" s="9">
        <f t="shared" ca="1" si="1629"/>
        <v>3377</v>
      </c>
      <c r="AI588" s="9">
        <f t="shared" ca="1" si="1629"/>
        <v>5115</v>
      </c>
      <c r="AJ588" s="11">
        <f t="shared" ref="AJ588:AJ594" ca="1" si="1630">AB588/AA588</f>
        <v>193.11331578947366</v>
      </c>
      <c r="AK588" s="8">
        <f>SUM(O573)</f>
        <v>5161</v>
      </c>
      <c r="AL588" s="12">
        <f t="shared" ref="AL588:AL594" ca="1" si="1631">AI588/AK588</f>
        <v>0.99108699864367367</v>
      </c>
      <c r="AM588" s="13">
        <f>SUM(Q573)</f>
        <v>1.5</v>
      </c>
      <c r="AN588" s="12">
        <f t="shared" ref="AN588:AN594" ca="1" si="1632">AO588/AM588</f>
        <v>0.92936980278554759</v>
      </c>
      <c r="AO588" s="14">
        <f t="shared" ref="AO588:AO594" ca="1" si="1633">AI588/AB588</f>
        <v>1.3940547041783213</v>
      </c>
      <c r="AP588" s="13">
        <f t="shared" ref="AP588:AQ588" ca="1" si="1634">SUM(T573)</f>
        <v>254.53714880332987</v>
      </c>
      <c r="AQ588" s="13">
        <f t="shared" ca="1" si="1634"/>
        <v>13.39669204228052</v>
      </c>
      <c r="AR588" s="9">
        <f t="shared" ref="AR588:AR594" ca="1" si="1635">AI588/AA588</f>
        <v>269.21052631578948</v>
      </c>
      <c r="AS588" s="76"/>
      <c r="AT588" s="76"/>
    </row>
    <row r="589" spans="1:46" ht="15.75" customHeight="1" x14ac:dyDescent="0.25">
      <c r="A589" s="70"/>
      <c r="B589" s="16">
        <v>17</v>
      </c>
      <c r="C589" s="16" t="s">
        <v>29</v>
      </c>
      <c r="D589" s="44">
        <v>30</v>
      </c>
      <c r="E589" s="18">
        <f ca="1">IFERROR(__xludf.DUMMYFUNCTION("COUNT(IMPORTRANGE(""https://docs.google.com/spreadsheets/d/12xcKI0lSnAsjEsxfm9K8Qx0B_89Gzsh816mowItkQao/edit"",""22!d2:d31""))"),30)</f>
        <v>30</v>
      </c>
      <c r="F589" s="23">
        <f ca="1">IFERROR(__xludf.DUMMYFUNCTION("SUM(IMPORTRANGE(""https://docs.google.com/spreadsheets/d/12xcKI0lSnAsjEsxfm9K8Qx0B_89Gzsh816mowItkQao/edit"",""22!Q2:Q31""))"),6066.85399999999)</f>
        <v>6066.8539999999903</v>
      </c>
      <c r="G589" s="18">
        <f ca="1">IFERROR(__xludf.DUMMYFUNCTION("IMPORTRANGE(""https://docs.google.com/spreadsheets/d/12xcKI0lSnAsjEsxfm9K8Qx0B_89Gzsh816mowItkQao/edit"",""22!e38"")"),2900)</f>
        <v>2900</v>
      </c>
      <c r="H589" s="18">
        <f ca="1">IFERROR(__xludf.DUMMYFUNCTION("IMPORTRANGE(""https://docs.google.com/spreadsheets/d/12xcKI0lSnAsjEsxfm9K8Qx0B_89Gzsh816mowItkQao/edit"",""22!e39"")"),0)</f>
        <v>0</v>
      </c>
      <c r="I589" s="18">
        <f t="shared" ca="1" si="1587"/>
        <v>2900</v>
      </c>
      <c r="J589" s="18">
        <f ca="1">IFERROR(__xludf.DUMMYFUNCTION("IMPORTRANGE(""https://docs.google.com/spreadsheets/d/12xcKI0lSnAsjEsxfm9K8Qx0B_89Gzsh816mowItkQao/edit"",""22!e42"")"),4011)</f>
        <v>4011</v>
      </c>
      <c r="K589" s="18">
        <f ca="1">IFERROR(__xludf.DUMMYFUNCTION("IMPORTRANGE(""https://docs.google.com/spreadsheets/d/12xcKI0lSnAsjEsxfm9K8Qx0B_89Gzsh816mowItkQao/edit"",""22!e43"")"),20)</f>
        <v>20</v>
      </c>
      <c r="L589" s="18">
        <f t="shared" ca="1" si="1617"/>
        <v>4031</v>
      </c>
      <c r="M589" s="18">
        <f t="shared" ca="1" si="1589"/>
        <v>6931</v>
      </c>
      <c r="N589" s="19">
        <f t="shared" ca="1" si="1590"/>
        <v>202.22846666666635</v>
      </c>
      <c r="O589" s="16">
        <v>9201</v>
      </c>
      <c r="P589" s="20">
        <f t="shared" ca="1" si="1591"/>
        <v>0.75328768612107377</v>
      </c>
      <c r="Q589" s="21">
        <v>1.5</v>
      </c>
      <c r="R589" s="20">
        <f t="shared" ca="1" si="1592"/>
        <v>0.76162483334305964</v>
      </c>
      <c r="S589" s="22">
        <f t="shared" ca="1" si="1593"/>
        <v>1.1424372500145894</v>
      </c>
      <c r="T589" s="21">
        <f ca="1">F589/26.038</f>
        <v>232.99999999999963</v>
      </c>
      <c r="U589" s="21">
        <f t="shared" ca="1" si="1594"/>
        <v>7.7666666666666542</v>
      </c>
      <c r="V589" s="18">
        <f t="shared" ca="1" si="1595"/>
        <v>231.03333333333333</v>
      </c>
      <c r="W589" s="76"/>
      <c r="X589" s="8">
        <v>2</v>
      </c>
      <c r="Y589" s="8" t="s">
        <v>32</v>
      </c>
      <c r="Z589" s="8">
        <f t="shared" ref="Z589:AI589" si="1636">SUM(D576)</f>
        <v>42</v>
      </c>
      <c r="AA589" s="9">
        <f t="shared" ca="1" si="1636"/>
        <v>42</v>
      </c>
      <c r="AB589" s="10">
        <f t="shared" ca="1" si="1636"/>
        <v>8229.19199999999</v>
      </c>
      <c r="AC589" s="8">
        <f t="shared" ca="1" si="1636"/>
        <v>4548</v>
      </c>
      <c r="AD589" s="8">
        <f t="shared" ca="1" si="1636"/>
        <v>0</v>
      </c>
      <c r="AE589" s="9">
        <f t="shared" ca="1" si="1636"/>
        <v>4548</v>
      </c>
      <c r="AF589" s="8">
        <f t="shared" ca="1" si="1636"/>
        <v>5423</v>
      </c>
      <c r="AG589" s="8">
        <f t="shared" ca="1" si="1636"/>
        <v>0</v>
      </c>
      <c r="AH589" s="9">
        <f t="shared" ca="1" si="1636"/>
        <v>5423</v>
      </c>
      <c r="AI589" s="9">
        <f t="shared" ca="1" si="1636"/>
        <v>9971</v>
      </c>
      <c r="AJ589" s="11">
        <f t="shared" ca="1" si="1630"/>
        <v>195.93314285714263</v>
      </c>
      <c r="AK589" s="8">
        <f>SUM(O576)</f>
        <v>13817</v>
      </c>
      <c r="AL589" s="12">
        <f t="shared" ca="1" si="1631"/>
        <v>0.72164724614605191</v>
      </c>
      <c r="AM589" s="13">
        <f>SUM(Q576)</f>
        <v>1.5</v>
      </c>
      <c r="AN589" s="12">
        <f t="shared" ca="1" si="1632"/>
        <v>0.8077747284707103</v>
      </c>
      <c r="AO589" s="14">
        <f t="shared" ca="1" si="1633"/>
        <v>1.2116620927060655</v>
      </c>
      <c r="AP589" s="13">
        <f t="shared" ref="AP589:AQ589" ca="1" si="1637">SUM(T576)</f>
        <v>327.9999999999996</v>
      </c>
      <c r="AQ589" s="13">
        <f t="shared" ca="1" si="1637"/>
        <v>7.8095238095238004</v>
      </c>
      <c r="AR589" s="9">
        <f t="shared" ca="1" si="1635"/>
        <v>237.4047619047619</v>
      </c>
      <c r="AS589" s="76"/>
      <c r="AT589" s="76"/>
    </row>
    <row r="590" spans="1:46" ht="15.75" customHeight="1" x14ac:dyDescent="0.25">
      <c r="A590" s="70"/>
      <c r="B590" s="16">
        <v>18</v>
      </c>
      <c r="C590" s="16" t="s">
        <v>31</v>
      </c>
      <c r="D590" s="44">
        <v>15</v>
      </c>
      <c r="E590" s="18">
        <f ca="1">IFERROR(__xludf.DUMMYFUNCTION("COUNT(IMPORTRANGE(""https://docs.google.com/spreadsheets/d/1fgCFOFzOla4Qim6_-zG-lbYhLCItqv_kZiAHoErRgcM/edit"",""22!d2:d16""))"),15)</f>
        <v>15</v>
      </c>
      <c r="F590" s="19">
        <f ca="1">IFERROR(__xludf.DUMMYFUNCTION("SUM(IMPORTRANGE(""https://docs.google.com/spreadsheets/d/1fgCFOFzOla4Qim6_-zG-lbYhLCItqv_kZiAHoErRgcM/edit"",""22!Q2:Q16""))"),2912.15499999999)</f>
        <v>2912.1549999999902</v>
      </c>
      <c r="G590" s="18">
        <f ca="1">IFERROR(__xludf.DUMMYFUNCTION("IMPORTRANGE(""https://docs.google.com/spreadsheets/d/1fgCFOFzOla4Qim6_-zG-lbYhLCItqv_kZiAHoErRgcM/edit"",""22!e23"")"),917)</f>
        <v>917</v>
      </c>
      <c r="H590" s="18">
        <f ca="1">IFERROR(__xludf.DUMMYFUNCTION("IMPORTRANGE(""https://docs.google.com/spreadsheets/d/1fgCFOFzOla4Qim6_-zG-lbYhLCItqv_kZiAHoErRgcM/edit"",""22!e24"")"),0)</f>
        <v>0</v>
      </c>
      <c r="I590" s="18">
        <f t="shared" ca="1" si="1587"/>
        <v>917</v>
      </c>
      <c r="J590" s="18">
        <f ca="1">IFERROR(__xludf.DUMMYFUNCTION("IMPORTRANGE(""https://docs.google.com/spreadsheets/d/1fgCFOFzOla4Qim6_-zG-lbYhLCItqv_kZiAHoErRgcM/edit"",""22!e27"")"),1354)</f>
        <v>1354</v>
      </c>
      <c r="K590" s="18">
        <f ca="1">IFERROR(__xludf.DUMMYFUNCTION("IMPORTRANGE(""https://docs.google.com/spreadsheets/d/1fgCFOFzOla4Qim6_-zG-lbYhLCItqv_kZiAHoErRgcM/edit"",""22!e28"")"),0)</f>
        <v>0</v>
      </c>
      <c r="L590" s="18">
        <f t="shared" ca="1" si="1617"/>
        <v>1354</v>
      </c>
      <c r="M590" s="18">
        <f t="shared" ca="1" si="1589"/>
        <v>2271</v>
      </c>
      <c r="N590" s="19">
        <f t="shared" ca="1" si="1590"/>
        <v>194.14366666666601</v>
      </c>
      <c r="O590" s="16">
        <v>2717</v>
      </c>
      <c r="P590" s="20">
        <f t="shared" ca="1" si="1591"/>
        <v>0.83584836216415159</v>
      </c>
      <c r="Q590" s="21">
        <v>1.5</v>
      </c>
      <c r="R590" s="20">
        <f t="shared" ca="1" si="1592"/>
        <v>0.51988990970604421</v>
      </c>
      <c r="S590" s="22">
        <f t="shared" ca="1" si="1593"/>
        <v>0.77983486455906625</v>
      </c>
      <c r="T590" s="21">
        <f ca="1">F590/43.465</f>
        <v>66.999999999999773</v>
      </c>
      <c r="U590" s="21">
        <f t="shared" ca="1" si="1594"/>
        <v>4.4666666666666517</v>
      </c>
      <c r="V590" s="18">
        <f t="shared" ca="1" si="1595"/>
        <v>151.4</v>
      </c>
      <c r="W590" s="76"/>
      <c r="X590" s="8">
        <v>3</v>
      </c>
      <c r="Y590" s="8" t="s">
        <v>36</v>
      </c>
      <c r="Z590" s="8">
        <f t="shared" ref="Z590:AI590" si="1638">SUM(D581)</f>
        <v>29</v>
      </c>
      <c r="AA590" s="9">
        <f t="shared" ca="1" si="1638"/>
        <v>28</v>
      </c>
      <c r="AB590" s="10">
        <f t="shared" ca="1" si="1638"/>
        <v>5566.7059999999901</v>
      </c>
      <c r="AC590" s="9">
        <f t="shared" ca="1" si="1638"/>
        <v>1579</v>
      </c>
      <c r="AD590" s="9">
        <f t="shared" ca="1" si="1638"/>
        <v>0</v>
      </c>
      <c r="AE590" s="9">
        <f t="shared" ca="1" si="1638"/>
        <v>1579</v>
      </c>
      <c r="AF590" s="9">
        <f t="shared" ca="1" si="1638"/>
        <v>2410</v>
      </c>
      <c r="AG590" s="9">
        <f t="shared" ca="1" si="1638"/>
        <v>0</v>
      </c>
      <c r="AH590" s="9">
        <f t="shared" ca="1" si="1638"/>
        <v>2410</v>
      </c>
      <c r="AI590" s="9">
        <f t="shared" ca="1" si="1638"/>
        <v>3989</v>
      </c>
      <c r="AJ590" s="11">
        <f t="shared" ca="1" si="1630"/>
        <v>198.81092857142821</v>
      </c>
      <c r="AK590" s="8">
        <f t="shared" ref="AK590:AK593" si="1639">SUM(O581)</f>
        <v>4796</v>
      </c>
      <c r="AL590" s="12">
        <f t="shared" ca="1" si="1631"/>
        <v>0.83173477898248538</v>
      </c>
      <c r="AM590" s="13">
        <f t="shared" ref="AM590:AM593" si="1640">SUM(Q581)</f>
        <v>1.5</v>
      </c>
      <c r="AN590" s="12">
        <f t="shared" ca="1" si="1632"/>
        <v>0.47772117538331255</v>
      </c>
      <c r="AO590" s="14">
        <f t="shared" ca="1" si="1633"/>
        <v>0.71658176307496879</v>
      </c>
      <c r="AP590" s="13">
        <f t="shared" ref="AP590:AQ590" ca="1" si="1641">SUM(T581)</f>
        <v>148.78671085689822</v>
      </c>
      <c r="AQ590" s="13">
        <f t="shared" ca="1" si="1641"/>
        <v>5.3138111020320791</v>
      </c>
      <c r="AR590" s="9">
        <f t="shared" ca="1" si="1635"/>
        <v>142.46428571428572</v>
      </c>
      <c r="AS590" s="76"/>
      <c r="AT590" s="76"/>
    </row>
    <row r="591" spans="1:46" ht="15.75" customHeight="1" x14ac:dyDescent="0.2">
      <c r="A591" s="70"/>
      <c r="B591" s="98" t="s">
        <v>33</v>
      </c>
      <c r="C591" s="98">
        <v>18</v>
      </c>
      <c r="D591" s="98">
        <f t="shared" ref="D591:M591" si="1642">SUM(D573:D590)</f>
        <v>585</v>
      </c>
      <c r="E591" s="74">
        <f t="shared" ca="1" si="1642"/>
        <v>573</v>
      </c>
      <c r="F591" s="99">
        <f t="shared" ca="1" si="1642"/>
        <v>111951.8749999998</v>
      </c>
      <c r="G591" s="74">
        <f t="shared" ca="1" si="1642"/>
        <v>41524</v>
      </c>
      <c r="H591" s="74">
        <f t="shared" ca="1" si="1642"/>
        <v>843</v>
      </c>
      <c r="I591" s="74">
        <f t="shared" ca="1" si="1642"/>
        <v>42367</v>
      </c>
      <c r="J591" s="74">
        <f t="shared" ca="1" si="1642"/>
        <v>57147</v>
      </c>
      <c r="K591" s="74">
        <f t="shared" ca="1" si="1642"/>
        <v>689</v>
      </c>
      <c r="L591" s="74">
        <f t="shared" ca="1" si="1642"/>
        <v>57836</v>
      </c>
      <c r="M591" s="74">
        <f t="shared" ca="1" si="1642"/>
        <v>100203</v>
      </c>
      <c r="N591" s="99">
        <f t="shared" ca="1" si="1590"/>
        <v>195.37849040139579</v>
      </c>
      <c r="O591" s="98">
        <f>SUM(O573:O590)</f>
        <v>126399</v>
      </c>
      <c r="P591" s="69">
        <f t="shared" ca="1" si="1591"/>
        <v>0.79275152493295042</v>
      </c>
      <c r="Q591" s="72">
        <v>1.5</v>
      </c>
      <c r="R591" s="69">
        <f t="shared" ca="1" si="1592"/>
        <v>0.59670282431625299</v>
      </c>
      <c r="S591" s="73">
        <f t="shared" ca="1" si="1593"/>
        <v>0.89505423647437954</v>
      </c>
      <c r="T591" s="72">
        <f ca="1">SUM(T573:T590)</f>
        <v>4114.2424470867718</v>
      </c>
      <c r="U591" s="72">
        <f t="shared" ca="1" si="1594"/>
        <v>7.18017879072735</v>
      </c>
      <c r="V591" s="74">
        <f t="shared" ca="1" si="1595"/>
        <v>174.87434554973822</v>
      </c>
      <c r="W591" s="76"/>
      <c r="X591" s="8">
        <v>4</v>
      </c>
      <c r="Y591" s="8" t="s">
        <v>37</v>
      </c>
      <c r="Z591" s="8">
        <f t="shared" ref="Z591:AI591" si="1643">SUM(D582)</f>
        <v>30</v>
      </c>
      <c r="AA591" s="9">
        <f t="shared" ca="1" si="1643"/>
        <v>30</v>
      </c>
      <c r="AB591" s="10">
        <f t="shared" ca="1" si="1643"/>
        <v>5960.94</v>
      </c>
      <c r="AC591" s="9">
        <f t="shared" ca="1" si="1643"/>
        <v>2277</v>
      </c>
      <c r="AD591" s="9">
        <f t="shared" ca="1" si="1643"/>
        <v>0</v>
      </c>
      <c r="AE591" s="9">
        <f t="shared" ca="1" si="1643"/>
        <v>2277</v>
      </c>
      <c r="AF591" s="9">
        <f t="shared" ca="1" si="1643"/>
        <v>2934</v>
      </c>
      <c r="AG591" s="9">
        <f t="shared" ca="1" si="1643"/>
        <v>0</v>
      </c>
      <c r="AH591" s="9">
        <f t="shared" ca="1" si="1643"/>
        <v>2934</v>
      </c>
      <c r="AI591" s="9">
        <f t="shared" ca="1" si="1643"/>
        <v>5211</v>
      </c>
      <c r="AJ591" s="11">
        <f t="shared" ca="1" si="1630"/>
        <v>198.69799999999998</v>
      </c>
      <c r="AK591" s="8">
        <f t="shared" si="1639"/>
        <v>5887</v>
      </c>
      <c r="AL591" s="12">
        <f t="shared" ca="1" si="1631"/>
        <v>0.88517071513504331</v>
      </c>
      <c r="AM591" s="13">
        <f t="shared" si="1640"/>
        <v>1.5</v>
      </c>
      <c r="AN591" s="12">
        <f t="shared" ca="1" si="1632"/>
        <v>0.58279398886752765</v>
      </c>
      <c r="AO591" s="14">
        <f t="shared" ca="1" si="1633"/>
        <v>0.87419098330129141</v>
      </c>
      <c r="AP591" s="13">
        <f t="shared" ref="AP591:AQ591" ca="1" si="1644">SUM(T582)</f>
        <v>240.43804453049367</v>
      </c>
      <c r="AQ591" s="13">
        <f t="shared" ca="1" si="1644"/>
        <v>8.0146014843497895</v>
      </c>
      <c r="AR591" s="9">
        <f t="shared" ca="1" si="1635"/>
        <v>173.7</v>
      </c>
      <c r="AS591" s="76"/>
      <c r="AT591" s="76"/>
    </row>
    <row r="592" spans="1:46" ht="15.75" customHeight="1" x14ac:dyDescent="0.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6"/>
      <c r="X592" s="8">
        <v>5</v>
      </c>
      <c r="Y592" s="8" t="s">
        <v>39</v>
      </c>
      <c r="Z592" s="8">
        <f t="shared" ref="Z592:AI592" si="1645">SUM(D583)</f>
        <v>28</v>
      </c>
      <c r="AA592" s="9">
        <f t="shared" ca="1" si="1645"/>
        <v>26</v>
      </c>
      <c r="AB592" s="10">
        <f t="shared" ca="1" si="1645"/>
        <v>5094.0069999999996</v>
      </c>
      <c r="AC592" s="9">
        <f t="shared" ca="1" si="1645"/>
        <v>1379</v>
      </c>
      <c r="AD592" s="9">
        <f t="shared" ca="1" si="1645"/>
        <v>0</v>
      </c>
      <c r="AE592" s="9">
        <f t="shared" ca="1" si="1645"/>
        <v>1379</v>
      </c>
      <c r="AF592" s="9">
        <f t="shared" ca="1" si="1645"/>
        <v>1566</v>
      </c>
      <c r="AG592" s="9">
        <f t="shared" ca="1" si="1645"/>
        <v>0</v>
      </c>
      <c r="AH592" s="9">
        <f t="shared" ca="1" si="1645"/>
        <v>1566</v>
      </c>
      <c r="AI592" s="9">
        <f t="shared" ca="1" si="1645"/>
        <v>2945</v>
      </c>
      <c r="AJ592" s="11">
        <f t="shared" ca="1" si="1630"/>
        <v>195.92334615384613</v>
      </c>
      <c r="AK592" s="8">
        <f t="shared" si="1639"/>
        <v>3569</v>
      </c>
      <c r="AL592" s="12">
        <f t="shared" ca="1" si="1631"/>
        <v>0.82516110955449706</v>
      </c>
      <c r="AM592" s="13">
        <f t="shared" si="1640"/>
        <v>1.5</v>
      </c>
      <c r="AN592" s="12">
        <f t="shared" ca="1" si="1632"/>
        <v>0.38542022681424143</v>
      </c>
      <c r="AO592" s="14">
        <f t="shared" ca="1" si="1633"/>
        <v>0.57813034022136212</v>
      </c>
      <c r="AP592" s="13">
        <f t="shared" ref="AP592:AQ592" ca="1" si="1646">SUM(T583)</f>
        <v>237.33900200344777</v>
      </c>
      <c r="AQ592" s="13">
        <f t="shared" ca="1" si="1646"/>
        <v>9.1284231539787601</v>
      </c>
      <c r="AR592" s="9">
        <f t="shared" ca="1" si="1635"/>
        <v>113.26923076923077</v>
      </c>
      <c r="AS592" s="76"/>
      <c r="AT592" s="76"/>
    </row>
    <row r="593" spans="1:46" ht="15.75" customHeight="1" x14ac:dyDescent="0.2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6"/>
      <c r="X593" s="8">
        <v>6</v>
      </c>
      <c r="Y593" s="8" t="s">
        <v>41</v>
      </c>
      <c r="Z593" s="8">
        <f t="shared" ref="Z593:AI593" si="1647">SUM(D584)</f>
        <v>24</v>
      </c>
      <c r="AA593" s="9">
        <f t="shared" ca="1" si="1647"/>
        <v>23</v>
      </c>
      <c r="AB593" s="10">
        <f t="shared" ca="1" si="1647"/>
        <v>4602.2160000000003</v>
      </c>
      <c r="AC593" s="9">
        <f t="shared" ca="1" si="1647"/>
        <v>1346</v>
      </c>
      <c r="AD593" s="9">
        <f t="shared" ca="1" si="1647"/>
        <v>0</v>
      </c>
      <c r="AE593" s="9">
        <f t="shared" ca="1" si="1647"/>
        <v>1346</v>
      </c>
      <c r="AF593" s="9">
        <f t="shared" ca="1" si="1647"/>
        <v>1753</v>
      </c>
      <c r="AG593" s="9">
        <f t="shared" ca="1" si="1647"/>
        <v>0</v>
      </c>
      <c r="AH593" s="9">
        <f t="shared" ca="1" si="1647"/>
        <v>1753</v>
      </c>
      <c r="AI593" s="9">
        <f t="shared" ca="1" si="1647"/>
        <v>3099</v>
      </c>
      <c r="AJ593" s="11">
        <f t="shared" ca="1" si="1630"/>
        <v>200.09634782608697</v>
      </c>
      <c r="AK593" s="8">
        <f t="shared" si="1639"/>
        <v>3801</v>
      </c>
      <c r="AL593" s="12">
        <f t="shared" ca="1" si="1631"/>
        <v>0.81531176006314132</v>
      </c>
      <c r="AM593" s="13">
        <f t="shared" si="1640"/>
        <v>1.5</v>
      </c>
      <c r="AN593" s="12">
        <f t="shared" ca="1" si="1632"/>
        <v>0.44891417525817995</v>
      </c>
      <c r="AO593" s="14">
        <f t="shared" ca="1" si="1633"/>
        <v>0.67337126288726989</v>
      </c>
      <c r="AP593" s="13">
        <f t="shared" ref="AP593:AQ593" ca="1" si="1648">SUM(T584)</f>
        <v>155.33333333333334</v>
      </c>
      <c r="AQ593" s="13">
        <f t="shared" ca="1" si="1648"/>
        <v>6.7536231884057978</v>
      </c>
      <c r="AR593" s="9">
        <f t="shared" ca="1" si="1635"/>
        <v>134.7391304347826</v>
      </c>
      <c r="AS593" s="76"/>
      <c r="AT593" s="76"/>
    </row>
    <row r="594" spans="1:46" ht="15.75" customHeight="1" x14ac:dyDescent="0.25">
      <c r="A594" s="110" t="s">
        <v>45</v>
      </c>
      <c r="B594" s="76"/>
      <c r="C594" s="76"/>
      <c r="D594" s="75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24" t="s">
        <v>33</v>
      </c>
      <c r="Y594" s="24">
        <v>6</v>
      </c>
      <c r="Z594" s="24">
        <f t="shared" ref="Z594:AI594" si="1649">SUM(Z588:Z593)</f>
        <v>173</v>
      </c>
      <c r="AA594" s="25">
        <f t="shared" ca="1" si="1649"/>
        <v>168</v>
      </c>
      <c r="AB594" s="27">
        <f t="shared" ca="1" si="1649"/>
        <v>33122.213999999978</v>
      </c>
      <c r="AC594" s="25">
        <f t="shared" ca="1" si="1649"/>
        <v>12825</v>
      </c>
      <c r="AD594" s="25">
        <f t="shared" ca="1" si="1649"/>
        <v>42</v>
      </c>
      <c r="AE594" s="25">
        <f t="shared" ca="1" si="1649"/>
        <v>12867</v>
      </c>
      <c r="AF594" s="25">
        <f t="shared" ca="1" si="1649"/>
        <v>17323</v>
      </c>
      <c r="AG594" s="25">
        <f t="shared" ca="1" si="1649"/>
        <v>140</v>
      </c>
      <c r="AH594" s="25">
        <f t="shared" ca="1" si="1649"/>
        <v>17463</v>
      </c>
      <c r="AI594" s="25">
        <f t="shared" ca="1" si="1649"/>
        <v>30330</v>
      </c>
      <c r="AJ594" s="27">
        <f t="shared" ca="1" si="1630"/>
        <v>197.15603571428559</v>
      </c>
      <c r="AK594" s="24">
        <f>SUM(AK588:AK593)</f>
        <v>37031</v>
      </c>
      <c r="AL594" s="28">
        <f t="shared" ca="1" si="1631"/>
        <v>0.81904350409116689</v>
      </c>
      <c r="AM594" s="29">
        <v>1.5</v>
      </c>
      <c r="AN594" s="28">
        <f t="shared" ca="1" si="1632"/>
        <v>0.6104664380225312</v>
      </c>
      <c r="AO594" s="30">
        <f t="shared" ca="1" si="1633"/>
        <v>0.91569965703379674</v>
      </c>
      <c r="AP594" s="29">
        <f ca="1">SUM(AP588:AP593)</f>
        <v>1364.4342395275025</v>
      </c>
      <c r="AQ594" s="29">
        <f ca="1">AP594/AA594</f>
        <v>8.1216323781398962</v>
      </c>
      <c r="AR594" s="25">
        <f t="shared" ca="1" si="1635"/>
        <v>180.53571428571428</v>
      </c>
      <c r="AS594" s="76"/>
      <c r="AT594" s="76"/>
    </row>
    <row r="595" spans="1:46" ht="15.75" customHeight="1" x14ac:dyDescent="0.2">
      <c r="A595" s="110" t="s">
        <v>45</v>
      </c>
      <c r="B595" s="76"/>
      <c r="C595" s="76"/>
      <c r="D595" s="75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7" t="s">
        <v>1</v>
      </c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9"/>
      <c r="AS595" s="76"/>
      <c r="AT595" s="76"/>
    </row>
    <row r="596" spans="1:46" ht="15.75" customHeight="1" x14ac:dyDescent="0.2">
      <c r="A596" s="109">
        <v>46226</v>
      </c>
      <c r="B596" s="80" t="s">
        <v>2</v>
      </c>
      <c r="C596" s="80" t="s">
        <v>3</v>
      </c>
      <c r="D596" s="80" t="s">
        <v>4</v>
      </c>
      <c r="E596" s="80" t="s">
        <v>5</v>
      </c>
      <c r="F596" s="81" t="s">
        <v>6</v>
      </c>
      <c r="G596" s="80" t="s">
        <v>7</v>
      </c>
      <c r="H596" s="80" t="s">
        <v>8</v>
      </c>
      <c r="I596" s="80" t="s">
        <v>9</v>
      </c>
      <c r="J596" s="80" t="s">
        <v>10</v>
      </c>
      <c r="K596" s="80" t="s">
        <v>11</v>
      </c>
      <c r="L596" s="80" t="s">
        <v>12</v>
      </c>
      <c r="M596" s="80" t="s">
        <v>13</v>
      </c>
      <c r="N596" s="81" t="s">
        <v>14</v>
      </c>
      <c r="O596" s="80" t="s">
        <v>15</v>
      </c>
      <c r="P596" s="80" t="s">
        <v>16</v>
      </c>
      <c r="Q596" s="80" t="s">
        <v>17</v>
      </c>
      <c r="R596" s="80" t="s">
        <v>18</v>
      </c>
      <c r="S596" s="106" t="s">
        <v>19</v>
      </c>
      <c r="T596" s="107" t="s">
        <v>20</v>
      </c>
      <c r="U596" s="107" t="s">
        <v>21</v>
      </c>
      <c r="V596" s="105" t="s">
        <v>22</v>
      </c>
      <c r="W596" s="76"/>
      <c r="X596" s="1" t="s">
        <v>2</v>
      </c>
      <c r="Y596" s="1" t="s">
        <v>3</v>
      </c>
      <c r="Z596" s="1" t="s">
        <v>4</v>
      </c>
      <c r="AA596" s="1" t="s">
        <v>5</v>
      </c>
      <c r="AB596" s="2" t="s">
        <v>6</v>
      </c>
      <c r="AC596" s="1" t="s">
        <v>7</v>
      </c>
      <c r="AD596" s="1" t="s">
        <v>8</v>
      </c>
      <c r="AE596" s="1" t="s">
        <v>9</v>
      </c>
      <c r="AF596" s="1" t="s">
        <v>10</v>
      </c>
      <c r="AG596" s="1" t="s">
        <v>11</v>
      </c>
      <c r="AH596" s="1" t="s">
        <v>12</v>
      </c>
      <c r="AI596" s="1" t="s">
        <v>13</v>
      </c>
      <c r="AJ596" s="2" t="s">
        <v>14</v>
      </c>
      <c r="AK596" s="1" t="s">
        <v>15</v>
      </c>
      <c r="AL596" s="1" t="s">
        <v>16</v>
      </c>
      <c r="AM596" s="3" t="s">
        <v>17</v>
      </c>
      <c r="AN596" s="4" t="s">
        <v>18</v>
      </c>
      <c r="AO596" s="5" t="s">
        <v>19</v>
      </c>
      <c r="AP596" s="6" t="s">
        <v>20</v>
      </c>
      <c r="AQ596" s="6" t="s">
        <v>21</v>
      </c>
      <c r="AR596" s="7" t="s">
        <v>22</v>
      </c>
      <c r="AS596" s="76"/>
      <c r="AT596" s="76"/>
    </row>
    <row r="597" spans="1:46" ht="15.75" customHeight="1" x14ac:dyDescent="0.2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6"/>
      <c r="X597" s="8">
        <v>1</v>
      </c>
      <c r="Y597" s="8" t="s">
        <v>23</v>
      </c>
      <c r="Z597" s="8">
        <f t="shared" ref="Z597:AI597" si="1650">SUM(D605)</f>
        <v>35</v>
      </c>
      <c r="AA597" s="9">
        <f t="shared" ca="1" si="1650"/>
        <v>33</v>
      </c>
      <c r="AB597" s="10">
        <f t="shared" ca="1" si="1650"/>
        <v>6275.6399999999903</v>
      </c>
      <c r="AC597" s="9">
        <f t="shared" ca="1" si="1650"/>
        <v>1749</v>
      </c>
      <c r="AD597" s="9">
        <f t="shared" ca="1" si="1650"/>
        <v>0</v>
      </c>
      <c r="AE597" s="9">
        <f t="shared" ca="1" si="1650"/>
        <v>1749</v>
      </c>
      <c r="AF597" s="9">
        <f t="shared" ca="1" si="1650"/>
        <v>3515</v>
      </c>
      <c r="AG597" s="9">
        <f t="shared" ca="1" si="1650"/>
        <v>0</v>
      </c>
      <c r="AH597" s="9">
        <f t="shared" ca="1" si="1650"/>
        <v>3515</v>
      </c>
      <c r="AI597" s="9">
        <f t="shared" ca="1" si="1650"/>
        <v>5264</v>
      </c>
      <c r="AJ597" s="11">
        <f t="shared" ref="AJ597:AJ599" ca="1" si="1651">AB597/AA597</f>
        <v>190.17090909090879</v>
      </c>
      <c r="AK597" s="8">
        <f>SUM(O605)</f>
        <v>6853</v>
      </c>
      <c r="AL597" s="12">
        <f t="shared" ref="AL597:AL603" ca="1" si="1652">AI597/AK597</f>
        <v>0.76813074565883555</v>
      </c>
      <c r="AM597" s="13">
        <f t="shared" ref="AM597:AM599" si="1653">SUM(Q605)</f>
        <v>1.5</v>
      </c>
      <c r="AN597" s="12">
        <f t="shared" ref="AN597:AN603" ca="1" si="1654">AO597/AM597</f>
        <v>0.55919927423073001</v>
      </c>
      <c r="AO597" s="14">
        <f t="shared" ref="AO597:AO603" ca="1" si="1655">AI597/AB597</f>
        <v>0.83879891134609508</v>
      </c>
      <c r="AP597" s="13">
        <f t="shared" ref="AP597:AQ597" ca="1" si="1656">SUM(T605)</f>
        <v>185.99999999999972</v>
      </c>
      <c r="AQ597" s="13">
        <f t="shared" ca="1" si="1656"/>
        <v>5.6363636363636278</v>
      </c>
      <c r="AR597" s="9">
        <f t="shared" ref="AR597:AR603" ca="1" si="1657">AI597/AA597</f>
        <v>159.5151515151515</v>
      </c>
      <c r="AS597" s="76"/>
      <c r="AT597" s="76"/>
    </row>
    <row r="598" spans="1:46" ht="15.75" customHeight="1" x14ac:dyDescent="0.2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6"/>
      <c r="X598" s="8">
        <v>2</v>
      </c>
      <c r="Y598" s="8" t="s">
        <v>24</v>
      </c>
      <c r="Z598" s="8">
        <f t="shared" ref="Z598:AI598" si="1658">SUM(D606)</f>
        <v>44</v>
      </c>
      <c r="AA598" s="9">
        <f t="shared" ca="1" si="1658"/>
        <v>41</v>
      </c>
      <c r="AB598" s="10">
        <f t="shared" ca="1" si="1658"/>
        <v>7973.3119999999899</v>
      </c>
      <c r="AC598" s="9">
        <f t="shared" ca="1" si="1658"/>
        <v>1157</v>
      </c>
      <c r="AD598" s="9">
        <f t="shared" ca="1" si="1658"/>
        <v>0</v>
      </c>
      <c r="AE598" s="9">
        <f t="shared" ca="1" si="1658"/>
        <v>1157</v>
      </c>
      <c r="AF598" s="9">
        <f t="shared" ca="1" si="1658"/>
        <v>1348</v>
      </c>
      <c r="AG598" s="9">
        <f t="shared" ca="1" si="1658"/>
        <v>0</v>
      </c>
      <c r="AH598" s="9">
        <f t="shared" ca="1" si="1658"/>
        <v>1348</v>
      </c>
      <c r="AI598" s="9">
        <f t="shared" ca="1" si="1658"/>
        <v>2505</v>
      </c>
      <c r="AJ598" s="11">
        <f t="shared" ca="1" si="1651"/>
        <v>194.47102439024366</v>
      </c>
      <c r="AK598" s="8">
        <v>1580</v>
      </c>
      <c r="AL598" s="12">
        <f t="shared" ca="1" si="1652"/>
        <v>1.5854430379746836</v>
      </c>
      <c r="AM598" s="13">
        <f t="shared" si="1653"/>
        <v>1.5</v>
      </c>
      <c r="AN598" s="12">
        <f t="shared" ca="1" si="1654"/>
        <v>0.20944872093303288</v>
      </c>
      <c r="AO598" s="14">
        <f t="shared" ca="1" si="1655"/>
        <v>0.3141730813995493</v>
      </c>
      <c r="AP598" s="13">
        <f t="shared" ref="AP598:AQ598" ca="1" si="1659">SUM(T606)</f>
        <v>297.45614624137249</v>
      </c>
      <c r="AQ598" s="13">
        <f t="shared" ca="1" si="1659"/>
        <v>7.2550279571066465</v>
      </c>
      <c r="AR598" s="9">
        <f t="shared" ca="1" si="1657"/>
        <v>61.097560975609753</v>
      </c>
      <c r="AS598" s="76"/>
      <c r="AT598" s="76"/>
    </row>
    <row r="599" spans="1:46" ht="15.75" customHeight="1" x14ac:dyDescent="0.2">
      <c r="A599" s="70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6"/>
      <c r="X599" s="8">
        <v>3</v>
      </c>
      <c r="Y599" s="8" t="s">
        <v>25</v>
      </c>
      <c r="Z599" s="8">
        <f t="shared" ref="Z599:AI599" si="1660">SUM(D607)</f>
        <v>32</v>
      </c>
      <c r="AA599" s="9">
        <f t="shared" ca="1" si="1660"/>
        <v>32</v>
      </c>
      <c r="AB599" s="10">
        <f t="shared" ca="1" si="1660"/>
        <v>5756.4759999999997</v>
      </c>
      <c r="AC599" s="9">
        <f t="shared" ca="1" si="1660"/>
        <v>2238</v>
      </c>
      <c r="AD599" s="9">
        <f t="shared" ca="1" si="1660"/>
        <v>555</v>
      </c>
      <c r="AE599" s="9">
        <f t="shared" ca="1" si="1660"/>
        <v>2793</v>
      </c>
      <c r="AF599" s="9">
        <f t="shared" ca="1" si="1660"/>
        <v>3130</v>
      </c>
      <c r="AG599" s="9">
        <f t="shared" ca="1" si="1660"/>
        <v>213</v>
      </c>
      <c r="AH599" s="9">
        <f t="shared" ca="1" si="1660"/>
        <v>3343</v>
      </c>
      <c r="AI599" s="9">
        <f t="shared" ca="1" si="1660"/>
        <v>6136</v>
      </c>
      <c r="AJ599" s="11">
        <f t="shared" ca="1" si="1651"/>
        <v>179.88987499999999</v>
      </c>
      <c r="AK599" s="8">
        <f>SUM(O607)</f>
        <v>6622</v>
      </c>
      <c r="AL599" s="12">
        <f t="shared" ca="1" si="1652"/>
        <v>0.92660827544548474</v>
      </c>
      <c r="AM599" s="13">
        <f t="shared" si="1653"/>
        <v>1.5</v>
      </c>
      <c r="AN599" s="12">
        <f t="shared" ca="1" si="1654"/>
        <v>0.71061994641629134</v>
      </c>
      <c r="AO599" s="14">
        <f t="shared" ca="1" si="1655"/>
        <v>1.065929919624437</v>
      </c>
      <c r="AP599" s="13">
        <f t="shared" ref="AP599:AQ599" ca="1" si="1661">SUM(T607)</f>
        <v>241.46291946308725</v>
      </c>
      <c r="AQ599" s="13">
        <f t="shared" ca="1" si="1661"/>
        <v>7.5457162332214764</v>
      </c>
      <c r="AR599" s="9">
        <f t="shared" ca="1" si="1657"/>
        <v>191.75</v>
      </c>
      <c r="AS599" s="76"/>
      <c r="AT599" s="76"/>
    </row>
    <row r="600" spans="1:46" ht="15.75" customHeight="1" x14ac:dyDescent="0.25">
      <c r="A600" s="70"/>
      <c r="B600" s="16">
        <v>1</v>
      </c>
      <c r="C600" s="16" t="s">
        <v>26</v>
      </c>
      <c r="D600" s="17">
        <v>20</v>
      </c>
      <c r="E600" s="18">
        <f ca="1">IFERROR(__xludf.DUMMYFUNCTION("COUNT(IMPORTRANGE(""https://docs.google.com/spreadsheets/d/1z0o91thOT38lgejTE_Bd2p3v_9VCDdQRkUsMIVqpQCk/edit"",""23!d2:d21""))"),18)</f>
        <v>18</v>
      </c>
      <c r="F600" s="19">
        <f ca="1">IFERROR(__xludf.DUMMYFUNCTION("SUM(IMPORTRANGE(""https://docs.google.com/spreadsheets/d/1z0o91thOT38lgejTE_Bd2p3v_9VCDdQRkUsMIVqpQCk/edit"",""23!Q2:Q21""))"),3236.703)</f>
        <v>3236.703</v>
      </c>
      <c r="G600" s="18">
        <f ca="1">IFERROR(__xludf.DUMMYFUNCTION("IMPORTRANGE(""https://docs.google.com/spreadsheets/d/1z0o91thOT38lgejTE_Bd2p3v_9VCDdQRkUsMIVqpQCk/edit"",""23!e28"")"),2009)</f>
        <v>2009</v>
      </c>
      <c r="H600" s="18">
        <f ca="1">IFERROR(__xludf.DUMMYFUNCTION("IMPORTRANGE(""https://docs.google.com/spreadsheets/d/1z0o91thOT38lgejTE_Bd2p3v_9VCDdQRkUsMIVqpQCk/edit"",""23!e29"")"),0)</f>
        <v>0</v>
      </c>
      <c r="I600" s="18">
        <f t="shared" ref="I600:I617" ca="1" si="1662">SUM(G600:H600)</f>
        <v>2009</v>
      </c>
      <c r="J600" s="18">
        <f ca="1">IFERROR(__xludf.DUMMYFUNCTION("IMPORTRANGE(""https://docs.google.com/spreadsheets/d/1z0o91thOT38lgejTE_Bd2p3v_9VCDdQRkUsMIVqpQCk/edit"",""23!e32"")"),3058)</f>
        <v>3058</v>
      </c>
      <c r="K600" s="18">
        <f ca="1">IFERROR(__xludf.DUMMYFUNCTION("IMPORTRANGE(""https://docs.google.com/spreadsheets/d/1z0o91thOT38lgejTE_Bd2p3v_9VCDdQRkUsMIVqpQCk/edit"",""23!e33"")"),0)</f>
        <v>0</v>
      </c>
      <c r="L600" s="18">
        <f t="shared" ref="L600:L606" ca="1" si="1663">SUM(J600:K600)</f>
        <v>3058</v>
      </c>
      <c r="M600" s="18">
        <f t="shared" ref="M600:M617" ca="1" si="1664">SUM(I600+L600)</f>
        <v>5067</v>
      </c>
      <c r="N600" s="19">
        <f t="shared" ref="N600:N618" ca="1" si="1665">F600/E600</f>
        <v>179.81683333333334</v>
      </c>
      <c r="O600" s="16">
        <v>5161</v>
      </c>
      <c r="P600" s="20">
        <f t="shared" ref="P600:P618" ca="1" si="1666">M600/O600</f>
        <v>0.98178647548924625</v>
      </c>
      <c r="Q600" s="21">
        <v>1.5</v>
      </c>
      <c r="R600" s="20">
        <f t="shared" ref="R600:R618" ca="1" si="1667">S600/Q600</f>
        <v>1.0436546077907056</v>
      </c>
      <c r="S600" s="22">
        <f t="shared" ref="S600:S618" ca="1" si="1668">M600/F600</f>
        <v>1.5654819116860583</v>
      </c>
      <c r="T600" s="21">
        <f ca="1">F600/14.415</f>
        <v>224.53714880332987</v>
      </c>
      <c r="U600" s="21">
        <f t="shared" ref="U600:U618" ca="1" si="1669">T600/E600</f>
        <v>12.474286044629437</v>
      </c>
      <c r="V600" s="18">
        <f t="shared" ref="V600:V618" ca="1" si="1670">M600/E600</f>
        <v>281.5</v>
      </c>
      <c r="W600" s="76"/>
      <c r="X600" s="8">
        <v>4</v>
      </c>
      <c r="Y600" s="8" t="s">
        <v>27</v>
      </c>
      <c r="Z600" s="8">
        <f t="shared" ref="Z600:AK600" si="1671">SUM(D613)</f>
        <v>30</v>
      </c>
      <c r="AA600" s="9">
        <f t="shared" ca="1" si="1671"/>
        <v>30</v>
      </c>
      <c r="AB600" s="10">
        <f t="shared" ca="1" si="1671"/>
        <v>5865.46</v>
      </c>
      <c r="AC600" s="9">
        <f t="shared" ca="1" si="1671"/>
        <v>2374</v>
      </c>
      <c r="AD600" s="9">
        <f t="shared" ca="1" si="1671"/>
        <v>0</v>
      </c>
      <c r="AE600" s="9">
        <f t="shared" ca="1" si="1671"/>
        <v>2374</v>
      </c>
      <c r="AF600" s="9">
        <f t="shared" ca="1" si="1671"/>
        <v>2977</v>
      </c>
      <c r="AG600" s="9">
        <f t="shared" ca="1" si="1671"/>
        <v>0</v>
      </c>
      <c r="AH600" s="9">
        <f t="shared" ca="1" si="1671"/>
        <v>2977</v>
      </c>
      <c r="AI600" s="9">
        <f t="shared" ca="1" si="1671"/>
        <v>5351</v>
      </c>
      <c r="AJ600" s="11">
        <f t="shared" ca="1" si="1671"/>
        <v>195.51533333333333</v>
      </c>
      <c r="AK600" s="8">
        <f t="shared" si="1671"/>
        <v>8101</v>
      </c>
      <c r="AL600" s="12">
        <f t="shared" ca="1" si="1652"/>
        <v>0.66053573632884832</v>
      </c>
      <c r="AM600" s="13">
        <f>SUM(Q613)</f>
        <v>1.5</v>
      </c>
      <c r="AN600" s="12">
        <f t="shared" ca="1" si="1654"/>
        <v>0.60819327611701957</v>
      </c>
      <c r="AO600" s="14">
        <f t="shared" ca="1" si="1655"/>
        <v>0.91228991417552929</v>
      </c>
      <c r="AP600" s="13">
        <f t="shared" ref="AP600:AQ600" ca="1" si="1672">SUM(T613)</f>
        <v>293.49311983987991</v>
      </c>
      <c r="AQ600" s="13">
        <f t="shared" ca="1" si="1672"/>
        <v>9.7831039946626639</v>
      </c>
      <c r="AR600" s="9">
        <f t="shared" ca="1" si="1657"/>
        <v>178.36666666666667</v>
      </c>
      <c r="AS600" s="76"/>
      <c r="AT600" s="76"/>
    </row>
    <row r="601" spans="1:46" ht="15.75" customHeight="1" x14ac:dyDescent="0.25">
      <c r="A601" s="70"/>
      <c r="B601" s="16">
        <v>2</v>
      </c>
      <c r="C601" s="16" t="s">
        <v>28</v>
      </c>
      <c r="D601" s="44">
        <v>33</v>
      </c>
      <c r="E601" s="18">
        <f ca="1">IFERROR(__xludf.DUMMYFUNCTION("COUNT(IMPORTRANGE(""https://docs.google.com/spreadsheets/d/10a85iNN0y9GF6ngQfF1JXGAzFk-T7ywH4-TZtQcOTaE/edit"",""23!d2:d34""))"),33)</f>
        <v>33</v>
      </c>
      <c r="F601" s="19">
        <f ca="1">IFERROR(__xludf.DUMMYFUNCTION("SUM(IMPORTRANGE(""https://docs.google.com/spreadsheets/d/10a85iNN0y9GF6ngQfF1JXGAzFk-T7ywH4-TZtQcOTaE/edit"",""23!Q2:Q34""))"),6590.627)</f>
        <v>6590.6270000000004</v>
      </c>
      <c r="G601" s="18">
        <f ca="1">IFERROR(__xludf.DUMMYFUNCTION("IMPORTRANGE(""https://docs.google.com/spreadsheets/d/10a85iNN0y9GF6ngQfF1JXGAzFk-T7ywH4-TZtQcOTaE/edit"",""23!e41"")"),2491)</f>
        <v>2491</v>
      </c>
      <c r="H601" s="18">
        <f ca="1">IFERROR(__xludf.DUMMYFUNCTION("IMPORTRANGE(""https://docs.google.com/spreadsheets/d/10a85iNN0y9GF6ngQfF1JXGAzFk-T7ywH4-TZtQcOTaE/edit"",""23!e42"")"),364)</f>
        <v>364</v>
      </c>
      <c r="I601" s="18">
        <f t="shared" ca="1" si="1662"/>
        <v>2855</v>
      </c>
      <c r="J601" s="18">
        <f ca="1">IFERROR(__xludf.DUMMYFUNCTION("IMPORTRANGE(""https://docs.google.com/spreadsheets/d/10a85iNN0y9GF6ngQfF1JXGAzFk-T7ywH4-TZtQcOTaE/edit"",""23!e45"")"),3069)</f>
        <v>3069</v>
      </c>
      <c r="K601" s="18">
        <f ca="1">IFERROR(__xludf.DUMMYFUNCTION("IMPORTRANGE(""https://docs.google.com/spreadsheets/d/10a85iNN0y9GF6ngQfF1JXGAzFk-T7ywH4-TZtQcOTaE/edit"",""23!e46"")"),384)</f>
        <v>384</v>
      </c>
      <c r="L601" s="18">
        <f t="shared" ca="1" si="1663"/>
        <v>3453</v>
      </c>
      <c r="M601" s="18">
        <f t="shared" ca="1" si="1664"/>
        <v>6308</v>
      </c>
      <c r="N601" s="19">
        <f t="shared" ca="1" si="1665"/>
        <v>199.71596969696972</v>
      </c>
      <c r="O601" s="16">
        <v>7315</v>
      </c>
      <c r="P601" s="20">
        <f t="shared" ca="1" si="1666"/>
        <v>0.86233766233766229</v>
      </c>
      <c r="Q601" s="21">
        <v>1.5</v>
      </c>
      <c r="R601" s="20">
        <f t="shared" ca="1" si="1667"/>
        <v>0.63807788444609792</v>
      </c>
      <c r="S601" s="22">
        <f t="shared" ca="1" si="1668"/>
        <v>0.95711682666914688</v>
      </c>
      <c r="T601" s="21">
        <f ca="1">F601/30.897</f>
        <v>213.30960934718584</v>
      </c>
      <c r="U601" s="21">
        <f t="shared" ca="1" si="1669"/>
        <v>6.4639275559753289</v>
      </c>
      <c r="V601" s="18">
        <f t="shared" ca="1" si="1670"/>
        <v>191.15151515151516</v>
      </c>
      <c r="W601" s="76"/>
      <c r="X601" s="8">
        <v>5</v>
      </c>
      <c r="Y601" s="8" t="s">
        <v>29</v>
      </c>
      <c r="Z601" s="8">
        <f t="shared" ref="Z601:AI601" si="1673">SUM(D616)</f>
        <v>30</v>
      </c>
      <c r="AA601" s="9">
        <f t="shared" ca="1" si="1673"/>
        <v>30</v>
      </c>
      <c r="AB601" s="10">
        <f t="shared" ca="1" si="1673"/>
        <v>5875.1679999999997</v>
      </c>
      <c r="AC601" s="9">
        <f t="shared" ca="1" si="1673"/>
        <v>2862</v>
      </c>
      <c r="AD601" s="9">
        <f t="shared" ca="1" si="1673"/>
        <v>0</v>
      </c>
      <c r="AE601" s="9">
        <f t="shared" ca="1" si="1673"/>
        <v>2862</v>
      </c>
      <c r="AF601" s="9">
        <f t="shared" ca="1" si="1673"/>
        <v>4133</v>
      </c>
      <c r="AG601" s="9">
        <f t="shared" ca="1" si="1673"/>
        <v>10</v>
      </c>
      <c r="AH601" s="9">
        <f t="shared" ca="1" si="1673"/>
        <v>4143</v>
      </c>
      <c r="AI601" s="9">
        <f t="shared" ca="1" si="1673"/>
        <v>7005</v>
      </c>
      <c r="AJ601" s="11">
        <f t="shared" ref="AJ601:AJ603" ca="1" si="1674">AB601/AA601</f>
        <v>195.83893333333333</v>
      </c>
      <c r="AK601" s="8">
        <f t="shared" ref="AK601:AK602" si="1675">SUM(O616)</f>
        <v>9201</v>
      </c>
      <c r="AL601" s="12">
        <f t="shared" ca="1" si="1652"/>
        <v>0.76133029018584941</v>
      </c>
      <c r="AM601" s="13">
        <f t="shared" ref="AM601:AM602" si="1676">SUM(Q616)</f>
        <v>1.5</v>
      </c>
      <c r="AN601" s="12">
        <f t="shared" ca="1" si="1654"/>
        <v>0.79487088709633502</v>
      </c>
      <c r="AO601" s="14">
        <f t="shared" ca="1" si="1655"/>
        <v>1.1923063306445025</v>
      </c>
      <c r="AP601" s="13">
        <f t="shared" ref="AP601:AQ601" ca="1" si="1677">SUM(T616)</f>
        <v>225.63822106152546</v>
      </c>
      <c r="AQ601" s="13">
        <f t="shared" ca="1" si="1677"/>
        <v>7.5212740353841818</v>
      </c>
      <c r="AR601" s="9">
        <f t="shared" ca="1" si="1657"/>
        <v>233.5</v>
      </c>
      <c r="AS601" s="76"/>
      <c r="AT601" s="76"/>
    </row>
    <row r="602" spans="1:46" ht="15.75" customHeight="1" x14ac:dyDescent="0.25">
      <c r="A602" s="70"/>
      <c r="B602" s="16">
        <v>3</v>
      </c>
      <c r="C602" s="16" t="s">
        <v>30</v>
      </c>
      <c r="D602" s="44">
        <v>60</v>
      </c>
      <c r="E602" s="18">
        <f ca="1">IFERROR(__xludf.DUMMYFUNCTION("COUNT(IMPORTRANGE(""https://docs.google.com/spreadsheets/d/1WojVzHhpzodJL1e5UDHeu3A3u5MTSZwvxHu0BrwvL9w/edit"",""23!d2:d61""))"),56)</f>
        <v>56</v>
      </c>
      <c r="F602" s="23">
        <f ca="1">IFERROR(__xludf.DUMMYFUNCTION("SUM(IMPORTRANGE(""https://docs.google.com/spreadsheets/d/1WojVzHhpzodJL1e5UDHeu3A3u5MTSZwvxHu0BrwvL9w/edit"",""23!Q2:Q61""))"),11063.0279999999)</f>
        <v>11063.0279999999</v>
      </c>
      <c r="G602" s="18">
        <f ca="1">IFERROR(__xludf.DUMMYFUNCTION("IMPORTRANGE(""https://docs.google.com/spreadsheets/d/1WojVzHhpzodJL1e5UDHeu3A3u5MTSZwvxHu0BrwvL9w/edit"",""23!e68"")"),3172)</f>
        <v>3172</v>
      </c>
      <c r="H602" s="18">
        <f ca="1">IFERROR(__xludf.DUMMYFUNCTION("IMPORTRANGE(""https://docs.google.com/spreadsheets/d/1WojVzHhpzodJL1e5UDHeu3A3u5MTSZwvxHu0BrwvL9w/edit"",""23!e69"")"),0)</f>
        <v>0</v>
      </c>
      <c r="I602" s="18">
        <f t="shared" ca="1" si="1662"/>
        <v>3172</v>
      </c>
      <c r="J602" s="18">
        <f ca="1">IFERROR(__xludf.DUMMYFUNCTION("IMPORTRANGE(""https://docs.google.com/spreadsheets/d/1WojVzHhpzodJL1e5UDHeu3A3u5MTSZwvxHu0BrwvL9w/edit"",""23!e72"")"),5796)</f>
        <v>5796</v>
      </c>
      <c r="K602" s="18">
        <f ca="1">IFERROR(__xludf.DUMMYFUNCTION("IMPORTRANGE(""https://docs.google.com/spreadsheets/d/1WojVzHhpzodJL1e5UDHeu3A3u5MTSZwvxHu0BrwvL9w/edit"",""23!e73"")"),0)</f>
        <v>0</v>
      </c>
      <c r="L602" s="18">
        <f t="shared" ca="1" si="1663"/>
        <v>5796</v>
      </c>
      <c r="M602" s="18">
        <f t="shared" ca="1" si="1664"/>
        <v>8968</v>
      </c>
      <c r="N602" s="19">
        <f t="shared" ca="1" si="1665"/>
        <v>197.55407142856964</v>
      </c>
      <c r="O602" s="16">
        <v>11164</v>
      </c>
      <c r="P602" s="20">
        <f t="shared" ca="1" si="1666"/>
        <v>0.80329630956646358</v>
      </c>
      <c r="Q602" s="21">
        <v>1.5</v>
      </c>
      <c r="R602" s="20">
        <f t="shared" ca="1" si="1667"/>
        <v>0.54041865090341634</v>
      </c>
      <c r="S602" s="22">
        <f t="shared" ca="1" si="1668"/>
        <v>0.81062797635512451</v>
      </c>
      <c r="T602" s="21">
        <f ca="1">F602/29.603</f>
        <v>373.71306962131877</v>
      </c>
      <c r="U602" s="21">
        <f t="shared" ca="1" si="1669"/>
        <v>6.6734476718092637</v>
      </c>
      <c r="V602" s="18">
        <f t="shared" ca="1" si="1670"/>
        <v>160.14285714285714</v>
      </c>
      <c r="W602" s="76"/>
      <c r="X602" s="8">
        <v>6</v>
      </c>
      <c r="Y602" s="8" t="s">
        <v>31</v>
      </c>
      <c r="Z602" s="8">
        <f t="shared" ref="Z602:AI602" si="1678">SUM(D617)</f>
        <v>15</v>
      </c>
      <c r="AA602" s="9">
        <f t="shared" ca="1" si="1678"/>
        <v>15</v>
      </c>
      <c r="AB602" s="11">
        <f t="shared" ca="1" si="1678"/>
        <v>2955.6199999999899</v>
      </c>
      <c r="AC602" s="9">
        <f t="shared" ca="1" si="1678"/>
        <v>925</v>
      </c>
      <c r="AD602" s="9">
        <f t="shared" ca="1" si="1678"/>
        <v>0</v>
      </c>
      <c r="AE602" s="9">
        <f t="shared" ca="1" si="1678"/>
        <v>925</v>
      </c>
      <c r="AF602" s="9">
        <f t="shared" ca="1" si="1678"/>
        <v>1192</v>
      </c>
      <c r="AG602" s="9">
        <f t="shared" ca="1" si="1678"/>
        <v>0</v>
      </c>
      <c r="AH602" s="9">
        <f t="shared" ca="1" si="1678"/>
        <v>1192</v>
      </c>
      <c r="AI602" s="9">
        <f t="shared" ca="1" si="1678"/>
        <v>2117</v>
      </c>
      <c r="AJ602" s="11">
        <f t="shared" ca="1" si="1674"/>
        <v>197.04133333333266</v>
      </c>
      <c r="AK602" s="8">
        <f t="shared" si="1675"/>
        <v>2717</v>
      </c>
      <c r="AL602" s="12">
        <f t="shared" ca="1" si="1652"/>
        <v>0.77916820022083177</v>
      </c>
      <c r="AM602" s="13">
        <f t="shared" si="1676"/>
        <v>1.5</v>
      </c>
      <c r="AN602" s="12">
        <f t="shared" ca="1" si="1654"/>
        <v>0.4775083851555133</v>
      </c>
      <c r="AO602" s="14">
        <f t="shared" ca="1" si="1655"/>
        <v>0.71626257773326996</v>
      </c>
      <c r="AP602" s="13">
        <f t="shared" ref="AP602:AQ602" ca="1" si="1679">SUM(T617)</f>
        <v>67.999999999999758</v>
      </c>
      <c r="AQ602" s="13">
        <f t="shared" ca="1" si="1679"/>
        <v>4.5333333333333172</v>
      </c>
      <c r="AR602" s="9">
        <f t="shared" ca="1" si="1657"/>
        <v>141.13333333333333</v>
      </c>
      <c r="AS602" s="76"/>
      <c r="AT602" s="76"/>
    </row>
    <row r="603" spans="1:46" ht="15.75" customHeight="1" x14ac:dyDescent="0.25">
      <c r="A603" s="70"/>
      <c r="B603" s="16">
        <v>4</v>
      </c>
      <c r="C603" s="16" t="s">
        <v>32</v>
      </c>
      <c r="D603" s="44">
        <v>42</v>
      </c>
      <c r="E603" s="18">
        <f ca="1">IFERROR(__xludf.DUMMYFUNCTION("COUNT(IMPORTRANGE(""https://docs.google.com/spreadsheets/d/1vmCj5YcMSPHj1m64syDndQ6cqVL3yolcU03Y8KHmvdc/edit"",""23!d2:d43""))"),41)</f>
        <v>41</v>
      </c>
      <c r="F603" s="23">
        <f ca="1">IFERROR(__xludf.DUMMYFUNCTION("SUM(IMPORTRANGE(""https://docs.google.com/spreadsheets/d/1vmCj5YcMSPHj1m64syDndQ6cqVL3yolcU03Y8KHmvdc/edit"",""23!Q2:Q43""))"),7941.74299999999)</f>
        <v>7941.7429999999904</v>
      </c>
      <c r="G603" s="16">
        <f ca="1">IFERROR(__xludf.DUMMYFUNCTION("IMPORTRANGE(""https://docs.google.com/spreadsheets/d/1vmCj5YcMSPHj1m64syDndQ6cqVL3yolcU03Y8KHmvdc/edit"",""23!e50"")"),4568)</f>
        <v>4568</v>
      </c>
      <c r="H603" s="16">
        <f ca="1">IFERROR(__xludf.DUMMYFUNCTION("IMPORTRANGE(""https://docs.google.com/spreadsheets/d/1vmCj5YcMSPHj1m64syDndQ6cqVL3yolcU03Y8KHmvdc/edit"",""23!e51"")"),0)</f>
        <v>0</v>
      </c>
      <c r="I603" s="18">
        <f t="shared" ca="1" si="1662"/>
        <v>4568</v>
      </c>
      <c r="J603" s="16">
        <f ca="1">IFERROR(__xludf.DUMMYFUNCTION("IMPORTRANGE(""https://docs.google.com/spreadsheets/d/1vmCj5YcMSPHj1m64syDndQ6cqVL3yolcU03Y8KHmvdc/edit"",""23!e54"")"),5341)</f>
        <v>5341</v>
      </c>
      <c r="K603" s="16">
        <f ca="1">IFERROR(__xludf.DUMMYFUNCTION("IMPORTRANGE(""https://docs.google.com/spreadsheets/d/1vmCj5YcMSPHj1m64syDndQ6cqVL3yolcU03Y8KHmvdc/edit"",""23!e55"")"),0)</f>
        <v>0</v>
      </c>
      <c r="L603" s="18">
        <f t="shared" ca="1" si="1663"/>
        <v>5341</v>
      </c>
      <c r="M603" s="18">
        <f t="shared" ca="1" si="1664"/>
        <v>9909</v>
      </c>
      <c r="N603" s="19">
        <f t="shared" ca="1" si="1665"/>
        <v>193.70104878048758</v>
      </c>
      <c r="O603" s="16">
        <v>13817</v>
      </c>
      <c r="P603" s="20">
        <f t="shared" ca="1" si="1666"/>
        <v>0.71716002026489112</v>
      </c>
      <c r="Q603" s="21">
        <v>1.5</v>
      </c>
      <c r="R603" s="20">
        <f t="shared" ca="1" si="1667"/>
        <v>0.83180732491595455</v>
      </c>
      <c r="S603" s="22">
        <f t="shared" ca="1" si="1668"/>
        <v>1.2477109873739318</v>
      </c>
      <c r="T603" s="21">
        <f ca="1">F603/25.089</f>
        <v>316.54282753397865</v>
      </c>
      <c r="U603" s="21">
        <f t="shared" ca="1" si="1669"/>
        <v>7.7205567691214307</v>
      </c>
      <c r="V603" s="18">
        <f t="shared" ca="1" si="1670"/>
        <v>241.6829268292683</v>
      </c>
      <c r="W603" s="76"/>
      <c r="X603" s="24" t="s">
        <v>33</v>
      </c>
      <c r="Y603" s="24">
        <v>6</v>
      </c>
      <c r="Z603" s="24">
        <f t="shared" ref="Z603:AI603" si="1680">SUM(Z597:Z602)</f>
        <v>186</v>
      </c>
      <c r="AA603" s="25">
        <f t="shared" ca="1" si="1680"/>
        <v>181</v>
      </c>
      <c r="AB603" s="26">
        <f t="shared" ca="1" si="1680"/>
        <v>34701.675999999963</v>
      </c>
      <c r="AC603" s="25">
        <f t="shared" ca="1" si="1680"/>
        <v>11305</v>
      </c>
      <c r="AD603" s="25">
        <f t="shared" ca="1" si="1680"/>
        <v>555</v>
      </c>
      <c r="AE603" s="25">
        <f t="shared" ca="1" si="1680"/>
        <v>11860</v>
      </c>
      <c r="AF603" s="25">
        <f t="shared" ca="1" si="1680"/>
        <v>16295</v>
      </c>
      <c r="AG603" s="25">
        <f t="shared" ca="1" si="1680"/>
        <v>223</v>
      </c>
      <c r="AH603" s="25">
        <f t="shared" ca="1" si="1680"/>
        <v>16518</v>
      </c>
      <c r="AI603" s="25">
        <f t="shared" ca="1" si="1680"/>
        <v>28378</v>
      </c>
      <c r="AJ603" s="27">
        <f t="shared" ca="1" si="1674"/>
        <v>191.72196685082852</v>
      </c>
      <c r="AK603" s="24">
        <f>SUM(AK597:AK602)</f>
        <v>35074</v>
      </c>
      <c r="AL603" s="28">
        <f t="shared" ca="1" si="1652"/>
        <v>0.80908935393738957</v>
      </c>
      <c r="AM603" s="29">
        <v>1.5</v>
      </c>
      <c r="AN603" s="28">
        <f t="shared" ca="1" si="1654"/>
        <v>0.54518020013404211</v>
      </c>
      <c r="AO603" s="30">
        <f t="shared" ca="1" si="1655"/>
        <v>0.81777030020106323</v>
      </c>
      <c r="AP603" s="29">
        <f ca="1">SUM(AP597:AP602)</f>
        <v>1312.0504066058645</v>
      </c>
      <c r="AQ603" s="29">
        <f ca="1">AP603/AA603</f>
        <v>7.2488972740655502</v>
      </c>
      <c r="AR603" s="25">
        <f t="shared" ca="1" si="1657"/>
        <v>156.78453038674033</v>
      </c>
      <c r="AS603" s="76"/>
      <c r="AT603" s="76"/>
    </row>
    <row r="604" spans="1:46" ht="15.75" customHeight="1" x14ac:dyDescent="0.25">
      <c r="A604" s="70"/>
      <c r="B604" s="16">
        <v>5</v>
      </c>
      <c r="C604" s="16" t="s">
        <v>34</v>
      </c>
      <c r="D604" s="44">
        <v>40</v>
      </c>
      <c r="E604" s="18">
        <f ca="1">IFERROR(__xludf.DUMMYFUNCTION("COUNT(IMPORTRANGE(""https://docs.google.com/spreadsheets/d/14_Y-fpuq1wcec3DlT_1PBYekOC0YblQMrWVfO12YO3k/edit"",""23!d2:d41""))"),39)</f>
        <v>39</v>
      </c>
      <c r="F604" s="23">
        <f ca="1">IFERROR(__xludf.DUMMYFUNCTION("SUM(IMPORTRANGE(""https://docs.google.com/spreadsheets/d/14_Y-fpuq1wcec3DlT_1PBYekOC0YblQMrWVfO12YO3k/edit"",""23!Q2:Q41""))"),7568.649)</f>
        <v>7568.6490000000003</v>
      </c>
      <c r="G604" s="18">
        <f ca="1">IFERROR(__xludf.DUMMYFUNCTION("IMPORTRANGE(""https://docs.google.com/spreadsheets/d/14_Y-fpuq1wcec3DlT_1PBYekOC0YblQMrWVfO12YO3k/edit"",""23!e48"")"),2677)</f>
        <v>2677</v>
      </c>
      <c r="H604" s="18">
        <f ca="1">IFERROR(__xludf.DUMMYFUNCTION("IMPORTRANGE(""https://docs.google.com/spreadsheets/d/14_Y-fpuq1wcec3DlT_1PBYekOC0YblQMrWVfO12YO3k/edit"",""23!e49"")"),0)</f>
        <v>0</v>
      </c>
      <c r="I604" s="18">
        <f t="shared" ca="1" si="1662"/>
        <v>2677</v>
      </c>
      <c r="J604" s="18">
        <f ca="1">IFERROR(__xludf.DUMMYFUNCTION("IMPORTRANGE(""https://docs.google.com/spreadsheets/d/14_Y-fpuq1wcec3DlT_1PBYekOC0YblQMrWVfO12YO3k/edit"",""23!e52"")"),3469)</f>
        <v>3469</v>
      </c>
      <c r="K604" s="18">
        <f ca="1">IFERROR(__xludf.DUMMYFUNCTION("IMPORTRANGE(""https://docs.google.com/spreadsheets/d/14_Y-fpuq1wcec3DlT_1PBYekOC0YblQMrWVfO12YO3k/edit"",""23!e53"")"),0)</f>
        <v>0</v>
      </c>
      <c r="L604" s="18">
        <f t="shared" ca="1" si="1663"/>
        <v>3469</v>
      </c>
      <c r="M604" s="18">
        <f t="shared" ca="1" si="1664"/>
        <v>6146</v>
      </c>
      <c r="N604" s="19">
        <f t="shared" ca="1" si="1665"/>
        <v>194.06792307692308</v>
      </c>
      <c r="O604" s="16">
        <v>9354</v>
      </c>
      <c r="P604" s="20">
        <f t="shared" ca="1" si="1666"/>
        <v>0.65704511438956592</v>
      </c>
      <c r="Q604" s="21">
        <v>1.5</v>
      </c>
      <c r="R604" s="20">
        <f t="shared" ca="1" si="1667"/>
        <v>0.54135597163157301</v>
      </c>
      <c r="S604" s="22">
        <f t="shared" ca="1" si="1668"/>
        <v>0.81203395744735951</v>
      </c>
      <c r="T604" s="21">
        <f ca="1">F604/30.713</f>
        <v>246.43144596750562</v>
      </c>
      <c r="U604" s="21">
        <f t="shared" ca="1" si="1669"/>
        <v>6.3187550248078361</v>
      </c>
      <c r="V604" s="18">
        <f t="shared" ca="1" si="1670"/>
        <v>157.58974358974359</v>
      </c>
      <c r="W604" s="76"/>
      <c r="X604" s="100" t="s">
        <v>35</v>
      </c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9"/>
      <c r="AS604" s="76"/>
      <c r="AT604" s="76"/>
    </row>
    <row r="605" spans="1:46" ht="15.75" customHeight="1" x14ac:dyDescent="0.25">
      <c r="A605" s="70"/>
      <c r="B605" s="16">
        <v>6</v>
      </c>
      <c r="C605" s="16" t="s">
        <v>23</v>
      </c>
      <c r="D605" s="44">
        <v>35</v>
      </c>
      <c r="E605" s="18">
        <f ca="1">IFERROR(__xludf.DUMMYFUNCTION("COUNT(IMPORTRANGE(""https://docs.google.com/spreadsheets/d/1lJqjdj05V4LOXuBOiTdE65GV4ZITyx1cMLcDdcuoUnE/edit"",""23!d2:d36""))"),33)</f>
        <v>33</v>
      </c>
      <c r="F605" s="23">
        <f ca="1">IFERROR(__xludf.DUMMYFUNCTION("SUM(IMPORTRANGE(""https://docs.google.com/spreadsheets/d/1lJqjdj05V4LOXuBOiTdE65GV4ZITyx1cMLcDdcuoUnE/edit"",""23!Q2:Q36""))"),6275.63999999999)</f>
        <v>6275.6399999999903</v>
      </c>
      <c r="G605" s="18">
        <f ca="1">IFERROR(__xludf.DUMMYFUNCTION("IMPORTRANGE(""https://docs.google.com/spreadsheets/d/1lJqjdj05V4LOXuBOiTdE65GV4ZITyx1cMLcDdcuoUnE/edit"",""23!e43"")"),1749)</f>
        <v>1749</v>
      </c>
      <c r="H605" s="18">
        <f ca="1">IFERROR(__xludf.DUMMYFUNCTION("IMPORTRANGE(""https://docs.google.com/spreadsheets/d/1lJqjdj05V4LOXuBOiTdE65GV4ZITyx1cMLcDdcuoUnE/edit"",""23!e44"")"),0)</f>
        <v>0</v>
      </c>
      <c r="I605" s="18">
        <f t="shared" ca="1" si="1662"/>
        <v>1749</v>
      </c>
      <c r="J605" s="18">
        <f ca="1">IFERROR(__xludf.DUMMYFUNCTION("IMPORTRANGE(""https://docs.google.com/spreadsheets/d/1lJqjdj05V4LOXuBOiTdE65GV4ZITyx1cMLcDdcuoUnE/edit"",""23!e47"")"),3515)</f>
        <v>3515</v>
      </c>
      <c r="K605" s="18">
        <f ca="1">IFERROR(__xludf.DUMMYFUNCTION("IMPORTRANGE(""https://docs.google.com/spreadsheets/d/1lJqjdj05V4LOXuBOiTdE65GV4ZITyx1cMLcDdcuoUnE/edit"",""23!e48"")"),0)</f>
        <v>0</v>
      </c>
      <c r="L605" s="18">
        <f t="shared" ca="1" si="1663"/>
        <v>3515</v>
      </c>
      <c r="M605" s="18">
        <f t="shared" ca="1" si="1664"/>
        <v>5264</v>
      </c>
      <c r="N605" s="19">
        <f t="shared" ca="1" si="1665"/>
        <v>190.17090909090879</v>
      </c>
      <c r="O605" s="16">
        <v>6853</v>
      </c>
      <c r="P605" s="20">
        <f t="shared" ca="1" si="1666"/>
        <v>0.76813074565883555</v>
      </c>
      <c r="Q605" s="21">
        <v>1.5</v>
      </c>
      <c r="R605" s="20">
        <f t="shared" ca="1" si="1667"/>
        <v>0.55919927423073001</v>
      </c>
      <c r="S605" s="22">
        <f t="shared" ca="1" si="1668"/>
        <v>0.83879891134609508</v>
      </c>
      <c r="T605" s="21">
        <f ca="1">F605/33.74</f>
        <v>185.99999999999972</v>
      </c>
      <c r="U605" s="21">
        <f t="shared" ca="1" si="1669"/>
        <v>5.6363636363636278</v>
      </c>
      <c r="V605" s="18">
        <f t="shared" ca="1" si="1670"/>
        <v>159.5151515151515</v>
      </c>
      <c r="W605" s="76"/>
      <c r="X605" s="1" t="s">
        <v>2</v>
      </c>
      <c r="Y605" s="1" t="s">
        <v>3</v>
      </c>
      <c r="Z605" s="1" t="s">
        <v>4</v>
      </c>
      <c r="AA605" s="1" t="s">
        <v>5</v>
      </c>
      <c r="AB605" s="2" t="s">
        <v>6</v>
      </c>
      <c r="AC605" s="1" t="s">
        <v>7</v>
      </c>
      <c r="AD605" s="1" t="s">
        <v>8</v>
      </c>
      <c r="AE605" s="1" t="s">
        <v>9</v>
      </c>
      <c r="AF605" s="1" t="s">
        <v>10</v>
      </c>
      <c r="AG605" s="1" t="s">
        <v>11</v>
      </c>
      <c r="AH605" s="1" t="s">
        <v>12</v>
      </c>
      <c r="AI605" s="1" t="s">
        <v>13</v>
      </c>
      <c r="AJ605" s="2" t="s">
        <v>14</v>
      </c>
      <c r="AK605" s="1" t="s">
        <v>15</v>
      </c>
      <c r="AL605" s="1" t="s">
        <v>16</v>
      </c>
      <c r="AM605" s="3" t="s">
        <v>17</v>
      </c>
      <c r="AN605" s="4" t="s">
        <v>18</v>
      </c>
      <c r="AO605" s="5" t="s">
        <v>19</v>
      </c>
      <c r="AP605" s="6" t="s">
        <v>20</v>
      </c>
      <c r="AQ605" s="6" t="s">
        <v>21</v>
      </c>
      <c r="AR605" s="7" t="s">
        <v>22</v>
      </c>
      <c r="AS605" s="76"/>
      <c r="AT605" s="76"/>
    </row>
    <row r="606" spans="1:46" ht="15.75" customHeight="1" x14ac:dyDescent="0.25">
      <c r="A606" s="70"/>
      <c r="B606" s="16">
        <v>7</v>
      </c>
      <c r="C606" s="16" t="s">
        <v>24</v>
      </c>
      <c r="D606" s="44">
        <v>44</v>
      </c>
      <c r="E606" s="31">
        <f ca="1">IFERROR(__xludf.DUMMYFUNCTION("COUNT(IMPORTRANGE(""https://docs.google.com/spreadsheets/d/1_7EEO26q9Yq-XhNFiy7I6Zh4Yg6uGjTs9y0UqNvPKcQ/edit"",""23!d2:d45""))"),41)</f>
        <v>41</v>
      </c>
      <c r="F606" s="32">
        <f ca="1">IFERROR(__xludf.DUMMYFUNCTION("SUM(IMPORTRANGE(""https://docs.google.com/spreadsheets/d/1_7EEO26q9Yq-XhNFiy7I6Zh4Yg6uGjTs9y0UqNvPKcQ/edit"",""23!Q2:Q45""))"),7973.31199999999)</f>
        <v>7973.3119999999899</v>
      </c>
      <c r="G606" s="31">
        <f ca="1">IFERROR(__xludf.DUMMYFUNCTION("IMPORTRANGE(""https://docs.google.com/spreadsheets/d/1_7EEO26q9Yq-XhNFiy7I6Zh4Yg6uGjTs9y0UqNvPKcQ/edit"",""23!e53"")"),1157)</f>
        <v>1157</v>
      </c>
      <c r="H606" s="31">
        <f ca="1">IFERROR(__xludf.DUMMYFUNCTION("IMPORTRANGE(""https://docs.google.com/spreadsheets/d/1_7EEO26q9Yq-XhNFiy7I6Zh4Yg6uGjTs9y0UqNvPKcQ/edit"",""23!e54"")"),0)</f>
        <v>0</v>
      </c>
      <c r="I606" s="31">
        <f t="shared" ca="1" si="1662"/>
        <v>1157</v>
      </c>
      <c r="J606" s="31">
        <f ca="1">IFERROR(__xludf.DUMMYFUNCTION("IMPORTRANGE(""https://docs.google.com/spreadsheets/d/1_7EEO26q9Yq-XhNFiy7I6Zh4Yg6uGjTs9y0UqNvPKcQ/edit"",""23!e57"")"),1348)</f>
        <v>1348</v>
      </c>
      <c r="K606" s="31">
        <f ca="1">IFERROR(__xludf.DUMMYFUNCTION("IMPORTRANGE(""https://docs.google.com/spreadsheets/d/1_7EEO26q9Yq-XhNFiy7I6Zh4Yg6uGjTs9y0UqNvPKcQ/edit"",""23!e58"")"),0)</f>
        <v>0</v>
      </c>
      <c r="L606" s="18">
        <f t="shared" ca="1" si="1663"/>
        <v>1348</v>
      </c>
      <c r="M606" s="18">
        <f t="shared" ca="1" si="1664"/>
        <v>2505</v>
      </c>
      <c r="N606" s="19">
        <f t="shared" ca="1" si="1665"/>
        <v>194.47102439024366</v>
      </c>
      <c r="O606" s="16">
        <v>1580</v>
      </c>
      <c r="P606" s="20">
        <f t="shared" ca="1" si="1666"/>
        <v>1.5854430379746836</v>
      </c>
      <c r="Q606" s="21">
        <v>1.5</v>
      </c>
      <c r="R606" s="20">
        <f t="shared" ca="1" si="1667"/>
        <v>0.20944872093303288</v>
      </c>
      <c r="S606" s="22">
        <f t="shared" ca="1" si="1668"/>
        <v>0.3141730813995493</v>
      </c>
      <c r="T606" s="21">
        <f ca="1">F606/26.805</f>
        <v>297.45614624137249</v>
      </c>
      <c r="U606" s="21">
        <f t="shared" ca="1" si="1669"/>
        <v>7.2550279571066465</v>
      </c>
      <c r="V606" s="18">
        <f t="shared" ca="1" si="1670"/>
        <v>61.097560975609753</v>
      </c>
      <c r="W606" s="76"/>
      <c r="X606" s="8">
        <v>1</v>
      </c>
      <c r="Y606" s="8" t="s">
        <v>28</v>
      </c>
      <c r="Z606" s="8">
        <f t="shared" ref="Z606:AI606" si="1681">SUM(D601)</f>
        <v>33</v>
      </c>
      <c r="AA606" s="9">
        <f t="shared" ca="1" si="1681"/>
        <v>33</v>
      </c>
      <c r="AB606" s="11">
        <f t="shared" ca="1" si="1681"/>
        <v>6590.6270000000004</v>
      </c>
      <c r="AC606" s="9">
        <f t="shared" ca="1" si="1681"/>
        <v>2491</v>
      </c>
      <c r="AD606" s="9">
        <f t="shared" ca="1" si="1681"/>
        <v>364</v>
      </c>
      <c r="AE606" s="9">
        <f t="shared" ca="1" si="1681"/>
        <v>2855</v>
      </c>
      <c r="AF606" s="9">
        <f t="shared" ca="1" si="1681"/>
        <v>3069</v>
      </c>
      <c r="AG606" s="9">
        <f t="shared" ca="1" si="1681"/>
        <v>384</v>
      </c>
      <c r="AH606" s="9">
        <f t="shared" ca="1" si="1681"/>
        <v>3453</v>
      </c>
      <c r="AI606" s="9">
        <f t="shared" ca="1" si="1681"/>
        <v>6308</v>
      </c>
      <c r="AJ606" s="11">
        <f t="shared" ref="AJ606:AJ612" ca="1" si="1682">AB606/AA606</f>
        <v>199.71596969696972</v>
      </c>
      <c r="AK606" s="8">
        <f t="shared" ref="AK606:AK607" si="1683">SUM(O601)</f>
        <v>7315</v>
      </c>
      <c r="AL606" s="12">
        <f t="shared" ref="AL606:AL612" ca="1" si="1684">AI606/AK606</f>
        <v>0.86233766233766229</v>
      </c>
      <c r="AM606" s="13">
        <f t="shared" ref="AM606:AM607" si="1685">SUM(Q601)</f>
        <v>1.5</v>
      </c>
      <c r="AN606" s="12">
        <f t="shared" ref="AN606:AN612" ca="1" si="1686">AO606/AM606</f>
        <v>0.63807788444609792</v>
      </c>
      <c r="AO606" s="14">
        <f t="shared" ref="AO606:AO612" ca="1" si="1687">AI606/AB606</f>
        <v>0.95711682666914688</v>
      </c>
      <c r="AP606" s="13">
        <f t="shared" ref="AP606:AQ606" ca="1" si="1688">SUM(T601)</f>
        <v>213.30960934718584</v>
      </c>
      <c r="AQ606" s="13">
        <f t="shared" ca="1" si="1688"/>
        <v>6.4639275559753289</v>
      </c>
      <c r="AR606" s="9">
        <f t="shared" ref="AR606:AR612" ca="1" si="1689">AI606/AA606</f>
        <v>191.15151515151516</v>
      </c>
      <c r="AS606" s="76"/>
      <c r="AT606" s="76"/>
    </row>
    <row r="607" spans="1:46" ht="15.75" customHeight="1" x14ac:dyDescent="0.25">
      <c r="A607" s="70"/>
      <c r="B607" s="16">
        <v>8</v>
      </c>
      <c r="C607" s="16" t="s">
        <v>25</v>
      </c>
      <c r="D607" s="45">
        <v>32</v>
      </c>
      <c r="E607" s="18">
        <f ca="1">IFERROR(__xludf.DUMMYFUNCTION("COUNT(IMPORTRANGE(""https://docs.google.com/spreadsheets/d/1vLOLpiE-XsbnCnwWPcoi87PlUSXfqIAAQn3kvqHfO6s/edit"",""23!d2:D33""))"),32)</f>
        <v>32</v>
      </c>
      <c r="F607" s="23">
        <f ca="1">IFERROR(__xludf.DUMMYFUNCTION("SUM(IMPORTRANGE(""https://docs.google.com/spreadsheets/d/1vLOLpiE-XsbnCnwWPcoi87PlUSXfqIAAQn3kvqHfO6s/edit"",""23!Q2:Q33""))"),5756.476)</f>
        <v>5756.4759999999997</v>
      </c>
      <c r="G607" s="18">
        <f ca="1">IFERROR(__xludf.DUMMYFUNCTION("IMPORTRANGE(""https://docs.google.com/spreadsheets/d/1vLOLpiE-XsbnCnwWPcoi87PlUSXfqIAAQn3kvqHfO6s/edit"",""23!e40"")"),2238)</f>
        <v>2238</v>
      </c>
      <c r="H607" s="18">
        <f ca="1">IFERROR(__xludf.DUMMYFUNCTION("IMPORTRANGE(""https://docs.google.com/spreadsheets/d/1vLOLpiE-XsbnCnwWPcoi87PlUSXfqIAAQn3kvqHfO6s/edit"",""23!e41"")"),555)</f>
        <v>555</v>
      </c>
      <c r="I607" s="18">
        <f t="shared" ca="1" si="1662"/>
        <v>2793</v>
      </c>
      <c r="J607" s="18">
        <f ca="1">IFERROR(__xludf.DUMMYFUNCTION("IMPORTRANGE(""https://docs.google.com/spreadsheets/d/1vLOLpiE-XsbnCnwWPcoi87PlUSXfqIAAQn3kvqHfO6s/edit"",""23!e44"")"),3130)</f>
        <v>3130</v>
      </c>
      <c r="K607" s="18">
        <f ca="1">IFERROR(__xludf.DUMMYFUNCTION("IMPORTRANGE(""https://docs.google.com/spreadsheets/d/1vLOLpiE-XsbnCnwWPcoi87PlUSXfqIAAQn3kvqHfO6s/edit"",""23!e45"")"),213)</f>
        <v>213</v>
      </c>
      <c r="L607" s="18">
        <f ca="1">J607+K607</f>
        <v>3343</v>
      </c>
      <c r="M607" s="18">
        <f t="shared" ca="1" si="1664"/>
        <v>6136</v>
      </c>
      <c r="N607" s="19">
        <f t="shared" ca="1" si="1665"/>
        <v>179.88987499999999</v>
      </c>
      <c r="O607" s="16">
        <v>6622</v>
      </c>
      <c r="P607" s="20">
        <f t="shared" ca="1" si="1666"/>
        <v>0.92660827544548474</v>
      </c>
      <c r="Q607" s="21">
        <v>1.5</v>
      </c>
      <c r="R607" s="20">
        <f t="shared" ca="1" si="1667"/>
        <v>0.71061994641629134</v>
      </c>
      <c r="S607" s="22">
        <f t="shared" ca="1" si="1668"/>
        <v>1.065929919624437</v>
      </c>
      <c r="T607" s="21">
        <f ca="1">F607/23.84</f>
        <v>241.46291946308725</v>
      </c>
      <c r="U607" s="21">
        <f t="shared" ca="1" si="1669"/>
        <v>7.5457162332214764</v>
      </c>
      <c r="V607" s="18">
        <f t="shared" ca="1" si="1670"/>
        <v>191.75</v>
      </c>
      <c r="W607" s="76"/>
      <c r="X607" s="8">
        <v>2</v>
      </c>
      <c r="Y607" s="8" t="s">
        <v>30</v>
      </c>
      <c r="Z607" s="8">
        <f t="shared" ref="Z607:AI607" si="1690">SUM(D602)</f>
        <v>60</v>
      </c>
      <c r="AA607" s="9">
        <f t="shared" ca="1" si="1690"/>
        <v>56</v>
      </c>
      <c r="AB607" s="10">
        <f t="shared" ca="1" si="1690"/>
        <v>11063.0279999999</v>
      </c>
      <c r="AC607" s="9">
        <f t="shared" ca="1" si="1690"/>
        <v>3172</v>
      </c>
      <c r="AD607" s="9">
        <f t="shared" ca="1" si="1690"/>
        <v>0</v>
      </c>
      <c r="AE607" s="9">
        <f t="shared" ca="1" si="1690"/>
        <v>3172</v>
      </c>
      <c r="AF607" s="9">
        <f t="shared" ca="1" si="1690"/>
        <v>5796</v>
      </c>
      <c r="AG607" s="9">
        <f t="shared" ca="1" si="1690"/>
        <v>0</v>
      </c>
      <c r="AH607" s="9">
        <f t="shared" ca="1" si="1690"/>
        <v>5796</v>
      </c>
      <c r="AI607" s="9">
        <f t="shared" ca="1" si="1690"/>
        <v>8968</v>
      </c>
      <c r="AJ607" s="11">
        <f t="shared" ca="1" si="1682"/>
        <v>197.55407142856964</v>
      </c>
      <c r="AK607" s="8">
        <f t="shared" si="1683"/>
        <v>11164</v>
      </c>
      <c r="AL607" s="12">
        <f t="shared" ca="1" si="1684"/>
        <v>0.80329630956646358</v>
      </c>
      <c r="AM607" s="13">
        <f t="shared" si="1685"/>
        <v>1.5</v>
      </c>
      <c r="AN607" s="12">
        <f t="shared" ca="1" si="1686"/>
        <v>0.54041865090341634</v>
      </c>
      <c r="AO607" s="14">
        <f t="shared" ca="1" si="1687"/>
        <v>0.81062797635512451</v>
      </c>
      <c r="AP607" s="13">
        <f t="shared" ref="AP607:AQ607" ca="1" si="1691">SUM(T602)</f>
        <v>373.71306962131877</v>
      </c>
      <c r="AQ607" s="13">
        <f t="shared" ca="1" si="1691"/>
        <v>6.6734476718092637</v>
      </c>
      <c r="AR607" s="9">
        <f t="shared" ca="1" si="1689"/>
        <v>160.14285714285714</v>
      </c>
      <c r="AS607" s="76"/>
      <c r="AT607" s="76"/>
    </row>
    <row r="608" spans="1:46" ht="15.75" customHeight="1" x14ac:dyDescent="0.25">
      <c r="A608" s="70"/>
      <c r="B608" s="16">
        <v>9</v>
      </c>
      <c r="C608" s="16" t="s">
        <v>36</v>
      </c>
      <c r="D608" s="45">
        <v>29</v>
      </c>
      <c r="E608" s="18">
        <f ca="1">IFERROR(__xludf.DUMMYFUNCTION("COUNT(IMPORTRANGE(""https://docs.google.com/spreadsheets/d/1WJJVq25XDtGjt-J2JPxeKs3jIvDZtkIREC0lFPXwf74/edit"",""23!d2:d31""))"),29)</f>
        <v>29</v>
      </c>
      <c r="F608" s="23">
        <f ca="1">IFERROR(__xludf.DUMMYFUNCTION("SUM(IMPORTRANGE(""https://docs.google.com/spreadsheets/d/1WJJVq25XDtGjt-J2JPxeKs3jIvDZtkIREC0lFPXwf74/edit"",""23!Q2:Q31""))"),5791.18999999999)</f>
        <v>5791.1899999999896</v>
      </c>
      <c r="G608" s="18">
        <f ca="1">IFERROR(__xludf.DUMMYFUNCTION("IMPORTRANGE(""https://docs.google.com/spreadsheets/d/1WJJVq25XDtGjt-J2JPxeKs3jIvDZtkIREC0lFPXwf74/edit"",""23!e38"")"),1576)</f>
        <v>1576</v>
      </c>
      <c r="H608" s="18">
        <f ca="1">IFERROR(__xludf.DUMMYFUNCTION("IMPORTRANGE(""https://docs.google.com/spreadsheets/d/1WJJVq25XDtGjt-J2JPxeKs3jIvDZtkIREC0lFPXwf74/edit"",""23!e39"")"),0)</f>
        <v>0</v>
      </c>
      <c r="I608" s="18">
        <f t="shared" ca="1" si="1662"/>
        <v>1576</v>
      </c>
      <c r="J608" s="18">
        <f ca="1">IFERROR(__xludf.DUMMYFUNCTION("IMPORTRANGE(""https://docs.google.com/spreadsheets/d/1WJJVq25XDtGjt-J2JPxeKs3jIvDZtkIREC0lFPXwf74/edit"",""23!e42"")"),2323)</f>
        <v>2323</v>
      </c>
      <c r="K608" s="18">
        <f ca="1">IFERROR(__xludf.DUMMYFUNCTION("IMPORTRANGE(""https://docs.google.com/spreadsheets/d/1WJJVq25XDtGjt-J2JPxeKs3jIvDZtkIREC0lFPXwf74/edit"",""23!e43"")"),0)</f>
        <v>0</v>
      </c>
      <c r="L608" s="18">
        <f t="shared" ref="L608:L617" ca="1" si="1692">SUM(J608:K608)</f>
        <v>2323</v>
      </c>
      <c r="M608" s="18">
        <f t="shared" ca="1" si="1664"/>
        <v>3899</v>
      </c>
      <c r="N608" s="19">
        <f t="shared" ca="1" si="1665"/>
        <v>199.69620689655136</v>
      </c>
      <c r="O608" s="16">
        <v>4796</v>
      </c>
      <c r="P608" s="20">
        <f t="shared" ca="1" si="1666"/>
        <v>0.81296914095079231</v>
      </c>
      <c r="Q608" s="21">
        <v>1.5</v>
      </c>
      <c r="R608" s="20">
        <f t="shared" ca="1" si="1667"/>
        <v>0.44884269611830002</v>
      </c>
      <c r="S608" s="22">
        <f t="shared" ca="1" si="1668"/>
        <v>0.67326404417745001</v>
      </c>
      <c r="T608" s="21">
        <f ca="1">F608/37.414</f>
        <v>154.7867108568982</v>
      </c>
      <c r="U608" s="21">
        <f t="shared" ca="1" si="1669"/>
        <v>5.3374727881689035</v>
      </c>
      <c r="V608" s="18">
        <f t="shared" ca="1" si="1670"/>
        <v>134.44827586206895</v>
      </c>
      <c r="W608" s="76"/>
      <c r="X608" s="8">
        <v>3</v>
      </c>
      <c r="Y608" s="8" t="s">
        <v>34</v>
      </c>
      <c r="Z608" s="8">
        <f t="shared" ref="Z608:AI608" si="1693">SUM(D604)</f>
        <v>40</v>
      </c>
      <c r="AA608" s="9">
        <f t="shared" ca="1" si="1693"/>
        <v>39</v>
      </c>
      <c r="AB608" s="10">
        <f t="shared" ca="1" si="1693"/>
        <v>7568.6490000000003</v>
      </c>
      <c r="AC608" s="9">
        <f t="shared" ca="1" si="1693"/>
        <v>2677</v>
      </c>
      <c r="AD608" s="9">
        <f t="shared" ca="1" si="1693"/>
        <v>0</v>
      </c>
      <c r="AE608" s="9">
        <f t="shared" ca="1" si="1693"/>
        <v>2677</v>
      </c>
      <c r="AF608" s="9">
        <f t="shared" ca="1" si="1693"/>
        <v>3469</v>
      </c>
      <c r="AG608" s="9">
        <f t="shared" ca="1" si="1693"/>
        <v>0</v>
      </c>
      <c r="AH608" s="9">
        <f t="shared" ca="1" si="1693"/>
        <v>3469</v>
      </c>
      <c r="AI608" s="9">
        <f t="shared" ca="1" si="1693"/>
        <v>6146</v>
      </c>
      <c r="AJ608" s="11">
        <f t="shared" ca="1" si="1682"/>
        <v>194.06792307692308</v>
      </c>
      <c r="AK608" s="8">
        <f>SUM(O604)</f>
        <v>9354</v>
      </c>
      <c r="AL608" s="12">
        <f t="shared" ca="1" si="1684"/>
        <v>0.65704511438956592</v>
      </c>
      <c r="AM608" s="13">
        <f>SUM(Q604)</f>
        <v>1.5</v>
      </c>
      <c r="AN608" s="12">
        <f t="shared" ca="1" si="1686"/>
        <v>0.54135597163157301</v>
      </c>
      <c r="AO608" s="14">
        <f t="shared" ca="1" si="1687"/>
        <v>0.81203395744735951</v>
      </c>
      <c r="AP608" s="13">
        <f t="shared" ref="AP608:AQ608" ca="1" si="1694">SUM(T604)</f>
        <v>246.43144596750562</v>
      </c>
      <c r="AQ608" s="13">
        <f t="shared" ca="1" si="1694"/>
        <v>6.3187550248078361</v>
      </c>
      <c r="AR608" s="9">
        <f t="shared" ca="1" si="1689"/>
        <v>157.58974358974359</v>
      </c>
      <c r="AS608" s="76"/>
      <c r="AT608" s="76"/>
    </row>
    <row r="609" spans="1:46" ht="15.75" customHeight="1" x14ac:dyDescent="0.25">
      <c r="A609" s="70"/>
      <c r="B609" s="16">
        <v>10</v>
      </c>
      <c r="C609" s="16" t="s">
        <v>37</v>
      </c>
      <c r="D609" s="44">
        <v>30</v>
      </c>
      <c r="E609" s="18">
        <f ca="1">IFERROR(__xludf.DUMMYFUNCTION("COUNT(IMPORTRANGE(""https://docs.google.com/spreadsheets/d/1rJyYfywRpWJW0zvDJHLOJtqUQqffoCGaqTVxxTDgV0k/edit"",""23!d2:d31""))"),30)</f>
        <v>30</v>
      </c>
      <c r="F609" s="23">
        <f ca="1">IFERROR(__xludf.DUMMYFUNCTION("SUM(IMPORTRANGE(""https://docs.google.com/spreadsheets/d/1rJyYfywRpWJW0zvDJHLOJtqUQqffoCGaqTVxxTDgV0k/edit"",""23!Q2:Q31""))"),5873.082)</f>
        <v>5873.0820000000003</v>
      </c>
      <c r="G609" s="18">
        <f ca="1">IFERROR(__xludf.DUMMYFUNCTION("(IMPORTRANGE(""https://docs.google.com/spreadsheets/d/1rJyYfywRpWJW0zvDJHLOJtqUQqffoCGaqTVxxTDgV0k/edit"",""23!e38""))"),1918)</f>
        <v>1918</v>
      </c>
      <c r="H609" s="18">
        <f ca="1">IFERROR(__xludf.DUMMYFUNCTION("(IMPORTRANGE(""https://docs.google.com/spreadsheets/d/1rJyYfywRpWJW0zvDJHLOJtqUQqffoCGaqTVxxTDgV0k/edit"",""23!e39""))"),0)</f>
        <v>0</v>
      </c>
      <c r="I609" s="18">
        <f t="shared" ca="1" si="1662"/>
        <v>1918</v>
      </c>
      <c r="J609" s="18">
        <f ca="1">IFERROR(__xludf.DUMMYFUNCTION("(IMPORTRANGE(""https://docs.google.com/spreadsheets/d/1rJyYfywRpWJW0zvDJHLOJtqUQqffoCGaqTVxxTDgV0k/edit"",""23!e42""))"),3245)</f>
        <v>3245</v>
      </c>
      <c r="K609" s="18">
        <f ca="1">IFERROR(__xludf.DUMMYFUNCTION("(IMPORTRANGE(""https://docs.google.com/spreadsheets/d/1rJyYfywRpWJW0zvDJHLOJtqUQqffoCGaqTVxxTDgV0k/edit"",""23!e43""))"),0)</f>
        <v>0</v>
      </c>
      <c r="L609" s="18">
        <f t="shared" ca="1" si="1692"/>
        <v>3245</v>
      </c>
      <c r="M609" s="18">
        <f t="shared" ca="1" si="1664"/>
        <v>5163</v>
      </c>
      <c r="N609" s="19">
        <f t="shared" ca="1" si="1665"/>
        <v>195.76940000000002</v>
      </c>
      <c r="O609" s="16">
        <v>5887</v>
      </c>
      <c r="P609" s="20">
        <f t="shared" ca="1" si="1666"/>
        <v>0.87701715644640732</v>
      </c>
      <c r="Q609" s="21">
        <v>1.5</v>
      </c>
      <c r="R609" s="20">
        <f t="shared" ca="1" si="1667"/>
        <v>0.58606367151012018</v>
      </c>
      <c r="S609" s="22">
        <f t="shared" ca="1" si="1668"/>
        <v>0.87909550726518026</v>
      </c>
      <c r="T609" s="21">
        <f ca="1">F609/24.792</f>
        <v>236.89424007744432</v>
      </c>
      <c r="U609" s="21">
        <f t="shared" ca="1" si="1669"/>
        <v>7.8964746692481445</v>
      </c>
      <c r="V609" s="18">
        <f t="shared" ca="1" si="1670"/>
        <v>172.1</v>
      </c>
      <c r="W609" s="76"/>
      <c r="X609" s="8">
        <v>4</v>
      </c>
      <c r="Y609" s="8" t="s">
        <v>38</v>
      </c>
      <c r="Z609" s="8">
        <f t="shared" ref="Z609:AI609" si="1695">SUM(D612)</f>
        <v>30</v>
      </c>
      <c r="AA609" s="9">
        <f t="shared" ca="1" si="1695"/>
        <v>29</v>
      </c>
      <c r="AB609" s="10">
        <f t="shared" ca="1" si="1695"/>
        <v>6016.9609999999902</v>
      </c>
      <c r="AC609" s="9">
        <f t="shared" ca="1" si="1695"/>
        <v>2163</v>
      </c>
      <c r="AD609" s="9">
        <f t="shared" ca="1" si="1695"/>
        <v>0</v>
      </c>
      <c r="AE609" s="9">
        <f t="shared" ca="1" si="1695"/>
        <v>2163</v>
      </c>
      <c r="AF609" s="9">
        <f t="shared" ca="1" si="1695"/>
        <v>2761</v>
      </c>
      <c r="AG609" s="9">
        <f t="shared" ca="1" si="1695"/>
        <v>0</v>
      </c>
      <c r="AH609" s="9">
        <f t="shared" ca="1" si="1695"/>
        <v>2761</v>
      </c>
      <c r="AI609" s="9">
        <f t="shared" ca="1" si="1695"/>
        <v>4924</v>
      </c>
      <c r="AJ609" s="11">
        <f t="shared" ca="1" si="1682"/>
        <v>207.48141379310312</v>
      </c>
      <c r="AK609" s="8">
        <v>7324</v>
      </c>
      <c r="AL609" s="12">
        <f t="shared" ca="1" si="1684"/>
        <v>0.67231021299836158</v>
      </c>
      <c r="AM609" s="13">
        <f>SUM(Q612)</f>
        <v>1.5</v>
      </c>
      <c r="AN609" s="12">
        <f t="shared" ca="1" si="1686"/>
        <v>0.54556887881883764</v>
      </c>
      <c r="AO609" s="14">
        <f t="shared" ca="1" si="1687"/>
        <v>0.81835331822825641</v>
      </c>
      <c r="AP609" s="13">
        <f t="shared" ref="AP609:AQ609" ca="1" si="1696">SUM(T612)</f>
        <v>146.02502123528674</v>
      </c>
      <c r="AQ609" s="13">
        <f t="shared" ca="1" si="1696"/>
        <v>5.0353455598374737</v>
      </c>
      <c r="AR609" s="9">
        <f t="shared" ca="1" si="1689"/>
        <v>169.79310344827587</v>
      </c>
      <c r="AS609" s="76"/>
      <c r="AT609" s="76"/>
    </row>
    <row r="610" spans="1:46" ht="15.75" customHeight="1" x14ac:dyDescent="0.25">
      <c r="A610" s="70"/>
      <c r="B610" s="16">
        <v>12</v>
      </c>
      <c r="C610" s="16" t="s">
        <v>39</v>
      </c>
      <c r="D610" s="44">
        <v>28</v>
      </c>
      <c r="E610" s="18">
        <f ca="1">IFERROR(__xludf.DUMMYFUNCTION("COUNT(IMPORTRANGE(""https://docs.google.com/spreadsheets/d/1uaTn2DZCfr7O1PvovOd0wElzVz8kpl_iPfnrkNPp0Is/edit"",""23!d2:d29""))"),26)</f>
        <v>26</v>
      </c>
      <c r="F610" s="23">
        <f ca="1">IFERROR(__xludf.DUMMYFUNCTION("SUM(IMPORTRANGE(""https://docs.google.com/spreadsheets/d/1uaTn2DZCfr7O1PvovOd0wElzVz8kpl_iPfnrkNPp0Is/edit"",""23!Q2:Q29""))"),5211.144)</f>
        <v>5211.1440000000002</v>
      </c>
      <c r="G610" s="18">
        <f ca="1">IFERROR(__xludf.DUMMYFUNCTION("IMPORTRANGE(""https://docs.google.com/spreadsheets/d/1uaTn2DZCfr7O1PvovOd0wElzVz8kpl_iPfnrkNPp0Is/edit"",""23!e36"")"),1197)</f>
        <v>1197</v>
      </c>
      <c r="H610" s="18">
        <f ca="1">IFERROR(__xludf.DUMMYFUNCTION("(IMPORTRANGE(""https://docs.google.com/spreadsheets/d/1uaTn2DZCfr7O1PvovOd0wElzVz8kpl_iPfnrkNPp0Is/edit"",""23!e37""))"),20)</f>
        <v>20</v>
      </c>
      <c r="I610" s="18">
        <f t="shared" ca="1" si="1662"/>
        <v>1217</v>
      </c>
      <c r="J610" s="18">
        <f ca="1">IFERROR(__xludf.DUMMYFUNCTION("IMPORTRANGE(""https://docs.google.com/spreadsheets/d/1uaTn2DZCfr7O1PvovOd0wElzVz8kpl_iPfnrkNPp0Is/edit"",""23!e40"")"),1712)</f>
        <v>1712</v>
      </c>
      <c r="K610" s="18">
        <f ca="1">IFERROR(__xludf.DUMMYFUNCTION("IMPORTRANGE(""https://docs.google.com/spreadsheets/d/1uaTn2DZCfr7O1PvovOd0wElzVz8kpl_iPfnrkNPp0Is/edit"",""23!e41"")"),45)</f>
        <v>45</v>
      </c>
      <c r="L610" s="18">
        <f t="shared" ca="1" si="1692"/>
        <v>1757</v>
      </c>
      <c r="M610" s="18">
        <f t="shared" ca="1" si="1664"/>
        <v>2974</v>
      </c>
      <c r="N610" s="19">
        <f t="shared" ca="1" si="1665"/>
        <v>200.4286153846154</v>
      </c>
      <c r="O610" s="16">
        <v>3569</v>
      </c>
      <c r="P610" s="20">
        <f t="shared" ca="1" si="1666"/>
        <v>0.83328663491173993</v>
      </c>
      <c r="Q610" s="21">
        <v>1.5</v>
      </c>
      <c r="R610" s="20">
        <f t="shared" ca="1" si="1667"/>
        <v>0.38046668191603739</v>
      </c>
      <c r="S610" s="22">
        <f t="shared" ca="1" si="1668"/>
        <v>0.57070002287405608</v>
      </c>
      <c r="T610" s="21">
        <f ca="1">F610/21.463</f>
        <v>242.79662675301682</v>
      </c>
      <c r="U610" s="21">
        <f t="shared" ca="1" si="1669"/>
        <v>9.3383317981929554</v>
      </c>
      <c r="V610" s="18">
        <f t="shared" ca="1" si="1670"/>
        <v>114.38461538461539</v>
      </c>
      <c r="W610" s="76"/>
      <c r="X610" s="8">
        <v>5</v>
      </c>
      <c r="Y610" s="8" t="s">
        <v>40</v>
      </c>
      <c r="Z610" s="8">
        <f t="shared" ref="Z610:AI610" si="1697">SUM(D614)</f>
        <v>30</v>
      </c>
      <c r="AA610" s="9">
        <f t="shared" ca="1" si="1697"/>
        <v>30</v>
      </c>
      <c r="AB610" s="10">
        <f t="shared" ca="1" si="1697"/>
        <v>5958.1419999999898</v>
      </c>
      <c r="AC610" s="9">
        <f t="shared" ca="1" si="1697"/>
        <v>3494</v>
      </c>
      <c r="AD610" s="9">
        <f t="shared" ca="1" si="1697"/>
        <v>36</v>
      </c>
      <c r="AE610" s="9">
        <f t="shared" ca="1" si="1697"/>
        <v>3530</v>
      </c>
      <c r="AF610" s="9">
        <f t="shared" ca="1" si="1697"/>
        <v>3904</v>
      </c>
      <c r="AG610" s="9">
        <f t="shared" ca="1" si="1697"/>
        <v>18</v>
      </c>
      <c r="AH610" s="9">
        <f t="shared" ca="1" si="1697"/>
        <v>3922</v>
      </c>
      <c r="AI610" s="9">
        <f t="shared" ca="1" si="1697"/>
        <v>7452</v>
      </c>
      <c r="AJ610" s="11">
        <f t="shared" ca="1" si="1682"/>
        <v>198.604733333333</v>
      </c>
      <c r="AK610" s="8">
        <f t="shared" ref="AK610:AK611" si="1698">SUM(O614)</f>
        <v>8239</v>
      </c>
      <c r="AL610" s="12">
        <f t="shared" ca="1" si="1684"/>
        <v>0.90447869887122223</v>
      </c>
      <c r="AM610" s="13">
        <f t="shared" ref="AM610:AM611" si="1699">SUM(Q614)</f>
        <v>1.5</v>
      </c>
      <c r="AN610" s="12">
        <f t="shared" ca="1" si="1686"/>
        <v>0.83381698522794656</v>
      </c>
      <c r="AO610" s="14">
        <f t="shared" ca="1" si="1687"/>
        <v>1.2507254778419199</v>
      </c>
      <c r="AP610" s="13">
        <f t="shared" ref="AP610:AQ610" ca="1" si="1700">SUM(T614)</f>
        <v>209.4765671694262</v>
      </c>
      <c r="AQ610" s="13">
        <f t="shared" ca="1" si="1700"/>
        <v>6.9825522389808734</v>
      </c>
      <c r="AR610" s="9">
        <f t="shared" ca="1" si="1689"/>
        <v>248.4</v>
      </c>
      <c r="AS610" s="76"/>
      <c r="AT610" s="76"/>
    </row>
    <row r="611" spans="1:46" ht="15.75" customHeight="1" x14ac:dyDescent="0.25">
      <c r="A611" s="70"/>
      <c r="B611" s="16">
        <v>12</v>
      </c>
      <c r="C611" s="16" t="s">
        <v>41</v>
      </c>
      <c r="D611" s="44">
        <v>24</v>
      </c>
      <c r="E611" s="18">
        <f ca="1">IFERROR(__xludf.DUMMYFUNCTION("COUNT(IMPORTRANGE(""https://docs.google.com/spreadsheets/d/1oYscvfOJW7GMkxt8QcupWuzb3ohaYePd3Mt2V2ufHok/edit"",""23!d2:d25""))"),24)</f>
        <v>24</v>
      </c>
      <c r="F611" s="23">
        <f ca="1">IFERROR(__xludf.DUMMYFUNCTION("SUM(IMPORTRANGE(""https://docs.google.com/spreadsheets/d/1oYscvfOJW7GMkxt8QcupWuzb3ohaYePd3Mt2V2ufHok/edit"",""23!Q2:Q25""))"),4704.268)</f>
        <v>4704.268</v>
      </c>
      <c r="G611" s="18">
        <f ca="1">IFERROR(__xludf.DUMMYFUNCTION("IMPORTRANGE(""https://docs.google.com/spreadsheets/d/1oYscvfOJW7GMkxt8QcupWuzb3ohaYePd3Mt2V2ufHok/edit"",""23!e32"")"),1234)</f>
        <v>1234</v>
      </c>
      <c r="H611" s="18">
        <f ca="1">IFERROR(__xludf.DUMMYFUNCTION("IMPORTRANGE(""https://docs.google.com/spreadsheets/d/1oYscvfOJW7GMkxt8QcupWuzb3ohaYePd3Mt2V2ufHok/edit"",""23!e33"")"),29)</f>
        <v>29</v>
      </c>
      <c r="I611" s="18">
        <f t="shared" ca="1" si="1662"/>
        <v>1263</v>
      </c>
      <c r="J611" s="18">
        <f ca="1">IFERROR(__xludf.DUMMYFUNCTION("IMPORTRANGE(""https://docs.google.com/spreadsheets/d/1oYscvfOJW7GMkxt8QcupWuzb3ohaYePd3Mt2V2ufHok/edit"",""23!e36"")"),1784)</f>
        <v>1784</v>
      </c>
      <c r="K611" s="18">
        <f ca="1">IFERROR(__xludf.DUMMYFUNCTION("IMPORTRANGE(""https://docs.google.com/spreadsheets/d/1oYscvfOJW7GMkxt8QcupWuzb3ohaYePd3Mt2V2ufHok/edit"",""23!e37"")"),30)</f>
        <v>30</v>
      </c>
      <c r="L611" s="18">
        <f t="shared" ca="1" si="1692"/>
        <v>1814</v>
      </c>
      <c r="M611" s="18">
        <f t="shared" ca="1" si="1664"/>
        <v>3077</v>
      </c>
      <c r="N611" s="19">
        <f t="shared" ca="1" si="1665"/>
        <v>196.01116666666667</v>
      </c>
      <c r="O611" s="16">
        <v>3801</v>
      </c>
      <c r="P611" s="20">
        <f t="shared" ca="1" si="1666"/>
        <v>0.80952380952380953</v>
      </c>
      <c r="Q611" s="21">
        <v>1.5</v>
      </c>
      <c r="R611" s="20">
        <f t="shared" ca="1" si="1667"/>
        <v>0.43605792300381979</v>
      </c>
      <c r="S611" s="22">
        <f t="shared" ca="1" si="1668"/>
        <v>0.65408688450572972</v>
      </c>
      <c r="T611" s="21">
        <f ca="1">F611/29.628</f>
        <v>158.77777777777777</v>
      </c>
      <c r="U611" s="21">
        <f t="shared" ca="1" si="1669"/>
        <v>6.6157407407407405</v>
      </c>
      <c r="V611" s="18">
        <f t="shared" ca="1" si="1670"/>
        <v>128.20833333333334</v>
      </c>
      <c r="W611" s="76"/>
      <c r="X611" s="8">
        <v>6</v>
      </c>
      <c r="Y611" s="8" t="s">
        <v>42</v>
      </c>
      <c r="Z611" s="8">
        <f t="shared" ref="Z611:AI611" si="1701">SUM(D615)</f>
        <v>33</v>
      </c>
      <c r="AA611" s="9">
        <f t="shared" ca="1" si="1701"/>
        <v>32</v>
      </c>
      <c r="AB611" s="10">
        <f t="shared" ca="1" si="1701"/>
        <v>6257.1999999999898</v>
      </c>
      <c r="AC611" s="9">
        <f t="shared" ca="1" si="1701"/>
        <v>3061</v>
      </c>
      <c r="AD611" s="9">
        <f t="shared" ca="1" si="1701"/>
        <v>0</v>
      </c>
      <c r="AE611" s="9">
        <f t="shared" ca="1" si="1701"/>
        <v>3061</v>
      </c>
      <c r="AF611" s="9">
        <f t="shared" ca="1" si="1701"/>
        <v>4273</v>
      </c>
      <c r="AG611" s="9">
        <f t="shared" ca="1" si="1701"/>
        <v>0</v>
      </c>
      <c r="AH611" s="9">
        <f t="shared" ca="1" si="1701"/>
        <v>4273</v>
      </c>
      <c r="AI611" s="9">
        <f t="shared" ca="1" si="1701"/>
        <v>7334</v>
      </c>
      <c r="AJ611" s="11">
        <f t="shared" ca="1" si="1682"/>
        <v>195.53749999999968</v>
      </c>
      <c r="AK611" s="8">
        <f t="shared" si="1698"/>
        <v>9877</v>
      </c>
      <c r="AL611" s="12">
        <f t="shared" ca="1" si="1684"/>
        <v>0.7425331578414498</v>
      </c>
      <c r="AM611" s="13">
        <f t="shared" si="1699"/>
        <v>1.5</v>
      </c>
      <c r="AN611" s="12">
        <f t="shared" ca="1" si="1686"/>
        <v>0.78139316840333395</v>
      </c>
      <c r="AO611" s="14">
        <f t="shared" ca="1" si="1687"/>
        <v>1.1720897526050009</v>
      </c>
      <c r="AP611" s="13">
        <f t="shared" ref="AP611:AQ611" ca="1" si="1702">SUM(T615)</f>
        <v>239.23532785318255</v>
      </c>
      <c r="AQ611" s="13">
        <f t="shared" ca="1" si="1702"/>
        <v>7.4761039954119548</v>
      </c>
      <c r="AR611" s="9">
        <f t="shared" ca="1" si="1689"/>
        <v>229.1875</v>
      </c>
      <c r="AS611" s="76"/>
      <c r="AT611" s="76"/>
    </row>
    <row r="612" spans="1:46" ht="15.75" customHeight="1" x14ac:dyDescent="0.25">
      <c r="A612" s="70"/>
      <c r="B612" s="16">
        <v>13</v>
      </c>
      <c r="C612" s="16" t="s">
        <v>43</v>
      </c>
      <c r="D612" s="44">
        <v>30</v>
      </c>
      <c r="E612" s="18">
        <f ca="1">IFERROR(__xludf.DUMMYFUNCTION("COUNT(IMPORTRANGE(""https://docs.google.com/spreadsheets/d/1AxBmuQEdOYAeRnZ4C8vO6kuTNp7X_SGhpLXuY0n4ln4/edit"",""23!d2:d31""))"),29)</f>
        <v>29</v>
      </c>
      <c r="F612" s="23">
        <f ca="1">IFERROR(__xludf.DUMMYFUNCTION("SUM(IMPORTRANGE(""https://docs.google.com/spreadsheets/d/1AxBmuQEdOYAeRnZ4C8vO6kuTNp7X_SGhpLXuY0n4ln4/edit"",""23!Q2:Q31""))"),6016.96099999999)</f>
        <v>6016.9609999999902</v>
      </c>
      <c r="G612" s="18">
        <f ca="1">IFERROR(__xludf.DUMMYFUNCTION("IMPORTRANGE(""https://docs.google.com/spreadsheets/d/1AxBmuQEdOYAeRnZ4C8vO6kuTNp7X_SGhpLXuY0n4ln4/edit"",""23!e38"")"),2163)</f>
        <v>2163</v>
      </c>
      <c r="H612" s="18">
        <f ca="1">IFERROR(__xludf.DUMMYFUNCTION("IMPORTRANGE(""https://docs.google.com/spreadsheets/d/1AxBmuQEdOYAeRnZ4C8vO6kuTNp7X_SGhpLXuY0n4ln4/edit"",""23!e39"")"),0)</f>
        <v>0</v>
      </c>
      <c r="I612" s="18">
        <f t="shared" ca="1" si="1662"/>
        <v>2163</v>
      </c>
      <c r="J612" s="18">
        <f ca="1">IFERROR(__xludf.DUMMYFUNCTION("IMPORTRANGE(""https://docs.google.com/spreadsheets/d/1AxBmuQEdOYAeRnZ4C8vO6kuTNp7X_SGhpLXuY0n4ln4/edit"",""23!e42"")"),2761)</f>
        <v>2761</v>
      </c>
      <c r="K612" s="18">
        <f ca="1">IFERROR(__xludf.DUMMYFUNCTION("IMPORTRANGE(""https://docs.google.com/spreadsheets/d/1AxBmuQEdOYAeRnZ4C8vO6kuTNp7X_SGhpLXuY0n4ln4/edit"",""23!e43"")"),0)</f>
        <v>0</v>
      </c>
      <c r="L612" s="18">
        <f t="shared" ca="1" si="1692"/>
        <v>2761</v>
      </c>
      <c r="M612" s="18">
        <f t="shared" ca="1" si="1664"/>
        <v>4924</v>
      </c>
      <c r="N612" s="19">
        <f t="shared" ca="1" si="1665"/>
        <v>207.48141379310312</v>
      </c>
      <c r="O612" s="16">
        <v>8345</v>
      </c>
      <c r="P612" s="20">
        <f t="shared" ca="1" si="1666"/>
        <v>0.59005392450569205</v>
      </c>
      <c r="Q612" s="21">
        <v>1.5</v>
      </c>
      <c r="R612" s="20">
        <f t="shared" ca="1" si="1667"/>
        <v>0.54556887881883764</v>
      </c>
      <c r="S612" s="22">
        <f t="shared" ca="1" si="1668"/>
        <v>0.81835331822825641</v>
      </c>
      <c r="T612" s="21">
        <f ca="1">F612/41.205</f>
        <v>146.02502123528674</v>
      </c>
      <c r="U612" s="21">
        <f t="shared" ca="1" si="1669"/>
        <v>5.0353455598374737</v>
      </c>
      <c r="V612" s="18">
        <f t="shared" ca="1" si="1670"/>
        <v>169.79310344827587</v>
      </c>
      <c r="W612" s="76"/>
      <c r="X612" s="24" t="s">
        <v>33</v>
      </c>
      <c r="Y612" s="24">
        <v>6</v>
      </c>
      <c r="Z612" s="24">
        <f t="shared" ref="Z612:AI612" si="1703">SUM(Z606:Z611)</f>
        <v>226</v>
      </c>
      <c r="AA612" s="25">
        <f t="shared" ca="1" si="1703"/>
        <v>219</v>
      </c>
      <c r="AB612" s="27">
        <f t="shared" ca="1" si="1703"/>
        <v>43454.606999999873</v>
      </c>
      <c r="AC612" s="25">
        <f t="shared" ca="1" si="1703"/>
        <v>17058</v>
      </c>
      <c r="AD612" s="25">
        <f t="shared" ca="1" si="1703"/>
        <v>400</v>
      </c>
      <c r="AE612" s="25">
        <f t="shared" ca="1" si="1703"/>
        <v>17458</v>
      </c>
      <c r="AF612" s="25">
        <f t="shared" ca="1" si="1703"/>
        <v>23272</v>
      </c>
      <c r="AG612" s="25">
        <f t="shared" ca="1" si="1703"/>
        <v>402</v>
      </c>
      <c r="AH612" s="25">
        <f t="shared" ca="1" si="1703"/>
        <v>23674</v>
      </c>
      <c r="AI612" s="25">
        <f t="shared" ca="1" si="1703"/>
        <v>41132</v>
      </c>
      <c r="AJ612" s="27">
        <f t="shared" ca="1" si="1682"/>
        <v>198.42286301369805</v>
      </c>
      <c r="AK612" s="24">
        <f>SUM(AK606:AK611)</f>
        <v>53273</v>
      </c>
      <c r="AL612" s="28">
        <f t="shared" ca="1" si="1684"/>
        <v>0.77209843635612785</v>
      </c>
      <c r="AM612" s="29">
        <v>1.5</v>
      </c>
      <c r="AN612" s="28">
        <f t="shared" ca="1" si="1686"/>
        <v>0.63103397375871817</v>
      </c>
      <c r="AO612" s="30">
        <f t="shared" ca="1" si="1687"/>
        <v>0.94655096063807731</v>
      </c>
      <c r="AP612" s="29">
        <f ca="1">SUM(AP606:AP611)</f>
        <v>1428.1910411939057</v>
      </c>
      <c r="AQ612" s="29">
        <f ca="1">AP612/AA612</f>
        <v>6.5214202794242269</v>
      </c>
      <c r="AR612" s="25">
        <f t="shared" ca="1" si="1689"/>
        <v>187.8173515981735</v>
      </c>
      <c r="AS612" s="76"/>
      <c r="AT612" s="76"/>
    </row>
    <row r="613" spans="1:46" ht="15.75" customHeight="1" x14ac:dyDescent="0.25">
      <c r="A613" s="70"/>
      <c r="B613" s="16">
        <v>14</v>
      </c>
      <c r="C613" s="16" t="s">
        <v>27</v>
      </c>
      <c r="D613" s="44">
        <v>30</v>
      </c>
      <c r="E613" s="18">
        <f ca="1">IFERROR(__xludf.DUMMYFUNCTION("COUNT(IMPORTRANGE(""https://docs.google.com/spreadsheets/d/1LsL4JuXvBtfJ-TVi4NFml9lV_pmd61b789A_nbO-QrA/edit"",""23!d2:d31""))"),30)</f>
        <v>30</v>
      </c>
      <c r="F613" s="23">
        <f ca="1">IFERROR(__xludf.DUMMYFUNCTION("SUM(IMPORTRANGE(""https://docs.google.com/spreadsheets/d/1LsL4JuXvBtfJ-TVi4NFml9lV_pmd61b789A_nbO-QrA/edit"",""23!Q2:Q31""))"),5865.46)</f>
        <v>5865.46</v>
      </c>
      <c r="G613" s="18">
        <f ca="1">IFERROR(__xludf.DUMMYFUNCTION("IMPORTRANGE(""https://docs.google.com/spreadsheets/d/1LsL4JuXvBtfJ-TVi4NFml9lV_pmd61b789A_nbO-QrA/edit"",""23!e38"")"),2374)</f>
        <v>2374</v>
      </c>
      <c r="H613" s="18">
        <f ca="1">IFERROR(__xludf.DUMMYFUNCTION("IMPORTRANGE(""https://docs.google.com/spreadsheets/d/1LsL4JuXvBtfJ-TVi4NFml9lV_pmd61b789A_nbO-QrA/edit"",""23!e39"")"),0)</f>
        <v>0</v>
      </c>
      <c r="I613" s="18">
        <f t="shared" ca="1" si="1662"/>
        <v>2374</v>
      </c>
      <c r="J613" s="18">
        <f ca="1">IFERROR(__xludf.DUMMYFUNCTION("IMPORTRANGE(""https://docs.google.com/spreadsheets/d/1LsL4JuXvBtfJ-TVi4NFml9lV_pmd61b789A_nbO-QrA/edit"",""23!e42"")"),2977)</f>
        <v>2977</v>
      </c>
      <c r="K613" s="18">
        <f ca="1">IFERROR(__xludf.DUMMYFUNCTION("IMPORTRANGE(""https://docs.google.com/spreadsheets/d/1LsL4JuXvBtfJ-TVi4NFml9lV_pmd61b789A_nbO-QrA/edit"",""23!e43"")"),0)</f>
        <v>0</v>
      </c>
      <c r="L613" s="18">
        <f t="shared" ca="1" si="1692"/>
        <v>2977</v>
      </c>
      <c r="M613" s="18">
        <f t="shared" ca="1" si="1664"/>
        <v>5351</v>
      </c>
      <c r="N613" s="19">
        <f t="shared" ca="1" si="1665"/>
        <v>195.51533333333333</v>
      </c>
      <c r="O613" s="16">
        <v>8101</v>
      </c>
      <c r="P613" s="20">
        <f t="shared" ca="1" si="1666"/>
        <v>0.66053573632884832</v>
      </c>
      <c r="Q613" s="21">
        <v>1.5</v>
      </c>
      <c r="R613" s="20">
        <f t="shared" ca="1" si="1667"/>
        <v>0.60819327611701957</v>
      </c>
      <c r="S613" s="22">
        <f t="shared" ca="1" si="1668"/>
        <v>0.91228991417552929</v>
      </c>
      <c r="T613" s="21">
        <f ca="1">F613/19.985</f>
        <v>293.49311983987991</v>
      </c>
      <c r="U613" s="21">
        <f t="shared" ca="1" si="1669"/>
        <v>9.7831039946626639</v>
      </c>
      <c r="V613" s="18">
        <f t="shared" ca="1" si="1670"/>
        <v>178.36666666666667</v>
      </c>
      <c r="W613" s="76"/>
      <c r="X613" s="97" t="s">
        <v>44</v>
      </c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9"/>
      <c r="AS613" s="76"/>
      <c r="AT613" s="76"/>
    </row>
    <row r="614" spans="1:46" ht="15.75" customHeight="1" x14ac:dyDescent="0.25">
      <c r="A614" s="70"/>
      <c r="B614" s="16">
        <v>15</v>
      </c>
      <c r="C614" s="16" t="s">
        <v>40</v>
      </c>
      <c r="D614" s="44">
        <v>30</v>
      </c>
      <c r="E614" s="18">
        <f ca="1">IFERROR(__xludf.DUMMYFUNCTION("COUNT(IMPORTRANGE(""https://docs.google.com/spreadsheets/d/1Krav0MVlY0vbUNsFRDnb_kR72_tyuGnWBYbGjNZrl18/edit"",""23!d2:d31""))"),30)</f>
        <v>30</v>
      </c>
      <c r="F614" s="23">
        <f ca="1">IFERROR(__xludf.DUMMYFUNCTION("SUM(IMPORTRANGE(""https://docs.google.com/spreadsheets/d/1Krav0MVlY0vbUNsFRDnb_kR72_tyuGnWBYbGjNZrl18/edit"",""23!Q2:Q31""))"),5958.14199999999)</f>
        <v>5958.1419999999898</v>
      </c>
      <c r="G614" s="18">
        <f ca="1">IFERROR(__xludf.DUMMYFUNCTION("IMPORTRANGE(""https://docs.google.com/spreadsheets/d/1Krav0MVlY0vbUNsFRDnb_kR72_tyuGnWBYbGjNZrl18/edit"",""23!e38"")"),3494)</f>
        <v>3494</v>
      </c>
      <c r="H614" s="18">
        <f ca="1">IFERROR(__xludf.DUMMYFUNCTION("IMPORTRANGE(""https://docs.google.com/spreadsheets/d/1Krav0MVlY0vbUNsFRDnb_kR72_tyuGnWBYbGjNZrl18/edit"",""23!e39"")"),36)</f>
        <v>36</v>
      </c>
      <c r="I614" s="18">
        <f t="shared" ca="1" si="1662"/>
        <v>3530</v>
      </c>
      <c r="J614" s="18">
        <f ca="1">IFERROR(__xludf.DUMMYFUNCTION("IMPORTRANGE(""https://docs.google.com/spreadsheets/d/1Krav0MVlY0vbUNsFRDnb_kR72_tyuGnWBYbGjNZrl18/edit"",""23!e42"")"),3904)</f>
        <v>3904</v>
      </c>
      <c r="K614" s="18">
        <f ca="1">IFERROR(__xludf.DUMMYFUNCTION("IMPORTRANGE(""https://docs.google.com/spreadsheets/d/1Krav0MVlY0vbUNsFRDnb_kR72_tyuGnWBYbGjNZrl18/edit"",""23!e43"")"),18)</f>
        <v>18</v>
      </c>
      <c r="L614" s="18">
        <f t="shared" ca="1" si="1692"/>
        <v>3922</v>
      </c>
      <c r="M614" s="18">
        <f t="shared" ca="1" si="1664"/>
        <v>7452</v>
      </c>
      <c r="N614" s="19">
        <f t="shared" ca="1" si="1665"/>
        <v>198.604733333333</v>
      </c>
      <c r="O614" s="16">
        <v>8239</v>
      </c>
      <c r="P614" s="20">
        <f t="shared" ca="1" si="1666"/>
        <v>0.90447869887122223</v>
      </c>
      <c r="Q614" s="21">
        <v>1.5</v>
      </c>
      <c r="R614" s="20">
        <f t="shared" ca="1" si="1667"/>
        <v>0.83381698522794656</v>
      </c>
      <c r="S614" s="22">
        <f t="shared" ca="1" si="1668"/>
        <v>1.2507254778419199</v>
      </c>
      <c r="T614" s="21">
        <f ca="1">F614/28.443</f>
        <v>209.4765671694262</v>
      </c>
      <c r="U614" s="21">
        <f t="shared" ca="1" si="1669"/>
        <v>6.9825522389808734</v>
      </c>
      <c r="V614" s="18">
        <f t="shared" ca="1" si="1670"/>
        <v>248.4</v>
      </c>
      <c r="W614" s="76"/>
      <c r="X614" s="1" t="s">
        <v>2</v>
      </c>
      <c r="Y614" s="1" t="s">
        <v>3</v>
      </c>
      <c r="Z614" s="1" t="s">
        <v>4</v>
      </c>
      <c r="AA614" s="1" t="s">
        <v>5</v>
      </c>
      <c r="AB614" s="2" t="s">
        <v>6</v>
      </c>
      <c r="AC614" s="1" t="s">
        <v>7</v>
      </c>
      <c r="AD614" s="1" t="s">
        <v>8</v>
      </c>
      <c r="AE614" s="1" t="s">
        <v>9</v>
      </c>
      <c r="AF614" s="1" t="s">
        <v>10</v>
      </c>
      <c r="AG614" s="1" t="s">
        <v>11</v>
      </c>
      <c r="AH614" s="1" t="s">
        <v>12</v>
      </c>
      <c r="AI614" s="1" t="s">
        <v>13</v>
      </c>
      <c r="AJ614" s="2" t="s">
        <v>14</v>
      </c>
      <c r="AK614" s="1" t="s">
        <v>15</v>
      </c>
      <c r="AL614" s="1" t="s">
        <v>16</v>
      </c>
      <c r="AM614" s="3" t="s">
        <v>17</v>
      </c>
      <c r="AN614" s="4" t="s">
        <v>18</v>
      </c>
      <c r="AO614" s="5" t="s">
        <v>19</v>
      </c>
      <c r="AP614" s="6" t="s">
        <v>20</v>
      </c>
      <c r="AQ614" s="6" t="s">
        <v>21</v>
      </c>
      <c r="AR614" s="7" t="s">
        <v>22</v>
      </c>
      <c r="AS614" s="76"/>
      <c r="AT614" s="76"/>
    </row>
    <row r="615" spans="1:46" ht="15.75" customHeight="1" x14ac:dyDescent="0.25">
      <c r="A615" s="70"/>
      <c r="B615" s="16">
        <v>16</v>
      </c>
      <c r="C615" s="16" t="s">
        <v>42</v>
      </c>
      <c r="D615" s="44">
        <v>33</v>
      </c>
      <c r="E615" s="18">
        <f ca="1">IFERROR(__xludf.DUMMYFUNCTION("COUNT(IMPORTRANGE(""https://docs.google.com/spreadsheets/d/1uXtm-E8PG0CetlFmSpTX3RK0LNEMnpR-mxbET9AGD6w/edit"",""23!d2:d34""))"),32)</f>
        <v>32</v>
      </c>
      <c r="F615" s="23">
        <f ca="1">IFERROR(__xludf.DUMMYFUNCTION("SUM(IMPORTRANGE(""https://docs.google.com/spreadsheets/d/1uXtm-E8PG0CetlFmSpTX3RK0LNEMnpR-mxbET9AGD6w/edit"",""23!Q2:Q34""))"),6257.19999999999)</f>
        <v>6257.1999999999898</v>
      </c>
      <c r="G615" s="18">
        <f ca="1">IFERROR(__xludf.DUMMYFUNCTION("IMPORTRANGE(""https://docs.google.com/spreadsheets/d/1uXtm-E8PG0CetlFmSpTX3RK0LNEMnpR-mxbET9AGD6w/edit"",""23!e41"")"),3061)</f>
        <v>3061</v>
      </c>
      <c r="H615" s="18">
        <f ca="1">IFERROR(__xludf.DUMMYFUNCTION("IMPORTRANGE(""https://docs.google.com/spreadsheets/d/1uXtm-E8PG0CetlFmSpTX3RK0LNEMnpR-mxbET9AGD6w/edit"",""23!e42"")"),0)</f>
        <v>0</v>
      </c>
      <c r="I615" s="18">
        <f t="shared" ca="1" si="1662"/>
        <v>3061</v>
      </c>
      <c r="J615" s="18">
        <f ca="1">IFERROR(__xludf.DUMMYFUNCTION("IMPORTRANGE(""https://docs.google.com/spreadsheets/d/1uXtm-E8PG0CetlFmSpTX3RK0LNEMnpR-mxbET9AGD6w/edit"",""23!e45"")"),4273)</f>
        <v>4273</v>
      </c>
      <c r="K615" s="18">
        <f ca="1">IFERROR(__xludf.DUMMYFUNCTION("IMPORTRANGE(""https://docs.google.com/spreadsheets/d/1uXtm-E8PG0CetlFmSpTX3RK0LNEMnpR-mxbET9AGD6w/edit"",""23!e46"")"),0)</f>
        <v>0</v>
      </c>
      <c r="L615" s="18">
        <f t="shared" ca="1" si="1692"/>
        <v>4273</v>
      </c>
      <c r="M615" s="18">
        <f t="shared" ca="1" si="1664"/>
        <v>7334</v>
      </c>
      <c r="N615" s="19">
        <f t="shared" ca="1" si="1665"/>
        <v>195.53749999999968</v>
      </c>
      <c r="O615" s="16">
        <v>9877</v>
      </c>
      <c r="P615" s="20">
        <f t="shared" ca="1" si="1666"/>
        <v>0.7425331578414498</v>
      </c>
      <c r="Q615" s="21">
        <v>1.5</v>
      </c>
      <c r="R615" s="20">
        <f t="shared" ca="1" si="1667"/>
        <v>0.78139316840333395</v>
      </c>
      <c r="S615" s="22">
        <f t="shared" ca="1" si="1668"/>
        <v>1.1720897526050009</v>
      </c>
      <c r="T615" s="21">
        <f ca="1">F615/26.155</f>
        <v>239.23532785318255</v>
      </c>
      <c r="U615" s="21">
        <f t="shared" ca="1" si="1669"/>
        <v>7.4761039954119548</v>
      </c>
      <c r="V615" s="18">
        <f t="shared" ca="1" si="1670"/>
        <v>229.1875</v>
      </c>
      <c r="W615" s="76"/>
      <c r="X615" s="8">
        <v>1</v>
      </c>
      <c r="Y615" s="8" t="s">
        <v>26</v>
      </c>
      <c r="Z615" s="8">
        <f t="shared" ref="Z615:AI615" si="1704">SUM(D600)</f>
        <v>20</v>
      </c>
      <c r="AA615" s="9">
        <f t="shared" ca="1" si="1704"/>
        <v>18</v>
      </c>
      <c r="AB615" s="11">
        <f t="shared" ca="1" si="1704"/>
        <v>3236.703</v>
      </c>
      <c r="AC615" s="9">
        <f t="shared" ca="1" si="1704"/>
        <v>2009</v>
      </c>
      <c r="AD615" s="9">
        <f t="shared" ca="1" si="1704"/>
        <v>0</v>
      </c>
      <c r="AE615" s="9">
        <f t="shared" ca="1" si="1704"/>
        <v>2009</v>
      </c>
      <c r="AF615" s="9">
        <f t="shared" ca="1" si="1704"/>
        <v>3058</v>
      </c>
      <c r="AG615" s="9">
        <f t="shared" ca="1" si="1704"/>
        <v>0</v>
      </c>
      <c r="AH615" s="9">
        <f t="shared" ca="1" si="1704"/>
        <v>3058</v>
      </c>
      <c r="AI615" s="9">
        <f t="shared" ca="1" si="1704"/>
        <v>5067</v>
      </c>
      <c r="AJ615" s="11">
        <f t="shared" ref="AJ615:AJ621" ca="1" si="1705">AB615/AA615</f>
        <v>179.81683333333334</v>
      </c>
      <c r="AK615" s="8">
        <f>SUM(O600)</f>
        <v>5161</v>
      </c>
      <c r="AL615" s="12">
        <f t="shared" ref="AL615:AL621" ca="1" si="1706">AI615/AK615</f>
        <v>0.98178647548924625</v>
      </c>
      <c r="AM615" s="13">
        <f>SUM(Q600)</f>
        <v>1.5</v>
      </c>
      <c r="AN615" s="12">
        <f t="shared" ref="AN615:AN621" ca="1" si="1707">AO615/AM615</f>
        <v>1.0436546077907056</v>
      </c>
      <c r="AO615" s="14">
        <f t="shared" ref="AO615:AO621" ca="1" si="1708">AI615/AB615</f>
        <v>1.5654819116860583</v>
      </c>
      <c r="AP615" s="13">
        <f t="shared" ref="AP615:AQ615" ca="1" si="1709">SUM(T600)</f>
        <v>224.53714880332987</v>
      </c>
      <c r="AQ615" s="13">
        <f t="shared" ca="1" si="1709"/>
        <v>12.474286044629437</v>
      </c>
      <c r="AR615" s="9">
        <f t="shared" ref="AR615:AR621" ca="1" si="1710">AI615/AA615</f>
        <v>281.5</v>
      </c>
      <c r="AS615" s="76"/>
      <c r="AT615" s="76"/>
    </row>
    <row r="616" spans="1:46" ht="15.75" customHeight="1" x14ac:dyDescent="0.25">
      <c r="A616" s="70"/>
      <c r="B616" s="16">
        <v>17</v>
      </c>
      <c r="C616" s="16" t="s">
        <v>29</v>
      </c>
      <c r="D616" s="44">
        <v>30</v>
      </c>
      <c r="E616" s="18">
        <f ca="1">IFERROR(__xludf.DUMMYFUNCTION("COUNT(IMPORTRANGE(""https://docs.google.com/spreadsheets/d/12xcKI0lSnAsjEsxfm9K8Qx0B_89Gzsh816mowItkQao/edit"",""23!d2:d31""))"),30)</f>
        <v>30</v>
      </c>
      <c r="F616" s="23">
        <f ca="1">IFERROR(__xludf.DUMMYFUNCTION("SUM(IMPORTRANGE(""https://docs.google.com/spreadsheets/d/12xcKI0lSnAsjEsxfm9K8Qx0B_89Gzsh816mowItkQao/edit"",""23!Q2:Q31""))"),5875.168)</f>
        <v>5875.1679999999997</v>
      </c>
      <c r="G616" s="18">
        <f ca="1">IFERROR(__xludf.DUMMYFUNCTION("IMPORTRANGE(""https://docs.google.com/spreadsheets/d/12xcKI0lSnAsjEsxfm9K8Qx0B_89Gzsh816mowItkQao/edit"",""23!e38"")"),2862)</f>
        <v>2862</v>
      </c>
      <c r="H616" s="18">
        <f ca="1">IFERROR(__xludf.DUMMYFUNCTION("IMPORTRANGE(""https://docs.google.com/spreadsheets/d/12xcKI0lSnAsjEsxfm9K8Qx0B_89Gzsh816mowItkQao/edit"",""23!e39"")"),0)</f>
        <v>0</v>
      </c>
      <c r="I616" s="18">
        <f t="shared" ca="1" si="1662"/>
        <v>2862</v>
      </c>
      <c r="J616" s="18">
        <f ca="1">IFERROR(__xludf.DUMMYFUNCTION("IMPORTRANGE(""https://docs.google.com/spreadsheets/d/12xcKI0lSnAsjEsxfm9K8Qx0B_89Gzsh816mowItkQao/edit"",""23!e42"")"),4133)</f>
        <v>4133</v>
      </c>
      <c r="K616" s="18">
        <f ca="1">IFERROR(__xludf.DUMMYFUNCTION("IMPORTRANGE(""https://docs.google.com/spreadsheets/d/12xcKI0lSnAsjEsxfm9K8Qx0B_89Gzsh816mowItkQao/edit"",""23!e43"")"),10)</f>
        <v>10</v>
      </c>
      <c r="L616" s="18">
        <f t="shared" ca="1" si="1692"/>
        <v>4143</v>
      </c>
      <c r="M616" s="18">
        <f t="shared" ca="1" si="1664"/>
        <v>7005</v>
      </c>
      <c r="N616" s="19">
        <f t="shared" ca="1" si="1665"/>
        <v>195.83893333333333</v>
      </c>
      <c r="O616" s="16">
        <v>9201</v>
      </c>
      <c r="P616" s="20">
        <f t="shared" ca="1" si="1666"/>
        <v>0.76133029018584941</v>
      </c>
      <c r="Q616" s="21">
        <v>1.5</v>
      </c>
      <c r="R616" s="20">
        <f t="shared" ca="1" si="1667"/>
        <v>0.79487088709633502</v>
      </c>
      <c r="S616" s="22">
        <f t="shared" ca="1" si="1668"/>
        <v>1.1923063306445025</v>
      </c>
      <c r="T616" s="21">
        <f ca="1">F616/26.038</f>
        <v>225.63822106152546</v>
      </c>
      <c r="U616" s="21">
        <f t="shared" ca="1" si="1669"/>
        <v>7.5212740353841818</v>
      </c>
      <c r="V616" s="18">
        <f t="shared" ca="1" si="1670"/>
        <v>233.5</v>
      </c>
      <c r="W616" s="76"/>
      <c r="X616" s="8">
        <v>2</v>
      </c>
      <c r="Y616" s="8" t="s">
        <v>32</v>
      </c>
      <c r="Z616" s="8">
        <f t="shared" ref="Z616:AI616" si="1711">SUM(D603)</f>
        <v>42</v>
      </c>
      <c r="AA616" s="9">
        <f t="shared" ca="1" si="1711"/>
        <v>41</v>
      </c>
      <c r="AB616" s="10">
        <f t="shared" ca="1" si="1711"/>
        <v>7941.7429999999904</v>
      </c>
      <c r="AC616" s="8">
        <f t="shared" ca="1" si="1711"/>
        <v>4568</v>
      </c>
      <c r="AD616" s="8">
        <f t="shared" ca="1" si="1711"/>
        <v>0</v>
      </c>
      <c r="AE616" s="9">
        <f t="shared" ca="1" si="1711"/>
        <v>4568</v>
      </c>
      <c r="AF616" s="8">
        <f t="shared" ca="1" si="1711"/>
        <v>5341</v>
      </c>
      <c r="AG616" s="8">
        <f t="shared" ca="1" si="1711"/>
        <v>0</v>
      </c>
      <c r="AH616" s="9">
        <f t="shared" ca="1" si="1711"/>
        <v>5341</v>
      </c>
      <c r="AI616" s="9">
        <f t="shared" ca="1" si="1711"/>
        <v>9909</v>
      </c>
      <c r="AJ616" s="11">
        <f t="shared" ca="1" si="1705"/>
        <v>193.70104878048758</v>
      </c>
      <c r="AK616" s="8">
        <f>SUM(O603)</f>
        <v>13817</v>
      </c>
      <c r="AL616" s="12">
        <f t="shared" ca="1" si="1706"/>
        <v>0.71716002026489112</v>
      </c>
      <c r="AM616" s="13">
        <f>SUM(Q603)</f>
        <v>1.5</v>
      </c>
      <c r="AN616" s="12">
        <f t="shared" ca="1" si="1707"/>
        <v>0.83180732491595455</v>
      </c>
      <c r="AO616" s="14">
        <f t="shared" ca="1" si="1708"/>
        <v>1.2477109873739318</v>
      </c>
      <c r="AP616" s="13">
        <f t="shared" ref="AP616:AQ616" ca="1" si="1712">SUM(T603)</f>
        <v>316.54282753397865</v>
      </c>
      <c r="AQ616" s="13">
        <f t="shared" ca="1" si="1712"/>
        <v>7.7205567691214307</v>
      </c>
      <c r="AR616" s="9">
        <f t="shared" ca="1" si="1710"/>
        <v>241.6829268292683</v>
      </c>
      <c r="AS616" s="76"/>
      <c r="AT616" s="76"/>
    </row>
    <row r="617" spans="1:46" ht="15.75" customHeight="1" x14ac:dyDescent="0.25">
      <c r="A617" s="70"/>
      <c r="B617" s="16">
        <v>18</v>
      </c>
      <c r="C617" s="16" t="s">
        <v>31</v>
      </c>
      <c r="D617" s="44">
        <v>15</v>
      </c>
      <c r="E617" s="18">
        <f ca="1">IFERROR(__xludf.DUMMYFUNCTION("COUNT(IMPORTRANGE(""https://docs.google.com/spreadsheets/d/1fgCFOFzOla4Qim6_-zG-lbYhLCItqv_kZiAHoErRgcM/edit"",""23!d2:d16""))"),15)</f>
        <v>15</v>
      </c>
      <c r="F617" s="19">
        <f ca="1">IFERROR(__xludf.DUMMYFUNCTION("SUM(IMPORTRANGE(""https://docs.google.com/spreadsheets/d/1fgCFOFzOla4Qim6_-zG-lbYhLCItqv_kZiAHoErRgcM/edit"",""23!Q2:Q16""))"),2955.61999999999)</f>
        <v>2955.6199999999899</v>
      </c>
      <c r="G617" s="18">
        <f ca="1">IFERROR(__xludf.DUMMYFUNCTION("IMPORTRANGE(""https://docs.google.com/spreadsheets/d/1fgCFOFzOla4Qim6_-zG-lbYhLCItqv_kZiAHoErRgcM/edit"",""23!e23"")"),925)</f>
        <v>925</v>
      </c>
      <c r="H617" s="18">
        <f ca="1">IFERROR(__xludf.DUMMYFUNCTION("IMPORTRANGE(""https://docs.google.com/spreadsheets/d/1fgCFOFzOla4Qim6_-zG-lbYhLCItqv_kZiAHoErRgcM/edit"",""23!e24"")"),0)</f>
        <v>0</v>
      </c>
      <c r="I617" s="18">
        <f t="shared" ca="1" si="1662"/>
        <v>925</v>
      </c>
      <c r="J617" s="18">
        <f ca="1">IFERROR(__xludf.DUMMYFUNCTION("IMPORTRANGE(""https://docs.google.com/spreadsheets/d/1fgCFOFzOla4Qim6_-zG-lbYhLCItqv_kZiAHoErRgcM/edit"",""23!e27"")"),1192)</f>
        <v>1192</v>
      </c>
      <c r="K617" s="18">
        <f ca="1">IFERROR(__xludf.DUMMYFUNCTION("IMPORTRANGE(""https://docs.google.com/spreadsheets/d/1fgCFOFzOla4Qim6_-zG-lbYhLCItqv_kZiAHoErRgcM/edit"",""23!e28"")"),0)</f>
        <v>0</v>
      </c>
      <c r="L617" s="18">
        <f t="shared" ca="1" si="1692"/>
        <v>1192</v>
      </c>
      <c r="M617" s="18">
        <f t="shared" ca="1" si="1664"/>
        <v>2117</v>
      </c>
      <c r="N617" s="19">
        <f t="shared" ca="1" si="1665"/>
        <v>197.04133333333266</v>
      </c>
      <c r="O617" s="16">
        <v>2717</v>
      </c>
      <c r="P617" s="20">
        <f t="shared" ca="1" si="1666"/>
        <v>0.77916820022083177</v>
      </c>
      <c r="Q617" s="21">
        <v>1.5</v>
      </c>
      <c r="R617" s="20">
        <f t="shared" ca="1" si="1667"/>
        <v>0.4775083851555133</v>
      </c>
      <c r="S617" s="22">
        <f t="shared" ca="1" si="1668"/>
        <v>0.71626257773326996</v>
      </c>
      <c r="T617" s="21">
        <f ca="1">F617/43.465</f>
        <v>67.999999999999758</v>
      </c>
      <c r="U617" s="21">
        <f t="shared" ca="1" si="1669"/>
        <v>4.5333333333333172</v>
      </c>
      <c r="V617" s="18">
        <f t="shared" ca="1" si="1670"/>
        <v>141.13333333333333</v>
      </c>
      <c r="W617" s="76"/>
      <c r="X617" s="8">
        <v>3</v>
      </c>
      <c r="Y617" s="8" t="s">
        <v>36</v>
      </c>
      <c r="Z617" s="8">
        <f t="shared" ref="Z617:AI617" si="1713">SUM(D608)</f>
        <v>29</v>
      </c>
      <c r="AA617" s="9">
        <f t="shared" ca="1" si="1713"/>
        <v>29</v>
      </c>
      <c r="AB617" s="10">
        <f t="shared" ca="1" si="1713"/>
        <v>5791.1899999999896</v>
      </c>
      <c r="AC617" s="9">
        <f t="shared" ca="1" si="1713"/>
        <v>1576</v>
      </c>
      <c r="AD617" s="9">
        <f t="shared" ca="1" si="1713"/>
        <v>0</v>
      </c>
      <c r="AE617" s="9">
        <f t="shared" ca="1" si="1713"/>
        <v>1576</v>
      </c>
      <c r="AF617" s="9">
        <f t="shared" ca="1" si="1713"/>
        <v>2323</v>
      </c>
      <c r="AG617" s="9">
        <f t="shared" ca="1" si="1713"/>
        <v>0</v>
      </c>
      <c r="AH617" s="9">
        <f t="shared" ca="1" si="1713"/>
        <v>2323</v>
      </c>
      <c r="AI617" s="9">
        <f t="shared" ca="1" si="1713"/>
        <v>3899</v>
      </c>
      <c r="AJ617" s="11">
        <f t="shared" ca="1" si="1705"/>
        <v>199.69620689655136</v>
      </c>
      <c r="AK617" s="8">
        <f t="shared" ref="AK617:AK620" si="1714">SUM(O608)</f>
        <v>4796</v>
      </c>
      <c r="AL617" s="12">
        <f t="shared" ca="1" si="1706"/>
        <v>0.81296914095079231</v>
      </c>
      <c r="AM617" s="13">
        <f t="shared" ref="AM617:AM620" si="1715">SUM(Q608)</f>
        <v>1.5</v>
      </c>
      <c r="AN617" s="12">
        <f t="shared" ca="1" si="1707"/>
        <v>0.44884269611830002</v>
      </c>
      <c r="AO617" s="14">
        <f t="shared" ca="1" si="1708"/>
        <v>0.67326404417745001</v>
      </c>
      <c r="AP617" s="13">
        <f t="shared" ref="AP617:AQ617" ca="1" si="1716">SUM(T608)</f>
        <v>154.7867108568982</v>
      </c>
      <c r="AQ617" s="13">
        <f t="shared" ca="1" si="1716"/>
        <v>5.3374727881689035</v>
      </c>
      <c r="AR617" s="9">
        <f t="shared" ca="1" si="1710"/>
        <v>134.44827586206895</v>
      </c>
      <c r="AS617" s="76"/>
      <c r="AT617" s="76"/>
    </row>
    <row r="618" spans="1:46" ht="15.75" customHeight="1" x14ac:dyDescent="0.2">
      <c r="A618" s="70"/>
      <c r="B618" s="98" t="s">
        <v>33</v>
      </c>
      <c r="C618" s="98">
        <v>18</v>
      </c>
      <c r="D618" s="98">
        <f t="shared" ref="D618:M618" si="1717">SUM(D600:D617)</f>
        <v>585</v>
      </c>
      <c r="E618" s="74">
        <f t="shared" ca="1" si="1717"/>
        <v>568</v>
      </c>
      <c r="F618" s="99">
        <f t="shared" ca="1" si="1717"/>
        <v>110914.41299999985</v>
      </c>
      <c r="G618" s="74">
        <f t="shared" ca="1" si="1717"/>
        <v>40865</v>
      </c>
      <c r="H618" s="74">
        <f t="shared" ca="1" si="1717"/>
        <v>1004</v>
      </c>
      <c r="I618" s="74">
        <f t="shared" ca="1" si="1717"/>
        <v>41869</v>
      </c>
      <c r="J618" s="74">
        <f t="shared" ca="1" si="1717"/>
        <v>57030</v>
      </c>
      <c r="K618" s="74">
        <f t="shared" ca="1" si="1717"/>
        <v>700</v>
      </c>
      <c r="L618" s="74">
        <f t="shared" ca="1" si="1717"/>
        <v>57730</v>
      </c>
      <c r="M618" s="74">
        <f t="shared" ca="1" si="1717"/>
        <v>99599</v>
      </c>
      <c r="N618" s="99">
        <f t="shared" ca="1" si="1665"/>
        <v>195.27185387323919</v>
      </c>
      <c r="O618" s="98">
        <f>SUM(O600:O617)</f>
        <v>126399</v>
      </c>
      <c r="P618" s="69">
        <f t="shared" ca="1" si="1666"/>
        <v>0.78797300611555476</v>
      </c>
      <c r="Q618" s="72">
        <v>1.5</v>
      </c>
      <c r="R618" s="69">
        <f t="shared" ca="1" si="1667"/>
        <v>0.59865378662134217</v>
      </c>
      <c r="S618" s="73">
        <f t="shared" ca="1" si="1668"/>
        <v>0.89798067993201325</v>
      </c>
      <c r="T618" s="72">
        <f ca="1">SUM(T600:T617)</f>
        <v>4074.576779602216</v>
      </c>
      <c r="U618" s="72">
        <f t="shared" ca="1" si="1669"/>
        <v>7.1735506683137604</v>
      </c>
      <c r="V618" s="74">
        <f t="shared" ca="1" si="1670"/>
        <v>175.35035211267606</v>
      </c>
      <c r="W618" s="76"/>
      <c r="X618" s="8">
        <v>4</v>
      </c>
      <c r="Y618" s="8" t="s">
        <v>37</v>
      </c>
      <c r="Z618" s="8">
        <f t="shared" ref="Z618:AI618" si="1718">SUM(D609)</f>
        <v>30</v>
      </c>
      <c r="AA618" s="9">
        <f t="shared" ca="1" si="1718"/>
        <v>30</v>
      </c>
      <c r="AB618" s="10">
        <f t="shared" ca="1" si="1718"/>
        <v>5873.0820000000003</v>
      </c>
      <c r="AC618" s="9">
        <f t="shared" ca="1" si="1718"/>
        <v>1918</v>
      </c>
      <c r="AD618" s="9">
        <f t="shared" ca="1" si="1718"/>
        <v>0</v>
      </c>
      <c r="AE618" s="9">
        <f t="shared" ca="1" si="1718"/>
        <v>1918</v>
      </c>
      <c r="AF618" s="9">
        <f t="shared" ca="1" si="1718"/>
        <v>3245</v>
      </c>
      <c r="AG618" s="9">
        <f t="shared" ca="1" si="1718"/>
        <v>0</v>
      </c>
      <c r="AH618" s="9">
        <f t="shared" ca="1" si="1718"/>
        <v>3245</v>
      </c>
      <c r="AI618" s="9">
        <f t="shared" ca="1" si="1718"/>
        <v>5163</v>
      </c>
      <c r="AJ618" s="11">
        <f t="shared" ca="1" si="1705"/>
        <v>195.76940000000002</v>
      </c>
      <c r="AK618" s="8">
        <f t="shared" si="1714"/>
        <v>5887</v>
      </c>
      <c r="AL618" s="12">
        <f t="shared" ca="1" si="1706"/>
        <v>0.87701715644640732</v>
      </c>
      <c r="AM618" s="13">
        <f t="shared" si="1715"/>
        <v>1.5</v>
      </c>
      <c r="AN618" s="12">
        <f t="shared" ca="1" si="1707"/>
        <v>0.58606367151012018</v>
      </c>
      <c r="AO618" s="14">
        <f t="shared" ca="1" si="1708"/>
        <v>0.87909550726518026</v>
      </c>
      <c r="AP618" s="13">
        <f t="shared" ref="AP618:AQ618" ca="1" si="1719">SUM(T609)</f>
        <v>236.89424007744432</v>
      </c>
      <c r="AQ618" s="13">
        <f t="shared" ca="1" si="1719"/>
        <v>7.8964746692481445</v>
      </c>
      <c r="AR618" s="9">
        <f t="shared" ca="1" si="1710"/>
        <v>172.1</v>
      </c>
      <c r="AS618" s="76"/>
      <c r="AT618" s="76"/>
    </row>
    <row r="619" spans="1:46" ht="15.75" customHeight="1" x14ac:dyDescent="0.2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6"/>
      <c r="X619" s="8">
        <v>5</v>
      </c>
      <c r="Y619" s="8" t="s">
        <v>39</v>
      </c>
      <c r="Z619" s="8">
        <f t="shared" ref="Z619:AI619" si="1720">SUM(D610)</f>
        <v>28</v>
      </c>
      <c r="AA619" s="9">
        <f t="shared" ca="1" si="1720"/>
        <v>26</v>
      </c>
      <c r="AB619" s="10">
        <f t="shared" ca="1" si="1720"/>
        <v>5211.1440000000002</v>
      </c>
      <c r="AC619" s="9">
        <f t="shared" ca="1" si="1720"/>
        <v>1197</v>
      </c>
      <c r="AD619" s="9">
        <f t="shared" ca="1" si="1720"/>
        <v>20</v>
      </c>
      <c r="AE619" s="9">
        <f t="shared" ca="1" si="1720"/>
        <v>1217</v>
      </c>
      <c r="AF619" s="9">
        <f t="shared" ca="1" si="1720"/>
        <v>1712</v>
      </c>
      <c r="AG619" s="9">
        <f t="shared" ca="1" si="1720"/>
        <v>45</v>
      </c>
      <c r="AH619" s="9">
        <f t="shared" ca="1" si="1720"/>
        <v>1757</v>
      </c>
      <c r="AI619" s="9">
        <f t="shared" ca="1" si="1720"/>
        <v>2974</v>
      </c>
      <c r="AJ619" s="11">
        <f t="shared" ca="1" si="1705"/>
        <v>200.4286153846154</v>
      </c>
      <c r="AK619" s="8">
        <f t="shared" si="1714"/>
        <v>3569</v>
      </c>
      <c r="AL619" s="12">
        <f t="shared" ca="1" si="1706"/>
        <v>0.83328663491173993</v>
      </c>
      <c r="AM619" s="13">
        <f t="shared" si="1715"/>
        <v>1.5</v>
      </c>
      <c r="AN619" s="12">
        <f t="shared" ca="1" si="1707"/>
        <v>0.38046668191603739</v>
      </c>
      <c r="AO619" s="14">
        <f t="shared" ca="1" si="1708"/>
        <v>0.57070002287405608</v>
      </c>
      <c r="AP619" s="13">
        <f t="shared" ref="AP619:AQ619" ca="1" si="1721">SUM(T610)</f>
        <v>242.79662675301682</v>
      </c>
      <c r="AQ619" s="13">
        <f t="shared" ca="1" si="1721"/>
        <v>9.3383317981929554</v>
      </c>
      <c r="AR619" s="9">
        <f t="shared" ca="1" si="1710"/>
        <v>114.38461538461539</v>
      </c>
      <c r="AS619" s="76"/>
      <c r="AT619" s="76"/>
    </row>
    <row r="620" spans="1:46" ht="15.75" customHeight="1" x14ac:dyDescent="0.2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6"/>
      <c r="X620" s="8">
        <v>6</v>
      </c>
      <c r="Y620" s="8" t="s">
        <v>41</v>
      </c>
      <c r="Z620" s="8">
        <f t="shared" ref="Z620:AI620" si="1722">SUM(D611)</f>
        <v>24</v>
      </c>
      <c r="AA620" s="9">
        <f t="shared" ca="1" si="1722"/>
        <v>24</v>
      </c>
      <c r="AB620" s="10">
        <f t="shared" ca="1" si="1722"/>
        <v>4704.268</v>
      </c>
      <c r="AC620" s="9">
        <f t="shared" ca="1" si="1722"/>
        <v>1234</v>
      </c>
      <c r="AD620" s="9">
        <f t="shared" ca="1" si="1722"/>
        <v>29</v>
      </c>
      <c r="AE620" s="9">
        <f t="shared" ca="1" si="1722"/>
        <v>1263</v>
      </c>
      <c r="AF620" s="9">
        <f t="shared" ca="1" si="1722"/>
        <v>1784</v>
      </c>
      <c r="AG620" s="9">
        <f t="shared" ca="1" si="1722"/>
        <v>30</v>
      </c>
      <c r="AH620" s="9">
        <f t="shared" ca="1" si="1722"/>
        <v>1814</v>
      </c>
      <c r="AI620" s="9">
        <f t="shared" ca="1" si="1722"/>
        <v>3077</v>
      </c>
      <c r="AJ620" s="11">
        <f t="shared" ca="1" si="1705"/>
        <v>196.01116666666667</v>
      </c>
      <c r="AK620" s="8">
        <f t="shared" si="1714"/>
        <v>3801</v>
      </c>
      <c r="AL620" s="12">
        <f t="shared" ca="1" si="1706"/>
        <v>0.80952380952380953</v>
      </c>
      <c r="AM620" s="13">
        <f t="shared" si="1715"/>
        <v>1.5</v>
      </c>
      <c r="AN620" s="12">
        <f t="shared" ca="1" si="1707"/>
        <v>0.43605792300381979</v>
      </c>
      <c r="AO620" s="14">
        <f t="shared" ca="1" si="1708"/>
        <v>0.65408688450572972</v>
      </c>
      <c r="AP620" s="13">
        <f t="shared" ref="AP620:AQ620" ca="1" si="1723">SUM(T611)</f>
        <v>158.77777777777777</v>
      </c>
      <c r="AQ620" s="13">
        <f t="shared" ca="1" si="1723"/>
        <v>6.6157407407407405</v>
      </c>
      <c r="AR620" s="9">
        <f t="shared" ca="1" si="1710"/>
        <v>128.20833333333334</v>
      </c>
      <c r="AS620" s="76"/>
      <c r="AT620" s="76"/>
    </row>
    <row r="621" spans="1:46" ht="15.75" customHeight="1" x14ac:dyDescent="0.25">
      <c r="A621" s="110" t="s">
        <v>45</v>
      </c>
      <c r="B621" s="76"/>
      <c r="C621" s="76"/>
      <c r="D621" s="75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24" t="s">
        <v>33</v>
      </c>
      <c r="Y621" s="24">
        <v>6</v>
      </c>
      <c r="Z621" s="24">
        <f t="shared" ref="Z621:AI621" si="1724">SUM(Z615:Z620)</f>
        <v>173</v>
      </c>
      <c r="AA621" s="25">
        <f t="shared" ca="1" si="1724"/>
        <v>168</v>
      </c>
      <c r="AB621" s="27">
        <f t="shared" ca="1" si="1724"/>
        <v>32758.129999999979</v>
      </c>
      <c r="AC621" s="25">
        <f t="shared" ca="1" si="1724"/>
        <v>12502</v>
      </c>
      <c r="AD621" s="25">
        <f t="shared" ca="1" si="1724"/>
        <v>49</v>
      </c>
      <c r="AE621" s="25">
        <f t="shared" ca="1" si="1724"/>
        <v>12551</v>
      </c>
      <c r="AF621" s="25">
        <f t="shared" ca="1" si="1724"/>
        <v>17463</v>
      </c>
      <c r="AG621" s="25">
        <f t="shared" ca="1" si="1724"/>
        <v>75</v>
      </c>
      <c r="AH621" s="25">
        <f t="shared" ca="1" si="1724"/>
        <v>17538</v>
      </c>
      <c r="AI621" s="25">
        <f t="shared" ca="1" si="1724"/>
        <v>30089</v>
      </c>
      <c r="AJ621" s="27">
        <f t="shared" ca="1" si="1705"/>
        <v>194.98886904761892</v>
      </c>
      <c r="AK621" s="24">
        <f>SUM(AK615:AK620)</f>
        <v>37031</v>
      </c>
      <c r="AL621" s="28">
        <f t="shared" ca="1" si="1706"/>
        <v>0.81253544327725424</v>
      </c>
      <c r="AM621" s="29">
        <v>1.5</v>
      </c>
      <c r="AN621" s="28">
        <f t="shared" ca="1" si="1707"/>
        <v>0.61234671616888225</v>
      </c>
      <c r="AO621" s="30">
        <f t="shared" ca="1" si="1708"/>
        <v>0.91852007425332338</v>
      </c>
      <c r="AP621" s="29">
        <f ca="1">SUM(AP615:AP620)</f>
        <v>1334.3353318024456</v>
      </c>
      <c r="AQ621" s="29">
        <f ca="1">AP621/AA621</f>
        <v>7.9424722131097951</v>
      </c>
      <c r="AR621" s="25">
        <f t="shared" ca="1" si="1710"/>
        <v>179.10119047619048</v>
      </c>
      <c r="AS621" s="76"/>
      <c r="AT621" s="76"/>
    </row>
    <row r="622" spans="1:46" ht="15.75" customHeight="1" x14ac:dyDescent="0.2">
      <c r="A622" s="110" t="s">
        <v>45</v>
      </c>
      <c r="B622" s="76"/>
      <c r="C622" s="76"/>
      <c r="D622" s="75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7" t="s">
        <v>1</v>
      </c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9"/>
      <c r="AS622" s="76"/>
      <c r="AT622" s="76"/>
    </row>
    <row r="623" spans="1:46" ht="15.75" customHeight="1" x14ac:dyDescent="0.2">
      <c r="A623" s="109">
        <v>46227</v>
      </c>
      <c r="B623" s="80" t="s">
        <v>2</v>
      </c>
      <c r="C623" s="80" t="s">
        <v>3</v>
      </c>
      <c r="D623" s="80" t="s">
        <v>4</v>
      </c>
      <c r="E623" s="80" t="s">
        <v>5</v>
      </c>
      <c r="F623" s="81" t="s">
        <v>6</v>
      </c>
      <c r="G623" s="80" t="s">
        <v>7</v>
      </c>
      <c r="H623" s="80" t="s">
        <v>8</v>
      </c>
      <c r="I623" s="80" t="s">
        <v>9</v>
      </c>
      <c r="J623" s="80" t="s">
        <v>10</v>
      </c>
      <c r="K623" s="80" t="s">
        <v>11</v>
      </c>
      <c r="L623" s="80" t="s">
        <v>12</v>
      </c>
      <c r="M623" s="80" t="s">
        <v>13</v>
      </c>
      <c r="N623" s="81" t="s">
        <v>14</v>
      </c>
      <c r="O623" s="80" t="s">
        <v>15</v>
      </c>
      <c r="P623" s="80" t="s">
        <v>16</v>
      </c>
      <c r="Q623" s="80" t="s">
        <v>17</v>
      </c>
      <c r="R623" s="80" t="s">
        <v>18</v>
      </c>
      <c r="S623" s="106" t="s">
        <v>19</v>
      </c>
      <c r="T623" s="107" t="s">
        <v>20</v>
      </c>
      <c r="U623" s="107" t="s">
        <v>21</v>
      </c>
      <c r="V623" s="105" t="s">
        <v>22</v>
      </c>
      <c r="W623" s="76"/>
      <c r="X623" s="1" t="s">
        <v>2</v>
      </c>
      <c r="Y623" s="1" t="s">
        <v>3</v>
      </c>
      <c r="Z623" s="1" t="s">
        <v>4</v>
      </c>
      <c r="AA623" s="1" t="s">
        <v>5</v>
      </c>
      <c r="AB623" s="2" t="s">
        <v>6</v>
      </c>
      <c r="AC623" s="1" t="s">
        <v>7</v>
      </c>
      <c r="AD623" s="1" t="s">
        <v>8</v>
      </c>
      <c r="AE623" s="1" t="s">
        <v>9</v>
      </c>
      <c r="AF623" s="1" t="s">
        <v>10</v>
      </c>
      <c r="AG623" s="1" t="s">
        <v>11</v>
      </c>
      <c r="AH623" s="1" t="s">
        <v>12</v>
      </c>
      <c r="AI623" s="1" t="s">
        <v>13</v>
      </c>
      <c r="AJ623" s="2" t="s">
        <v>14</v>
      </c>
      <c r="AK623" s="1" t="s">
        <v>15</v>
      </c>
      <c r="AL623" s="1" t="s">
        <v>16</v>
      </c>
      <c r="AM623" s="3" t="s">
        <v>17</v>
      </c>
      <c r="AN623" s="4" t="s">
        <v>18</v>
      </c>
      <c r="AO623" s="5" t="s">
        <v>19</v>
      </c>
      <c r="AP623" s="6" t="s">
        <v>20</v>
      </c>
      <c r="AQ623" s="6" t="s">
        <v>21</v>
      </c>
      <c r="AR623" s="7" t="s">
        <v>22</v>
      </c>
      <c r="AS623" s="76"/>
      <c r="AT623" s="76"/>
    </row>
    <row r="624" spans="1:46" ht="15.75" customHeight="1" x14ac:dyDescent="0.2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6"/>
      <c r="X624" s="8">
        <v>1</v>
      </c>
      <c r="Y624" s="8" t="s">
        <v>23</v>
      </c>
      <c r="Z624" s="8">
        <f t="shared" ref="Z624:AI624" si="1725">SUM(D632)</f>
        <v>35</v>
      </c>
      <c r="AA624" s="9">
        <f t="shared" ca="1" si="1725"/>
        <v>35</v>
      </c>
      <c r="AB624" s="10">
        <f t="shared" ca="1" si="1725"/>
        <v>6950.4399999999896</v>
      </c>
      <c r="AC624" s="9">
        <f t="shared" ca="1" si="1725"/>
        <v>1758</v>
      </c>
      <c r="AD624" s="9">
        <f t="shared" ca="1" si="1725"/>
        <v>0</v>
      </c>
      <c r="AE624" s="9">
        <f t="shared" ca="1" si="1725"/>
        <v>1758</v>
      </c>
      <c r="AF624" s="9">
        <f t="shared" ca="1" si="1725"/>
        <v>3534</v>
      </c>
      <c r="AG624" s="9">
        <f t="shared" ca="1" si="1725"/>
        <v>0</v>
      </c>
      <c r="AH624" s="9">
        <f t="shared" ca="1" si="1725"/>
        <v>3534</v>
      </c>
      <c r="AI624" s="9">
        <f t="shared" ca="1" si="1725"/>
        <v>5292</v>
      </c>
      <c r="AJ624" s="11">
        <f t="shared" ref="AJ624:AJ626" ca="1" si="1726">AB624/AA624</f>
        <v>198.58399999999969</v>
      </c>
      <c r="AK624" s="8">
        <f>SUM(O632)</f>
        <v>6853</v>
      </c>
      <c r="AL624" s="12">
        <f t="shared" ref="AL624:AL630" ca="1" si="1727">AI624/AK624</f>
        <v>0.77221654749744639</v>
      </c>
      <c r="AM624" s="13">
        <f t="shared" ref="AM624:AM626" si="1728">SUM(Q632)</f>
        <v>1.5</v>
      </c>
      <c r="AN624" s="12">
        <f t="shared" ref="AN624:AN630" ca="1" si="1729">AO624/AM624</f>
        <v>0.50759376384804489</v>
      </c>
      <c r="AO624" s="14">
        <f t="shared" ref="AO624:AO630" ca="1" si="1730">AI624/AB624</f>
        <v>0.76139064577206739</v>
      </c>
      <c r="AP624" s="13">
        <f t="shared" ref="AP624:AQ624" ca="1" si="1731">SUM(T632)</f>
        <v>205.99999999999969</v>
      </c>
      <c r="AQ624" s="13">
        <f t="shared" ca="1" si="1731"/>
        <v>5.8857142857142764</v>
      </c>
      <c r="AR624" s="9">
        <f t="shared" ref="AR624:AR630" ca="1" si="1732">AI624/AA624</f>
        <v>151.19999999999999</v>
      </c>
      <c r="AS624" s="76"/>
      <c r="AT624" s="76"/>
    </row>
    <row r="625" spans="1:46" ht="15.75" customHeight="1" x14ac:dyDescent="0.2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6"/>
      <c r="X625" s="8">
        <v>2</v>
      </c>
      <c r="Y625" s="8" t="s">
        <v>24</v>
      </c>
      <c r="Z625" s="8">
        <f t="shared" ref="Z625:AI625" si="1733">SUM(D633)</f>
        <v>44</v>
      </c>
      <c r="AA625" s="9">
        <f t="shared" ca="1" si="1733"/>
        <v>41</v>
      </c>
      <c r="AB625" s="10">
        <f t="shared" ca="1" si="1733"/>
        <v>8177.9579999999896</v>
      </c>
      <c r="AC625" s="9">
        <f t="shared" ca="1" si="1733"/>
        <v>1068</v>
      </c>
      <c r="AD625" s="9">
        <f t="shared" ca="1" si="1733"/>
        <v>0</v>
      </c>
      <c r="AE625" s="9">
        <f t="shared" ca="1" si="1733"/>
        <v>1068</v>
      </c>
      <c r="AF625" s="9">
        <f t="shared" ca="1" si="1733"/>
        <v>1372</v>
      </c>
      <c r="AG625" s="9">
        <f t="shared" ca="1" si="1733"/>
        <v>0</v>
      </c>
      <c r="AH625" s="9">
        <f t="shared" ca="1" si="1733"/>
        <v>1372</v>
      </c>
      <c r="AI625" s="9">
        <f t="shared" ca="1" si="1733"/>
        <v>2440</v>
      </c>
      <c r="AJ625" s="11">
        <f t="shared" ca="1" si="1726"/>
        <v>199.46239024390218</v>
      </c>
      <c r="AK625" s="8">
        <v>1580</v>
      </c>
      <c r="AL625" s="15">
        <f t="shared" ca="1" si="1727"/>
        <v>1.5443037974683544</v>
      </c>
      <c r="AM625" s="13">
        <f t="shared" si="1728"/>
        <v>1.5</v>
      </c>
      <c r="AN625" s="12">
        <f t="shared" ca="1" si="1729"/>
        <v>0.19890865992056558</v>
      </c>
      <c r="AO625" s="14">
        <f t="shared" ca="1" si="1730"/>
        <v>0.29836298988084836</v>
      </c>
      <c r="AP625" s="13">
        <f t="shared" ref="AP625:AQ625" ca="1" si="1734">SUM(T633)</f>
        <v>305.09076664801307</v>
      </c>
      <c r="AQ625" s="13">
        <f t="shared" ca="1" si="1734"/>
        <v>7.441238210927148</v>
      </c>
      <c r="AR625" s="9">
        <f t="shared" ca="1" si="1732"/>
        <v>59.512195121951223</v>
      </c>
      <c r="AS625" s="76"/>
      <c r="AT625" s="76"/>
    </row>
    <row r="626" spans="1:46" ht="15.75" customHeight="1" x14ac:dyDescent="0.2">
      <c r="A626" s="70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6"/>
      <c r="X626" s="8">
        <v>3</v>
      </c>
      <c r="Y626" s="8" t="s">
        <v>25</v>
      </c>
      <c r="Z626" s="8">
        <f t="shared" ref="Z626:AI626" si="1735">SUM(D634)</f>
        <v>32</v>
      </c>
      <c r="AA626" s="9">
        <f t="shared" ca="1" si="1735"/>
        <v>32</v>
      </c>
      <c r="AB626" s="10">
        <f t="shared" ca="1" si="1735"/>
        <v>6104.808</v>
      </c>
      <c r="AC626" s="9">
        <f t="shared" ca="1" si="1735"/>
        <v>2420</v>
      </c>
      <c r="AD626" s="9">
        <f t="shared" ca="1" si="1735"/>
        <v>451</v>
      </c>
      <c r="AE626" s="9">
        <f t="shared" ca="1" si="1735"/>
        <v>2871</v>
      </c>
      <c r="AF626" s="9">
        <f t="shared" ca="1" si="1735"/>
        <v>3172</v>
      </c>
      <c r="AG626" s="9">
        <f t="shared" ca="1" si="1735"/>
        <v>285</v>
      </c>
      <c r="AH626" s="9">
        <f t="shared" ca="1" si="1735"/>
        <v>3457</v>
      </c>
      <c r="AI626" s="9">
        <f t="shared" ca="1" si="1735"/>
        <v>6328</v>
      </c>
      <c r="AJ626" s="11">
        <f t="shared" ca="1" si="1726"/>
        <v>190.77525</v>
      </c>
      <c r="AK626" s="8">
        <f>SUM(O634)</f>
        <v>6622</v>
      </c>
      <c r="AL626" s="12">
        <f t="shared" ca="1" si="1727"/>
        <v>0.95560253699788589</v>
      </c>
      <c r="AM626" s="13">
        <f t="shared" si="1728"/>
        <v>1.5</v>
      </c>
      <c r="AN626" s="12">
        <f t="shared" ca="1" si="1729"/>
        <v>0.69104002397236186</v>
      </c>
      <c r="AO626" s="14">
        <f t="shared" ca="1" si="1730"/>
        <v>1.0365600359585427</v>
      </c>
      <c r="AP626" s="13">
        <f t="shared" ref="AP626:AQ626" ca="1" si="1736">SUM(T634)</f>
        <v>256.07416107382551</v>
      </c>
      <c r="AQ626" s="13">
        <f t="shared" ca="1" si="1736"/>
        <v>8.0023175335570471</v>
      </c>
      <c r="AR626" s="9">
        <f t="shared" ca="1" si="1732"/>
        <v>197.75</v>
      </c>
      <c r="AS626" s="76"/>
      <c r="AT626" s="76"/>
    </row>
    <row r="627" spans="1:46" ht="15.75" customHeight="1" x14ac:dyDescent="0.25">
      <c r="A627" s="70"/>
      <c r="B627" s="16">
        <v>1</v>
      </c>
      <c r="C627" s="16" t="s">
        <v>26</v>
      </c>
      <c r="D627" s="17">
        <v>20</v>
      </c>
      <c r="E627" s="18">
        <f ca="1">IFERROR(__xludf.DUMMYFUNCTION("COUNT(IMPORTRANGE(""https://docs.google.com/spreadsheets/d/1z0o91thOT38lgejTE_Bd2p3v_9VCDdQRkUsMIVqpQCk/edit"",""24!d2:d21""))"),20)</f>
        <v>20</v>
      </c>
      <c r="F627" s="19">
        <f ca="1">IFERROR(__xludf.DUMMYFUNCTION("SUM(IMPORTRANGE(""https://docs.google.com/spreadsheets/d/1z0o91thOT38lgejTE_Bd2p3v_9VCDdQRkUsMIVqpQCk/edit"",""24!Q2:Q21""))"),3705.267)</f>
        <v>3705.2669999999998</v>
      </c>
      <c r="G627" s="18">
        <f ca="1">IFERROR(__xludf.DUMMYFUNCTION("IMPORTRANGE(""https://docs.google.com/spreadsheets/d/1z0o91thOT38lgejTE_Bd2p3v_9VCDdQRkUsMIVqpQCk/edit"",""24!e28"")"),2194)</f>
        <v>2194</v>
      </c>
      <c r="H627" s="18">
        <f ca="1">IFERROR(__xludf.DUMMYFUNCTION("IMPORTRANGE(""https://docs.google.com/spreadsheets/d/1z0o91thOT38lgejTE_Bd2p3v_9VCDdQRkUsMIVqpQCk/edit"",""24!e29"")"),47)</f>
        <v>47</v>
      </c>
      <c r="I627" s="18">
        <f t="shared" ref="I627:I644" ca="1" si="1737">SUM(G627:H627)</f>
        <v>2241</v>
      </c>
      <c r="J627" s="18">
        <f ca="1">IFERROR(__xludf.DUMMYFUNCTION("IMPORTRANGE(""https://docs.google.com/spreadsheets/d/1z0o91thOT38lgejTE_Bd2p3v_9VCDdQRkUsMIVqpQCk/edit"",""24!e32"")"),2798)</f>
        <v>2798</v>
      </c>
      <c r="K627" s="18">
        <f ca="1">IFERROR(__xludf.DUMMYFUNCTION("IMPORTRANGE(""https://docs.google.com/spreadsheets/d/1z0o91thOT38lgejTE_Bd2p3v_9VCDdQRkUsMIVqpQCk/edit"",""24!e33"")"),0)</f>
        <v>0</v>
      </c>
      <c r="L627" s="18">
        <f t="shared" ref="L627:L633" ca="1" si="1738">SUM(J627:K627)</f>
        <v>2798</v>
      </c>
      <c r="M627" s="18">
        <f t="shared" ref="M627:M644" ca="1" si="1739">SUM(I627+L627)</f>
        <v>5039</v>
      </c>
      <c r="N627" s="19">
        <f t="shared" ref="N627:N645" ca="1" si="1740">F627/E627</f>
        <v>185.26335</v>
      </c>
      <c r="O627" s="16">
        <v>5161</v>
      </c>
      <c r="P627" s="20">
        <f t="shared" ref="P627:P645" ca="1" si="1741">M627/O627</f>
        <v>0.97636117031583025</v>
      </c>
      <c r="Q627" s="21">
        <v>1.5</v>
      </c>
      <c r="R627" s="20">
        <f t="shared" ref="R627:R645" ca="1" si="1742">S627/Q627</f>
        <v>0.90663731745467568</v>
      </c>
      <c r="S627" s="22">
        <f t="shared" ref="S627:S645" ca="1" si="1743">M627/F627</f>
        <v>1.3599559761820135</v>
      </c>
      <c r="T627" s="21">
        <f ca="1">F627/14.415</f>
        <v>257.04245577523415</v>
      </c>
      <c r="U627" s="21">
        <f t="shared" ref="U627:U645" ca="1" si="1744">T627/E627</f>
        <v>12.852122788761708</v>
      </c>
      <c r="V627" s="18">
        <f t="shared" ref="V627:V645" ca="1" si="1745">M627/E627</f>
        <v>251.95</v>
      </c>
      <c r="W627" s="76"/>
      <c r="X627" s="8">
        <v>4</v>
      </c>
      <c r="Y627" s="8" t="s">
        <v>27</v>
      </c>
      <c r="Z627" s="8">
        <f t="shared" ref="Z627:AK627" si="1746">SUM(D640)</f>
        <v>30</v>
      </c>
      <c r="AA627" s="9">
        <f t="shared" ca="1" si="1746"/>
        <v>30</v>
      </c>
      <c r="AB627" s="10">
        <f t="shared" ca="1" si="1746"/>
        <v>5305.88</v>
      </c>
      <c r="AC627" s="9">
        <f t="shared" ca="1" si="1746"/>
        <v>2435</v>
      </c>
      <c r="AD627" s="9">
        <f t="shared" ca="1" si="1746"/>
        <v>98</v>
      </c>
      <c r="AE627" s="9">
        <f t="shared" ca="1" si="1746"/>
        <v>2533</v>
      </c>
      <c r="AF627" s="9">
        <f t="shared" ca="1" si="1746"/>
        <v>3007</v>
      </c>
      <c r="AG627" s="9">
        <f t="shared" ca="1" si="1746"/>
        <v>0</v>
      </c>
      <c r="AH627" s="9">
        <f t="shared" ca="1" si="1746"/>
        <v>3007</v>
      </c>
      <c r="AI627" s="9">
        <f t="shared" ca="1" si="1746"/>
        <v>5540</v>
      </c>
      <c r="AJ627" s="11">
        <f t="shared" ca="1" si="1746"/>
        <v>176.86266666666668</v>
      </c>
      <c r="AK627" s="8">
        <f t="shared" si="1746"/>
        <v>8101</v>
      </c>
      <c r="AL627" s="12">
        <f t="shared" ca="1" si="1727"/>
        <v>0.68386618935933841</v>
      </c>
      <c r="AM627" s="13">
        <f>SUM(Q640)</f>
        <v>1.5</v>
      </c>
      <c r="AN627" s="12">
        <f t="shared" ca="1" si="1729"/>
        <v>0.69608308769390437</v>
      </c>
      <c r="AO627" s="14">
        <f t="shared" ca="1" si="1730"/>
        <v>1.0441246315408566</v>
      </c>
      <c r="AP627" s="13">
        <f t="shared" ref="AP627:AQ627" ca="1" si="1747">SUM(T640)</f>
        <v>265.49311983987991</v>
      </c>
      <c r="AQ627" s="13">
        <f t="shared" ca="1" si="1747"/>
        <v>8.8497706613293303</v>
      </c>
      <c r="AR627" s="9">
        <f t="shared" ca="1" si="1732"/>
        <v>184.66666666666666</v>
      </c>
      <c r="AS627" s="76"/>
      <c r="AT627" s="76"/>
    </row>
    <row r="628" spans="1:46" ht="15.75" customHeight="1" x14ac:dyDescent="0.25">
      <c r="A628" s="70"/>
      <c r="B628" s="16">
        <v>2</v>
      </c>
      <c r="C628" s="16" t="s">
        <v>28</v>
      </c>
      <c r="D628" s="44">
        <v>33</v>
      </c>
      <c r="E628" s="18">
        <f ca="1">IFERROR(__xludf.DUMMYFUNCTION("COUNT(IMPORTRANGE(""https://docs.google.com/spreadsheets/d/10a85iNN0y9GF6ngQfF1JXGAzFk-T7ywH4-TZtQcOTaE/edit"",""24!d2:d34""))"),33)</f>
        <v>33</v>
      </c>
      <c r="F628" s="19">
        <f ca="1">IFERROR(__xludf.DUMMYFUNCTION("SUM(IMPORTRANGE(""https://docs.google.com/spreadsheets/d/10a85iNN0y9GF6ngQfF1JXGAzFk-T7ywH4-TZtQcOTaE/edit"",""24!Q2:Q34""))"),6590.627)</f>
        <v>6590.6270000000004</v>
      </c>
      <c r="G628" s="18">
        <f ca="1">IFERROR(__xludf.DUMMYFUNCTION("IMPORTRANGE(""https://docs.google.com/spreadsheets/d/10a85iNN0y9GF6ngQfF1JXGAzFk-T7ywH4-TZtQcOTaE/edit"",""24!e41"")"),2705)</f>
        <v>2705</v>
      </c>
      <c r="H628" s="18">
        <f ca="1">IFERROR(__xludf.DUMMYFUNCTION("IMPORTRANGE(""https://docs.google.com/spreadsheets/d/10a85iNN0y9GF6ngQfF1JXGAzFk-T7ywH4-TZtQcOTaE/edit"",""24!e42"")"),273)</f>
        <v>273</v>
      </c>
      <c r="I628" s="18">
        <f t="shared" ca="1" si="1737"/>
        <v>2978</v>
      </c>
      <c r="J628" s="18">
        <f ca="1">IFERROR(__xludf.DUMMYFUNCTION("IMPORTRANGE(""https://docs.google.com/spreadsheets/d/10a85iNN0y9GF6ngQfF1JXGAzFk-T7ywH4-TZtQcOTaE/edit"",""24!e45"")"),2522)</f>
        <v>2522</v>
      </c>
      <c r="K628" s="18">
        <f ca="1">IFERROR(__xludf.DUMMYFUNCTION("IMPORTRANGE(""https://docs.google.com/spreadsheets/d/10a85iNN0y9GF6ngQfF1JXGAzFk-T7ywH4-TZtQcOTaE/edit"",""24!e46"")"),165)</f>
        <v>165</v>
      </c>
      <c r="L628" s="18">
        <f t="shared" ca="1" si="1738"/>
        <v>2687</v>
      </c>
      <c r="M628" s="18">
        <f t="shared" ca="1" si="1739"/>
        <v>5665</v>
      </c>
      <c r="N628" s="19">
        <f t="shared" ca="1" si="1740"/>
        <v>199.71596969696972</v>
      </c>
      <c r="O628" s="16">
        <v>7315</v>
      </c>
      <c r="P628" s="20">
        <f t="shared" ca="1" si="1741"/>
        <v>0.77443609022556392</v>
      </c>
      <c r="Q628" s="21">
        <v>1.5</v>
      </c>
      <c r="R628" s="20">
        <f t="shared" ca="1" si="1742"/>
        <v>0.57303602019453781</v>
      </c>
      <c r="S628" s="22">
        <f t="shared" ca="1" si="1743"/>
        <v>0.85955403029180677</v>
      </c>
      <c r="T628" s="21">
        <f ca="1">F628/30.897</f>
        <v>213.30960934718584</v>
      </c>
      <c r="U628" s="21">
        <f t="shared" ca="1" si="1744"/>
        <v>6.4639275559753289</v>
      </c>
      <c r="V628" s="18">
        <f t="shared" ca="1" si="1745"/>
        <v>171.66666666666666</v>
      </c>
      <c r="W628" s="76"/>
      <c r="X628" s="8">
        <v>5</v>
      </c>
      <c r="Y628" s="8" t="s">
        <v>29</v>
      </c>
      <c r="Z628" s="8">
        <f t="shared" ref="Z628:AI628" si="1748">SUM(D643)</f>
        <v>30</v>
      </c>
      <c r="AA628" s="9">
        <f t="shared" ca="1" si="1748"/>
        <v>30</v>
      </c>
      <c r="AB628" s="10">
        <f t="shared" ca="1" si="1748"/>
        <v>5676.2839999999997</v>
      </c>
      <c r="AC628" s="9">
        <f t="shared" ca="1" si="1748"/>
        <v>2891</v>
      </c>
      <c r="AD628" s="9">
        <f t="shared" ca="1" si="1748"/>
        <v>0</v>
      </c>
      <c r="AE628" s="9">
        <f t="shared" ca="1" si="1748"/>
        <v>2891</v>
      </c>
      <c r="AF628" s="9">
        <f t="shared" ca="1" si="1748"/>
        <v>3942</v>
      </c>
      <c r="AG628" s="9">
        <f t="shared" ca="1" si="1748"/>
        <v>0</v>
      </c>
      <c r="AH628" s="9">
        <f t="shared" ca="1" si="1748"/>
        <v>3942</v>
      </c>
      <c r="AI628" s="9">
        <f t="shared" ca="1" si="1748"/>
        <v>6833</v>
      </c>
      <c r="AJ628" s="11">
        <f t="shared" ref="AJ628:AJ630" ca="1" si="1749">AB628/AA628</f>
        <v>189.20946666666666</v>
      </c>
      <c r="AK628" s="8">
        <f t="shared" ref="AK628:AK629" si="1750">SUM(O643)</f>
        <v>9201</v>
      </c>
      <c r="AL628" s="12">
        <f t="shared" ca="1" si="1727"/>
        <v>0.7426366699271818</v>
      </c>
      <c r="AM628" s="13">
        <f t="shared" ref="AM628:AM629" si="1751">SUM(Q643)</f>
        <v>1.5</v>
      </c>
      <c r="AN628" s="12">
        <f t="shared" ca="1" si="1729"/>
        <v>0.8025203343126126</v>
      </c>
      <c r="AO628" s="14">
        <f t="shared" ca="1" si="1730"/>
        <v>1.2037805014689189</v>
      </c>
      <c r="AP628" s="13">
        <f t="shared" ref="AP628:AQ628" ca="1" si="1752">SUM(T643)</f>
        <v>217.99999999999997</v>
      </c>
      <c r="AQ628" s="13">
        <f t="shared" ca="1" si="1752"/>
        <v>7.2666666666666657</v>
      </c>
      <c r="AR628" s="9">
        <f t="shared" ca="1" si="1732"/>
        <v>227.76666666666668</v>
      </c>
      <c r="AS628" s="76"/>
      <c r="AT628" s="76"/>
    </row>
    <row r="629" spans="1:46" ht="15.75" customHeight="1" x14ac:dyDescent="0.25">
      <c r="A629" s="70"/>
      <c r="B629" s="16">
        <v>3</v>
      </c>
      <c r="C629" s="16" t="s">
        <v>30</v>
      </c>
      <c r="D629" s="44">
        <v>60</v>
      </c>
      <c r="E629" s="18">
        <f ca="1">IFERROR(__xludf.DUMMYFUNCTION("COUNT(IMPORTRANGE(""https://docs.google.com/spreadsheets/d/1WojVzHhpzodJL1e5UDHeu3A3u5MTSZwvxHu0BrwvL9w/edit"",""24!d2:d61""))"),58)</f>
        <v>58</v>
      </c>
      <c r="F629" s="23">
        <f ca="1">IFERROR(__xludf.DUMMYFUNCTION("SUM(IMPORTRANGE(""https://docs.google.com/spreadsheets/d/1WojVzHhpzodJL1e5UDHeu3A3u5MTSZwvxHu0BrwvL9w/edit"",""24!Q2:Q61""))"),11574.7729999999)</f>
        <v>11574.772999999899</v>
      </c>
      <c r="G629" s="18">
        <f ca="1">IFERROR(__xludf.DUMMYFUNCTION("IMPORTRANGE(""https://docs.google.com/spreadsheets/d/1WojVzHhpzodJL1e5UDHeu3A3u5MTSZwvxHu0BrwvL9w/edit"",""24!e68"")"),3557)</f>
        <v>3557</v>
      </c>
      <c r="H629" s="18">
        <f ca="1">IFERROR(__xludf.DUMMYFUNCTION("IMPORTRANGE(""https://docs.google.com/spreadsheets/d/1WojVzHhpzodJL1e5UDHeu3A3u5MTSZwvxHu0BrwvL9w/edit"",""24!e69"")"),0)</f>
        <v>0</v>
      </c>
      <c r="I629" s="18">
        <f t="shared" ca="1" si="1737"/>
        <v>3557</v>
      </c>
      <c r="J629" s="18">
        <f ca="1">IFERROR(__xludf.DUMMYFUNCTION("IMPORTRANGE(""https://docs.google.com/spreadsheets/d/1WojVzHhpzodJL1e5UDHeu3A3u5MTSZwvxHu0BrwvL9w/edit"",""24!e72"")"),5644)</f>
        <v>5644</v>
      </c>
      <c r="K629" s="18">
        <f ca="1">IFERROR(__xludf.DUMMYFUNCTION("IMPORTRANGE(""https://docs.google.com/spreadsheets/d/1WojVzHhpzodJL1e5UDHeu3A3u5MTSZwvxHu0BrwvL9w/edit"",""24!e73"")"),0)</f>
        <v>0</v>
      </c>
      <c r="L629" s="18">
        <f t="shared" ca="1" si="1738"/>
        <v>5644</v>
      </c>
      <c r="M629" s="18">
        <f t="shared" ca="1" si="1739"/>
        <v>9201</v>
      </c>
      <c r="N629" s="19">
        <f t="shared" ca="1" si="1740"/>
        <v>199.5650517241362</v>
      </c>
      <c r="O629" s="16">
        <v>11164</v>
      </c>
      <c r="P629" s="20">
        <f t="shared" ca="1" si="1741"/>
        <v>0.82416696524543176</v>
      </c>
      <c r="Q629" s="21">
        <v>1.5</v>
      </c>
      <c r="R629" s="20">
        <f t="shared" ca="1" si="1742"/>
        <v>0.52994559806918484</v>
      </c>
      <c r="S629" s="22">
        <f t="shared" ca="1" si="1743"/>
        <v>0.79491839710377732</v>
      </c>
      <c r="T629" s="21">
        <f ca="1">F629/29.603</f>
        <v>390.99999999999659</v>
      </c>
      <c r="U629" s="21">
        <f t="shared" ca="1" si="1744"/>
        <v>6.7413793103447688</v>
      </c>
      <c r="V629" s="18">
        <f t="shared" ca="1" si="1745"/>
        <v>158.63793103448276</v>
      </c>
      <c r="W629" s="76"/>
      <c r="X629" s="8">
        <v>6</v>
      </c>
      <c r="Y629" s="8" t="s">
        <v>31</v>
      </c>
      <c r="Z629" s="8">
        <f t="shared" ref="Z629:AI629" si="1753">SUM(D644)</f>
        <v>15</v>
      </c>
      <c r="AA629" s="9">
        <f t="shared" ca="1" si="1753"/>
        <v>14</v>
      </c>
      <c r="AB629" s="11">
        <f t="shared" ca="1" si="1753"/>
        <v>2825.2249999999999</v>
      </c>
      <c r="AC629" s="9">
        <f t="shared" ca="1" si="1753"/>
        <v>837</v>
      </c>
      <c r="AD629" s="9">
        <f t="shared" ca="1" si="1753"/>
        <v>0</v>
      </c>
      <c r="AE629" s="9">
        <f t="shared" ca="1" si="1753"/>
        <v>837</v>
      </c>
      <c r="AF629" s="9">
        <f t="shared" ca="1" si="1753"/>
        <v>1180</v>
      </c>
      <c r="AG629" s="9">
        <f t="shared" ca="1" si="1753"/>
        <v>0</v>
      </c>
      <c r="AH629" s="9">
        <f t="shared" ca="1" si="1753"/>
        <v>1180</v>
      </c>
      <c r="AI629" s="9">
        <f t="shared" ca="1" si="1753"/>
        <v>2017</v>
      </c>
      <c r="AJ629" s="11">
        <f t="shared" ca="1" si="1749"/>
        <v>201.8017857142857</v>
      </c>
      <c r="AK629" s="8">
        <f t="shared" si="1750"/>
        <v>2717</v>
      </c>
      <c r="AL629" s="12">
        <f t="shared" ca="1" si="1727"/>
        <v>0.74236290025763707</v>
      </c>
      <c r="AM629" s="13">
        <f t="shared" si="1751"/>
        <v>1.5</v>
      </c>
      <c r="AN629" s="12">
        <f t="shared" ca="1" si="1729"/>
        <v>0.47595029304450681</v>
      </c>
      <c r="AO629" s="14">
        <f t="shared" ca="1" si="1730"/>
        <v>0.71392543956676024</v>
      </c>
      <c r="AP629" s="13">
        <f t="shared" ref="AP629:AQ629" ca="1" si="1754">SUM(T644)</f>
        <v>64.999999999999986</v>
      </c>
      <c r="AQ629" s="13">
        <f t="shared" ca="1" si="1754"/>
        <v>4.6428571428571415</v>
      </c>
      <c r="AR629" s="9">
        <f t="shared" ca="1" si="1732"/>
        <v>144.07142857142858</v>
      </c>
      <c r="AS629" s="76"/>
      <c r="AT629" s="76"/>
    </row>
    <row r="630" spans="1:46" ht="15.75" customHeight="1" x14ac:dyDescent="0.25">
      <c r="A630" s="70"/>
      <c r="B630" s="16">
        <v>4</v>
      </c>
      <c r="C630" s="16" t="s">
        <v>32</v>
      </c>
      <c r="D630" s="44">
        <v>42</v>
      </c>
      <c r="E630" s="18">
        <f ca="1">IFERROR(__xludf.DUMMYFUNCTION("COUNT(IMPORTRANGE(""https://docs.google.com/spreadsheets/d/1vmCj5YcMSPHj1m64syDndQ6cqVL3yolcU03Y8KHmvdc/edit"",""24!d2:d43""))"),42)</f>
        <v>42</v>
      </c>
      <c r="F630" s="23">
        <f ca="1">IFERROR(__xludf.DUMMYFUNCTION("SUM(IMPORTRANGE(""https://docs.google.com/spreadsheets/d/1vmCj5YcMSPHj1m64syDndQ6cqVL3yolcU03Y8KHmvdc/edit"",""24!Q2:Q43""))"),8204.10299999999)</f>
        <v>8204.1029999999901</v>
      </c>
      <c r="G630" s="16">
        <f ca="1">IFERROR(__xludf.DUMMYFUNCTION("IMPORTRANGE(""https://docs.google.com/spreadsheets/d/1vmCj5YcMSPHj1m64syDndQ6cqVL3yolcU03Y8KHmvdc/edit"",""24!e50"")"),5281)</f>
        <v>5281</v>
      </c>
      <c r="H630" s="16">
        <f ca="1">IFERROR(__xludf.DUMMYFUNCTION("IMPORTRANGE(""https://docs.google.com/spreadsheets/d/1vmCj5YcMSPHj1m64syDndQ6cqVL3yolcU03Y8KHmvdc/edit"",""24!e51"")"),0)</f>
        <v>0</v>
      </c>
      <c r="I630" s="18">
        <f t="shared" ca="1" si="1737"/>
        <v>5281</v>
      </c>
      <c r="J630" s="16">
        <f ca="1">IFERROR(__xludf.DUMMYFUNCTION("IMPORTRANGE(""https://docs.google.com/spreadsheets/d/1vmCj5YcMSPHj1m64syDndQ6cqVL3yolcU03Y8KHmvdc/edit"",""24!e54"")"),5566)</f>
        <v>5566</v>
      </c>
      <c r="K630" s="16">
        <f ca="1">IFERROR(__xludf.DUMMYFUNCTION("IMPORTRANGE(""https://docs.google.com/spreadsheets/d/1vmCj5YcMSPHj1m64syDndQ6cqVL3yolcU03Y8KHmvdc/edit"",""24!e55"")"),0)</f>
        <v>0</v>
      </c>
      <c r="L630" s="18">
        <f t="shared" ca="1" si="1738"/>
        <v>5566</v>
      </c>
      <c r="M630" s="18">
        <f t="shared" ca="1" si="1739"/>
        <v>10847</v>
      </c>
      <c r="N630" s="19">
        <f t="shared" ca="1" si="1740"/>
        <v>195.33578571428546</v>
      </c>
      <c r="O630" s="16">
        <v>13817</v>
      </c>
      <c r="P630" s="20">
        <f t="shared" ca="1" si="1741"/>
        <v>0.78504740537019613</v>
      </c>
      <c r="Q630" s="21">
        <v>1.5</v>
      </c>
      <c r="R630" s="20">
        <f t="shared" ca="1" si="1742"/>
        <v>0.88142888178431467</v>
      </c>
      <c r="S630" s="22">
        <f t="shared" ca="1" si="1743"/>
        <v>1.3221433226764721</v>
      </c>
      <c r="T630" s="21">
        <f ca="1">F630/25.089</f>
        <v>326.9999999999996</v>
      </c>
      <c r="U630" s="21">
        <f t="shared" ca="1" si="1744"/>
        <v>7.7857142857142758</v>
      </c>
      <c r="V630" s="18">
        <f t="shared" ca="1" si="1745"/>
        <v>258.26190476190476</v>
      </c>
      <c r="W630" s="76"/>
      <c r="X630" s="24" t="s">
        <v>33</v>
      </c>
      <c r="Y630" s="24">
        <v>6</v>
      </c>
      <c r="Z630" s="24">
        <f t="shared" ref="Z630:AI630" si="1755">SUM(Z624:Z629)</f>
        <v>186</v>
      </c>
      <c r="AA630" s="25">
        <f t="shared" ca="1" si="1755"/>
        <v>182</v>
      </c>
      <c r="AB630" s="26">
        <f t="shared" ca="1" si="1755"/>
        <v>35040.594999999979</v>
      </c>
      <c r="AC630" s="25">
        <f t="shared" ca="1" si="1755"/>
        <v>11409</v>
      </c>
      <c r="AD630" s="25">
        <f t="shared" ca="1" si="1755"/>
        <v>549</v>
      </c>
      <c r="AE630" s="25">
        <f t="shared" ca="1" si="1755"/>
        <v>11958</v>
      </c>
      <c r="AF630" s="25">
        <f t="shared" ca="1" si="1755"/>
        <v>16207</v>
      </c>
      <c r="AG630" s="25">
        <f t="shared" ca="1" si="1755"/>
        <v>285</v>
      </c>
      <c r="AH630" s="25">
        <f t="shared" ca="1" si="1755"/>
        <v>16492</v>
      </c>
      <c r="AI630" s="25">
        <f t="shared" ca="1" si="1755"/>
        <v>28450</v>
      </c>
      <c r="AJ630" s="27">
        <f t="shared" ca="1" si="1749"/>
        <v>192.53074175824165</v>
      </c>
      <c r="AK630" s="24">
        <f>SUM(AK624:AK629)</f>
        <v>35074</v>
      </c>
      <c r="AL630" s="28">
        <f t="shared" ca="1" si="1727"/>
        <v>0.81114215658322408</v>
      </c>
      <c r="AM630" s="29">
        <v>1.5</v>
      </c>
      <c r="AN630" s="28">
        <f t="shared" ca="1" si="1729"/>
        <v>0.5412769579588097</v>
      </c>
      <c r="AO630" s="30">
        <f t="shared" ca="1" si="1730"/>
        <v>0.81191543693821455</v>
      </c>
      <c r="AP630" s="29">
        <f ca="1">SUM(AP624:AP629)</f>
        <v>1315.6580475617181</v>
      </c>
      <c r="AQ630" s="29">
        <f ca="1">AP630/AA630</f>
        <v>7.228890371218232</v>
      </c>
      <c r="AR630" s="25">
        <f t="shared" ca="1" si="1732"/>
        <v>156.31868131868131</v>
      </c>
      <c r="AS630" s="76"/>
      <c r="AT630" s="76"/>
    </row>
    <row r="631" spans="1:46" ht="15.75" customHeight="1" x14ac:dyDescent="0.25">
      <c r="A631" s="70"/>
      <c r="B631" s="16">
        <v>5</v>
      </c>
      <c r="C631" s="16" t="s">
        <v>34</v>
      </c>
      <c r="D631" s="44">
        <v>40</v>
      </c>
      <c r="E631" s="18">
        <f ca="1">IFERROR(__xludf.DUMMYFUNCTION("COUNT(IMPORTRANGE(""https://docs.google.com/spreadsheets/d/14_Y-fpuq1wcec3DlT_1PBYekOC0YblQMrWVfO12YO3k/edit"",""24!d2:d41""))"),40)</f>
        <v>40</v>
      </c>
      <c r="F631" s="23">
        <f ca="1">IFERROR(__xludf.DUMMYFUNCTION("SUM(IMPORTRANGE(""https://docs.google.com/spreadsheets/d/14_Y-fpuq1wcec3DlT_1PBYekOC0YblQMrWVfO12YO3k/edit"",""24!Q2:Q41""))"),7752.201)</f>
        <v>7752.201</v>
      </c>
      <c r="G631" s="18">
        <f ca="1">IFERROR(__xludf.DUMMYFUNCTION("IMPORTRANGE(""https://docs.google.com/spreadsheets/d/14_Y-fpuq1wcec3DlT_1PBYekOC0YblQMrWVfO12YO3k/edit"",""24!e48"")"),2810)</f>
        <v>2810</v>
      </c>
      <c r="H631" s="18">
        <f ca="1">IFERROR(__xludf.DUMMYFUNCTION("IMPORTRANGE(""https://docs.google.com/spreadsheets/d/14_Y-fpuq1wcec3DlT_1PBYekOC0YblQMrWVfO12YO3k/edit"",""24!e49"")"),0)</f>
        <v>0</v>
      </c>
      <c r="I631" s="18">
        <f t="shared" ca="1" si="1737"/>
        <v>2810</v>
      </c>
      <c r="J631" s="18">
        <f ca="1">IFERROR(__xludf.DUMMYFUNCTION("IMPORTRANGE(""https://docs.google.com/spreadsheets/d/14_Y-fpuq1wcec3DlT_1PBYekOC0YblQMrWVfO12YO3k/edit"",""24!e52"")"),3596)</f>
        <v>3596</v>
      </c>
      <c r="K631" s="18">
        <f ca="1">IFERROR(__xludf.DUMMYFUNCTION("IMPORTRANGE(""https://docs.google.com/spreadsheets/d/14_Y-fpuq1wcec3DlT_1PBYekOC0YblQMrWVfO12YO3k/edit"",""24!e53"")"),0)</f>
        <v>0</v>
      </c>
      <c r="L631" s="18">
        <f t="shared" ca="1" si="1738"/>
        <v>3596</v>
      </c>
      <c r="M631" s="18">
        <f t="shared" ca="1" si="1739"/>
        <v>6406</v>
      </c>
      <c r="N631" s="19">
        <f t="shared" ca="1" si="1740"/>
        <v>193.805025</v>
      </c>
      <c r="O631" s="16">
        <v>9354</v>
      </c>
      <c r="P631" s="20">
        <f t="shared" ca="1" si="1741"/>
        <v>0.68484070985674572</v>
      </c>
      <c r="Q631" s="21">
        <v>1.5</v>
      </c>
      <c r="R631" s="20">
        <f t="shared" ca="1" si="1742"/>
        <v>0.55089730860521635</v>
      </c>
      <c r="S631" s="22">
        <f t="shared" ca="1" si="1743"/>
        <v>0.82634596290782447</v>
      </c>
      <c r="T631" s="21">
        <f ca="1">F631/30.713</f>
        <v>252.4078077686973</v>
      </c>
      <c r="U631" s="21">
        <f t="shared" ca="1" si="1744"/>
        <v>6.3101951942174326</v>
      </c>
      <c r="V631" s="18">
        <f t="shared" ca="1" si="1745"/>
        <v>160.15</v>
      </c>
      <c r="W631" s="76"/>
      <c r="X631" s="100" t="s">
        <v>35</v>
      </c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9"/>
      <c r="AS631" s="76"/>
      <c r="AT631" s="76"/>
    </row>
    <row r="632" spans="1:46" ht="15.75" customHeight="1" x14ac:dyDescent="0.25">
      <c r="A632" s="70"/>
      <c r="B632" s="16">
        <v>6</v>
      </c>
      <c r="C632" s="16" t="s">
        <v>23</v>
      </c>
      <c r="D632" s="44">
        <v>35</v>
      </c>
      <c r="E632" s="18">
        <f ca="1">IFERROR(__xludf.DUMMYFUNCTION("COUNT(IMPORTRANGE(""https://docs.google.com/spreadsheets/d/1lJqjdj05V4LOXuBOiTdE65GV4ZITyx1cMLcDdcuoUnE/edit"",""24!d2:d36""))"),35)</f>
        <v>35</v>
      </c>
      <c r="F632" s="23">
        <f ca="1">IFERROR(__xludf.DUMMYFUNCTION("SUM(IMPORTRANGE(""https://docs.google.com/spreadsheets/d/1lJqjdj05V4LOXuBOiTdE65GV4ZITyx1cMLcDdcuoUnE/edit"",""24!Q2:Q36""))"),6950.43999999999)</f>
        <v>6950.4399999999896</v>
      </c>
      <c r="G632" s="18">
        <f ca="1">IFERROR(__xludf.DUMMYFUNCTION("IMPORTRANGE(""https://docs.google.com/spreadsheets/d/1lJqjdj05V4LOXuBOiTdE65GV4ZITyx1cMLcDdcuoUnE/edit"",""24!e43"")"),1758)</f>
        <v>1758</v>
      </c>
      <c r="H632" s="18">
        <f ca="1">IFERROR(__xludf.DUMMYFUNCTION("IMPORTRANGE(""https://docs.google.com/spreadsheets/d/1lJqjdj05V4LOXuBOiTdE65GV4ZITyx1cMLcDdcuoUnE/edit"",""24!e44"")"),0)</f>
        <v>0</v>
      </c>
      <c r="I632" s="18">
        <f t="shared" ca="1" si="1737"/>
        <v>1758</v>
      </c>
      <c r="J632" s="18">
        <f ca="1">IFERROR(__xludf.DUMMYFUNCTION("IMPORTRANGE(""https://docs.google.com/spreadsheets/d/1lJqjdj05V4LOXuBOiTdE65GV4ZITyx1cMLcDdcuoUnE/edit"",""24!e47"")"),3534)</f>
        <v>3534</v>
      </c>
      <c r="K632" s="18">
        <f ca="1">IFERROR(__xludf.DUMMYFUNCTION("IMPORTRANGE(""https://docs.google.com/spreadsheets/d/1lJqjdj05V4LOXuBOiTdE65GV4ZITyx1cMLcDdcuoUnE/edit"",""24!e48"")"),0)</f>
        <v>0</v>
      </c>
      <c r="L632" s="18">
        <f t="shared" ca="1" si="1738"/>
        <v>3534</v>
      </c>
      <c r="M632" s="18">
        <f t="shared" ca="1" si="1739"/>
        <v>5292</v>
      </c>
      <c r="N632" s="19">
        <f t="shared" ca="1" si="1740"/>
        <v>198.58399999999969</v>
      </c>
      <c r="O632" s="16">
        <v>6853</v>
      </c>
      <c r="P632" s="20">
        <f t="shared" ca="1" si="1741"/>
        <v>0.77221654749744639</v>
      </c>
      <c r="Q632" s="21">
        <v>1.5</v>
      </c>
      <c r="R632" s="20">
        <f t="shared" ca="1" si="1742"/>
        <v>0.50759376384804489</v>
      </c>
      <c r="S632" s="22">
        <f t="shared" ca="1" si="1743"/>
        <v>0.76139064577206739</v>
      </c>
      <c r="T632" s="21">
        <f ca="1">F632/33.74</f>
        <v>205.99999999999969</v>
      </c>
      <c r="U632" s="21">
        <f t="shared" ca="1" si="1744"/>
        <v>5.8857142857142764</v>
      </c>
      <c r="V632" s="18">
        <f t="shared" ca="1" si="1745"/>
        <v>151.19999999999999</v>
      </c>
      <c r="W632" s="76"/>
      <c r="X632" s="1" t="s">
        <v>2</v>
      </c>
      <c r="Y632" s="1" t="s">
        <v>3</v>
      </c>
      <c r="Z632" s="1" t="s">
        <v>4</v>
      </c>
      <c r="AA632" s="1" t="s">
        <v>5</v>
      </c>
      <c r="AB632" s="2" t="s">
        <v>6</v>
      </c>
      <c r="AC632" s="1" t="s">
        <v>7</v>
      </c>
      <c r="AD632" s="1" t="s">
        <v>8</v>
      </c>
      <c r="AE632" s="1" t="s">
        <v>9</v>
      </c>
      <c r="AF632" s="1" t="s">
        <v>10</v>
      </c>
      <c r="AG632" s="1" t="s">
        <v>11</v>
      </c>
      <c r="AH632" s="1" t="s">
        <v>12</v>
      </c>
      <c r="AI632" s="1" t="s">
        <v>13</v>
      </c>
      <c r="AJ632" s="2" t="s">
        <v>14</v>
      </c>
      <c r="AK632" s="1" t="s">
        <v>15</v>
      </c>
      <c r="AL632" s="1" t="s">
        <v>16</v>
      </c>
      <c r="AM632" s="3" t="s">
        <v>17</v>
      </c>
      <c r="AN632" s="4" t="s">
        <v>18</v>
      </c>
      <c r="AO632" s="5" t="s">
        <v>19</v>
      </c>
      <c r="AP632" s="6" t="s">
        <v>20</v>
      </c>
      <c r="AQ632" s="6" t="s">
        <v>21</v>
      </c>
      <c r="AR632" s="7" t="s">
        <v>22</v>
      </c>
      <c r="AS632" s="76"/>
      <c r="AT632" s="76"/>
    </row>
    <row r="633" spans="1:46" ht="15.75" customHeight="1" x14ac:dyDescent="0.25">
      <c r="A633" s="70"/>
      <c r="B633" s="16">
        <v>7</v>
      </c>
      <c r="C633" s="16" t="s">
        <v>24</v>
      </c>
      <c r="D633" s="44">
        <v>44</v>
      </c>
      <c r="E633" s="31">
        <f ca="1">IFERROR(__xludf.DUMMYFUNCTION("COUNT(IMPORTRANGE(""https://docs.google.com/spreadsheets/d/1_7EEO26q9Yq-XhNFiy7I6Zh4Yg6uGjTs9y0UqNvPKcQ/edit"",""24!d2:d45""))"),41)</f>
        <v>41</v>
      </c>
      <c r="F633" s="32">
        <f ca="1">IFERROR(__xludf.DUMMYFUNCTION("SUM(IMPORTRANGE(""https://docs.google.com/spreadsheets/d/1_7EEO26q9Yq-XhNFiy7I6Zh4Yg6uGjTs9y0UqNvPKcQ/edit"",""24!Q2:Q45""))"),8177.95799999999)</f>
        <v>8177.9579999999896</v>
      </c>
      <c r="G633" s="31">
        <f ca="1">IFERROR(__xludf.DUMMYFUNCTION("IMPORTRANGE(""https://docs.google.com/spreadsheets/d/1_7EEO26q9Yq-XhNFiy7I6Zh4Yg6uGjTs9y0UqNvPKcQ/edit"",""24!e53"")"),1068)</f>
        <v>1068</v>
      </c>
      <c r="H633" s="31">
        <f ca="1">IFERROR(__xludf.DUMMYFUNCTION("IMPORTRANGE(""https://docs.google.com/spreadsheets/d/1_7EEO26q9Yq-XhNFiy7I6Zh4Yg6uGjTs9y0UqNvPKcQ/edit"",""24!e54"")"),0)</f>
        <v>0</v>
      </c>
      <c r="I633" s="31">
        <f t="shared" ca="1" si="1737"/>
        <v>1068</v>
      </c>
      <c r="J633" s="31">
        <f ca="1">IFERROR(__xludf.DUMMYFUNCTION("IMPORTRANGE(""https://docs.google.com/spreadsheets/d/1_7EEO26q9Yq-XhNFiy7I6Zh4Yg6uGjTs9y0UqNvPKcQ/edit"",""24!e57"")"),1372)</f>
        <v>1372</v>
      </c>
      <c r="K633" s="31">
        <f ca="1">IFERROR(__xludf.DUMMYFUNCTION("IMPORTRANGE(""https://docs.google.com/spreadsheets/d/1_7EEO26q9Yq-XhNFiy7I6Zh4Yg6uGjTs9y0UqNvPKcQ/edit"",""24!e58"")"),0)</f>
        <v>0</v>
      </c>
      <c r="L633" s="18">
        <f t="shared" ca="1" si="1738"/>
        <v>1372</v>
      </c>
      <c r="M633" s="18">
        <f t="shared" ca="1" si="1739"/>
        <v>2440</v>
      </c>
      <c r="N633" s="19">
        <f t="shared" ca="1" si="1740"/>
        <v>199.46239024390218</v>
      </c>
      <c r="O633" s="16">
        <v>1580</v>
      </c>
      <c r="P633" s="33">
        <f t="shared" ca="1" si="1741"/>
        <v>1.5443037974683544</v>
      </c>
      <c r="Q633" s="21">
        <v>1.5</v>
      </c>
      <c r="R633" s="20">
        <f t="shared" ca="1" si="1742"/>
        <v>0.19890865992056558</v>
      </c>
      <c r="S633" s="22">
        <f t="shared" ca="1" si="1743"/>
        <v>0.29836298988084836</v>
      </c>
      <c r="T633" s="21">
        <f ca="1">F633/26.805</f>
        <v>305.09076664801307</v>
      </c>
      <c r="U633" s="21">
        <f t="shared" ca="1" si="1744"/>
        <v>7.441238210927148</v>
      </c>
      <c r="V633" s="18">
        <f t="shared" ca="1" si="1745"/>
        <v>59.512195121951223</v>
      </c>
      <c r="W633" s="76"/>
      <c r="X633" s="8">
        <v>1</v>
      </c>
      <c r="Y633" s="8" t="s">
        <v>28</v>
      </c>
      <c r="Z633" s="8">
        <f t="shared" ref="Z633:AI633" si="1756">SUM(D628)</f>
        <v>33</v>
      </c>
      <c r="AA633" s="9">
        <f t="shared" ca="1" si="1756"/>
        <v>33</v>
      </c>
      <c r="AB633" s="11">
        <f t="shared" ca="1" si="1756"/>
        <v>6590.6270000000004</v>
      </c>
      <c r="AC633" s="9">
        <f t="shared" ca="1" si="1756"/>
        <v>2705</v>
      </c>
      <c r="AD633" s="9">
        <f t="shared" ca="1" si="1756"/>
        <v>273</v>
      </c>
      <c r="AE633" s="9">
        <f t="shared" ca="1" si="1756"/>
        <v>2978</v>
      </c>
      <c r="AF633" s="9">
        <f t="shared" ca="1" si="1756"/>
        <v>2522</v>
      </c>
      <c r="AG633" s="9">
        <f t="shared" ca="1" si="1756"/>
        <v>165</v>
      </c>
      <c r="AH633" s="9">
        <f t="shared" ca="1" si="1756"/>
        <v>2687</v>
      </c>
      <c r="AI633" s="9">
        <f t="shared" ca="1" si="1756"/>
        <v>5665</v>
      </c>
      <c r="AJ633" s="11">
        <f t="shared" ref="AJ633:AJ639" ca="1" si="1757">AB633/AA633</f>
        <v>199.71596969696972</v>
      </c>
      <c r="AK633" s="8">
        <f t="shared" ref="AK633:AK634" si="1758">SUM(O628)</f>
        <v>7315</v>
      </c>
      <c r="AL633" s="12">
        <f t="shared" ref="AL633:AL639" ca="1" si="1759">AI633/AK633</f>
        <v>0.77443609022556392</v>
      </c>
      <c r="AM633" s="13">
        <f t="shared" ref="AM633:AM634" si="1760">SUM(Q628)</f>
        <v>1.5</v>
      </c>
      <c r="AN633" s="12">
        <f t="shared" ref="AN633:AN639" ca="1" si="1761">AO633/AM633</f>
        <v>0.57303602019453781</v>
      </c>
      <c r="AO633" s="14">
        <f t="shared" ref="AO633:AO639" ca="1" si="1762">AI633/AB633</f>
        <v>0.85955403029180677</v>
      </c>
      <c r="AP633" s="13">
        <f t="shared" ref="AP633:AQ633" ca="1" si="1763">SUM(T628)</f>
        <v>213.30960934718584</v>
      </c>
      <c r="AQ633" s="13">
        <f t="shared" ca="1" si="1763"/>
        <v>6.4639275559753289</v>
      </c>
      <c r="AR633" s="9">
        <f t="shared" ref="AR633:AR639" ca="1" si="1764">AI633/AA633</f>
        <v>171.66666666666666</v>
      </c>
      <c r="AS633" s="76"/>
      <c r="AT633" s="76"/>
    </row>
    <row r="634" spans="1:46" ht="15.75" customHeight="1" x14ac:dyDescent="0.25">
      <c r="A634" s="70"/>
      <c r="B634" s="16">
        <v>8</v>
      </c>
      <c r="C634" s="16" t="s">
        <v>25</v>
      </c>
      <c r="D634" s="45">
        <v>32</v>
      </c>
      <c r="E634" s="18">
        <f ca="1">IFERROR(__xludf.DUMMYFUNCTION("COUNT(IMPORTRANGE(""https://docs.google.com/spreadsheets/d/1vLOLpiE-XsbnCnwWPcoi87PlUSXfqIAAQn3kvqHfO6s/edit"",""24!d2:D33""))"),32)</f>
        <v>32</v>
      </c>
      <c r="F634" s="23">
        <f ca="1">IFERROR(__xludf.DUMMYFUNCTION("SUM(IMPORTRANGE(""https://docs.google.com/spreadsheets/d/1vLOLpiE-XsbnCnwWPcoi87PlUSXfqIAAQn3kvqHfO6s/edit"",""24!Q2:Q33""))"),6104.808)</f>
        <v>6104.808</v>
      </c>
      <c r="G634" s="18">
        <f ca="1">IFERROR(__xludf.DUMMYFUNCTION("IMPORTRANGE(""https://docs.google.com/spreadsheets/d/1vLOLpiE-XsbnCnwWPcoi87PlUSXfqIAAQn3kvqHfO6s/edit"",""24!e40"")"),2420)</f>
        <v>2420</v>
      </c>
      <c r="H634" s="18">
        <f ca="1">IFERROR(__xludf.DUMMYFUNCTION("IMPORTRANGE(""https://docs.google.com/spreadsheets/d/1vLOLpiE-XsbnCnwWPcoi87PlUSXfqIAAQn3kvqHfO6s/edit"",""24!e41"")"),451)</f>
        <v>451</v>
      </c>
      <c r="I634" s="18">
        <f t="shared" ca="1" si="1737"/>
        <v>2871</v>
      </c>
      <c r="J634" s="18">
        <f ca="1">IFERROR(__xludf.DUMMYFUNCTION("IMPORTRANGE(""https://docs.google.com/spreadsheets/d/1vLOLpiE-XsbnCnwWPcoi87PlUSXfqIAAQn3kvqHfO6s/edit"",""24!e44"")"),3172)</f>
        <v>3172</v>
      </c>
      <c r="K634" s="18">
        <f ca="1">IFERROR(__xludf.DUMMYFUNCTION("IMPORTRANGE(""https://docs.google.com/spreadsheets/d/1vLOLpiE-XsbnCnwWPcoi87PlUSXfqIAAQn3kvqHfO6s/edit"",""24!e45"")"),285)</f>
        <v>285</v>
      </c>
      <c r="L634" s="18">
        <f ca="1">J634+K634</f>
        <v>3457</v>
      </c>
      <c r="M634" s="18">
        <f t="shared" ca="1" si="1739"/>
        <v>6328</v>
      </c>
      <c r="N634" s="19">
        <f t="shared" ca="1" si="1740"/>
        <v>190.77525</v>
      </c>
      <c r="O634" s="16">
        <v>6622</v>
      </c>
      <c r="P634" s="20">
        <f t="shared" ca="1" si="1741"/>
        <v>0.95560253699788589</v>
      </c>
      <c r="Q634" s="21">
        <v>1.5</v>
      </c>
      <c r="R634" s="20">
        <f t="shared" ca="1" si="1742"/>
        <v>0.69104002397236186</v>
      </c>
      <c r="S634" s="22">
        <f t="shared" ca="1" si="1743"/>
        <v>1.0365600359585427</v>
      </c>
      <c r="T634" s="21">
        <f ca="1">F634/23.84</f>
        <v>256.07416107382551</v>
      </c>
      <c r="U634" s="21">
        <f t="shared" ca="1" si="1744"/>
        <v>8.0023175335570471</v>
      </c>
      <c r="V634" s="18">
        <f t="shared" ca="1" si="1745"/>
        <v>197.75</v>
      </c>
      <c r="W634" s="76"/>
      <c r="X634" s="8">
        <v>2</v>
      </c>
      <c r="Y634" s="8" t="s">
        <v>30</v>
      </c>
      <c r="Z634" s="8">
        <f t="shared" ref="Z634:AI634" si="1765">SUM(D629)</f>
        <v>60</v>
      </c>
      <c r="AA634" s="9">
        <f t="shared" ca="1" si="1765"/>
        <v>58</v>
      </c>
      <c r="AB634" s="10">
        <f t="shared" ca="1" si="1765"/>
        <v>11574.772999999899</v>
      </c>
      <c r="AC634" s="9">
        <f t="shared" ca="1" si="1765"/>
        <v>3557</v>
      </c>
      <c r="AD634" s="9">
        <f t="shared" ca="1" si="1765"/>
        <v>0</v>
      </c>
      <c r="AE634" s="9">
        <f t="shared" ca="1" si="1765"/>
        <v>3557</v>
      </c>
      <c r="AF634" s="9">
        <f t="shared" ca="1" si="1765"/>
        <v>5644</v>
      </c>
      <c r="AG634" s="9">
        <f t="shared" ca="1" si="1765"/>
        <v>0</v>
      </c>
      <c r="AH634" s="9">
        <f t="shared" ca="1" si="1765"/>
        <v>5644</v>
      </c>
      <c r="AI634" s="9">
        <f t="shared" ca="1" si="1765"/>
        <v>9201</v>
      </c>
      <c r="AJ634" s="11">
        <f t="shared" ca="1" si="1757"/>
        <v>199.5650517241362</v>
      </c>
      <c r="AK634" s="8">
        <f t="shared" si="1758"/>
        <v>11164</v>
      </c>
      <c r="AL634" s="12">
        <f t="shared" ca="1" si="1759"/>
        <v>0.82416696524543176</v>
      </c>
      <c r="AM634" s="13">
        <f t="shared" si="1760"/>
        <v>1.5</v>
      </c>
      <c r="AN634" s="12">
        <f t="shared" ca="1" si="1761"/>
        <v>0.52994559806918484</v>
      </c>
      <c r="AO634" s="14">
        <f t="shared" ca="1" si="1762"/>
        <v>0.79491839710377732</v>
      </c>
      <c r="AP634" s="13">
        <f t="shared" ref="AP634:AQ634" ca="1" si="1766">SUM(T629)</f>
        <v>390.99999999999659</v>
      </c>
      <c r="AQ634" s="13">
        <f t="shared" ca="1" si="1766"/>
        <v>6.7413793103447688</v>
      </c>
      <c r="AR634" s="9">
        <f t="shared" ca="1" si="1764"/>
        <v>158.63793103448276</v>
      </c>
      <c r="AS634" s="76"/>
      <c r="AT634" s="76"/>
    </row>
    <row r="635" spans="1:46" ht="15.75" customHeight="1" x14ac:dyDescent="0.25">
      <c r="A635" s="70"/>
      <c r="B635" s="16">
        <v>9</v>
      </c>
      <c r="C635" s="16" t="s">
        <v>36</v>
      </c>
      <c r="D635" s="45">
        <v>29</v>
      </c>
      <c r="E635" s="18">
        <f ca="1">IFERROR(__xludf.DUMMYFUNCTION("COUNT(IMPORTRANGE(""https://docs.google.com/spreadsheets/d/1WJJVq25XDtGjt-J2JPxeKs3jIvDZtkIREC0lFPXwf74/edit"",""24!d2:d31""))"),29)</f>
        <v>29</v>
      </c>
      <c r="F635" s="23">
        <f ca="1">IFERROR(__xludf.DUMMYFUNCTION("SUM(IMPORTRANGE(""https://docs.google.com/spreadsheets/d/1WJJVq25XDtGjt-J2JPxeKs3jIvDZtkIREC0lFPXwf74/edit"",""24!Q2:Q31""))"),5791.18999999999)</f>
        <v>5791.1899999999896</v>
      </c>
      <c r="G635" s="18">
        <f ca="1">IFERROR(__xludf.DUMMYFUNCTION("IMPORTRANGE(""https://docs.google.com/spreadsheets/d/1WJJVq25XDtGjt-J2JPxeKs3jIvDZtkIREC0lFPXwf74/edit"",""24!e38"")"),1536)</f>
        <v>1536</v>
      </c>
      <c r="H635" s="18">
        <f ca="1">IFERROR(__xludf.DUMMYFUNCTION("IMPORTRANGE(""https://docs.google.com/spreadsheets/d/1WJJVq25XDtGjt-J2JPxeKs3jIvDZtkIREC0lFPXwf74/edit"",""24!e39"")"),0)</f>
        <v>0</v>
      </c>
      <c r="I635" s="18">
        <f t="shared" ca="1" si="1737"/>
        <v>1536</v>
      </c>
      <c r="J635" s="18">
        <f ca="1">IFERROR(__xludf.DUMMYFUNCTION("IMPORTRANGE(""https://docs.google.com/spreadsheets/d/1WJJVq25XDtGjt-J2JPxeKs3jIvDZtkIREC0lFPXwf74/edit"",""24!e42"")"),2298)</f>
        <v>2298</v>
      </c>
      <c r="K635" s="18">
        <f ca="1">IFERROR(__xludf.DUMMYFUNCTION("IMPORTRANGE(""https://docs.google.com/spreadsheets/d/1WJJVq25XDtGjt-J2JPxeKs3jIvDZtkIREC0lFPXwf74/edit"",""24!e43"")"),0)</f>
        <v>0</v>
      </c>
      <c r="L635" s="18">
        <f t="shared" ref="L635:L644" ca="1" si="1767">SUM(J635:K635)</f>
        <v>2298</v>
      </c>
      <c r="M635" s="18">
        <f t="shared" ca="1" si="1739"/>
        <v>3834</v>
      </c>
      <c r="N635" s="19">
        <f t="shared" ca="1" si="1740"/>
        <v>199.69620689655136</v>
      </c>
      <c r="O635" s="16">
        <v>4796</v>
      </c>
      <c r="P635" s="20">
        <f t="shared" ca="1" si="1741"/>
        <v>0.79941618015012506</v>
      </c>
      <c r="Q635" s="21">
        <v>1.5</v>
      </c>
      <c r="R635" s="20">
        <f t="shared" ca="1" si="1742"/>
        <v>0.44136006589319376</v>
      </c>
      <c r="S635" s="22">
        <f t="shared" ca="1" si="1743"/>
        <v>0.66204009883979065</v>
      </c>
      <c r="T635" s="21">
        <f ca="1">F635/37.414</f>
        <v>154.7867108568982</v>
      </c>
      <c r="U635" s="21">
        <f t="shared" ca="1" si="1744"/>
        <v>5.3374727881689035</v>
      </c>
      <c r="V635" s="18">
        <f t="shared" ca="1" si="1745"/>
        <v>132.20689655172413</v>
      </c>
      <c r="W635" s="76"/>
      <c r="X635" s="8">
        <v>3</v>
      </c>
      <c r="Y635" s="8" t="s">
        <v>34</v>
      </c>
      <c r="Z635" s="8">
        <f t="shared" ref="Z635:AI635" si="1768">SUM(D631)</f>
        <v>40</v>
      </c>
      <c r="AA635" s="9">
        <f t="shared" ca="1" si="1768"/>
        <v>40</v>
      </c>
      <c r="AB635" s="10">
        <f t="shared" ca="1" si="1768"/>
        <v>7752.201</v>
      </c>
      <c r="AC635" s="9">
        <f t="shared" ca="1" si="1768"/>
        <v>2810</v>
      </c>
      <c r="AD635" s="9">
        <f t="shared" ca="1" si="1768"/>
        <v>0</v>
      </c>
      <c r="AE635" s="9">
        <f t="shared" ca="1" si="1768"/>
        <v>2810</v>
      </c>
      <c r="AF635" s="9">
        <f t="shared" ca="1" si="1768"/>
        <v>3596</v>
      </c>
      <c r="AG635" s="9">
        <f t="shared" ca="1" si="1768"/>
        <v>0</v>
      </c>
      <c r="AH635" s="9">
        <f t="shared" ca="1" si="1768"/>
        <v>3596</v>
      </c>
      <c r="AI635" s="9">
        <f t="shared" ca="1" si="1768"/>
        <v>6406</v>
      </c>
      <c r="AJ635" s="11">
        <f t="shared" ca="1" si="1757"/>
        <v>193.805025</v>
      </c>
      <c r="AK635" s="8">
        <f>SUM(O631)</f>
        <v>9354</v>
      </c>
      <c r="AL635" s="12">
        <f t="shared" ca="1" si="1759"/>
        <v>0.68484070985674572</v>
      </c>
      <c r="AM635" s="13">
        <f>SUM(Q631)</f>
        <v>1.5</v>
      </c>
      <c r="AN635" s="12">
        <f t="shared" ca="1" si="1761"/>
        <v>0.55089730860521635</v>
      </c>
      <c r="AO635" s="14">
        <f t="shared" ca="1" si="1762"/>
        <v>0.82634596290782447</v>
      </c>
      <c r="AP635" s="13">
        <f t="shared" ref="AP635:AQ635" ca="1" si="1769">SUM(T631)</f>
        <v>252.4078077686973</v>
      </c>
      <c r="AQ635" s="13">
        <f t="shared" ca="1" si="1769"/>
        <v>6.3101951942174326</v>
      </c>
      <c r="AR635" s="9">
        <f t="shared" ca="1" si="1764"/>
        <v>160.15</v>
      </c>
      <c r="AS635" s="76"/>
      <c r="AT635" s="76"/>
    </row>
    <row r="636" spans="1:46" ht="15.75" customHeight="1" x14ac:dyDescent="0.25">
      <c r="A636" s="70"/>
      <c r="B636" s="16">
        <v>10</v>
      </c>
      <c r="C636" s="16" t="s">
        <v>37</v>
      </c>
      <c r="D636" s="44">
        <v>30</v>
      </c>
      <c r="E636" s="18">
        <f ca="1">IFERROR(__xludf.DUMMYFUNCTION("COUNT(IMPORTRANGE(""https://docs.google.com/spreadsheets/d/1rJyYfywRpWJW0zvDJHLOJtqUQqffoCGaqTVxxTDgV0k/edit"",""24!d2:d31""))"),27)</f>
        <v>27</v>
      </c>
      <c r="F636" s="23">
        <f ca="1">IFERROR(__xludf.DUMMYFUNCTION("SUM(IMPORTRANGE(""https://docs.google.com/spreadsheets/d/1rJyYfywRpWJW0zvDJHLOJtqUQqffoCGaqTVxxTDgV0k/edit"",""24!Q2:Q31""))"),5217.18)</f>
        <v>5217.18</v>
      </c>
      <c r="G636" s="18">
        <f ca="1">IFERROR(__xludf.DUMMYFUNCTION("(IMPORTRANGE(""https://docs.google.com/spreadsheets/d/1rJyYfywRpWJW0zvDJHLOJtqUQqffoCGaqTVxxTDgV0k/edit"",""24!e38""))"),1912)</f>
        <v>1912</v>
      </c>
      <c r="H636" s="18">
        <f ca="1">IFERROR(__xludf.DUMMYFUNCTION("(IMPORTRANGE(""https://docs.google.com/spreadsheets/d/1rJyYfywRpWJW0zvDJHLOJtqUQqffoCGaqTVxxTDgV0k/edit"",""24!e39""))"),0)</f>
        <v>0</v>
      </c>
      <c r="I636" s="18">
        <f t="shared" ca="1" si="1737"/>
        <v>1912</v>
      </c>
      <c r="J636" s="18">
        <f ca="1">IFERROR(__xludf.DUMMYFUNCTION("(IMPORTRANGE(""https://docs.google.com/spreadsheets/d/1rJyYfywRpWJW0zvDJHLOJtqUQqffoCGaqTVxxTDgV0k/edit"",""24!e42""))"),3174)</f>
        <v>3174</v>
      </c>
      <c r="K636" s="18">
        <f ca="1">IFERROR(__xludf.DUMMYFUNCTION("(IMPORTRANGE(""https://docs.google.com/spreadsheets/d/1rJyYfywRpWJW0zvDJHLOJtqUQqffoCGaqTVxxTDgV0k/edit"",""24!e43""))"),0)</f>
        <v>0</v>
      </c>
      <c r="L636" s="18">
        <f t="shared" ca="1" si="1767"/>
        <v>3174</v>
      </c>
      <c r="M636" s="18">
        <f t="shared" ca="1" si="1739"/>
        <v>5086</v>
      </c>
      <c r="N636" s="19">
        <f t="shared" ca="1" si="1740"/>
        <v>193.22888888888889</v>
      </c>
      <c r="O636" s="16">
        <v>5887</v>
      </c>
      <c r="P636" s="20">
        <f t="shared" ca="1" si="1741"/>
        <v>0.8639374893833871</v>
      </c>
      <c r="Q636" s="21">
        <v>1.5</v>
      </c>
      <c r="R636" s="20">
        <f t="shared" ca="1" si="1742"/>
        <v>0.64990409889378287</v>
      </c>
      <c r="S636" s="22">
        <f t="shared" ca="1" si="1743"/>
        <v>0.97485614834067436</v>
      </c>
      <c r="T636" s="21">
        <f ca="1">F636/24.792</f>
        <v>210.4380445304937</v>
      </c>
      <c r="U636" s="21">
        <f t="shared" ca="1" si="1744"/>
        <v>7.7940016492775444</v>
      </c>
      <c r="V636" s="18">
        <f t="shared" ca="1" si="1745"/>
        <v>188.37037037037038</v>
      </c>
      <c r="W636" s="76"/>
      <c r="X636" s="8">
        <v>4</v>
      </c>
      <c r="Y636" s="8" t="s">
        <v>38</v>
      </c>
      <c r="Z636" s="8">
        <f t="shared" ref="Z636:AI636" si="1770">SUM(D639)</f>
        <v>30</v>
      </c>
      <c r="AA636" s="9">
        <f t="shared" ca="1" si="1770"/>
        <v>29</v>
      </c>
      <c r="AB636" s="10">
        <f t="shared" ca="1" si="1770"/>
        <v>6120.4889999999896</v>
      </c>
      <c r="AC636" s="9">
        <f t="shared" ca="1" si="1770"/>
        <v>2371</v>
      </c>
      <c r="AD636" s="9">
        <f t="shared" ca="1" si="1770"/>
        <v>0</v>
      </c>
      <c r="AE636" s="9">
        <f t="shared" ca="1" si="1770"/>
        <v>2371</v>
      </c>
      <c r="AF636" s="9">
        <f t="shared" ca="1" si="1770"/>
        <v>2856</v>
      </c>
      <c r="AG636" s="9">
        <f t="shared" ca="1" si="1770"/>
        <v>336</v>
      </c>
      <c r="AH636" s="9">
        <f t="shared" ca="1" si="1770"/>
        <v>3192</v>
      </c>
      <c r="AI636" s="9">
        <f t="shared" ca="1" si="1770"/>
        <v>5563</v>
      </c>
      <c r="AJ636" s="11">
        <f t="shared" ca="1" si="1757"/>
        <v>211.05134482758584</v>
      </c>
      <c r="AK636" s="8">
        <v>7324</v>
      </c>
      <c r="AL636" s="12">
        <f t="shared" ca="1" si="1759"/>
        <v>0.75955761878754779</v>
      </c>
      <c r="AM636" s="13">
        <f>SUM(Q639)</f>
        <v>1.5</v>
      </c>
      <c r="AN636" s="12">
        <f t="shared" ca="1" si="1761"/>
        <v>0.60594286937966446</v>
      </c>
      <c r="AO636" s="14">
        <f t="shared" ca="1" si="1762"/>
        <v>0.90891430406949669</v>
      </c>
      <c r="AP636" s="13">
        <f t="shared" ref="AP636:AQ636" ca="1" si="1771">SUM(T639)</f>
        <v>148.53753185293021</v>
      </c>
      <c r="AQ636" s="13">
        <f t="shared" ca="1" si="1771"/>
        <v>5.121983856997594</v>
      </c>
      <c r="AR636" s="9">
        <f t="shared" ca="1" si="1764"/>
        <v>191.82758620689654</v>
      </c>
      <c r="AS636" s="76"/>
      <c r="AT636" s="76"/>
    </row>
    <row r="637" spans="1:46" ht="15.75" customHeight="1" x14ac:dyDescent="0.25">
      <c r="A637" s="70"/>
      <c r="B637" s="16">
        <v>12</v>
      </c>
      <c r="C637" s="16" t="s">
        <v>39</v>
      </c>
      <c r="D637" s="44">
        <v>28</v>
      </c>
      <c r="E637" s="18">
        <f ca="1">IFERROR(__xludf.DUMMYFUNCTION("COUNT(IMPORTRANGE(""https://docs.google.com/spreadsheets/d/1uaTn2DZCfr7O1PvovOd0wElzVz8kpl_iPfnrkNPp0Is/edit"",""24!d2:d29""))"),27)</f>
        <v>27</v>
      </c>
      <c r="F637" s="23">
        <f ca="1">IFERROR(__xludf.DUMMYFUNCTION("SUM(IMPORTRANGE(""https://docs.google.com/spreadsheets/d/1uaTn2DZCfr7O1PvovOd0wElzVz8kpl_iPfnrkNPp0Is/edit"",""24!Q2:Q29""))"),5072.544)</f>
        <v>5072.5439999999999</v>
      </c>
      <c r="G637" s="18">
        <f ca="1">IFERROR(__xludf.DUMMYFUNCTION("IMPORTRANGE(""https://docs.google.com/spreadsheets/d/1uaTn2DZCfr7O1PvovOd0wElzVz8kpl_iPfnrkNPp0Is/edit"",""24!e36"")"),1200)</f>
        <v>1200</v>
      </c>
      <c r="H637" s="18">
        <f ca="1">IFERROR(__xludf.DUMMYFUNCTION("(IMPORTRANGE(""https://docs.google.com/spreadsheets/d/1uaTn2DZCfr7O1PvovOd0wElzVz8kpl_iPfnrkNPp0Is/edit"",""24!e37""))"),0)</f>
        <v>0</v>
      </c>
      <c r="I637" s="18">
        <f t="shared" ca="1" si="1737"/>
        <v>1200</v>
      </c>
      <c r="J637" s="18">
        <f ca="1">IFERROR(__xludf.DUMMYFUNCTION("IMPORTRANGE(""https://docs.google.com/spreadsheets/d/1uaTn2DZCfr7O1PvovOd0wElzVz8kpl_iPfnrkNPp0Is/edit"",""24!e40"")"),1830)</f>
        <v>1830</v>
      </c>
      <c r="K637" s="18">
        <f ca="1">IFERROR(__xludf.DUMMYFUNCTION("IMPORTRANGE(""https://docs.google.com/spreadsheets/d/1uaTn2DZCfr7O1PvovOd0wElzVz8kpl_iPfnrkNPp0Is/edit"",""24!e41"")"),0)</f>
        <v>0</v>
      </c>
      <c r="L637" s="18">
        <f t="shared" ca="1" si="1767"/>
        <v>1830</v>
      </c>
      <c r="M637" s="18">
        <f t="shared" ca="1" si="1739"/>
        <v>3030</v>
      </c>
      <c r="N637" s="19">
        <f t="shared" ca="1" si="1740"/>
        <v>187.87199999999999</v>
      </c>
      <c r="O637" s="16">
        <v>3569</v>
      </c>
      <c r="P637" s="20">
        <f t="shared" ca="1" si="1741"/>
        <v>0.84897730456710563</v>
      </c>
      <c r="Q637" s="21">
        <v>1.5</v>
      </c>
      <c r="R637" s="20">
        <f t="shared" ca="1" si="1742"/>
        <v>0.39822227268999538</v>
      </c>
      <c r="S637" s="22">
        <f t="shared" ca="1" si="1743"/>
        <v>0.5973334090349931</v>
      </c>
      <c r="T637" s="21">
        <f ca="1">F637/21.463</f>
        <v>236.33900200344777</v>
      </c>
      <c r="U637" s="21">
        <f t="shared" ca="1" si="1744"/>
        <v>8.7532963704980649</v>
      </c>
      <c r="V637" s="18">
        <f t="shared" ca="1" si="1745"/>
        <v>112.22222222222223</v>
      </c>
      <c r="W637" s="76"/>
      <c r="X637" s="8">
        <v>5</v>
      </c>
      <c r="Y637" s="8" t="s">
        <v>40</v>
      </c>
      <c r="Z637" s="8">
        <f t="shared" ref="Z637:AI637" si="1772">SUM(D641)</f>
        <v>30</v>
      </c>
      <c r="AA637" s="9">
        <f t="shared" ca="1" si="1772"/>
        <v>30</v>
      </c>
      <c r="AB637" s="10">
        <f t="shared" ca="1" si="1772"/>
        <v>5944.5869999999904</v>
      </c>
      <c r="AC637" s="9">
        <f t="shared" ca="1" si="1772"/>
        <v>3685</v>
      </c>
      <c r="AD637" s="9">
        <f t="shared" ca="1" si="1772"/>
        <v>9</v>
      </c>
      <c r="AE637" s="9">
        <f t="shared" ca="1" si="1772"/>
        <v>3694</v>
      </c>
      <c r="AF637" s="9">
        <f t="shared" ca="1" si="1772"/>
        <v>3969</v>
      </c>
      <c r="AG637" s="9">
        <f t="shared" ca="1" si="1772"/>
        <v>0</v>
      </c>
      <c r="AH637" s="9">
        <f t="shared" ca="1" si="1772"/>
        <v>3969</v>
      </c>
      <c r="AI637" s="9">
        <f t="shared" ca="1" si="1772"/>
        <v>7663</v>
      </c>
      <c r="AJ637" s="11">
        <f t="shared" ca="1" si="1757"/>
        <v>198.15289999999968</v>
      </c>
      <c r="AK637" s="8">
        <f t="shared" ref="AK637:AK638" si="1773">SUM(O641)</f>
        <v>8239</v>
      </c>
      <c r="AL637" s="12">
        <f t="shared" ca="1" si="1759"/>
        <v>0.93008860298579921</v>
      </c>
      <c r="AM637" s="13">
        <f t="shared" ref="AM637:AM638" si="1774">SUM(Q641)</f>
        <v>1.5</v>
      </c>
      <c r="AN637" s="12">
        <f t="shared" ca="1" si="1761"/>
        <v>0.85938126007183924</v>
      </c>
      <c r="AO637" s="14">
        <f t="shared" ca="1" si="1762"/>
        <v>1.2890718901077589</v>
      </c>
      <c r="AP637" s="13">
        <f t="shared" ref="AP637:AQ637" ca="1" si="1775">SUM(T641)</f>
        <v>208.99999999999966</v>
      </c>
      <c r="AQ637" s="13">
        <f t="shared" ca="1" si="1775"/>
        <v>6.9666666666666552</v>
      </c>
      <c r="AR637" s="9">
        <f t="shared" ca="1" si="1764"/>
        <v>255.43333333333334</v>
      </c>
      <c r="AS637" s="76"/>
      <c r="AT637" s="76"/>
    </row>
    <row r="638" spans="1:46" ht="15.75" customHeight="1" x14ac:dyDescent="0.25">
      <c r="A638" s="70"/>
      <c r="B638" s="16">
        <v>12</v>
      </c>
      <c r="C638" s="16" t="s">
        <v>41</v>
      </c>
      <c r="D638" s="44">
        <v>24</v>
      </c>
      <c r="E638" s="18">
        <f ca="1">IFERROR(__xludf.DUMMYFUNCTION("COUNT(IMPORTRANGE(""https://docs.google.com/spreadsheets/d/1oYscvfOJW7GMkxt8QcupWuzb3ohaYePd3Mt2V2ufHok/edit"",""24!d2:d25""))"),24)</f>
        <v>24</v>
      </c>
      <c r="F638" s="23">
        <f ca="1">IFERROR(__xludf.DUMMYFUNCTION("SUM(IMPORTRANGE(""https://docs.google.com/spreadsheets/d/1oYscvfOJW7GMkxt8QcupWuzb3ohaYePd3Mt2V2ufHok/edit"",""24!Q2:Q25""))"),4793.152)</f>
        <v>4793.152</v>
      </c>
      <c r="G638" s="18">
        <f ca="1">IFERROR(__xludf.DUMMYFUNCTION("IMPORTRANGE(""https://docs.google.com/spreadsheets/d/1oYscvfOJW7GMkxt8QcupWuzb3ohaYePd3Mt2V2ufHok/edit"",""24!e32"")"),1278)</f>
        <v>1278</v>
      </c>
      <c r="H638" s="18">
        <f ca="1">IFERROR(__xludf.DUMMYFUNCTION("IMPORTRANGE(""https://docs.google.com/spreadsheets/d/1oYscvfOJW7GMkxt8QcupWuzb3ohaYePd3Mt2V2ufHok/edit"",""24!e33"")"),0)</f>
        <v>0</v>
      </c>
      <c r="I638" s="18">
        <f t="shared" ca="1" si="1737"/>
        <v>1278</v>
      </c>
      <c r="J638" s="18">
        <f ca="1">IFERROR(__xludf.DUMMYFUNCTION("IMPORTRANGE(""https://docs.google.com/spreadsheets/d/1oYscvfOJW7GMkxt8QcupWuzb3ohaYePd3Mt2V2ufHok/edit"",""24!e36"")"),1905)</f>
        <v>1905</v>
      </c>
      <c r="K638" s="18">
        <f ca="1">IFERROR(__xludf.DUMMYFUNCTION("IMPORTRANGE(""https://docs.google.com/spreadsheets/d/1oYscvfOJW7GMkxt8QcupWuzb3ohaYePd3Mt2V2ufHok/edit"",""24!e37"")"),0)</f>
        <v>0</v>
      </c>
      <c r="L638" s="18">
        <f t="shared" ca="1" si="1767"/>
        <v>1905</v>
      </c>
      <c r="M638" s="18">
        <f t="shared" ca="1" si="1739"/>
        <v>3183</v>
      </c>
      <c r="N638" s="19">
        <f t="shared" ca="1" si="1740"/>
        <v>199.71466666666666</v>
      </c>
      <c r="O638" s="16">
        <v>3801</v>
      </c>
      <c r="P638" s="20">
        <f t="shared" ca="1" si="1741"/>
        <v>0.83741120757695342</v>
      </c>
      <c r="Q638" s="21">
        <v>1.5</v>
      </c>
      <c r="R638" s="20">
        <f t="shared" ca="1" si="1742"/>
        <v>0.44271493998103967</v>
      </c>
      <c r="S638" s="22">
        <f t="shared" ca="1" si="1743"/>
        <v>0.66407240997155947</v>
      </c>
      <c r="T638" s="21">
        <f ca="1">F638/29.628</f>
        <v>161.77777777777777</v>
      </c>
      <c r="U638" s="21">
        <f t="shared" ca="1" si="1744"/>
        <v>6.7407407407407405</v>
      </c>
      <c r="V638" s="18">
        <f t="shared" ca="1" si="1745"/>
        <v>132.625</v>
      </c>
      <c r="W638" s="76"/>
      <c r="X638" s="8">
        <v>6</v>
      </c>
      <c r="Y638" s="8" t="s">
        <v>42</v>
      </c>
      <c r="Z638" s="8">
        <f t="shared" ref="Z638:AI638" si="1776">SUM(D642)</f>
        <v>33</v>
      </c>
      <c r="AA638" s="9">
        <f t="shared" ca="1" si="1776"/>
        <v>32</v>
      </c>
      <c r="AB638" s="10">
        <f t="shared" ca="1" si="1776"/>
        <v>6215.6589999999896</v>
      </c>
      <c r="AC638" s="9">
        <f t="shared" ca="1" si="1776"/>
        <v>3053</v>
      </c>
      <c r="AD638" s="9">
        <f t="shared" ca="1" si="1776"/>
        <v>46</v>
      </c>
      <c r="AE638" s="9">
        <f t="shared" ca="1" si="1776"/>
        <v>3099</v>
      </c>
      <c r="AF638" s="9">
        <f t="shared" ca="1" si="1776"/>
        <v>4574</v>
      </c>
      <c r="AG638" s="9">
        <f t="shared" ca="1" si="1776"/>
        <v>150</v>
      </c>
      <c r="AH638" s="9">
        <f t="shared" ca="1" si="1776"/>
        <v>4724</v>
      </c>
      <c r="AI638" s="9">
        <f t="shared" ca="1" si="1776"/>
        <v>7823</v>
      </c>
      <c r="AJ638" s="11">
        <f t="shared" ca="1" si="1757"/>
        <v>194.23934374999968</v>
      </c>
      <c r="AK638" s="8">
        <f t="shared" si="1773"/>
        <v>9877</v>
      </c>
      <c r="AL638" s="12">
        <f t="shared" ca="1" si="1759"/>
        <v>0.79204211805204006</v>
      </c>
      <c r="AM638" s="13">
        <f t="shared" si="1774"/>
        <v>1.5</v>
      </c>
      <c r="AN638" s="12">
        <f t="shared" ca="1" si="1761"/>
        <v>0.83906361873026525</v>
      </c>
      <c r="AO638" s="14">
        <f t="shared" ca="1" si="1762"/>
        <v>1.2585954280953979</v>
      </c>
      <c r="AP638" s="13">
        <f t="shared" ref="AP638:AQ638" ca="1" si="1777">SUM(T642)</f>
        <v>237.64706557063619</v>
      </c>
      <c r="AQ638" s="13">
        <f t="shared" ca="1" si="1777"/>
        <v>7.4264707990823808</v>
      </c>
      <c r="AR638" s="9">
        <f t="shared" ca="1" si="1764"/>
        <v>244.46875</v>
      </c>
      <c r="AS638" s="76"/>
      <c r="AT638" s="76"/>
    </row>
    <row r="639" spans="1:46" ht="15.75" customHeight="1" x14ac:dyDescent="0.25">
      <c r="A639" s="70"/>
      <c r="B639" s="16">
        <v>13</v>
      </c>
      <c r="C639" s="16" t="s">
        <v>43</v>
      </c>
      <c r="D639" s="44">
        <v>30</v>
      </c>
      <c r="E639" s="18">
        <f ca="1">IFERROR(__xludf.DUMMYFUNCTION("COUNT(IMPORTRANGE(""https://docs.google.com/spreadsheets/d/1AxBmuQEdOYAeRnZ4C8vO6kuTNp7X_SGhpLXuY0n4ln4/edit"",""24!d2:d31""))"),29)</f>
        <v>29</v>
      </c>
      <c r="F639" s="23">
        <f ca="1">IFERROR(__xludf.DUMMYFUNCTION("SUM(IMPORTRANGE(""https://docs.google.com/spreadsheets/d/1AxBmuQEdOYAeRnZ4C8vO6kuTNp7X_SGhpLXuY0n4ln4/edit"",""24!Q2:Q31""))"),6120.48899999999)</f>
        <v>6120.4889999999896</v>
      </c>
      <c r="G639" s="18">
        <f ca="1">IFERROR(__xludf.DUMMYFUNCTION("IMPORTRANGE(""https://docs.google.com/spreadsheets/d/1AxBmuQEdOYAeRnZ4C8vO6kuTNp7X_SGhpLXuY0n4ln4/edit"",""24!e38"")"),2371)</f>
        <v>2371</v>
      </c>
      <c r="H639" s="18">
        <f ca="1">IFERROR(__xludf.DUMMYFUNCTION("IMPORTRANGE(""https://docs.google.com/spreadsheets/d/1AxBmuQEdOYAeRnZ4C8vO6kuTNp7X_SGhpLXuY0n4ln4/edit"",""24!e39"")"),0)</f>
        <v>0</v>
      </c>
      <c r="I639" s="18">
        <f t="shared" ca="1" si="1737"/>
        <v>2371</v>
      </c>
      <c r="J639" s="18">
        <f ca="1">IFERROR(__xludf.DUMMYFUNCTION("IMPORTRANGE(""https://docs.google.com/spreadsheets/d/1AxBmuQEdOYAeRnZ4C8vO6kuTNp7X_SGhpLXuY0n4ln4/edit"",""24!e42"")"),2856)</f>
        <v>2856</v>
      </c>
      <c r="K639" s="18">
        <f ca="1">IFERROR(__xludf.DUMMYFUNCTION("IMPORTRANGE(""https://docs.google.com/spreadsheets/d/1AxBmuQEdOYAeRnZ4C8vO6kuTNp7X_SGhpLXuY0n4ln4/edit"",""24!e43"")"),336)</f>
        <v>336</v>
      </c>
      <c r="L639" s="18">
        <f t="shared" ca="1" si="1767"/>
        <v>3192</v>
      </c>
      <c r="M639" s="18">
        <f t="shared" ca="1" si="1739"/>
        <v>5563</v>
      </c>
      <c r="N639" s="19">
        <f t="shared" ca="1" si="1740"/>
        <v>211.05134482758584</v>
      </c>
      <c r="O639" s="16">
        <v>8345</v>
      </c>
      <c r="P639" s="20">
        <f t="shared" ca="1" si="1741"/>
        <v>0.6666267225883763</v>
      </c>
      <c r="Q639" s="21">
        <v>1.5</v>
      </c>
      <c r="R639" s="20">
        <f t="shared" ca="1" si="1742"/>
        <v>0.60594286937966446</v>
      </c>
      <c r="S639" s="22">
        <f t="shared" ca="1" si="1743"/>
        <v>0.90891430406949669</v>
      </c>
      <c r="T639" s="21">
        <f ca="1">F639/41.205</f>
        <v>148.53753185293021</v>
      </c>
      <c r="U639" s="21">
        <f t="shared" ca="1" si="1744"/>
        <v>5.121983856997594</v>
      </c>
      <c r="V639" s="18">
        <f t="shared" ca="1" si="1745"/>
        <v>191.82758620689654</v>
      </c>
      <c r="W639" s="76"/>
      <c r="X639" s="24" t="s">
        <v>33</v>
      </c>
      <c r="Y639" s="24">
        <v>6</v>
      </c>
      <c r="Z639" s="24">
        <f t="shared" ref="Z639:AI639" si="1778">SUM(Z633:Z638)</f>
        <v>226</v>
      </c>
      <c r="AA639" s="25">
        <f t="shared" ca="1" si="1778"/>
        <v>222</v>
      </c>
      <c r="AB639" s="27">
        <f t="shared" ca="1" si="1778"/>
        <v>44198.335999999872</v>
      </c>
      <c r="AC639" s="25">
        <f t="shared" ca="1" si="1778"/>
        <v>18181</v>
      </c>
      <c r="AD639" s="25">
        <f t="shared" ca="1" si="1778"/>
        <v>328</v>
      </c>
      <c r="AE639" s="25">
        <f t="shared" ca="1" si="1778"/>
        <v>18509</v>
      </c>
      <c r="AF639" s="25">
        <f t="shared" ca="1" si="1778"/>
        <v>23161</v>
      </c>
      <c r="AG639" s="25">
        <f t="shared" ca="1" si="1778"/>
        <v>651</v>
      </c>
      <c r="AH639" s="25">
        <f t="shared" ca="1" si="1778"/>
        <v>23812</v>
      </c>
      <c r="AI639" s="25">
        <f t="shared" ca="1" si="1778"/>
        <v>42321</v>
      </c>
      <c r="AJ639" s="27">
        <f t="shared" ca="1" si="1757"/>
        <v>199.09160360360303</v>
      </c>
      <c r="AK639" s="24">
        <f>SUM(AK633:AK638)</f>
        <v>53273</v>
      </c>
      <c r="AL639" s="28">
        <f t="shared" ca="1" si="1759"/>
        <v>0.79441743472303039</v>
      </c>
      <c r="AM639" s="29">
        <v>1.5</v>
      </c>
      <c r="AN639" s="28">
        <f t="shared" ca="1" si="1761"/>
        <v>0.63834982384857386</v>
      </c>
      <c r="AO639" s="30">
        <f t="shared" ca="1" si="1762"/>
        <v>0.95752473577286079</v>
      </c>
      <c r="AP639" s="29">
        <f ca="1">SUM(AP633:AP638)</f>
        <v>1451.9020145394456</v>
      </c>
      <c r="AQ639" s="29">
        <f ca="1">AP639/AA639</f>
        <v>6.5400991645920978</v>
      </c>
      <c r="AR639" s="25">
        <f t="shared" ca="1" si="1764"/>
        <v>190.63513513513513</v>
      </c>
      <c r="AS639" s="76"/>
      <c r="AT639" s="76"/>
    </row>
    <row r="640" spans="1:46" ht="15.75" customHeight="1" x14ac:dyDescent="0.25">
      <c r="A640" s="70"/>
      <c r="B640" s="16">
        <v>14</v>
      </c>
      <c r="C640" s="16" t="s">
        <v>27</v>
      </c>
      <c r="D640" s="44">
        <v>30</v>
      </c>
      <c r="E640" s="18">
        <f ca="1">IFERROR(__xludf.DUMMYFUNCTION("COUNT(IMPORTRANGE(""https://docs.google.com/spreadsheets/d/1LsL4JuXvBtfJ-TVi4NFml9lV_pmd61b789A_nbO-QrA/edit"",""24!d2:d31""))"),30)</f>
        <v>30</v>
      </c>
      <c r="F640" s="23">
        <f ca="1">IFERROR(__xludf.DUMMYFUNCTION("SUM(IMPORTRANGE(""https://docs.google.com/spreadsheets/d/1LsL4JuXvBtfJ-TVi4NFml9lV_pmd61b789A_nbO-QrA/edit"",""24!Q2:Q31""))"),5305.88)</f>
        <v>5305.88</v>
      </c>
      <c r="G640" s="18">
        <f ca="1">IFERROR(__xludf.DUMMYFUNCTION("IMPORTRANGE(""https://docs.google.com/spreadsheets/d/1LsL4JuXvBtfJ-TVi4NFml9lV_pmd61b789A_nbO-QrA/edit"",""24!e38"")"),2435)</f>
        <v>2435</v>
      </c>
      <c r="H640" s="18">
        <f ca="1">IFERROR(__xludf.DUMMYFUNCTION("IMPORTRANGE(""https://docs.google.com/spreadsheets/d/1LsL4JuXvBtfJ-TVi4NFml9lV_pmd61b789A_nbO-QrA/edit"",""24!e39"")"),98)</f>
        <v>98</v>
      </c>
      <c r="I640" s="18">
        <f t="shared" ca="1" si="1737"/>
        <v>2533</v>
      </c>
      <c r="J640" s="18">
        <f ca="1">IFERROR(__xludf.DUMMYFUNCTION("IMPORTRANGE(""https://docs.google.com/spreadsheets/d/1LsL4JuXvBtfJ-TVi4NFml9lV_pmd61b789A_nbO-QrA/edit"",""24!e42"")"),3007)</f>
        <v>3007</v>
      </c>
      <c r="K640" s="18">
        <f ca="1">IFERROR(__xludf.DUMMYFUNCTION("IMPORTRANGE(""https://docs.google.com/spreadsheets/d/1LsL4JuXvBtfJ-TVi4NFml9lV_pmd61b789A_nbO-QrA/edit"",""24!e43"")"),0)</f>
        <v>0</v>
      </c>
      <c r="L640" s="18">
        <f t="shared" ca="1" si="1767"/>
        <v>3007</v>
      </c>
      <c r="M640" s="18">
        <f t="shared" ca="1" si="1739"/>
        <v>5540</v>
      </c>
      <c r="N640" s="19">
        <f t="shared" ca="1" si="1740"/>
        <v>176.86266666666668</v>
      </c>
      <c r="O640" s="16">
        <v>8101</v>
      </c>
      <c r="P640" s="20">
        <f t="shared" ca="1" si="1741"/>
        <v>0.68386618935933841</v>
      </c>
      <c r="Q640" s="21">
        <v>1.5</v>
      </c>
      <c r="R640" s="20">
        <f t="shared" ca="1" si="1742"/>
        <v>0.69608308769390437</v>
      </c>
      <c r="S640" s="22">
        <f t="shared" ca="1" si="1743"/>
        <v>1.0441246315408566</v>
      </c>
      <c r="T640" s="21">
        <f ca="1">F640/19.985</f>
        <v>265.49311983987991</v>
      </c>
      <c r="U640" s="21">
        <f t="shared" ca="1" si="1744"/>
        <v>8.8497706613293303</v>
      </c>
      <c r="V640" s="18">
        <f t="shared" ca="1" si="1745"/>
        <v>184.66666666666666</v>
      </c>
      <c r="W640" s="76"/>
      <c r="X640" s="97" t="s">
        <v>44</v>
      </c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9"/>
      <c r="AS640" s="76"/>
      <c r="AT640" s="76"/>
    </row>
    <row r="641" spans="1:46" ht="15.75" customHeight="1" x14ac:dyDescent="0.25">
      <c r="A641" s="70"/>
      <c r="B641" s="16">
        <v>15</v>
      </c>
      <c r="C641" s="16" t="s">
        <v>40</v>
      </c>
      <c r="D641" s="44">
        <v>30</v>
      </c>
      <c r="E641" s="18">
        <f ca="1">IFERROR(__xludf.DUMMYFUNCTION("COUNT(IMPORTRANGE(""https://docs.google.com/spreadsheets/d/1Krav0MVlY0vbUNsFRDnb_kR72_tyuGnWBYbGjNZrl18/edit"",""24!d2:d31""))"),30)</f>
        <v>30</v>
      </c>
      <c r="F641" s="23">
        <f ca="1">IFERROR(__xludf.DUMMYFUNCTION("SUM(IMPORTRANGE(""https://docs.google.com/spreadsheets/d/1Krav0MVlY0vbUNsFRDnb_kR72_tyuGnWBYbGjNZrl18/edit"",""24!Q2:Q31""))"),5944.58699999999)</f>
        <v>5944.5869999999904</v>
      </c>
      <c r="G641" s="18">
        <f ca="1">IFERROR(__xludf.DUMMYFUNCTION("IMPORTRANGE(""https://docs.google.com/spreadsheets/d/1Krav0MVlY0vbUNsFRDnb_kR72_tyuGnWBYbGjNZrl18/edit"",""24!e38"")"),3685)</f>
        <v>3685</v>
      </c>
      <c r="H641" s="18">
        <f ca="1">IFERROR(__xludf.DUMMYFUNCTION("IMPORTRANGE(""https://docs.google.com/spreadsheets/d/1Krav0MVlY0vbUNsFRDnb_kR72_tyuGnWBYbGjNZrl18/edit"",""24!e39"")"),9)</f>
        <v>9</v>
      </c>
      <c r="I641" s="18">
        <f t="shared" ca="1" si="1737"/>
        <v>3694</v>
      </c>
      <c r="J641" s="18">
        <f ca="1">IFERROR(__xludf.DUMMYFUNCTION("IMPORTRANGE(""https://docs.google.com/spreadsheets/d/1Krav0MVlY0vbUNsFRDnb_kR72_tyuGnWBYbGjNZrl18/edit"",""24!e42"")"),3969)</f>
        <v>3969</v>
      </c>
      <c r="K641" s="18">
        <f ca="1">IFERROR(__xludf.DUMMYFUNCTION("IMPORTRANGE(""https://docs.google.com/spreadsheets/d/1Krav0MVlY0vbUNsFRDnb_kR72_tyuGnWBYbGjNZrl18/edit"",""24!e43"")"),0)</f>
        <v>0</v>
      </c>
      <c r="L641" s="18">
        <f t="shared" ca="1" si="1767"/>
        <v>3969</v>
      </c>
      <c r="M641" s="18">
        <f t="shared" ca="1" si="1739"/>
        <v>7663</v>
      </c>
      <c r="N641" s="19">
        <f t="shared" ca="1" si="1740"/>
        <v>198.15289999999968</v>
      </c>
      <c r="O641" s="16">
        <v>8239</v>
      </c>
      <c r="P641" s="20">
        <f t="shared" ca="1" si="1741"/>
        <v>0.93008860298579921</v>
      </c>
      <c r="Q641" s="21">
        <v>1.5</v>
      </c>
      <c r="R641" s="20">
        <f t="shared" ca="1" si="1742"/>
        <v>0.85938126007183924</v>
      </c>
      <c r="S641" s="22">
        <f t="shared" ca="1" si="1743"/>
        <v>1.2890718901077589</v>
      </c>
      <c r="T641" s="21">
        <f ca="1">F641/28.443</f>
        <v>208.99999999999966</v>
      </c>
      <c r="U641" s="21">
        <f t="shared" ca="1" si="1744"/>
        <v>6.9666666666666552</v>
      </c>
      <c r="V641" s="18">
        <f t="shared" ca="1" si="1745"/>
        <v>255.43333333333334</v>
      </c>
      <c r="W641" s="76"/>
      <c r="X641" s="1" t="s">
        <v>2</v>
      </c>
      <c r="Y641" s="1" t="s">
        <v>3</v>
      </c>
      <c r="Z641" s="1" t="s">
        <v>4</v>
      </c>
      <c r="AA641" s="1" t="s">
        <v>5</v>
      </c>
      <c r="AB641" s="2" t="s">
        <v>6</v>
      </c>
      <c r="AC641" s="1" t="s">
        <v>7</v>
      </c>
      <c r="AD641" s="1" t="s">
        <v>8</v>
      </c>
      <c r="AE641" s="1" t="s">
        <v>9</v>
      </c>
      <c r="AF641" s="1" t="s">
        <v>10</v>
      </c>
      <c r="AG641" s="1" t="s">
        <v>11</v>
      </c>
      <c r="AH641" s="1" t="s">
        <v>12</v>
      </c>
      <c r="AI641" s="1" t="s">
        <v>13</v>
      </c>
      <c r="AJ641" s="2" t="s">
        <v>14</v>
      </c>
      <c r="AK641" s="1" t="s">
        <v>15</v>
      </c>
      <c r="AL641" s="1" t="s">
        <v>16</v>
      </c>
      <c r="AM641" s="3" t="s">
        <v>17</v>
      </c>
      <c r="AN641" s="4" t="s">
        <v>18</v>
      </c>
      <c r="AO641" s="5" t="s">
        <v>19</v>
      </c>
      <c r="AP641" s="6" t="s">
        <v>20</v>
      </c>
      <c r="AQ641" s="6" t="s">
        <v>21</v>
      </c>
      <c r="AR641" s="7" t="s">
        <v>22</v>
      </c>
      <c r="AS641" s="76"/>
      <c r="AT641" s="76"/>
    </row>
    <row r="642" spans="1:46" ht="15.75" customHeight="1" x14ac:dyDescent="0.25">
      <c r="A642" s="70"/>
      <c r="B642" s="16">
        <v>16</v>
      </c>
      <c r="C642" s="16" t="s">
        <v>42</v>
      </c>
      <c r="D642" s="44">
        <v>33</v>
      </c>
      <c r="E642" s="18">
        <f ca="1">IFERROR(__xludf.DUMMYFUNCTION("COUNT(IMPORTRANGE(""https://docs.google.com/spreadsheets/d/1uXtm-E8PG0CetlFmSpTX3RK0LNEMnpR-mxbET9AGD6w/edit"",""24!d2:d34""))"),32)</f>
        <v>32</v>
      </c>
      <c r="F642" s="23">
        <f ca="1">IFERROR(__xludf.DUMMYFUNCTION("SUM(IMPORTRANGE(""https://docs.google.com/spreadsheets/d/1uXtm-E8PG0CetlFmSpTX3RK0LNEMnpR-mxbET9AGD6w/edit"",""24!Q2:Q34""))"),6215.65899999999)</f>
        <v>6215.6589999999896</v>
      </c>
      <c r="G642" s="18">
        <f ca="1">IFERROR(__xludf.DUMMYFUNCTION("IMPORTRANGE(""https://docs.google.com/spreadsheets/d/1uXtm-E8PG0CetlFmSpTX3RK0LNEMnpR-mxbET9AGD6w/edit"",""24!e41"")"),3053)</f>
        <v>3053</v>
      </c>
      <c r="H642" s="18">
        <f ca="1">IFERROR(__xludf.DUMMYFUNCTION("IMPORTRANGE(""https://docs.google.com/spreadsheets/d/1uXtm-E8PG0CetlFmSpTX3RK0LNEMnpR-mxbET9AGD6w/edit"",""24!e42"")"),46)</f>
        <v>46</v>
      </c>
      <c r="I642" s="18">
        <f t="shared" ca="1" si="1737"/>
        <v>3099</v>
      </c>
      <c r="J642" s="18">
        <f ca="1">IFERROR(__xludf.DUMMYFUNCTION("IMPORTRANGE(""https://docs.google.com/spreadsheets/d/1uXtm-E8PG0CetlFmSpTX3RK0LNEMnpR-mxbET9AGD6w/edit"",""24!e45"")"),4574)</f>
        <v>4574</v>
      </c>
      <c r="K642" s="18">
        <f ca="1">IFERROR(__xludf.DUMMYFUNCTION("IMPORTRANGE(""https://docs.google.com/spreadsheets/d/1uXtm-E8PG0CetlFmSpTX3RK0LNEMnpR-mxbET9AGD6w/edit"",""24!e46"")"),150)</f>
        <v>150</v>
      </c>
      <c r="L642" s="18">
        <f t="shared" ca="1" si="1767"/>
        <v>4724</v>
      </c>
      <c r="M642" s="18">
        <f t="shared" ca="1" si="1739"/>
        <v>7823</v>
      </c>
      <c r="N642" s="19">
        <f t="shared" ca="1" si="1740"/>
        <v>194.23934374999968</v>
      </c>
      <c r="O642" s="16">
        <v>9877</v>
      </c>
      <c r="P642" s="20">
        <f t="shared" ca="1" si="1741"/>
        <v>0.79204211805204006</v>
      </c>
      <c r="Q642" s="21">
        <v>1.5</v>
      </c>
      <c r="R642" s="20">
        <f t="shared" ca="1" si="1742"/>
        <v>0.83906361873026525</v>
      </c>
      <c r="S642" s="22">
        <f t="shared" ca="1" si="1743"/>
        <v>1.2585954280953979</v>
      </c>
      <c r="T642" s="21">
        <f ca="1">F642/26.155</f>
        <v>237.64706557063619</v>
      </c>
      <c r="U642" s="21">
        <f t="shared" ca="1" si="1744"/>
        <v>7.4264707990823808</v>
      </c>
      <c r="V642" s="18">
        <f t="shared" ca="1" si="1745"/>
        <v>244.46875</v>
      </c>
      <c r="W642" s="76"/>
      <c r="X642" s="8">
        <v>1</v>
      </c>
      <c r="Y642" s="8" t="s">
        <v>26</v>
      </c>
      <c r="Z642" s="8">
        <f t="shared" ref="Z642:AI642" si="1779">SUM(D627)</f>
        <v>20</v>
      </c>
      <c r="AA642" s="9">
        <f t="shared" ca="1" si="1779"/>
        <v>20</v>
      </c>
      <c r="AB642" s="11">
        <f t="shared" ca="1" si="1779"/>
        <v>3705.2669999999998</v>
      </c>
      <c r="AC642" s="9">
        <f t="shared" ca="1" si="1779"/>
        <v>2194</v>
      </c>
      <c r="AD642" s="9">
        <f t="shared" ca="1" si="1779"/>
        <v>47</v>
      </c>
      <c r="AE642" s="9">
        <f t="shared" ca="1" si="1779"/>
        <v>2241</v>
      </c>
      <c r="AF642" s="9">
        <f t="shared" ca="1" si="1779"/>
        <v>2798</v>
      </c>
      <c r="AG642" s="9">
        <f t="shared" ca="1" si="1779"/>
        <v>0</v>
      </c>
      <c r="AH642" s="9">
        <f t="shared" ca="1" si="1779"/>
        <v>2798</v>
      </c>
      <c r="AI642" s="9">
        <f t="shared" ca="1" si="1779"/>
        <v>5039</v>
      </c>
      <c r="AJ642" s="11">
        <f t="shared" ref="AJ642:AJ648" ca="1" si="1780">AB642/AA642</f>
        <v>185.26335</v>
      </c>
      <c r="AK642" s="8">
        <f>SUM(O627)</f>
        <v>5161</v>
      </c>
      <c r="AL642" s="12">
        <f t="shared" ref="AL642:AL648" ca="1" si="1781">AI642/AK642</f>
        <v>0.97636117031583025</v>
      </c>
      <c r="AM642" s="13">
        <f>SUM(Q627)</f>
        <v>1.5</v>
      </c>
      <c r="AN642" s="12">
        <f t="shared" ref="AN642:AN648" ca="1" si="1782">AO642/AM642</f>
        <v>0.90663731745467568</v>
      </c>
      <c r="AO642" s="14">
        <f t="shared" ref="AO642:AO648" ca="1" si="1783">AI642/AB642</f>
        <v>1.3599559761820135</v>
      </c>
      <c r="AP642" s="13">
        <f t="shared" ref="AP642:AQ642" ca="1" si="1784">SUM(T627)</f>
        <v>257.04245577523415</v>
      </c>
      <c r="AQ642" s="13">
        <f t="shared" ca="1" si="1784"/>
        <v>12.852122788761708</v>
      </c>
      <c r="AR642" s="9">
        <f t="shared" ref="AR642:AR648" ca="1" si="1785">AI642/AA642</f>
        <v>251.95</v>
      </c>
      <c r="AS642" s="76"/>
      <c r="AT642" s="76"/>
    </row>
    <row r="643" spans="1:46" ht="15.75" customHeight="1" x14ac:dyDescent="0.25">
      <c r="A643" s="70"/>
      <c r="B643" s="16">
        <v>17</v>
      </c>
      <c r="C643" s="16" t="s">
        <v>29</v>
      </c>
      <c r="D643" s="44">
        <v>30</v>
      </c>
      <c r="E643" s="18">
        <f ca="1">IFERROR(__xludf.DUMMYFUNCTION("COUNT(IMPORTRANGE(""https://docs.google.com/spreadsheets/d/12xcKI0lSnAsjEsxfm9K8Qx0B_89Gzsh816mowItkQao/edit"",""24!d2:d31""))"),30)</f>
        <v>30</v>
      </c>
      <c r="F643" s="23">
        <f ca="1">IFERROR(__xludf.DUMMYFUNCTION("SUM(IMPORTRANGE(""https://docs.google.com/spreadsheets/d/12xcKI0lSnAsjEsxfm9K8Qx0B_89Gzsh816mowItkQao/edit"",""24!Q2:Q31""))"),5676.284)</f>
        <v>5676.2839999999997</v>
      </c>
      <c r="G643" s="18">
        <f ca="1">IFERROR(__xludf.DUMMYFUNCTION("IMPORTRANGE(""https://docs.google.com/spreadsheets/d/12xcKI0lSnAsjEsxfm9K8Qx0B_89Gzsh816mowItkQao/edit"",""24!e38"")"),2891)</f>
        <v>2891</v>
      </c>
      <c r="H643" s="18">
        <f ca="1">IFERROR(__xludf.DUMMYFUNCTION("IMPORTRANGE(""https://docs.google.com/spreadsheets/d/12xcKI0lSnAsjEsxfm9K8Qx0B_89Gzsh816mowItkQao/edit"",""24!e39"")"),0)</f>
        <v>0</v>
      </c>
      <c r="I643" s="18">
        <f t="shared" ca="1" si="1737"/>
        <v>2891</v>
      </c>
      <c r="J643" s="18">
        <f ca="1">IFERROR(__xludf.DUMMYFUNCTION("IMPORTRANGE(""https://docs.google.com/spreadsheets/d/12xcKI0lSnAsjEsxfm9K8Qx0B_89Gzsh816mowItkQao/edit"",""24!e42"")"),3942)</f>
        <v>3942</v>
      </c>
      <c r="K643" s="18">
        <f ca="1">IFERROR(__xludf.DUMMYFUNCTION("IMPORTRANGE(""https://docs.google.com/spreadsheets/d/12xcKI0lSnAsjEsxfm9K8Qx0B_89Gzsh816mowItkQao/edit"",""24!e43"")"),0)</f>
        <v>0</v>
      </c>
      <c r="L643" s="18">
        <f t="shared" ca="1" si="1767"/>
        <v>3942</v>
      </c>
      <c r="M643" s="18">
        <f t="shared" ca="1" si="1739"/>
        <v>6833</v>
      </c>
      <c r="N643" s="19">
        <f t="shared" ca="1" si="1740"/>
        <v>189.20946666666666</v>
      </c>
      <c r="O643" s="16">
        <v>9201</v>
      </c>
      <c r="P643" s="20">
        <f t="shared" ca="1" si="1741"/>
        <v>0.7426366699271818</v>
      </c>
      <c r="Q643" s="21">
        <v>1.5</v>
      </c>
      <c r="R643" s="20">
        <f t="shared" ca="1" si="1742"/>
        <v>0.8025203343126126</v>
      </c>
      <c r="S643" s="22">
        <f t="shared" ca="1" si="1743"/>
        <v>1.2037805014689189</v>
      </c>
      <c r="T643" s="21">
        <f ca="1">F643/26.038</f>
        <v>217.99999999999997</v>
      </c>
      <c r="U643" s="21">
        <f t="shared" ca="1" si="1744"/>
        <v>7.2666666666666657</v>
      </c>
      <c r="V643" s="18">
        <f t="shared" ca="1" si="1745"/>
        <v>227.76666666666668</v>
      </c>
      <c r="W643" s="76"/>
      <c r="X643" s="8">
        <v>2</v>
      </c>
      <c r="Y643" s="8" t="s">
        <v>32</v>
      </c>
      <c r="Z643" s="8">
        <f t="shared" ref="Z643:AI643" si="1786">SUM(D630)</f>
        <v>42</v>
      </c>
      <c r="AA643" s="9">
        <f t="shared" ca="1" si="1786"/>
        <v>42</v>
      </c>
      <c r="AB643" s="10">
        <f t="shared" ca="1" si="1786"/>
        <v>8204.1029999999901</v>
      </c>
      <c r="AC643" s="8">
        <f t="shared" ca="1" si="1786"/>
        <v>5281</v>
      </c>
      <c r="AD643" s="8">
        <f t="shared" ca="1" si="1786"/>
        <v>0</v>
      </c>
      <c r="AE643" s="9">
        <f t="shared" ca="1" si="1786"/>
        <v>5281</v>
      </c>
      <c r="AF643" s="8">
        <f t="shared" ca="1" si="1786"/>
        <v>5566</v>
      </c>
      <c r="AG643" s="8">
        <f t="shared" ca="1" si="1786"/>
        <v>0</v>
      </c>
      <c r="AH643" s="9">
        <f t="shared" ca="1" si="1786"/>
        <v>5566</v>
      </c>
      <c r="AI643" s="9">
        <f t="shared" ca="1" si="1786"/>
        <v>10847</v>
      </c>
      <c r="AJ643" s="11">
        <f t="shared" ca="1" si="1780"/>
        <v>195.33578571428546</v>
      </c>
      <c r="AK643" s="8">
        <f>SUM(O630)</f>
        <v>13817</v>
      </c>
      <c r="AL643" s="12">
        <f t="shared" ca="1" si="1781"/>
        <v>0.78504740537019613</v>
      </c>
      <c r="AM643" s="13">
        <f>SUM(Q630)</f>
        <v>1.5</v>
      </c>
      <c r="AN643" s="12">
        <f t="shared" ca="1" si="1782"/>
        <v>0.88142888178431467</v>
      </c>
      <c r="AO643" s="14">
        <f t="shared" ca="1" si="1783"/>
        <v>1.3221433226764721</v>
      </c>
      <c r="AP643" s="13">
        <f t="shared" ref="AP643:AQ643" ca="1" si="1787">SUM(T630)</f>
        <v>326.9999999999996</v>
      </c>
      <c r="AQ643" s="13">
        <f t="shared" ca="1" si="1787"/>
        <v>7.7857142857142758</v>
      </c>
      <c r="AR643" s="9">
        <f t="shared" ca="1" si="1785"/>
        <v>258.26190476190476</v>
      </c>
      <c r="AS643" s="76"/>
      <c r="AT643" s="76"/>
    </row>
    <row r="644" spans="1:46" ht="15.75" customHeight="1" x14ac:dyDescent="0.25">
      <c r="A644" s="70"/>
      <c r="B644" s="16">
        <v>18</v>
      </c>
      <c r="C644" s="16" t="s">
        <v>31</v>
      </c>
      <c r="D644" s="44">
        <v>15</v>
      </c>
      <c r="E644" s="18">
        <f ca="1">IFERROR(__xludf.DUMMYFUNCTION("COUNT(IMPORTRANGE(""https://docs.google.com/spreadsheets/d/1fgCFOFzOla4Qim6_-zG-lbYhLCItqv_kZiAHoErRgcM/edit"",""24!d2:d16""))"),14)</f>
        <v>14</v>
      </c>
      <c r="F644" s="19">
        <f ca="1">IFERROR(__xludf.DUMMYFUNCTION("SUM(IMPORTRANGE(""https://docs.google.com/spreadsheets/d/1fgCFOFzOla4Qim6_-zG-lbYhLCItqv_kZiAHoErRgcM/edit"",""24!Q2:Q16""))"),2825.225)</f>
        <v>2825.2249999999999</v>
      </c>
      <c r="G644" s="18">
        <f ca="1">IFERROR(__xludf.DUMMYFUNCTION("IMPORTRANGE(""https://docs.google.com/spreadsheets/d/1fgCFOFzOla4Qim6_-zG-lbYhLCItqv_kZiAHoErRgcM/edit"",""24!e23"")"),837)</f>
        <v>837</v>
      </c>
      <c r="H644" s="18">
        <f ca="1">IFERROR(__xludf.DUMMYFUNCTION("IMPORTRANGE(""https://docs.google.com/spreadsheets/d/1fgCFOFzOla4Qim6_-zG-lbYhLCItqv_kZiAHoErRgcM/edit"",""24!e24"")"),0)</f>
        <v>0</v>
      </c>
      <c r="I644" s="18">
        <f t="shared" ca="1" si="1737"/>
        <v>837</v>
      </c>
      <c r="J644" s="18">
        <f ca="1">IFERROR(__xludf.DUMMYFUNCTION("IMPORTRANGE(""https://docs.google.com/spreadsheets/d/1fgCFOFzOla4Qim6_-zG-lbYhLCItqv_kZiAHoErRgcM/edit"",""24!e27"")"),1180)</f>
        <v>1180</v>
      </c>
      <c r="K644" s="18">
        <f ca="1">IFERROR(__xludf.DUMMYFUNCTION("IMPORTRANGE(""https://docs.google.com/spreadsheets/d/1fgCFOFzOla4Qim6_-zG-lbYhLCItqv_kZiAHoErRgcM/edit"",""24!e28"")"),0)</f>
        <v>0</v>
      </c>
      <c r="L644" s="18">
        <f t="shared" ca="1" si="1767"/>
        <v>1180</v>
      </c>
      <c r="M644" s="18">
        <f t="shared" ca="1" si="1739"/>
        <v>2017</v>
      </c>
      <c r="N644" s="19">
        <f t="shared" ca="1" si="1740"/>
        <v>201.8017857142857</v>
      </c>
      <c r="O644" s="16">
        <v>2717</v>
      </c>
      <c r="P644" s="20">
        <f t="shared" ca="1" si="1741"/>
        <v>0.74236290025763707</v>
      </c>
      <c r="Q644" s="21">
        <v>1.5</v>
      </c>
      <c r="R644" s="20">
        <f t="shared" ca="1" si="1742"/>
        <v>0.47595029304450681</v>
      </c>
      <c r="S644" s="22">
        <f t="shared" ca="1" si="1743"/>
        <v>0.71392543956676024</v>
      </c>
      <c r="T644" s="21">
        <f ca="1">F644/43.465</f>
        <v>64.999999999999986</v>
      </c>
      <c r="U644" s="21">
        <f t="shared" ca="1" si="1744"/>
        <v>4.6428571428571415</v>
      </c>
      <c r="V644" s="18">
        <f t="shared" ca="1" si="1745"/>
        <v>144.07142857142858</v>
      </c>
      <c r="W644" s="76"/>
      <c r="X644" s="8">
        <v>3</v>
      </c>
      <c r="Y644" s="8" t="s">
        <v>36</v>
      </c>
      <c r="Z644" s="8">
        <f t="shared" ref="Z644:AI644" si="1788">SUM(D635)</f>
        <v>29</v>
      </c>
      <c r="AA644" s="9">
        <f t="shared" ca="1" si="1788"/>
        <v>29</v>
      </c>
      <c r="AB644" s="10">
        <f t="shared" ca="1" si="1788"/>
        <v>5791.1899999999896</v>
      </c>
      <c r="AC644" s="9">
        <f t="shared" ca="1" si="1788"/>
        <v>1536</v>
      </c>
      <c r="AD644" s="9">
        <f t="shared" ca="1" si="1788"/>
        <v>0</v>
      </c>
      <c r="AE644" s="9">
        <f t="shared" ca="1" si="1788"/>
        <v>1536</v>
      </c>
      <c r="AF644" s="9">
        <f t="shared" ca="1" si="1788"/>
        <v>2298</v>
      </c>
      <c r="AG644" s="9">
        <f t="shared" ca="1" si="1788"/>
        <v>0</v>
      </c>
      <c r="AH644" s="9">
        <f t="shared" ca="1" si="1788"/>
        <v>2298</v>
      </c>
      <c r="AI644" s="9">
        <f t="shared" ca="1" si="1788"/>
        <v>3834</v>
      </c>
      <c r="AJ644" s="11">
        <f t="shared" ca="1" si="1780"/>
        <v>199.69620689655136</v>
      </c>
      <c r="AK644" s="8">
        <f t="shared" ref="AK644:AK647" si="1789">SUM(O635)</f>
        <v>4796</v>
      </c>
      <c r="AL644" s="12">
        <f t="shared" ca="1" si="1781"/>
        <v>0.79941618015012506</v>
      </c>
      <c r="AM644" s="13">
        <f t="shared" ref="AM644:AM647" si="1790">SUM(Q635)</f>
        <v>1.5</v>
      </c>
      <c r="AN644" s="12">
        <f t="shared" ca="1" si="1782"/>
        <v>0.44136006589319376</v>
      </c>
      <c r="AO644" s="14">
        <f t="shared" ca="1" si="1783"/>
        <v>0.66204009883979065</v>
      </c>
      <c r="AP644" s="13">
        <f t="shared" ref="AP644:AQ644" ca="1" si="1791">SUM(T635)</f>
        <v>154.7867108568982</v>
      </c>
      <c r="AQ644" s="13">
        <f t="shared" ca="1" si="1791"/>
        <v>5.3374727881689035</v>
      </c>
      <c r="AR644" s="9">
        <f t="shared" ca="1" si="1785"/>
        <v>132.20689655172413</v>
      </c>
      <c r="AS644" s="76"/>
      <c r="AT644" s="76"/>
    </row>
    <row r="645" spans="1:46" ht="15.75" customHeight="1" x14ac:dyDescent="0.2">
      <c r="A645" s="70"/>
      <c r="B645" s="98" t="s">
        <v>33</v>
      </c>
      <c r="C645" s="98">
        <v>18</v>
      </c>
      <c r="D645" s="98">
        <f t="shared" ref="D645:M645" si="1792">SUM(D627:D644)</f>
        <v>585</v>
      </c>
      <c r="E645" s="74">
        <f t="shared" ca="1" si="1792"/>
        <v>573</v>
      </c>
      <c r="F645" s="99">
        <f t="shared" ca="1" si="1792"/>
        <v>112022.36699999981</v>
      </c>
      <c r="G645" s="74">
        <f t="shared" ca="1" si="1792"/>
        <v>42991</v>
      </c>
      <c r="H645" s="74">
        <f t="shared" ca="1" si="1792"/>
        <v>924</v>
      </c>
      <c r="I645" s="74">
        <f t="shared" ca="1" si="1792"/>
        <v>43915</v>
      </c>
      <c r="J645" s="74">
        <f t="shared" ca="1" si="1792"/>
        <v>56939</v>
      </c>
      <c r="K645" s="74">
        <f t="shared" ca="1" si="1792"/>
        <v>936</v>
      </c>
      <c r="L645" s="74">
        <f t="shared" ca="1" si="1792"/>
        <v>57875</v>
      </c>
      <c r="M645" s="74">
        <f t="shared" ca="1" si="1792"/>
        <v>101790</v>
      </c>
      <c r="N645" s="99">
        <f t="shared" ca="1" si="1740"/>
        <v>195.5015130890049</v>
      </c>
      <c r="O645" s="98">
        <f>SUM(O627:O644)</f>
        <v>126399</v>
      </c>
      <c r="P645" s="69">
        <f t="shared" ca="1" si="1741"/>
        <v>0.80530700401110766</v>
      </c>
      <c r="Q645" s="72">
        <v>1.5</v>
      </c>
      <c r="R645" s="69">
        <f t="shared" ca="1" si="1742"/>
        <v>0.60577188125296544</v>
      </c>
      <c r="S645" s="73">
        <f t="shared" ca="1" si="1743"/>
        <v>0.90865782187944821</v>
      </c>
      <c r="T645" s="72">
        <f ca="1">SUM(T627:T644)</f>
        <v>4114.9440530450147</v>
      </c>
      <c r="U645" s="72">
        <f t="shared" ca="1" si="1744"/>
        <v>7.1814032339354537</v>
      </c>
      <c r="V645" s="74">
        <f t="shared" ca="1" si="1745"/>
        <v>177.64397905759162</v>
      </c>
      <c r="W645" s="76"/>
      <c r="X645" s="8">
        <v>4</v>
      </c>
      <c r="Y645" s="8" t="s">
        <v>37</v>
      </c>
      <c r="Z645" s="8">
        <f t="shared" ref="Z645:AI645" si="1793">SUM(D636)</f>
        <v>30</v>
      </c>
      <c r="AA645" s="9">
        <f t="shared" ca="1" si="1793"/>
        <v>27</v>
      </c>
      <c r="AB645" s="10">
        <f t="shared" ca="1" si="1793"/>
        <v>5217.18</v>
      </c>
      <c r="AC645" s="9">
        <f t="shared" ca="1" si="1793"/>
        <v>1912</v>
      </c>
      <c r="AD645" s="9">
        <f t="shared" ca="1" si="1793"/>
        <v>0</v>
      </c>
      <c r="AE645" s="9">
        <f t="shared" ca="1" si="1793"/>
        <v>1912</v>
      </c>
      <c r="AF645" s="9">
        <f t="shared" ca="1" si="1793"/>
        <v>3174</v>
      </c>
      <c r="AG645" s="9">
        <f t="shared" ca="1" si="1793"/>
        <v>0</v>
      </c>
      <c r="AH645" s="9">
        <f t="shared" ca="1" si="1793"/>
        <v>3174</v>
      </c>
      <c r="AI645" s="9">
        <f t="shared" ca="1" si="1793"/>
        <v>5086</v>
      </c>
      <c r="AJ645" s="11">
        <f t="shared" ca="1" si="1780"/>
        <v>193.22888888888889</v>
      </c>
      <c r="AK645" s="8">
        <f t="shared" si="1789"/>
        <v>5887</v>
      </c>
      <c r="AL645" s="12">
        <f t="shared" ca="1" si="1781"/>
        <v>0.8639374893833871</v>
      </c>
      <c r="AM645" s="13">
        <f t="shared" si="1790"/>
        <v>1.5</v>
      </c>
      <c r="AN645" s="12">
        <f t="shared" ca="1" si="1782"/>
        <v>0.64990409889378287</v>
      </c>
      <c r="AO645" s="14">
        <f t="shared" ca="1" si="1783"/>
        <v>0.97485614834067436</v>
      </c>
      <c r="AP645" s="13">
        <f t="shared" ref="AP645:AQ645" ca="1" si="1794">SUM(T636)</f>
        <v>210.4380445304937</v>
      </c>
      <c r="AQ645" s="13">
        <f t="shared" ca="1" si="1794"/>
        <v>7.7940016492775444</v>
      </c>
      <c r="AR645" s="9">
        <f t="shared" ca="1" si="1785"/>
        <v>188.37037037037038</v>
      </c>
      <c r="AS645" s="76"/>
      <c r="AT645" s="76"/>
    </row>
    <row r="646" spans="1:46" ht="15.75" customHeight="1" x14ac:dyDescent="0.2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6"/>
      <c r="X646" s="8">
        <v>5</v>
      </c>
      <c r="Y646" s="8" t="s">
        <v>39</v>
      </c>
      <c r="Z646" s="8">
        <f t="shared" ref="Z646:AI646" si="1795">SUM(D637)</f>
        <v>28</v>
      </c>
      <c r="AA646" s="9">
        <f t="shared" ca="1" si="1795"/>
        <v>27</v>
      </c>
      <c r="AB646" s="10">
        <f t="shared" ca="1" si="1795"/>
        <v>5072.5439999999999</v>
      </c>
      <c r="AC646" s="9">
        <f t="shared" ca="1" si="1795"/>
        <v>1200</v>
      </c>
      <c r="AD646" s="9">
        <f t="shared" ca="1" si="1795"/>
        <v>0</v>
      </c>
      <c r="AE646" s="9">
        <f t="shared" ca="1" si="1795"/>
        <v>1200</v>
      </c>
      <c r="AF646" s="9">
        <f t="shared" ca="1" si="1795"/>
        <v>1830</v>
      </c>
      <c r="AG646" s="9">
        <f t="shared" ca="1" si="1795"/>
        <v>0</v>
      </c>
      <c r="AH646" s="9">
        <f t="shared" ca="1" si="1795"/>
        <v>1830</v>
      </c>
      <c r="AI646" s="9">
        <f t="shared" ca="1" si="1795"/>
        <v>3030</v>
      </c>
      <c r="AJ646" s="11">
        <f t="shared" ca="1" si="1780"/>
        <v>187.87199999999999</v>
      </c>
      <c r="AK646" s="8">
        <f t="shared" si="1789"/>
        <v>3569</v>
      </c>
      <c r="AL646" s="12">
        <f t="shared" ca="1" si="1781"/>
        <v>0.84897730456710563</v>
      </c>
      <c r="AM646" s="13">
        <f t="shared" si="1790"/>
        <v>1.5</v>
      </c>
      <c r="AN646" s="12">
        <f t="shared" ca="1" si="1782"/>
        <v>0.39822227268999538</v>
      </c>
      <c r="AO646" s="14">
        <f t="shared" ca="1" si="1783"/>
        <v>0.5973334090349931</v>
      </c>
      <c r="AP646" s="13">
        <f t="shared" ref="AP646:AQ646" ca="1" si="1796">SUM(T637)</f>
        <v>236.33900200344777</v>
      </c>
      <c r="AQ646" s="13">
        <f t="shared" ca="1" si="1796"/>
        <v>8.7532963704980649</v>
      </c>
      <c r="AR646" s="9">
        <f t="shared" ca="1" si="1785"/>
        <v>112.22222222222223</v>
      </c>
      <c r="AS646" s="76"/>
      <c r="AT646" s="76"/>
    </row>
    <row r="647" spans="1:46" ht="15.75" customHeight="1" x14ac:dyDescent="0.2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6"/>
      <c r="X647" s="8">
        <v>6</v>
      </c>
      <c r="Y647" s="8" t="s">
        <v>41</v>
      </c>
      <c r="Z647" s="8">
        <f t="shared" ref="Z647:AI647" si="1797">SUM(D638)</f>
        <v>24</v>
      </c>
      <c r="AA647" s="9">
        <f t="shared" ca="1" si="1797"/>
        <v>24</v>
      </c>
      <c r="AB647" s="10">
        <f t="shared" ca="1" si="1797"/>
        <v>4793.152</v>
      </c>
      <c r="AC647" s="9">
        <f t="shared" ca="1" si="1797"/>
        <v>1278</v>
      </c>
      <c r="AD647" s="9">
        <f t="shared" ca="1" si="1797"/>
        <v>0</v>
      </c>
      <c r="AE647" s="9">
        <f t="shared" ca="1" si="1797"/>
        <v>1278</v>
      </c>
      <c r="AF647" s="9">
        <f t="shared" ca="1" si="1797"/>
        <v>1905</v>
      </c>
      <c r="AG647" s="9">
        <f t="shared" ca="1" si="1797"/>
        <v>0</v>
      </c>
      <c r="AH647" s="9">
        <f t="shared" ca="1" si="1797"/>
        <v>1905</v>
      </c>
      <c r="AI647" s="9">
        <f t="shared" ca="1" si="1797"/>
        <v>3183</v>
      </c>
      <c r="AJ647" s="11">
        <f t="shared" ca="1" si="1780"/>
        <v>199.71466666666666</v>
      </c>
      <c r="AK647" s="8">
        <f t="shared" si="1789"/>
        <v>3801</v>
      </c>
      <c r="AL647" s="12">
        <f t="shared" ca="1" si="1781"/>
        <v>0.83741120757695342</v>
      </c>
      <c r="AM647" s="13">
        <f t="shared" si="1790"/>
        <v>1.5</v>
      </c>
      <c r="AN647" s="12">
        <f t="shared" ca="1" si="1782"/>
        <v>0.44271493998103967</v>
      </c>
      <c r="AO647" s="14">
        <f t="shared" ca="1" si="1783"/>
        <v>0.66407240997155947</v>
      </c>
      <c r="AP647" s="13">
        <f t="shared" ref="AP647:AQ647" ca="1" si="1798">SUM(T638)</f>
        <v>161.77777777777777</v>
      </c>
      <c r="AQ647" s="13">
        <f t="shared" ca="1" si="1798"/>
        <v>6.7407407407407405</v>
      </c>
      <c r="AR647" s="9">
        <f t="shared" ca="1" si="1785"/>
        <v>132.625</v>
      </c>
      <c r="AS647" s="76"/>
      <c r="AT647" s="76"/>
    </row>
    <row r="648" spans="1:46" ht="15.75" customHeight="1" x14ac:dyDescent="0.25">
      <c r="A648" s="110" t="s">
        <v>45</v>
      </c>
      <c r="B648" s="76"/>
      <c r="C648" s="76"/>
      <c r="D648" s="75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24" t="s">
        <v>33</v>
      </c>
      <c r="Y648" s="24">
        <v>6</v>
      </c>
      <c r="Z648" s="24">
        <f t="shared" ref="Z648:AI648" si="1799">SUM(Z642:Z647)</f>
        <v>173</v>
      </c>
      <c r="AA648" s="25">
        <f t="shared" ca="1" si="1799"/>
        <v>169</v>
      </c>
      <c r="AB648" s="27">
        <f t="shared" ca="1" si="1799"/>
        <v>32783.43599999998</v>
      </c>
      <c r="AC648" s="25">
        <f t="shared" ca="1" si="1799"/>
        <v>13401</v>
      </c>
      <c r="AD648" s="25">
        <f t="shared" ca="1" si="1799"/>
        <v>47</v>
      </c>
      <c r="AE648" s="25">
        <f t="shared" ca="1" si="1799"/>
        <v>13448</v>
      </c>
      <c r="AF648" s="25">
        <f t="shared" ca="1" si="1799"/>
        <v>17571</v>
      </c>
      <c r="AG648" s="25">
        <f t="shared" ca="1" si="1799"/>
        <v>0</v>
      </c>
      <c r="AH648" s="25">
        <f t="shared" ca="1" si="1799"/>
        <v>17571</v>
      </c>
      <c r="AI648" s="25">
        <f t="shared" ca="1" si="1799"/>
        <v>31019</v>
      </c>
      <c r="AJ648" s="27">
        <f t="shared" ca="1" si="1780"/>
        <v>193.98482840236673</v>
      </c>
      <c r="AK648" s="24">
        <f>SUM(AK642:AK647)</f>
        <v>37031</v>
      </c>
      <c r="AL648" s="28">
        <f t="shared" ca="1" si="1781"/>
        <v>0.83764953687451049</v>
      </c>
      <c r="AM648" s="29">
        <v>1.5</v>
      </c>
      <c r="AN648" s="28">
        <f t="shared" ca="1" si="1782"/>
        <v>0.63078602661823935</v>
      </c>
      <c r="AO648" s="30">
        <f t="shared" ca="1" si="1783"/>
        <v>0.94617903992735908</v>
      </c>
      <c r="AP648" s="29">
        <f ca="1">SUM(AP642:AP647)</f>
        <v>1347.3839909438514</v>
      </c>
      <c r="AQ648" s="29">
        <f ca="1">AP648/AA648</f>
        <v>7.9726863369458663</v>
      </c>
      <c r="AR648" s="25">
        <f t="shared" ca="1" si="1785"/>
        <v>183.54437869822485</v>
      </c>
      <c r="AS648" s="76"/>
      <c r="AT648" s="76"/>
    </row>
    <row r="649" spans="1:46" ht="15.75" customHeight="1" x14ac:dyDescent="0.2">
      <c r="A649" s="110" t="s">
        <v>45</v>
      </c>
      <c r="B649" s="76"/>
      <c r="C649" s="76"/>
      <c r="D649" s="75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7" t="s">
        <v>1</v>
      </c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9"/>
      <c r="AS649" s="76"/>
      <c r="AT649" s="76"/>
    </row>
    <row r="650" spans="1:46" ht="15.75" customHeight="1" x14ac:dyDescent="0.2">
      <c r="A650" s="113">
        <v>46228</v>
      </c>
      <c r="B650" s="80" t="s">
        <v>2</v>
      </c>
      <c r="C650" s="80" t="s">
        <v>3</v>
      </c>
      <c r="D650" s="80" t="s">
        <v>4</v>
      </c>
      <c r="E650" s="80" t="s">
        <v>5</v>
      </c>
      <c r="F650" s="81" t="s">
        <v>6</v>
      </c>
      <c r="G650" s="80" t="s">
        <v>7</v>
      </c>
      <c r="H650" s="80" t="s">
        <v>8</v>
      </c>
      <c r="I650" s="80" t="s">
        <v>9</v>
      </c>
      <c r="J650" s="80" t="s">
        <v>10</v>
      </c>
      <c r="K650" s="80" t="s">
        <v>11</v>
      </c>
      <c r="L650" s="80" t="s">
        <v>12</v>
      </c>
      <c r="M650" s="80" t="s">
        <v>13</v>
      </c>
      <c r="N650" s="81" t="s">
        <v>14</v>
      </c>
      <c r="O650" s="80" t="s">
        <v>15</v>
      </c>
      <c r="P650" s="80" t="s">
        <v>16</v>
      </c>
      <c r="Q650" s="80" t="s">
        <v>17</v>
      </c>
      <c r="R650" s="80" t="s">
        <v>18</v>
      </c>
      <c r="S650" s="106" t="s">
        <v>19</v>
      </c>
      <c r="T650" s="107" t="s">
        <v>20</v>
      </c>
      <c r="U650" s="107" t="s">
        <v>21</v>
      </c>
      <c r="V650" s="105" t="s">
        <v>22</v>
      </c>
      <c r="W650" s="76"/>
      <c r="X650" s="1" t="s">
        <v>2</v>
      </c>
      <c r="Y650" s="1" t="s">
        <v>3</v>
      </c>
      <c r="Z650" s="1" t="s">
        <v>4</v>
      </c>
      <c r="AA650" s="1" t="s">
        <v>5</v>
      </c>
      <c r="AB650" s="2" t="s">
        <v>6</v>
      </c>
      <c r="AC650" s="1" t="s">
        <v>7</v>
      </c>
      <c r="AD650" s="1" t="s">
        <v>8</v>
      </c>
      <c r="AE650" s="1" t="s">
        <v>9</v>
      </c>
      <c r="AF650" s="1" t="s">
        <v>10</v>
      </c>
      <c r="AG650" s="1" t="s">
        <v>11</v>
      </c>
      <c r="AH650" s="1" t="s">
        <v>12</v>
      </c>
      <c r="AI650" s="1" t="s">
        <v>13</v>
      </c>
      <c r="AJ650" s="2" t="s">
        <v>14</v>
      </c>
      <c r="AK650" s="1" t="s">
        <v>15</v>
      </c>
      <c r="AL650" s="1" t="s">
        <v>16</v>
      </c>
      <c r="AM650" s="3" t="s">
        <v>17</v>
      </c>
      <c r="AN650" s="4" t="s">
        <v>18</v>
      </c>
      <c r="AO650" s="5" t="s">
        <v>19</v>
      </c>
      <c r="AP650" s="6" t="s">
        <v>20</v>
      </c>
      <c r="AQ650" s="6" t="s">
        <v>21</v>
      </c>
      <c r="AR650" s="7" t="s">
        <v>22</v>
      </c>
      <c r="AS650" s="76"/>
      <c r="AT650" s="76"/>
    </row>
    <row r="651" spans="1:46" ht="15.75" customHeight="1" x14ac:dyDescent="0.2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6"/>
      <c r="X651" s="8">
        <v>1</v>
      </c>
      <c r="Y651" s="8" t="s">
        <v>23</v>
      </c>
      <c r="Z651" s="8">
        <f t="shared" ref="Z651:AI651" si="1800">SUM(D659)</f>
        <v>28</v>
      </c>
      <c r="AA651" s="9">
        <f t="shared" ca="1" si="1800"/>
        <v>27</v>
      </c>
      <c r="AB651" s="10">
        <f t="shared" ca="1" si="1800"/>
        <v>5297.1799999999903</v>
      </c>
      <c r="AC651" s="9">
        <f t="shared" ca="1" si="1800"/>
        <v>1328</v>
      </c>
      <c r="AD651" s="9">
        <f t="shared" ca="1" si="1800"/>
        <v>0</v>
      </c>
      <c r="AE651" s="9">
        <f t="shared" ca="1" si="1800"/>
        <v>1328</v>
      </c>
      <c r="AF651" s="9">
        <f t="shared" ca="1" si="1800"/>
        <v>2356</v>
      </c>
      <c r="AG651" s="9">
        <f t="shared" ca="1" si="1800"/>
        <v>0</v>
      </c>
      <c r="AH651" s="9">
        <f t="shared" ca="1" si="1800"/>
        <v>2356</v>
      </c>
      <c r="AI651" s="9">
        <f t="shared" ca="1" si="1800"/>
        <v>3684</v>
      </c>
      <c r="AJ651" s="11">
        <f t="shared" ref="AJ651:AJ653" ca="1" si="1801">AB651/AA651</f>
        <v>196.19185185185148</v>
      </c>
      <c r="AK651" s="8">
        <f>SUM(O659)</f>
        <v>6853</v>
      </c>
      <c r="AL651" s="12">
        <f t="shared" ref="AL651:AL657" ca="1" si="1802">AI651/AK651</f>
        <v>0.53757478476579601</v>
      </c>
      <c r="AM651" s="13">
        <f t="shared" ref="AM651:AM653" si="1803">SUM(Q659)</f>
        <v>1.5</v>
      </c>
      <c r="AN651" s="12">
        <f t="shared" ref="AN651:AN657" ca="1" si="1804">AO651/AM651</f>
        <v>0.46364291944015584</v>
      </c>
      <c r="AO651" s="14">
        <f t="shared" ref="AO651:AO657" ca="1" si="1805">AI651/AB651</f>
        <v>0.69546437916023374</v>
      </c>
      <c r="AP651" s="13">
        <f t="shared" ref="AP651:AQ651" ca="1" si="1806">SUM(T659)</f>
        <v>156.99999999999972</v>
      </c>
      <c r="AQ651" s="13">
        <f t="shared" ca="1" si="1806"/>
        <v>5.8148148148148042</v>
      </c>
      <c r="AR651" s="9">
        <f t="shared" ref="AR651:AR657" ca="1" si="1807">AI651/AA651</f>
        <v>136.44444444444446</v>
      </c>
      <c r="AS651" s="76"/>
      <c r="AT651" s="76"/>
    </row>
    <row r="652" spans="1:46" ht="15.75" customHeight="1" x14ac:dyDescent="0.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6"/>
      <c r="X652" s="8">
        <v>2</v>
      </c>
      <c r="Y652" s="8" t="s">
        <v>24</v>
      </c>
      <c r="Z652" s="8">
        <f t="shared" ref="Z652:AI652" si="1808">SUM(D660)</f>
        <v>37</v>
      </c>
      <c r="AA652" s="9">
        <f t="shared" ca="1" si="1808"/>
        <v>37</v>
      </c>
      <c r="AB652" s="10">
        <f t="shared" ca="1" si="1808"/>
        <v>7090.19199999999</v>
      </c>
      <c r="AC652" s="9">
        <f t="shared" ca="1" si="1808"/>
        <v>854</v>
      </c>
      <c r="AD652" s="9">
        <f t="shared" ca="1" si="1808"/>
        <v>11</v>
      </c>
      <c r="AE652" s="9">
        <f t="shared" ca="1" si="1808"/>
        <v>865</v>
      </c>
      <c r="AF652" s="9">
        <f t="shared" ca="1" si="1808"/>
        <v>967</v>
      </c>
      <c r="AG652" s="9">
        <f t="shared" ca="1" si="1808"/>
        <v>0</v>
      </c>
      <c r="AH652" s="9">
        <f t="shared" ca="1" si="1808"/>
        <v>967</v>
      </c>
      <c r="AI652" s="9">
        <f t="shared" ca="1" si="1808"/>
        <v>1832</v>
      </c>
      <c r="AJ652" s="11">
        <f t="shared" ca="1" si="1801"/>
        <v>191.62681081081055</v>
      </c>
      <c r="AK652" s="8">
        <v>1580</v>
      </c>
      <c r="AL652" s="15">
        <f t="shared" ca="1" si="1802"/>
        <v>1.1594936708860759</v>
      </c>
      <c r="AM652" s="13">
        <f t="shared" si="1803"/>
        <v>1.5</v>
      </c>
      <c r="AN652" s="12">
        <f t="shared" ca="1" si="1804"/>
        <v>0.17225673625387508</v>
      </c>
      <c r="AO652" s="14">
        <f t="shared" ca="1" si="1805"/>
        <v>0.25838510438081264</v>
      </c>
      <c r="AP652" s="13">
        <f t="shared" ref="AP652:AQ652" ca="1" si="1809">SUM(T660)</f>
        <v>264.510054094385</v>
      </c>
      <c r="AQ652" s="13">
        <f t="shared" ca="1" si="1809"/>
        <v>7.148920380929324</v>
      </c>
      <c r="AR652" s="9">
        <f t="shared" ca="1" si="1807"/>
        <v>49.513513513513516</v>
      </c>
      <c r="AS652" s="76"/>
      <c r="AT652" s="76"/>
    </row>
    <row r="653" spans="1:46" ht="15.75" customHeight="1" x14ac:dyDescent="0.2">
      <c r="A653" s="70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6"/>
      <c r="X653" s="8">
        <v>3</v>
      </c>
      <c r="Y653" s="8" t="s">
        <v>25</v>
      </c>
      <c r="Z653" s="8">
        <f t="shared" ref="Z653:AI653" si="1810">SUM(D661)</f>
        <v>27</v>
      </c>
      <c r="AA653" s="9">
        <f t="shared" ca="1" si="1810"/>
        <v>27</v>
      </c>
      <c r="AB653" s="10">
        <f t="shared" ca="1" si="1810"/>
        <v>5256.7479999999996</v>
      </c>
      <c r="AC653" s="9">
        <f t="shared" ca="1" si="1810"/>
        <v>1957</v>
      </c>
      <c r="AD653" s="9">
        <f t="shared" ca="1" si="1810"/>
        <v>462</v>
      </c>
      <c r="AE653" s="9">
        <f t="shared" ca="1" si="1810"/>
        <v>2419</v>
      </c>
      <c r="AF653" s="9">
        <f t="shared" ca="1" si="1810"/>
        <v>2402</v>
      </c>
      <c r="AG653" s="9">
        <f t="shared" ca="1" si="1810"/>
        <v>325</v>
      </c>
      <c r="AH653" s="9">
        <f t="shared" ca="1" si="1810"/>
        <v>2727</v>
      </c>
      <c r="AI653" s="9">
        <f t="shared" ca="1" si="1810"/>
        <v>5146</v>
      </c>
      <c r="AJ653" s="11">
        <f t="shared" ca="1" si="1801"/>
        <v>194.69437037037036</v>
      </c>
      <c r="AK653" s="8">
        <f>SUM(O661)</f>
        <v>6622</v>
      </c>
      <c r="AL653" s="12">
        <f t="shared" ca="1" si="1802"/>
        <v>0.77710661431591666</v>
      </c>
      <c r="AM653" s="13">
        <f t="shared" si="1803"/>
        <v>1.5</v>
      </c>
      <c r="AN653" s="12">
        <f t="shared" ca="1" si="1804"/>
        <v>0.65262148131633224</v>
      </c>
      <c r="AO653" s="14">
        <f t="shared" ca="1" si="1805"/>
        <v>0.97893222197449836</v>
      </c>
      <c r="AP653" s="13">
        <f t="shared" ref="AP653:AQ653" ca="1" si="1811">SUM(T661)</f>
        <v>220.50117449664427</v>
      </c>
      <c r="AQ653" s="13">
        <f t="shared" ca="1" si="1811"/>
        <v>8.16671016654238</v>
      </c>
      <c r="AR653" s="9">
        <f t="shared" ca="1" si="1807"/>
        <v>190.59259259259258</v>
      </c>
      <c r="AS653" s="76"/>
      <c r="AT653" s="76"/>
    </row>
    <row r="654" spans="1:46" ht="15.75" customHeight="1" x14ac:dyDescent="0.25">
      <c r="A654" s="70"/>
      <c r="B654" s="16">
        <v>1</v>
      </c>
      <c r="C654" s="16" t="s">
        <v>26</v>
      </c>
      <c r="D654" s="17">
        <v>16</v>
      </c>
      <c r="E654" s="18">
        <f ca="1">IFERROR(__xludf.DUMMYFUNCTION("COUNT(IMPORTRANGE(""https://docs.google.com/spreadsheets/d/1z0o91thOT38lgejTE_Bd2p3v_9VCDdQRkUsMIVqpQCk/edit"",""25!d2:d21""))"),16)</f>
        <v>16</v>
      </c>
      <c r="F654" s="19">
        <f ca="1">IFERROR(__xludf.DUMMYFUNCTION("SUM(IMPORTRANGE(""https://docs.google.com/spreadsheets/d/1z0o91thOT38lgejTE_Bd2p3v_9VCDdQRkUsMIVqpQCk/edit"",""25!Q2:Q21""))"),2948.403)</f>
        <v>2948.4029999999998</v>
      </c>
      <c r="G654" s="18">
        <f ca="1">IFERROR(__xludf.DUMMYFUNCTION("IMPORTRANGE(""https://docs.google.com/spreadsheets/d/1z0o91thOT38lgejTE_Bd2p3v_9VCDdQRkUsMIVqpQCk/edit"",""25!e28"")"),1866)</f>
        <v>1866</v>
      </c>
      <c r="H654" s="18">
        <f ca="1">IFERROR(__xludf.DUMMYFUNCTION("IMPORTRANGE(""https://docs.google.com/spreadsheets/d/1z0o91thOT38lgejTE_Bd2p3v_9VCDdQRkUsMIVqpQCk/edit"",""25!e29"")"),0)</f>
        <v>0</v>
      </c>
      <c r="I654" s="18">
        <f t="shared" ref="I654:I671" ca="1" si="1812">SUM(G654:H654)</f>
        <v>1866</v>
      </c>
      <c r="J654" s="18">
        <f ca="1">IFERROR(__xludf.DUMMYFUNCTION("IMPORTRANGE(""https://docs.google.com/spreadsheets/d/1z0o91thOT38lgejTE_Bd2p3v_9VCDdQRkUsMIVqpQCk/edit"",""25!e32"")"),1918)</f>
        <v>1918</v>
      </c>
      <c r="K654" s="18">
        <f ca="1">IFERROR(__xludf.DUMMYFUNCTION("IMPORTRANGE(""https://docs.google.com/spreadsheets/d/1z0o91thOT38lgejTE_Bd2p3v_9VCDdQRkUsMIVqpQCk/edit"",""25!e33"")"),0)</f>
        <v>0</v>
      </c>
      <c r="L654" s="18">
        <f t="shared" ref="L654:L660" ca="1" si="1813">SUM(J654:K654)</f>
        <v>1918</v>
      </c>
      <c r="M654" s="18">
        <f t="shared" ref="M654:M671" ca="1" si="1814">SUM(I654+L654)</f>
        <v>3784</v>
      </c>
      <c r="N654" s="19">
        <f t="shared" ref="N654:N672" ca="1" si="1815">F654/E654</f>
        <v>184.27518749999999</v>
      </c>
      <c r="O654" s="16">
        <v>5161</v>
      </c>
      <c r="P654" s="20">
        <f t="shared" ref="P654:P672" ca="1" si="1816">M654/O654</f>
        <v>0.73319124200736296</v>
      </c>
      <c r="Q654" s="21">
        <v>1.5</v>
      </c>
      <c r="R654" s="20">
        <f t="shared" ref="R654:R672" ca="1" si="1817">S654/Q654</f>
        <v>0.85560442947136695</v>
      </c>
      <c r="S654" s="22">
        <f t="shared" ref="S654:S672" ca="1" si="1818">M654/F654</f>
        <v>1.2834066442070504</v>
      </c>
      <c r="T654" s="21">
        <f ca="1">F654/14.415</f>
        <v>204.53714880332987</v>
      </c>
      <c r="U654" s="21">
        <f t="shared" ref="U654:U672" ca="1" si="1819">T654/E654</f>
        <v>12.783571800208117</v>
      </c>
      <c r="V654" s="18">
        <f t="shared" ref="V654:V672" ca="1" si="1820">M654/E654</f>
        <v>236.5</v>
      </c>
      <c r="W654" s="76"/>
      <c r="X654" s="8">
        <v>4</v>
      </c>
      <c r="Y654" s="8" t="s">
        <v>27</v>
      </c>
      <c r="Z654" s="8">
        <f t="shared" ref="Z654:AK654" si="1821">SUM(D667)</f>
        <v>24</v>
      </c>
      <c r="AA654" s="9">
        <f t="shared" ca="1" si="1821"/>
        <v>21</v>
      </c>
      <c r="AB654" s="10">
        <f t="shared" ca="1" si="1821"/>
        <v>4052.84799999999</v>
      </c>
      <c r="AC654" s="9">
        <f t="shared" ca="1" si="1821"/>
        <v>1867</v>
      </c>
      <c r="AD654" s="9">
        <f t="shared" ca="1" si="1821"/>
        <v>0</v>
      </c>
      <c r="AE654" s="9">
        <f t="shared" ca="1" si="1821"/>
        <v>1867</v>
      </c>
      <c r="AF654" s="9">
        <f t="shared" ca="1" si="1821"/>
        <v>2341</v>
      </c>
      <c r="AG654" s="9">
        <f t="shared" ca="1" si="1821"/>
        <v>20</v>
      </c>
      <c r="AH654" s="9">
        <f t="shared" ca="1" si="1821"/>
        <v>2361</v>
      </c>
      <c r="AI654" s="9">
        <f t="shared" ca="1" si="1821"/>
        <v>4228</v>
      </c>
      <c r="AJ654" s="11">
        <f t="shared" ca="1" si="1821"/>
        <v>192.99276190476144</v>
      </c>
      <c r="AK654" s="8">
        <f t="shared" si="1821"/>
        <v>8101</v>
      </c>
      <c r="AL654" s="12">
        <f t="shared" ca="1" si="1802"/>
        <v>0.52191087520059254</v>
      </c>
      <c r="AM654" s="13">
        <f>SUM(Q667)</f>
        <v>1.5</v>
      </c>
      <c r="AN654" s="12">
        <f t="shared" ca="1" si="1804"/>
        <v>0.69547801118291963</v>
      </c>
      <c r="AO654" s="14">
        <f t="shared" ca="1" si="1805"/>
        <v>1.0432170167743795</v>
      </c>
      <c r="AP654" s="13">
        <f t="shared" ref="AP654:AQ654" ca="1" si="1822">SUM(T667)</f>
        <v>202.79449587190342</v>
      </c>
      <c r="AQ654" s="13">
        <f t="shared" ca="1" si="1822"/>
        <v>9.6568807558049254</v>
      </c>
      <c r="AR654" s="9">
        <f t="shared" ca="1" si="1807"/>
        <v>201.33333333333334</v>
      </c>
      <c r="AS654" s="76"/>
      <c r="AT654" s="76"/>
    </row>
    <row r="655" spans="1:46" ht="15.75" customHeight="1" x14ac:dyDescent="0.25">
      <c r="A655" s="70"/>
      <c r="B655" s="16">
        <v>2</v>
      </c>
      <c r="C655" s="16" t="s">
        <v>28</v>
      </c>
      <c r="D655" s="17">
        <v>26</v>
      </c>
      <c r="E655" s="18">
        <f ca="1">IFERROR(__xludf.DUMMYFUNCTION("COUNT(IMPORTRANGE(""https://docs.google.com/spreadsheets/d/10a85iNN0y9GF6ngQfF1JXGAzFk-T7ywH4-TZtQcOTaE/edit"",""25!d2:d34""))"),26)</f>
        <v>26</v>
      </c>
      <c r="F655" s="19">
        <f ca="1">IFERROR(__xludf.DUMMYFUNCTION("SUM(IMPORTRANGE(""https://docs.google.com/spreadsheets/d/10a85iNN0y9GF6ngQfF1JXGAzFk-T7ywH4-TZtQcOTaE/edit"",""25!Q2:Q34""))"),4953.086)</f>
        <v>4953.0860000000002</v>
      </c>
      <c r="G655" s="18">
        <f ca="1">IFERROR(__xludf.DUMMYFUNCTION("IMPORTRANGE(""https://docs.google.com/spreadsheets/d/10a85iNN0y9GF6ngQfF1JXGAzFk-T7ywH4-TZtQcOTaE/edit"",""25!e41"")"),1896)</f>
        <v>1896</v>
      </c>
      <c r="H655" s="18">
        <f ca="1">IFERROR(__xludf.DUMMYFUNCTION("IMPORTRANGE(""https://docs.google.com/spreadsheets/d/10a85iNN0y9GF6ngQfF1JXGAzFk-T7ywH4-TZtQcOTaE/edit"",""25!e42"")"),139)</f>
        <v>139</v>
      </c>
      <c r="I655" s="18">
        <f t="shared" ca="1" si="1812"/>
        <v>2035</v>
      </c>
      <c r="J655" s="18">
        <f ca="1">IFERROR(__xludf.DUMMYFUNCTION("IMPORTRANGE(""https://docs.google.com/spreadsheets/d/10a85iNN0y9GF6ngQfF1JXGAzFk-T7ywH4-TZtQcOTaE/edit"",""25!e45"")"),1899)</f>
        <v>1899</v>
      </c>
      <c r="K655" s="18">
        <f ca="1">IFERROR(__xludf.DUMMYFUNCTION("IMPORTRANGE(""https://docs.google.com/spreadsheets/d/10a85iNN0y9GF6ngQfF1JXGAzFk-T7ywH4-TZtQcOTaE/edit"",""25!e46"")"),77)</f>
        <v>77</v>
      </c>
      <c r="L655" s="18">
        <f t="shared" ca="1" si="1813"/>
        <v>1976</v>
      </c>
      <c r="M655" s="18">
        <f t="shared" ca="1" si="1814"/>
        <v>4011</v>
      </c>
      <c r="N655" s="19">
        <f t="shared" ca="1" si="1815"/>
        <v>190.50330769230771</v>
      </c>
      <c r="O655" s="16">
        <v>7315</v>
      </c>
      <c r="P655" s="20">
        <f t="shared" ca="1" si="1816"/>
        <v>0.54832535885167466</v>
      </c>
      <c r="Q655" s="21">
        <v>1.5</v>
      </c>
      <c r="R655" s="20">
        <f t="shared" ca="1" si="1817"/>
        <v>0.53986544953994342</v>
      </c>
      <c r="S655" s="22">
        <f t="shared" ca="1" si="1818"/>
        <v>0.80979817430991508</v>
      </c>
      <c r="T655" s="21">
        <f ca="1">F655/30.897</f>
        <v>160.30960934718581</v>
      </c>
      <c r="U655" s="21">
        <f t="shared" ca="1" si="1819"/>
        <v>6.1657542056609929</v>
      </c>
      <c r="V655" s="18">
        <f t="shared" ca="1" si="1820"/>
        <v>154.26923076923077</v>
      </c>
      <c r="W655" s="76"/>
      <c r="X655" s="8">
        <v>5</v>
      </c>
      <c r="Y655" s="8" t="s">
        <v>29</v>
      </c>
      <c r="Z655" s="8">
        <f t="shared" ref="Z655:AI655" si="1823">SUM(D670)</f>
        <v>24</v>
      </c>
      <c r="AA655" s="9">
        <f t="shared" ca="1" si="1823"/>
        <v>24</v>
      </c>
      <c r="AB655" s="10">
        <f t="shared" ca="1" si="1823"/>
        <v>4790.9920000000002</v>
      </c>
      <c r="AC655" s="9">
        <f t="shared" ca="1" si="1823"/>
        <v>2115</v>
      </c>
      <c r="AD655" s="9">
        <f t="shared" ca="1" si="1823"/>
        <v>0</v>
      </c>
      <c r="AE655" s="9">
        <f t="shared" ca="1" si="1823"/>
        <v>2115</v>
      </c>
      <c r="AF655" s="9">
        <f t="shared" ca="1" si="1823"/>
        <v>2967</v>
      </c>
      <c r="AG655" s="9">
        <f t="shared" ca="1" si="1823"/>
        <v>116</v>
      </c>
      <c r="AH655" s="9">
        <f t="shared" ca="1" si="1823"/>
        <v>3083</v>
      </c>
      <c r="AI655" s="9">
        <f t="shared" ca="1" si="1823"/>
        <v>5198</v>
      </c>
      <c r="AJ655" s="11">
        <f t="shared" ref="AJ655:AJ657" ca="1" si="1824">AB655/AA655</f>
        <v>199.62466666666668</v>
      </c>
      <c r="AK655" s="8">
        <f t="shared" ref="AK655:AK656" si="1825">SUM(O670)</f>
        <v>9201</v>
      </c>
      <c r="AL655" s="12">
        <f t="shared" ca="1" si="1802"/>
        <v>0.56493859363112708</v>
      </c>
      <c r="AM655" s="13">
        <f t="shared" ref="AM655:AM656" si="1826">SUM(Q670)</f>
        <v>1.5</v>
      </c>
      <c r="AN655" s="12">
        <f t="shared" ca="1" si="1804"/>
        <v>0.72330184089919858</v>
      </c>
      <c r="AO655" s="14">
        <f t="shared" ca="1" si="1805"/>
        <v>1.0849527613487979</v>
      </c>
      <c r="AP655" s="13">
        <f t="shared" ref="AP655:AQ655" ca="1" si="1827">SUM(T670)</f>
        <v>184</v>
      </c>
      <c r="AQ655" s="13">
        <f t="shared" ca="1" si="1827"/>
        <v>7.666666666666667</v>
      </c>
      <c r="AR655" s="9">
        <f t="shared" ca="1" si="1807"/>
        <v>216.58333333333334</v>
      </c>
      <c r="AS655" s="76"/>
      <c r="AT655" s="76"/>
    </row>
    <row r="656" spans="1:46" ht="15.75" customHeight="1" x14ac:dyDescent="0.25">
      <c r="A656" s="70"/>
      <c r="B656" s="16">
        <v>3</v>
      </c>
      <c r="C656" s="16" t="s">
        <v>30</v>
      </c>
      <c r="D656" s="17">
        <v>48</v>
      </c>
      <c r="E656" s="18">
        <f ca="1">IFERROR(__xludf.DUMMYFUNCTION("COUNT(IMPORTRANGE(""https://docs.google.com/spreadsheets/d/1WojVzHhpzodJL1e5UDHeu3A3u5MTSZwvxHu0BrwvL9w/edit"",""25!d2:d61""))"),47)</f>
        <v>47</v>
      </c>
      <c r="F656" s="23">
        <f ca="1">IFERROR(__xludf.DUMMYFUNCTION("SUM(IMPORTRANGE(""https://docs.google.com/spreadsheets/d/1WojVzHhpzodJL1e5UDHeu3A3u5MTSZwvxHu0BrwvL9w/edit"",""25!Q2:Q61""))"),8952.72099999999)</f>
        <v>8952.7209999999905</v>
      </c>
      <c r="G656" s="18">
        <f ca="1">IFERROR(__xludf.DUMMYFUNCTION("IMPORTRANGE(""https://docs.google.com/spreadsheets/d/1WojVzHhpzodJL1e5UDHeu3A3u5MTSZwvxHu0BrwvL9w/edit"",""25!e68"")"),2602)</f>
        <v>2602</v>
      </c>
      <c r="H656" s="18">
        <f ca="1">IFERROR(__xludf.DUMMYFUNCTION("IMPORTRANGE(""https://docs.google.com/spreadsheets/d/1WojVzHhpzodJL1e5UDHeu3A3u5MTSZwvxHu0BrwvL9w/edit"",""25!e69"")"),0)</f>
        <v>0</v>
      </c>
      <c r="I656" s="18">
        <f t="shared" ca="1" si="1812"/>
        <v>2602</v>
      </c>
      <c r="J656" s="18">
        <f ca="1">IFERROR(__xludf.DUMMYFUNCTION("IMPORTRANGE(""https://docs.google.com/spreadsheets/d/1WojVzHhpzodJL1e5UDHeu3A3u5MTSZwvxHu0BrwvL9w/edit"",""25!e72"")"),4043)</f>
        <v>4043</v>
      </c>
      <c r="K656" s="18">
        <f ca="1">IFERROR(__xludf.DUMMYFUNCTION("IMPORTRANGE(""https://docs.google.com/spreadsheets/d/1WojVzHhpzodJL1e5UDHeu3A3u5MTSZwvxHu0BrwvL9w/edit"",""25!e73"")"),0)</f>
        <v>0</v>
      </c>
      <c r="L656" s="18">
        <f t="shared" ca="1" si="1813"/>
        <v>4043</v>
      </c>
      <c r="M656" s="18">
        <f t="shared" ca="1" si="1814"/>
        <v>6645</v>
      </c>
      <c r="N656" s="19">
        <f t="shared" ca="1" si="1815"/>
        <v>190.48342553191469</v>
      </c>
      <c r="O656" s="16">
        <v>11164</v>
      </c>
      <c r="P656" s="20">
        <f t="shared" ca="1" si="1816"/>
        <v>0.59521676818344682</v>
      </c>
      <c r="Q656" s="21">
        <v>1.5</v>
      </c>
      <c r="R656" s="20">
        <f t="shared" ca="1" si="1817"/>
        <v>0.49482163020605746</v>
      </c>
      <c r="S656" s="22">
        <f t="shared" ca="1" si="1818"/>
        <v>0.74223244530908616</v>
      </c>
      <c r="T656" s="21">
        <f ca="1">F656/29.603</f>
        <v>302.42613924264401</v>
      </c>
      <c r="U656" s="21">
        <f t="shared" ca="1" si="1819"/>
        <v>6.4345987072902977</v>
      </c>
      <c r="V656" s="18">
        <f t="shared" ca="1" si="1820"/>
        <v>141.38297872340425</v>
      </c>
      <c r="W656" s="76"/>
      <c r="X656" s="8">
        <v>6</v>
      </c>
      <c r="Y656" s="8" t="s">
        <v>31</v>
      </c>
      <c r="Z656" s="8">
        <f t="shared" ref="Z656:AI656" si="1828">SUM(D671)</f>
        <v>12</v>
      </c>
      <c r="AA656" s="9">
        <f t="shared" ca="1" si="1828"/>
        <v>10</v>
      </c>
      <c r="AB656" s="11">
        <f t="shared" ca="1" si="1828"/>
        <v>1955.925</v>
      </c>
      <c r="AC656" s="9">
        <f t="shared" ca="1" si="1828"/>
        <v>626</v>
      </c>
      <c r="AD656" s="9">
        <f t="shared" ca="1" si="1828"/>
        <v>8</v>
      </c>
      <c r="AE656" s="9">
        <f t="shared" ca="1" si="1828"/>
        <v>634</v>
      </c>
      <c r="AF656" s="9">
        <f t="shared" ca="1" si="1828"/>
        <v>639</v>
      </c>
      <c r="AG656" s="9">
        <f t="shared" ca="1" si="1828"/>
        <v>0</v>
      </c>
      <c r="AH656" s="9">
        <f t="shared" ca="1" si="1828"/>
        <v>639</v>
      </c>
      <c r="AI656" s="9">
        <f t="shared" ca="1" si="1828"/>
        <v>1273</v>
      </c>
      <c r="AJ656" s="11">
        <f t="shared" ca="1" si="1824"/>
        <v>195.5925</v>
      </c>
      <c r="AK656" s="8">
        <f t="shared" si="1825"/>
        <v>2717</v>
      </c>
      <c r="AL656" s="12">
        <f t="shared" ca="1" si="1802"/>
        <v>0.46853146853146854</v>
      </c>
      <c r="AM656" s="13">
        <f t="shared" si="1826"/>
        <v>1.5</v>
      </c>
      <c r="AN656" s="12">
        <f t="shared" ca="1" si="1804"/>
        <v>0.43389530102977703</v>
      </c>
      <c r="AO656" s="14">
        <f t="shared" ca="1" si="1805"/>
        <v>0.65084295154466554</v>
      </c>
      <c r="AP656" s="13">
        <f t="shared" ref="AP656:AQ656" ca="1" si="1829">SUM(T671)</f>
        <v>44.999999999999993</v>
      </c>
      <c r="AQ656" s="13">
        <f t="shared" ca="1" si="1829"/>
        <v>4.4999999999999991</v>
      </c>
      <c r="AR656" s="9">
        <f t="shared" ca="1" si="1807"/>
        <v>127.3</v>
      </c>
      <c r="AS656" s="76"/>
      <c r="AT656" s="76"/>
    </row>
    <row r="657" spans="1:46" ht="15.75" customHeight="1" x14ac:dyDescent="0.25">
      <c r="A657" s="70"/>
      <c r="B657" s="16">
        <v>4</v>
      </c>
      <c r="C657" s="16" t="s">
        <v>32</v>
      </c>
      <c r="D657" s="17">
        <v>33</v>
      </c>
      <c r="E657" s="18">
        <f ca="1">IFERROR(__xludf.DUMMYFUNCTION("COUNT(IMPORTRANGE(""https://docs.google.com/spreadsheets/d/1vmCj5YcMSPHj1m64syDndQ6cqVL3yolcU03Y8KHmvdc/edit"",""25!d2:d43""))"),33)</f>
        <v>33</v>
      </c>
      <c r="F657" s="23">
        <f ca="1">IFERROR(__xludf.DUMMYFUNCTION("SUM(IMPORTRANGE(""https://docs.google.com/spreadsheets/d/1vmCj5YcMSPHj1m64syDndQ6cqVL3yolcU03Y8KHmvdc/edit"",""25!Q2:Q43""))"),6447.87299999999)</f>
        <v>6447.8729999999896</v>
      </c>
      <c r="G657" s="16">
        <f ca="1">IFERROR(__xludf.DUMMYFUNCTION("IMPORTRANGE(""https://docs.google.com/spreadsheets/d/1vmCj5YcMSPHj1m64syDndQ6cqVL3yolcU03Y8KHmvdc/edit"",""25!e50"")"),3761)</f>
        <v>3761</v>
      </c>
      <c r="H657" s="16">
        <f ca="1">IFERROR(__xludf.DUMMYFUNCTION("IMPORTRANGE(""https://docs.google.com/spreadsheets/d/1vmCj5YcMSPHj1m64syDndQ6cqVL3yolcU03Y8KHmvdc/edit"",""25!e51"")"),101)</f>
        <v>101</v>
      </c>
      <c r="I657" s="18">
        <f t="shared" ca="1" si="1812"/>
        <v>3862</v>
      </c>
      <c r="J657" s="16">
        <f ca="1">IFERROR(__xludf.DUMMYFUNCTION("IMPORTRANGE(""https://docs.google.com/spreadsheets/d/1vmCj5YcMSPHj1m64syDndQ6cqVL3yolcU03Y8KHmvdc/edit"",""25!e54"")"),4134)</f>
        <v>4134</v>
      </c>
      <c r="K657" s="16">
        <f ca="1">IFERROR(__xludf.DUMMYFUNCTION("IMPORTRANGE(""https://docs.google.com/spreadsheets/d/1vmCj5YcMSPHj1m64syDndQ6cqVL3yolcU03Y8KHmvdc/edit"",""25!e55"")"),0)</f>
        <v>0</v>
      </c>
      <c r="L657" s="18">
        <f t="shared" ca="1" si="1813"/>
        <v>4134</v>
      </c>
      <c r="M657" s="18">
        <f t="shared" ca="1" si="1814"/>
        <v>7996</v>
      </c>
      <c r="N657" s="19">
        <f t="shared" ca="1" si="1815"/>
        <v>195.39009090909059</v>
      </c>
      <c r="O657" s="16">
        <v>13817</v>
      </c>
      <c r="P657" s="20">
        <f t="shared" ca="1" si="1816"/>
        <v>0.57870738944778177</v>
      </c>
      <c r="Q657" s="21">
        <v>1.5</v>
      </c>
      <c r="R657" s="20">
        <f t="shared" ca="1" si="1817"/>
        <v>0.82673257780770115</v>
      </c>
      <c r="S657" s="22">
        <f t="shared" ca="1" si="1818"/>
        <v>1.2400988667115518</v>
      </c>
      <c r="T657" s="21">
        <f ca="1">F657/25.089</f>
        <v>256.9999999999996</v>
      </c>
      <c r="U657" s="21">
        <f t="shared" ca="1" si="1819"/>
        <v>7.7878787878787756</v>
      </c>
      <c r="V657" s="18">
        <f t="shared" ca="1" si="1820"/>
        <v>242.30303030303031</v>
      </c>
      <c r="W657" s="76"/>
      <c r="X657" s="24" t="s">
        <v>33</v>
      </c>
      <c r="Y657" s="24">
        <v>6</v>
      </c>
      <c r="Z657" s="24">
        <f t="shared" ref="Z657:AI657" si="1830">SUM(Z651:Z656)</f>
        <v>152</v>
      </c>
      <c r="AA657" s="25">
        <f t="shared" ca="1" si="1830"/>
        <v>146</v>
      </c>
      <c r="AB657" s="26">
        <f t="shared" ca="1" si="1830"/>
        <v>28443.884999999969</v>
      </c>
      <c r="AC657" s="25">
        <f t="shared" ca="1" si="1830"/>
        <v>8747</v>
      </c>
      <c r="AD657" s="25">
        <f t="shared" ca="1" si="1830"/>
        <v>481</v>
      </c>
      <c r="AE657" s="25">
        <f t="shared" ca="1" si="1830"/>
        <v>9228</v>
      </c>
      <c r="AF657" s="25">
        <f t="shared" ca="1" si="1830"/>
        <v>11672</v>
      </c>
      <c r="AG657" s="25">
        <f t="shared" ca="1" si="1830"/>
        <v>461</v>
      </c>
      <c r="AH657" s="25">
        <f t="shared" ca="1" si="1830"/>
        <v>12133</v>
      </c>
      <c r="AI657" s="25">
        <f t="shared" ca="1" si="1830"/>
        <v>21361</v>
      </c>
      <c r="AJ657" s="27">
        <f t="shared" ca="1" si="1824"/>
        <v>194.82113013698608</v>
      </c>
      <c r="AK657" s="24">
        <f>SUM(AK651:AK656)</f>
        <v>35074</v>
      </c>
      <c r="AL657" s="28">
        <f t="shared" ca="1" si="1802"/>
        <v>0.60902662941210017</v>
      </c>
      <c r="AM657" s="29">
        <v>1.5</v>
      </c>
      <c r="AN657" s="28">
        <f t="shared" ca="1" si="1804"/>
        <v>0.50065828443149318</v>
      </c>
      <c r="AO657" s="30">
        <f t="shared" ca="1" si="1805"/>
        <v>0.75098742664723972</v>
      </c>
      <c r="AP657" s="29">
        <f ca="1">SUM(AP651:AP656)</f>
        <v>1073.8057244629324</v>
      </c>
      <c r="AQ657" s="29">
        <f ca="1">AP657/AA657</f>
        <v>7.3548337291981669</v>
      </c>
      <c r="AR657" s="25">
        <f t="shared" ca="1" si="1807"/>
        <v>146.3082191780822</v>
      </c>
      <c r="AS657" s="76"/>
      <c r="AT657" s="76"/>
    </row>
    <row r="658" spans="1:46" ht="15.75" customHeight="1" x14ac:dyDescent="0.25">
      <c r="A658" s="70"/>
      <c r="B658" s="16">
        <v>5</v>
      </c>
      <c r="C658" s="16" t="s">
        <v>34</v>
      </c>
      <c r="D658" s="17">
        <v>32</v>
      </c>
      <c r="E658" s="18">
        <f ca="1">IFERROR(__xludf.DUMMYFUNCTION("COUNT(IMPORTRANGE(""https://docs.google.com/spreadsheets/d/14_Y-fpuq1wcec3DlT_1PBYekOC0YblQMrWVfO12YO3k/edit"",""25!d2:d41""))"),31)</f>
        <v>31</v>
      </c>
      <c r="F658" s="23">
        <f ca="1">IFERROR(__xludf.DUMMYFUNCTION("SUM(IMPORTRANGE(""https://docs.google.com/spreadsheets/d/14_Y-fpuq1wcec3DlT_1PBYekOC0YblQMrWVfO12YO3k/edit"",""25!Q2:Q41""))"),6037.911)</f>
        <v>6037.9110000000001</v>
      </c>
      <c r="G658" s="18">
        <f ca="1">IFERROR(__xludf.DUMMYFUNCTION("IMPORTRANGE(""https://docs.google.com/spreadsheets/d/14_Y-fpuq1wcec3DlT_1PBYekOC0YblQMrWVfO12YO3k/edit"",""25!e48"")"),1849)</f>
        <v>1849</v>
      </c>
      <c r="H658" s="18">
        <f ca="1">IFERROR(__xludf.DUMMYFUNCTION("IMPORTRANGE(""https://docs.google.com/spreadsheets/d/14_Y-fpuq1wcec3DlT_1PBYekOC0YblQMrWVfO12YO3k/edit"",""25!e49"")"),79)</f>
        <v>79</v>
      </c>
      <c r="I658" s="18">
        <f t="shared" ca="1" si="1812"/>
        <v>1928</v>
      </c>
      <c r="J658" s="18">
        <f ca="1">IFERROR(__xludf.DUMMYFUNCTION("IMPORTRANGE(""https://docs.google.com/spreadsheets/d/14_Y-fpuq1wcec3DlT_1PBYekOC0YblQMrWVfO12YO3k/edit"",""25!e52"")"),2446)</f>
        <v>2446</v>
      </c>
      <c r="K658" s="18">
        <f ca="1">IFERROR(__xludf.DUMMYFUNCTION("IMPORTRANGE(""https://docs.google.com/spreadsheets/d/14_Y-fpuq1wcec3DlT_1PBYekOC0YblQMrWVfO12YO3k/edit"",""25!e53"")"),85)</f>
        <v>85</v>
      </c>
      <c r="L658" s="18">
        <f t="shared" ca="1" si="1813"/>
        <v>2531</v>
      </c>
      <c r="M658" s="18">
        <f t="shared" ca="1" si="1814"/>
        <v>4459</v>
      </c>
      <c r="N658" s="19">
        <f t="shared" ca="1" si="1815"/>
        <v>194.77132258064518</v>
      </c>
      <c r="O658" s="16">
        <v>9354</v>
      </c>
      <c r="P658" s="20">
        <f t="shared" ca="1" si="1816"/>
        <v>0.47669446226213386</v>
      </c>
      <c r="Q658" s="21">
        <v>1.5</v>
      </c>
      <c r="R658" s="20">
        <f t="shared" ca="1" si="1817"/>
        <v>0.49233363437564193</v>
      </c>
      <c r="S658" s="22">
        <f t="shared" ca="1" si="1818"/>
        <v>0.73850045156346289</v>
      </c>
      <c r="T658" s="21">
        <f ca="1">F658/30.713</f>
        <v>196.59137824374042</v>
      </c>
      <c r="U658" s="21">
        <f t="shared" ca="1" si="1819"/>
        <v>6.3416573627013042</v>
      </c>
      <c r="V658" s="18">
        <f t="shared" ca="1" si="1820"/>
        <v>143.83870967741936</v>
      </c>
      <c r="W658" s="76"/>
      <c r="X658" s="100" t="s">
        <v>35</v>
      </c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9"/>
      <c r="AS658" s="76"/>
      <c r="AT658" s="76"/>
    </row>
    <row r="659" spans="1:46" ht="15.75" customHeight="1" x14ac:dyDescent="0.25">
      <c r="A659" s="70"/>
      <c r="B659" s="16">
        <v>6</v>
      </c>
      <c r="C659" s="16" t="s">
        <v>23</v>
      </c>
      <c r="D659" s="17">
        <v>28</v>
      </c>
      <c r="E659" s="18">
        <f ca="1">IFERROR(__xludf.DUMMYFUNCTION("COUNT(IMPORTRANGE(""https://docs.google.com/spreadsheets/d/1lJqjdj05V4LOXuBOiTdE65GV4ZITyx1cMLcDdcuoUnE/edit"",""25!d2:d36""))"),27)</f>
        <v>27</v>
      </c>
      <c r="F659" s="23">
        <f ca="1">IFERROR(__xludf.DUMMYFUNCTION("SUM(IMPORTRANGE(""https://docs.google.com/spreadsheets/d/1lJqjdj05V4LOXuBOiTdE65GV4ZITyx1cMLcDdcuoUnE/edit"",""25!Q2:Q36""))"),5297.17999999999)</f>
        <v>5297.1799999999903</v>
      </c>
      <c r="G659" s="18">
        <f ca="1">IFERROR(__xludf.DUMMYFUNCTION("IMPORTRANGE(""https://docs.google.com/spreadsheets/d/1lJqjdj05V4LOXuBOiTdE65GV4ZITyx1cMLcDdcuoUnE/edit"",""25!e43"")"),1328)</f>
        <v>1328</v>
      </c>
      <c r="H659" s="18">
        <f ca="1">IFERROR(__xludf.DUMMYFUNCTION("IMPORTRANGE(""https://docs.google.com/spreadsheets/d/1lJqjdj05V4LOXuBOiTdE65GV4ZITyx1cMLcDdcuoUnE/edit"",""25!e44"")"),0)</f>
        <v>0</v>
      </c>
      <c r="I659" s="18">
        <f t="shared" ca="1" si="1812"/>
        <v>1328</v>
      </c>
      <c r="J659" s="18">
        <f ca="1">IFERROR(__xludf.DUMMYFUNCTION("IMPORTRANGE(""https://docs.google.com/spreadsheets/d/1lJqjdj05V4LOXuBOiTdE65GV4ZITyx1cMLcDdcuoUnE/edit"",""25!e47"")"),2356)</f>
        <v>2356</v>
      </c>
      <c r="K659" s="18">
        <f ca="1">IFERROR(__xludf.DUMMYFUNCTION("IMPORTRANGE(""https://docs.google.com/spreadsheets/d/1lJqjdj05V4LOXuBOiTdE65GV4ZITyx1cMLcDdcuoUnE/edit"",""25!e48"")"),0)</f>
        <v>0</v>
      </c>
      <c r="L659" s="18">
        <f t="shared" ca="1" si="1813"/>
        <v>2356</v>
      </c>
      <c r="M659" s="18">
        <f t="shared" ca="1" si="1814"/>
        <v>3684</v>
      </c>
      <c r="N659" s="19">
        <f t="shared" ca="1" si="1815"/>
        <v>196.19185185185148</v>
      </c>
      <c r="O659" s="16">
        <v>6853</v>
      </c>
      <c r="P659" s="20">
        <f t="shared" ca="1" si="1816"/>
        <v>0.53757478476579601</v>
      </c>
      <c r="Q659" s="21">
        <v>1.5</v>
      </c>
      <c r="R659" s="20">
        <f t="shared" ca="1" si="1817"/>
        <v>0.46364291944015584</v>
      </c>
      <c r="S659" s="22">
        <f t="shared" ca="1" si="1818"/>
        <v>0.69546437916023374</v>
      </c>
      <c r="T659" s="21">
        <f ca="1">F659/33.74</f>
        <v>156.99999999999972</v>
      </c>
      <c r="U659" s="21">
        <f t="shared" ca="1" si="1819"/>
        <v>5.8148148148148042</v>
      </c>
      <c r="V659" s="18">
        <f t="shared" ca="1" si="1820"/>
        <v>136.44444444444446</v>
      </c>
      <c r="W659" s="76"/>
      <c r="X659" s="1" t="s">
        <v>2</v>
      </c>
      <c r="Y659" s="1" t="s">
        <v>3</v>
      </c>
      <c r="Z659" s="1" t="s">
        <v>4</v>
      </c>
      <c r="AA659" s="1" t="s">
        <v>5</v>
      </c>
      <c r="AB659" s="2" t="s">
        <v>6</v>
      </c>
      <c r="AC659" s="1" t="s">
        <v>7</v>
      </c>
      <c r="AD659" s="1" t="s">
        <v>8</v>
      </c>
      <c r="AE659" s="1" t="s">
        <v>9</v>
      </c>
      <c r="AF659" s="1" t="s">
        <v>10</v>
      </c>
      <c r="AG659" s="1" t="s">
        <v>11</v>
      </c>
      <c r="AH659" s="1" t="s">
        <v>12</v>
      </c>
      <c r="AI659" s="1" t="s">
        <v>13</v>
      </c>
      <c r="AJ659" s="2" t="s">
        <v>14</v>
      </c>
      <c r="AK659" s="1" t="s">
        <v>15</v>
      </c>
      <c r="AL659" s="1" t="s">
        <v>16</v>
      </c>
      <c r="AM659" s="3" t="s">
        <v>17</v>
      </c>
      <c r="AN659" s="4" t="s">
        <v>18</v>
      </c>
      <c r="AO659" s="5" t="s">
        <v>19</v>
      </c>
      <c r="AP659" s="6" t="s">
        <v>20</v>
      </c>
      <c r="AQ659" s="6" t="s">
        <v>21</v>
      </c>
      <c r="AR659" s="7" t="s">
        <v>22</v>
      </c>
      <c r="AS659" s="76"/>
      <c r="AT659" s="76"/>
    </row>
    <row r="660" spans="1:46" ht="15.75" customHeight="1" x14ac:dyDescent="0.25">
      <c r="A660" s="70"/>
      <c r="B660" s="16">
        <v>7</v>
      </c>
      <c r="C660" s="16" t="s">
        <v>24</v>
      </c>
      <c r="D660" s="17">
        <v>37</v>
      </c>
      <c r="E660" s="31">
        <f ca="1">IFERROR(__xludf.DUMMYFUNCTION("COUNT(IMPORTRANGE(""https://docs.google.com/spreadsheets/d/1_7EEO26q9Yq-XhNFiy7I6Zh4Yg6uGjTs9y0UqNvPKcQ/edit"",""25!d2:d45""))"),37)</f>
        <v>37</v>
      </c>
      <c r="F660" s="32">
        <f ca="1">IFERROR(__xludf.DUMMYFUNCTION("SUM(IMPORTRANGE(""https://docs.google.com/spreadsheets/d/1_7EEO26q9Yq-XhNFiy7I6Zh4Yg6uGjTs9y0UqNvPKcQ/edit"",""25!Q2:Q45""))"),7090.19199999999)</f>
        <v>7090.19199999999</v>
      </c>
      <c r="G660" s="31">
        <f ca="1">IFERROR(__xludf.DUMMYFUNCTION("IMPORTRANGE(""https://docs.google.com/spreadsheets/d/1_7EEO26q9Yq-XhNFiy7I6Zh4Yg6uGjTs9y0UqNvPKcQ/edit"",""25!e53"")"),854)</f>
        <v>854</v>
      </c>
      <c r="H660" s="31">
        <f ca="1">IFERROR(__xludf.DUMMYFUNCTION("IMPORTRANGE(""https://docs.google.com/spreadsheets/d/1_7EEO26q9Yq-XhNFiy7I6Zh4Yg6uGjTs9y0UqNvPKcQ/edit"",""25!e54"")"),11)</f>
        <v>11</v>
      </c>
      <c r="I660" s="31">
        <f t="shared" ca="1" si="1812"/>
        <v>865</v>
      </c>
      <c r="J660" s="31">
        <f ca="1">IFERROR(__xludf.DUMMYFUNCTION("IMPORTRANGE(""https://docs.google.com/spreadsheets/d/1_7EEO26q9Yq-XhNFiy7I6Zh4Yg6uGjTs9y0UqNvPKcQ/edit"",""25!e57"")"),967)</f>
        <v>967</v>
      </c>
      <c r="K660" s="31">
        <f ca="1">IFERROR(__xludf.DUMMYFUNCTION("IMPORTRANGE(""https://docs.google.com/spreadsheets/d/1_7EEO26q9Yq-XhNFiy7I6Zh4Yg6uGjTs9y0UqNvPKcQ/edit"",""25!e58"")"),0)</f>
        <v>0</v>
      </c>
      <c r="L660" s="18">
        <f t="shared" ca="1" si="1813"/>
        <v>967</v>
      </c>
      <c r="M660" s="18">
        <f t="shared" ca="1" si="1814"/>
        <v>1832</v>
      </c>
      <c r="N660" s="19">
        <f t="shared" ca="1" si="1815"/>
        <v>191.62681081081055</v>
      </c>
      <c r="O660" s="16">
        <v>1580</v>
      </c>
      <c r="P660" s="33">
        <f t="shared" ca="1" si="1816"/>
        <v>1.1594936708860759</v>
      </c>
      <c r="Q660" s="21">
        <v>1.5</v>
      </c>
      <c r="R660" s="20">
        <f t="shared" ca="1" si="1817"/>
        <v>0.17225673625387508</v>
      </c>
      <c r="S660" s="22">
        <f t="shared" ca="1" si="1818"/>
        <v>0.25838510438081264</v>
      </c>
      <c r="T660" s="21">
        <f ca="1">F660/26.805</f>
        <v>264.510054094385</v>
      </c>
      <c r="U660" s="21">
        <f t="shared" ca="1" si="1819"/>
        <v>7.148920380929324</v>
      </c>
      <c r="V660" s="18">
        <f t="shared" ca="1" si="1820"/>
        <v>49.513513513513516</v>
      </c>
      <c r="W660" s="76"/>
      <c r="X660" s="8">
        <v>1</v>
      </c>
      <c r="Y660" s="8" t="s">
        <v>28</v>
      </c>
      <c r="Z660" s="8">
        <f t="shared" ref="Z660:AI660" si="1831">SUM(D655)</f>
        <v>26</v>
      </c>
      <c r="AA660" s="9">
        <f t="shared" ca="1" si="1831"/>
        <v>26</v>
      </c>
      <c r="AB660" s="11">
        <f t="shared" ca="1" si="1831"/>
        <v>4953.0860000000002</v>
      </c>
      <c r="AC660" s="9">
        <f t="shared" ca="1" si="1831"/>
        <v>1896</v>
      </c>
      <c r="AD660" s="9">
        <f t="shared" ca="1" si="1831"/>
        <v>139</v>
      </c>
      <c r="AE660" s="9">
        <f t="shared" ca="1" si="1831"/>
        <v>2035</v>
      </c>
      <c r="AF660" s="9">
        <f t="shared" ca="1" si="1831"/>
        <v>1899</v>
      </c>
      <c r="AG660" s="9">
        <f t="shared" ca="1" si="1831"/>
        <v>77</v>
      </c>
      <c r="AH660" s="9">
        <f t="shared" ca="1" si="1831"/>
        <v>1976</v>
      </c>
      <c r="AI660" s="9">
        <f t="shared" ca="1" si="1831"/>
        <v>4011</v>
      </c>
      <c r="AJ660" s="11">
        <f t="shared" ref="AJ660:AJ666" ca="1" si="1832">AB660/AA660</f>
        <v>190.50330769230771</v>
      </c>
      <c r="AK660" s="8">
        <f t="shared" ref="AK660:AK661" si="1833">SUM(O655)</f>
        <v>7315</v>
      </c>
      <c r="AL660" s="12">
        <f t="shared" ref="AL660:AL666" ca="1" si="1834">AI660/AK660</f>
        <v>0.54832535885167466</v>
      </c>
      <c r="AM660" s="13">
        <f t="shared" ref="AM660:AM661" si="1835">SUM(Q655)</f>
        <v>1.5</v>
      </c>
      <c r="AN660" s="12">
        <f t="shared" ref="AN660:AN666" ca="1" si="1836">AO660/AM660</f>
        <v>0.53986544953994342</v>
      </c>
      <c r="AO660" s="14">
        <f t="shared" ref="AO660:AO666" ca="1" si="1837">AI660/AB660</f>
        <v>0.80979817430991508</v>
      </c>
      <c r="AP660" s="13">
        <f t="shared" ref="AP660:AQ660" ca="1" si="1838">SUM(T655)</f>
        <v>160.30960934718581</v>
      </c>
      <c r="AQ660" s="13">
        <f t="shared" ca="1" si="1838"/>
        <v>6.1657542056609929</v>
      </c>
      <c r="AR660" s="9">
        <f t="shared" ref="AR660:AR666" ca="1" si="1839">AI660/AA660</f>
        <v>154.26923076923077</v>
      </c>
      <c r="AS660" s="76"/>
      <c r="AT660" s="76"/>
    </row>
    <row r="661" spans="1:46" ht="15.75" customHeight="1" x14ac:dyDescent="0.25">
      <c r="A661" s="70"/>
      <c r="B661" s="16">
        <v>8</v>
      </c>
      <c r="C661" s="16" t="s">
        <v>25</v>
      </c>
      <c r="D661" s="34">
        <v>27</v>
      </c>
      <c r="E661" s="18">
        <f ca="1">IFERROR(__xludf.DUMMYFUNCTION("COUNT(IMPORTRANGE(""https://docs.google.com/spreadsheets/d/1vLOLpiE-XsbnCnwWPcoi87PlUSXfqIAAQn3kvqHfO6s/edit"",""25!d2:D33""))"),27)</f>
        <v>27</v>
      </c>
      <c r="F661" s="23">
        <f ca="1">IFERROR(__xludf.DUMMYFUNCTION("SUM(IMPORTRANGE(""https://docs.google.com/spreadsheets/d/1vLOLpiE-XsbnCnwWPcoi87PlUSXfqIAAQn3kvqHfO6s/edit"",""25!Q2:Q33""))"),5256.748)</f>
        <v>5256.7479999999996</v>
      </c>
      <c r="G661" s="18">
        <f ca="1">IFERROR(__xludf.DUMMYFUNCTION("IMPORTRANGE(""https://docs.google.com/spreadsheets/d/1vLOLpiE-XsbnCnwWPcoi87PlUSXfqIAAQn3kvqHfO6s/edit"",""25!e40"")"),1957)</f>
        <v>1957</v>
      </c>
      <c r="H661" s="18">
        <f ca="1">IFERROR(__xludf.DUMMYFUNCTION("IMPORTRANGE(""https://docs.google.com/spreadsheets/d/1vLOLpiE-XsbnCnwWPcoi87PlUSXfqIAAQn3kvqHfO6s/edit"",""25!e41"")"),462)</f>
        <v>462</v>
      </c>
      <c r="I661" s="18">
        <f t="shared" ca="1" si="1812"/>
        <v>2419</v>
      </c>
      <c r="J661" s="18">
        <f ca="1">IFERROR(__xludf.DUMMYFUNCTION("IMPORTRANGE(""https://docs.google.com/spreadsheets/d/1vLOLpiE-XsbnCnwWPcoi87PlUSXfqIAAQn3kvqHfO6s/edit"",""25!e44"")"),2402)</f>
        <v>2402</v>
      </c>
      <c r="K661" s="18">
        <f ca="1">IFERROR(__xludf.DUMMYFUNCTION("IMPORTRANGE(""https://docs.google.com/spreadsheets/d/1vLOLpiE-XsbnCnwWPcoi87PlUSXfqIAAQn3kvqHfO6s/edit"",""25!e45"")"),325)</f>
        <v>325</v>
      </c>
      <c r="L661" s="18">
        <f ca="1">J661+K661</f>
        <v>2727</v>
      </c>
      <c r="M661" s="18">
        <f t="shared" ca="1" si="1814"/>
        <v>5146</v>
      </c>
      <c r="N661" s="19">
        <f t="shared" ca="1" si="1815"/>
        <v>194.69437037037036</v>
      </c>
      <c r="O661" s="16">
        <v>6622</v>
      </c>
      <c r="P661" s="20">
        <f t="shared" ca="1" si="1816"/>
        <v>0.77710661431591666</v>
      </c>
      <c r="Q661" s="21">
        <v>1.5</v>
      </c>
      <c r="R661" s="20">
        <f t="shared" ca="1" si="1817"/>
        <v>0.65262148131633224</v>
      </c>
      <c r="S661" s="22">
        <f t="shared" ca="1" si="1818"/>
        <v>0.97893222197449836</v>
      </c>
      <c r="T661" s="21">
        <f ca="1">F661/23.84</f>
        <v>220.50117449664427</v>
      </c>
      <c r="U661" s="21">
        <f t="shared" ca="1" si="1819"/>
        <v>8.16671016654238</v>
      </c>
      <c r="V661" s="18">
        <f t="shared" ca="1" si="1820"/>
        <v>190.59259259259258</v>
      </c>
      <c r="W661" s="76"/>
      <c r="X661" s="8">
        <v>2</v>
      </c>
      <c r="Y661" s="8" t="s">
        <v>30</v>
      </c>
      <c r="Z661" s="8">
        <f t="shared" ref="Z661:AI661" si="1840">SUM(D656)</f>
        <v>48</v>
      </c>
      <c r="AA661" s="9">
        <f t="shared" ca="1" si="1840"/>
        <v>47</v>
      </c>
      <c r="AB661" s="10">
        <f t="shared" ca="1" si="1840"/>
        <v>8952.7209999999905</v>
      </c>
      <c r="AC661" s="9">
        <f t="shared" ca="1" si="1840"/>
        <v>2602</v>
      </c>
      <c r="AD661" s="9">
        <f t="shared" ca="1" si="1840"/>
        <v>0</v>
      </c>
      <c r="AE661" s="9">
        <f t="shared" ca="1" si="1840"/>
        <v>2602</v>
      </c>
      <c r="AF661" s="9">
        <f t="shared" ca="1" si="1840"/>
        <v>4043</v>
      </c>
      <c r="AG661" s="9">
        <f t="shared" ca="1" si="1840"/>
        <v>0</v>
      </c>
      <c r="AH661" s="9">
        <f t="shared" ca="1" si="1840"/>
        <v>4043</v>
      </c>
      <c r="AI661" s="9">
        <f t="shared" ca="1" si="1840"/>
        <v>6645</v>
      </c>
      <c r="AJ661" s="11">
        <f t="shared" ca="1" si="1832"/>
        <v>190.48342553191469</v>
      </c>
      <c r="AK661" s="8">
        <f t="shared" si="1833"/>
        <v>11164</v>
      </c>
      <c r="AL661" s="12">
        <f t="shared" ca="1" si="1834"/>
        <v>0.59521676818344682</v>
      </c>
      <c r="AM661" s="13">
        <f t="shared" si="1835"/>
        <v>1.5</v>
      </c>
      <c r="AN661" s="12">
        <f t="shared" ca="1" si="1836"/>
        <v>0.49482163020605746</v>
      </c>
      <c r="AO661" s="14">
        <f t="shared" ca="1" si="1837"/>
        <v>0.74223244530908616</v>
      </c>
      <c r="AP661" s="13">
        <f t="shared" ref="AP661:AQ661" ca="1" si="1841">SUM(T656)</f>
        <v>302.42613924264401</v>
      </c>
      <c r="AQ661" s="13">
        <f t="shared" ca="1" si="1841"/>
        <v>6.4345987072902977</v>
      </c>
      <c r="AR661" s="9">
        <f t="shared" ca="1" si="1839"/>
        <v>141.38297872340425</v>
      </c>
      <c r="AS661" s="76"/>
      <c r="AT661" s="76"/>
    </row>
    <row r="662" spans="1:46" ht="15.75" customHeight="1" x14ac:dyDescent="0.25">
      <c r="A662" s="70"/>
      <c r="B662" s="16">
        <v>9</v>
      </c>
      <c r="C662" s="16" t="s">
        <v>36</v>
      </c>
      <c r="D662" s="34">
        <v>23</v>
      </c>
      <c r="E662" s="18">
        <f ca="1">IFERROR(__xludf.DUMMYFUNCTION("COUNT(IMPORTRANGE(""https://docs.google.com/spreadsheets/d/1WJJVq25XDtGjt-J2JPxeKs3jIvDZtkIREC0lFPXwf74/edit"",""25!d2:d31""))"),23)</f>
        <v>23</v>
      </c>
      <c r="F662" s="23">
        <f ca="1">IFERROR(__xludf.DUMMYFUNCTION("SUM(IMPORTRANGE(""https://docs.google.com/spreadsheets/d/1WJJVq25XDtGjt-J2JPxeKs3jIvDZtkIREC0lFPXwf74/edit"",""25!Q2:Q31""))"),4484.89199999999)</f>
        <v>4484.8919999999898</v>
      </c>
      <c r="G662" s="18">
        <f ca="1">IFERROR(__xludf.DUMMYFUNCTION("IMPORTRANGE(""https://docs.google.com/spreadsheets/d/1WJJVq25XDtGjt-J2JPxeKs3jIvDZtkIREC0lFPXwf74/edit"",""25!e38"")"),1114)</f>
        <v>1114</v>
      </c>
      <c r="H662" s="18">
        <f ca="1">IFERROR(__xludf.DUMMYFUNCTION("IMPORTRANGE(""https://docs.google.com/spreadsheets/d/1WJJVq25XDtGjt-J2JPxeKs3jIvDZtkIREC0lFPXwf74/edit"",""25!e39"")"),0)</f>
        <v>0</v>
      </c>
      <c r="I662" s="18">
        <f t="shared" ca="1" si="1812"/>
        <v>1114</v>
      </c>
      <c r="J662" s="18">
        <f ca="1">IFERROR(__xludf.DUMMYFUNCTION("IMPORTRANGE(""https://docs.google.com/spreadsheets/d/1WJJVq25XDtGjt-J2JPxeKs3jIvDZtkIREC0lFPXwf74/edit"",""25!e42"")"),1625)</f>
        <v>1625</v>
      </c>
      <c r="K662" s="18">
        <f ca="1">IFERROR(__xludf.DUMMYFUNCTION("IMPORTRANGE(""https://docs.google.com/spreadsheets/d/1WJJVq25XDtGjt-J2JPxeKs3jIvDZtkIREC0lFPXwf74/edit"",""25!e43"")"),0)</f>
        <v>0</v>
      </c>
      <c r="L662" s="18">
        <f t="shared" ref="L662:L671" ca="1" si="1842">SUM(J662:K662)</f>
        <v>1625</v>
      </c>
      <c r="M662" s="18">
        <f t="shared" ca="1" si="1814"/>
        <v>2739</v>
      </c>
      <c r="N662" s="19">
        <f t="shared" ca="1" si="1815"/>
        <v>194.99530434782565</v>
      </c>
      <c r="O662" s="16">
        <v>4796</v>
      </c>
      <c r="P662" s="20">
        <f t="shared" ca="1" si="1816"/>
        <v>0.57110091743119262</v>
      </c>
      <c r="Q662" s="21">
        <v>1.5</v>
      </c>
      <c r="R662" s="20">
        <f t="shared" ca="1" si="1817"/>
        <v>0.40714469824468552</v>
      </c>
      <c r="S662" s="22">
        <f t="shared" ca="1" si="1818"/>
        <v>0.61071704736702825</v>
      </c>
      <c r="T662" s="21">
        <f ca="1">F662/37.414</f>
        <v>119.87202651413881</v>
      </c>
      <c r="U662" s="21">
        <f t="shared" ca="1" si="1819"/>
        <v>5.2118272397451655</v>
      </c>
      <c r="V662" s="18">
        <f t="shared" ca="1" si="1820"/>
        <v>119.08695652173913</v>
      </c>
      <c r="W662" s="76"/>
      <c r="X662" s="8">
        <v>3</v>
      </c>
      <c r="Y662" s="8" t="s">
        <v>34</v>
      </c>
      <c r="Z662" s="8">
        <f t="shared" ref="Z662:AI662" si="1843">SUM(D658)</f>
        <v>32</v>
      </c>
      <c r="AA662" s="9">
        <f t="shared" ca="1" si="1843"/>
        <v>31</v>
      </c>
      <c r="AB662" s="10">
        <f t="shared" ca="1" si="1843"/>
        <v>6037.9110000000001</v>
      </c>
      <c r="AC662" s="9">
        <f t="shared" ca="1" si="1843"/>
        <v>1849</v>
      </c>
      <c r="AD662" s="9">
        <f t="shared" ca="1" si="1843"/>
        <v>79</v>
      </c>
      <c r="AE662" s="9">
        <f t="shared" ca="1" si="1843"/>
        <v>1928</v>
      </c>
      <c r="AF662" s="9">
        <f t="shared" ca="1" si="1843"/>
        <v>2446</v>
      </c>
      <c r="AG662" s="9">
        <f t="shared" ca="1" si="1843"/>
        <v>85</v>
      </c>
      <c r="AH662" s="9">
        <f t="shared" ca="1" si="1843"/>
        <v>2531</v>
      </c>
      <c r="AI662" s="9">
        <f t="shared" ca="1" si="1843"/>
        <v>4459</v>
      </c>
      <c r="AJ662" s="11">
        <f t="shared" ca="1" si="1832"/>
        <v>194.77132258064518</v>
      </c>
      <c r="AK662" s="8">
        <f>SUM(O658)</f>
        <v>9354</v>
      </c>
      <c r="AL662" s="12">
        <f t="shared" ca="1" si="1834"/>
        <v>0.47669446226213386</v>
      </c>
      <c r="AM662" s="13">
        <f>SUM(Q658)</f>
        <v>1.5</v>
      </c>
      <c r="AN662" s="12">
        <f t="shared" ca="1" si="1836"/>
        <v>0.49233363437564193</v>
      </c>
      <c r="AO662" s="14">
        <f t="shared" ca="1" si="1837"/>
        <v>0.73850045156346289</v>
      </c>
      <c r="AP662" s="13">
        <f t="shared" ref="AP662:AQ662" ca="1" si="1844">SUM(T658)</f>
        <v>196.59137824374042</v>
      </c>
      <c r="AQ662" s="13">
        <f t="shared" ca="1" si="1844"/>
        <v>6.3416573627013042</v>
      </c>
      <c r="AR662" s="9">
        <f t="shared" ca="1" si="1839"/>
        <v>143.83870967741936</v>
      </c>
      <c r="AS662" s="76"/>
      <c r="AT662" s="76"/>
    </row>
    <row r="663" spans="1:46" ht="15.75" customHeight="1" x14ac:dyDescent="0.25">
      <c r="A663" s="70"/>
      <c r="B663" s="16">
        <v>10</v>
      </c>
      <c r="C663" s="16" t="s">
        <v>37</v>
      </c>
      <c r="D663" s="17">
        <v>24</v>
      </c>
      <c r="E663" s="18">
        <f ca="1">IFERROR(__xludf.DUMMYFUNCTION("COUNT(IMPORTRANGE(""https://docs.google.com/spreadsheets/d/1rJyYfywRpWJW0zvDJHLOJtqUQqffoCGaqTVxxTDgV0k/edit"",""25!d2:d31""))"),23)</f>
        <v>23</v>
      </c>
      <c r="F663" s="23">
        <f ca="1">IFERROR(__xludf.DUMMYFUNCTION("SUM(IMPORTRANGE(""https://docs.google.com/spreadsheets/d/1rJyYfywRpWJW0zvDJHLOJtqUQqffoCGaqTVxxTDgV0k/edit"",""25!Q2:Q31""))"),4349.46)</f>
        <v>4349.46</v>
      </c>
      <c r="G663" s="18">
        <f ca="1">IFERROR(__xludf.DUMMYFUNCTION("(IMPORTRANGE(""https://docs.google.com/spreadsheets/d/1rJyYfywRpWJW0zvDJHLOJtqUQqffoCGaqTVxxTDgV0k/edit"",""25!e38""))"),1279)</f>
        <v>1279</v>
      </c>
      <c r="H663" s="18">
        <f ca="1">IFERROR(__xludf.DUMMYFUNCTION("(IMPORTRANGE(""https://docs.google.com/spreadsheets/d/1rJyYfywRpWJW0zvDJHLOJtqUQqffoCGaqTVxxTDgV0k/edit"",""25!e39""))"),0)</f>
        <v>0</v>
      </c>
      <c r="I663" s="18">
        <f t="shared" ca="1" si="1812"/>
        <v>1279</v>
      </c>
      <c r="J663" s="18">
        <f ca="1">IFERROR(__xludf.DUMMYFUNCTION("(IMPORTRANGE(""https://docs.google.com/spreadsheets/d/1rJyYfywRpWJW0zvDJHLOJtqUQqffoCGaqTVxxTDgV0k/edit"",""25!e42""))"),2475)</f>
        <v>2475</v>
      </c>
      <c r="K663" s="18">
        <f ca="1">IFERROR(__xludf.DUMMYFUNCTION("(IMPORTRANGE(""https://docs.google.com/spreadsheets/d/1rJyYfywRpWJW0zvDJHLOJtqUQqffoCGaqTVxxTDgV0k/edit"",""25!e43""))"),0)</f>
        <v>0</v>
      </c>
      <c r="L663" s="18">
        <f t="shared" ca="1" si="1842"/>
        <v>2475</v>
      </c>
      <c r="M663" s="18">
        <f t="shared" ca="1" si="1814"/>
        <v>3754</v>
      </c>
      <c r="N663" s="19">
        <f t="shared" ca="1" si="1815"/>
        <v>189.10695652173914</v>
      </c>
      <c r="O663" s="16">
        <v>5887</v>
      </c>
      <c r="P663" s="20">
        <f t="shared" ca="1" si="1816"/>
        <v>0.63767623577373878</v>
      </c>
      <c r="Q663" s="21">
        <v>1.5</v>
      </c>
      <c r="R663" s="20">
        <f t="shared" ca="1" si="1817"/>
        <v>0.57539709910349024</v>
      </c>
      <c r="S663" s="22">
        <f t="shared" ca="1" si="1818"/>
        <v>0.86309564865523536</v>
      </c>
      <c r="T663" s="21">
        <f ca="1">F663/24.792</f>
        <v>175.4380445304937</v>
      </c>
      <c r="U663" s="21">
        <f t="shared" ca="1" si="1819"/>
        <v>7.6277410665432042</v>
      </c>
      <c r="V663" s="18">
        <f t="shared" ca="1" si="1820"/>
        <v>163.21739130434781</v>
      </c>
      <c r="W663" s="76"/>
      <c r="X663" s="8">
        <v>4</v>
      </c>
      <c r="Y663" s="8" t="s">
        <v>38</v>
      </c>
      <c r="Z663" s="8">
        <f t="shared" ref="Z663:AI663" si="1845">SUM(D666)</f>
        <v>24</v>
      </c>
      <c r="AA663" s="9">
        <f t="shared" ca="1" si="1845"/>
        <v>24</v>
      </c>
      <c r="AB663" s="10">
        <f t="shared" ca="1" si="1845"/>
        <v>4738.5749999999998</v>
      </c>
      <c r="AC663" s="9">
        <f t="shared" ca="1" si="1845"/>
        <v>1509</v>
      </c>
      <c r="AD663" s="9">
        <f t="shared" ca="1" si="1845"/>
        <v>0</v>
      </c>
      <c r="AE663" s="9">
        <f t="shared" ca="1" si="1845"/>
        <v>1509</v>
      </c>
      <c r="AF663" s="9">
        <f t="shared" ca="1" si="1845"/>
        <v>2201</v>
      </c>
      <c r="AG663" s="9">
        <f t="shared" ca="1" si="1845"/>
        <v>212</v>
      </c>
      <c r="AH663" s="9">
        <f t="shared" ca="1" si="1845"/>
        <v>2413</v>
      </c>
      <c r="AI663" s="9">
        <f t="shared" ca="1" si="1845"/>
        <v>3922</v>
      </c>
      <c r="AJ663" s="11">
        <f t="shared" ca="1" si="1832"/>
        <v>197.44062499999998</v>
      </c>
      <c r="AK663" s="8">
        <v>7324</v>
      </c>
      <c r="AL663" s="12">
        <f t="shared" ca="1" si="1834"/>
        <v>0.53549972692517744</v>
      </c>
      <c r="AM663" s="13">
        <f>SUM(Q666)</f>
        <v>1.5</v>
      </c>
      <c r="AN663" s="12">
        <f t="shared" ca="1" si="1836"/>
        <v>0.55178332445232303</v>
      </c>
      <c r="AO663" s="14">
        <f t="shared" ca="1" si="1837"/>
        <v>0.8276749866784846</v>
      </c>
      <c r="AP663" s="13">
        <f t="shared" ref="AP663:AQ663" ca="1" si="1846">SUM(T666)</f>
        <v>115</v>
      </c>
      <c r="AQ663" s="13">
        <f t="shared" ca="1" si="1846"/>
        <v>4.791666666666667</v>
      </c>
      <c r="AR663" s="9">
        <f t="shared" ca="1" si="1839"/>
        <v>163.41666666666666</v>
      </c>
      <c r="AS663" s="76"/>
      <c r="AT663" s="76"/>
    </row>
    <row r="664" spans="1:46" ht="15.75" customHeight="1" x14ac:dyDescent="0.25">
      <c r="A664" s="70"/>
      <c r="B664" s="16">
        <v>12</v>
      </c>
      <c r="C664" s="16" t="s">
        <v>39</v>
      </c>
      <c r="D664" s="17">
        <v>22</v>
      </c>
      <c r="E664" s="18">
        <f ca="1">IFERROR(__xludf.DUMMYFUNCTION("COUNT(IMPORTRANGE(""https://docs.google.com/spreadsheets/d/1uaTn2DZCfr7O1PvovOd0wElzVz8kpl_iPfnrkNPp0Is/edit"",""25!d2:d29""))"),21)</f>
        <v>21</v>
      </c>
      <c r="F664" s="23">
        <f ca="1">IFERROR(__xludf.DUMMYFUNCTION("SUM(IMPORTRANGE(""https://docs.google.com/spreadsheets/d/1uaTn2DZCfr7O1PvovOd0wElzVz8kpl_iPfnrkNPp0Is/edit"",""25!Q2:Q29""))"),4083.42699999999)</f>
        <v>4083.4269999999901</v>
      </c>
      <c r="G664" s="18">
        <f ca="1">IFERROR(__xludf.DUMMYFUNCTION("IMPORTRANGE(""https://docs.google.com/spreadsheets/d/1uaTn2DZCfr7O1PvovOd0wElzVz8kpl_iPfnrkNPp0Is/edit"",""25!e36"")"),899)</f>
        <v>899</v>
      </c>
      <c r="H664" s="18">
        <f ca="1">IFERROR(__xludf.DUMMYFUNCTION("(IMPORTRANGE(""https://docs.google.com/spreadsheets/d/1uaTn2DZCfr7O1PvovOd0wElzVz8kpl_iPfnrkNPp0Is/edit"",""25!e37""))"),0)</f>
        <v>0</v>
      </c>
      <c r="I664" s="18">
        <f t="shared" ca="1" si="1812"/>
        <v>899</v>
      </c>
      <c r="J664" s="18">
        <f ca="1">IFERROR(__xludf.DUMMYFUNCTION("IMPORTRANGE(""https://docs.google.com/spreadsheets/d/1uaTn2DZCfr7O1PvovOd0wElzVz8kpl_iPfnrkNPp0Is/edit"",""25!e40"")"),1841)</f>
        <v>1841</v>
      </c>
      <c r="K664" s="18">
        <f ca="1">IFERROR(__xludf.DUMMYFUNCTION("IMPORTRANGE(""https://docs.google.com/spreadsheets/d/1uaTn2DZCfr7O1PvovOd0wElzVz8kpl_iPfnrkNPp0Is/edit"",""25!e41"")"),0)</f>
        <v>0</v>
      </c>
      <c r="L664" s="18">
        <f t="shared" ca="1" si="1842"/>
        <v>1841</v>
      </c>
      <c r="M664" s="18">
        <f t="shared" ca="1" si="1814"/>
        <v>2740</v>
      </c>
      <c r="N664" s="19">
        <f t="shared" ca="1" si="1815"/>
        <v>194.44890476190429</v>
      </c>
      <c r="O664" s="16">
        <v>3569</v>
      </c>
      <c r="P664" s="20">
        <f t="shared" ca="1" si="1816"/>
        <v>0.76772205099467639</v>
      </c>
      <c r="Q664" s="21">
        <v>1.5</v>
      </c>
      <c r="R664" s="20">
        <f t="shared" ca="1" si="1817"/>
        <v>0.44733667741989042</v>
      </c>
      <c r="S664" s="22">
        <f t="shared" ca="1" si="1818"/>
        <v>0.67100501612983565</v>
      </c>
      <c r="T664" s="21">
        <f ca="1">F664/21.463</f>
        <v>190.25425150258539</v>
      </c>
      <c r="U664" s="21">
        <f t="shared" ca="1" si="1819"/>
        <v>9.0597262620278762</v>
      </c>
      <c r="V664" s="18">
        <f t="shared" ca="1" si="1820"/>
        <v>130.47619047619048</v>
      </c>
      <c r="W664" s="76"/>
      <c r="X664" s="8">
        <v>5</v>
      </c>
      <c r="Y664" s="8" t="s">
        <v>40</v>
      </c>
      <c r="Z664" s="8">
        <f t="shared" ref="Z664:AI664" si="1847">SUM(D668)</f>
        <v>24</v>
      </c>
      <c r="AA664" s="9">
        <f t="shared" ca="1" si="1847"/>
        <v>24</v>
      </c>
      <c r="AB664" s="10">
        <f t="shared" ca="1" si="1847"/>
        <v>4693.0950000000003</v>
      </c>
      <c r="AC664" s="9">
        <f t="shared" ca="1" si="1847"/>
        <v>2667</v>
      </c>
      <c r="AD664" s="9">
        <f t="shared" ca="1" si="1847"/>
        <v>0</v>
      </c>
      <c r="AE664" s="9">
        <f t="shared" ca="1" si="1847"/>
        <v>2667</v>
      </c>
      <c r="AF664" s="9">
        <f t="shared" ca="1" si="1847"/>
        <v>3267</v>
      </c>
      <c r="AG664" s="9">
        <f t="shared" ca="1" si="1847"/>
        <v>0</v>
      </c>
      <c r="AH664" s="9">
        <f t="shared" ca="1" si="1847"/>
        <v>3267</v>
      </c>
      <c r="AI664" s="9">
        <f t="shared" ca="1" si="1847"/>
        <v>5934</v>
      </c>
      <c r="AJ664" s="11">
        <f t="shared" ca="1" si="1832"/>
        <v>195.545625</v>
      </c>
      <c r="AK664" s="8">
        <f t="shared" ref="AK664:AK665" si="1848">SUM(O668)</f>
        <v>8239</v>
      </c>
      <c r="AL664" s="12">
        <f t="shared" ca="1" si="1834"/>
        <v>0.72023303799004734</v>
      </c>
      <c r="AM664" s="13">
        <f t="shared" ref="AM664:AM665" si="1849">SUM(Q668)</f>
        <v>1.5</v>
      </c>
      <c r="AN664" s="12">
        <f t="shared" ca="1" si="1836"/>
        <v>0.84294053284666093</v>
      </c>
      <c r="AO664" s="14">
        <f t="shared" ca="1" si="1837"/>
        <v>1.2644107992699913</v>
      </c>
      <c r="AP664" s="13">
        <f t="shared" ref="AP664:AQ664" ca="1" si="1850">SUM(T668)</f>
        <v>165</v>
      </c>
      <c r="AQ664" s="13">
        <f t="shared" ca="1" si="1850"/>
        <v>6.875</v>
      </c>
      <c r="AR664" s="9">
        <f t="shared" ca="1" si="1839"/>
        <v>247.25</v>
      </c>
      <c r="AS664" s="76"/>
      <c r="AT664" s="76"/>
    </row>
    <row r="665" spans="1:46" ht="15.75" customHeight="1" x14ac:dyDescent="0.25">
      <c r="A665" s="70"/>
      <c r="B665" s="16">
        <v>12</v>
      </c>
      <c r="C665" s="16" t="s">
        <v>41</v>
      </c>
      <c r="D665" s="17">
        <v>20</v>
      </c>
      <c r="E665" s="18">
        <f ca="1">IFERROR(__xludf.DUMMYFUNCTION("COUNT(IMPORTRANGE(""https://docs.google.com/spreadsheets/d/1oYscvfOJW7GMkxt8QcupWuzb3ohaYePd3Mt2V2ufHok/edit"",""25!d2:d25""))"),20)</f>
        <v>20</v>
      </c>
      <c r="F665" s="23">
        <f ca="1">IFERROR(__xludf.DUMMYFUNCTION("SUM(IMPORTRANGE(""https://docs.google.com/spreadsheets/d/1oYscvfOJW7GMkxt8QcupWuzb3ohaYePd3Mt2V2ufHok/edit"",""25!Q2:Q25""))"),3993.196)</f>
        <v>3993.1959999999999</v>
      </c>
      <c r="G665" s="18">
        <f ca="1">IFERROR(__xludf.DUMMYFUNCTION("IMPORTRANGE(""https://docs.google.com/spreadsheets/d/1oYscvfOJW7GMkxt8QcupWuzb3ohaYePd3Mt2V2ufHok/edit"",""25!e32"")"),880)</f>
        <v>880</v>
      </c>
      <c r="H665" s="18">
        <f ca="1">IFERROR(__xludf.DUMMYFUNCTION("IMPORTRANGE(""https://docs.google.com/spreadsheets/d/1oYscvfOJW7GMkxt8QcupWuzb3ohaYePd3Mt2V2ufHok/edit"",""25!e33"")"),0)</f>
        <v>0</v>
      </c>
      <c r="I665" s="18">
        <f t="shared" ca="1" si="1812"/>
        <v>880</v>
      </c>
      <c r="J665" s="18">
        <f ca="1">IFERROR(__xludf.DUMMYFUNCTION("IMPORTRANGE(""https://docs.google.com/spreadsheets/d/1oYscvfOJW7GMkxt8QcupWuzb3ohaYePd3Mt2V2ufHok/edit"",""25!e36"")"),1402)</f>
        <v>1402</v>
      </c>
      <c r="K665" s="18">
        <f ca="1">IFERROR(__xludf.DUMMYFUNCTION("IMPORTRANGE(""https://docs.google.com/spreadsheets/d/1oYscvfOJW7GMkxt8QcupWuzb3ohaYePd3Mt2V2ufHok/edit"",""25!e37"")"),0)</f>
        <v>0</v>
      </c>
      <c r="L665" s="18">
        <f t="shared" ca="1" si="1842"/>
        <v>1402</v>
      </c>
      <c r="M665" s="18">
        <f t="shared" ca="1" si="1814"/>
        <v>2282</v>
      </c>
      <c r="N665" s="19">
        <f t="shared" ca="1" si="1815"/>
        <v>199.65979999999999</v>
      </c>
      <c r="O665" s="16">
        <v>3801</v>
      </c>
      <c r="P665" s="20">
        <f t="shared" ca="1" si="1816"/>
        <v>0.60036832412523022</v>
      </c>
      <c r="Q665" s="21">
        <v>1.5</v>
      </c>
      <c r="R665" s="20">
        <f t="shared" ca="1" si="1817"/>
        <v>0.38098138266524689</v>
      </c>
      <c r="S665" s="22">
        <f t="shared" ca="1" si="1818"/>
        <v>0.57147207399787037</v>
      </c>
      <c r="T665" s="21">
        <f ca="1">F665/29.628</f>
        <v>134.77777777777777</v>
      </c>
      <c r="U665" s="21">
        <f t="shared" ca="1" si="1819"/>
        <v>6.7388888888888889</v>
      </c>
      <c r="V665" s="18">
        <f t="shared" ca="1" si="1820"/>
        <v>114.1</v>
      </c>
      <c r="W665" s="76"/>
      <c r="X665" s="8">
        <v>6</v>
      </c>
      <c r="Y665" s="8" t="s">
        <v>42</v>
      </c>
      <c r="Z665" s="8">
        <f t="shared" ref="Z665:AI665" si="1851">SUM(D669)</f>
        <v>26</v>
      </c>
      <c r="AA665" s="9">
        <f t="shared" ca="1" si="1851"/>
        <v>25</v>
      </c>
      <c r="AB665" s="10">
        <f t="shared" ca="1" si="1851"/>
        <v>5114.0729999999903</v>
      </c>
      <c r="AC665" s="9">
        <f t="shared" ca="1" si="1851"/>
        <v>2212</v>
      </c>
      <c r="AD665" s="9">
        <f t="shared" ca="1" si="1851"/>
        <v>0</v>
      </c>
      <c r="AE665" s="9">
        <f t="shared" ca="1" si="1851"/>
        <v>2212</v>
      </c>
      <c r="AF665" s="9">
        <f t="shared" ca="1" si="1851"/>
        <v>3333</v>
      </c>
      <c r="AG665" s="9">
        <f t="shared" ca="1" si="1851"/>
        <v>0</v>
      </c>
      <c r="AH665" s="9">
        <f t="shared" ca="1" si="1851"/>
        <v>3333</v>
      </c>
      <c r="AI665" s="9">
        <f t="shared" ca="1" si="1851"/>
        <v>5545</v>
      </c>
      <c r="AJ665" s="11">
        <f t="shared" ca="1" si="1832"/>
        <v>204.56291999999962</v>
      </c>
      <c r="AK665" s="8">
        <f t="shared" si="1848"/>
        <v>9877</v>
      </c>
      <c r="AL665" s="12">
        <f t="shared" ca="1" si="1834"/>
        <v>0.56140528500556852</v>
      </c>
      <c r="AM665" s="13">
        <f t="shared" si="1849"/>
        <v>1.5</v>
      </c>
      <c r="AN665" s="12">
        <f t="shared" ca="1" si="1836"/>
        <v>0.72284198263628108</v>
      </c>
      <c r="AO665" s="14">
        <f t="shared" ca="1" si="1837"/>
        <v>1.0842629739544216</v>
      </c>
      <c r="AP665" s="13">
        <f t="shared" ref="AP665:AQ665" ca="1" si="1852">SUM(T669)</f>
        <v>195.52945899445575</v>
      </c>
      <c r="AQ665" s="13">
        <f t="shared" ca="1" si="1852"/>
        <v>7.8211783597782301</v>
      </c>
      <c r="AR665" s="9">
        <f t="shared" ca="1" si="1839"/>
        <v>221.8</v>
      </c>
      <c r="AS665" s="76"/>
      <c r="AT665" s="76"/>
    </row>
    <row r="666" spans="1:46" ht="15.75" customHeight="1" x14ac:dyDescent="0.25">
      <c r="A666" s="70"/>
      <c r="B666" s="16">
        <v>13</v>
      </c>
      <c r="C666" s="16" t="s">
        <v>43</v>
      </c>
      <c r="D666" s="17">
        <v>24</v>
      </c>
      <c r="E666" s="18">
        <f ca="1">IFERROR(__xludf.DUMMYFUNCTION("COUNT(IMPORTRANGE(""https://docs.google.com/spreadsheets/d/1AxBmuQEdOYAeRnZ4C8vO6kuTNp7X_SGhpLXuY0n4ln4/edit"",""25!d2:d31""))"),24)</f>
        <v>24</v>
      </c>
      <c r="F666" s="23">
        <f ca="1">IFERROR(__xludf.DUMMYFUNCTION("SUM(IMPORTRANGE(""https://docs.google.com/spreadsheets/d/1AxBmuQEdOYAeRnZ4C8vO6kuTNp7X_SGhpLXuY0n4ln4/edit"",""25!Q2:Q31""))"),4738.575)</f>
        <v>4738.5749999999998</v>
      </c>
      <c r="G666" s="18">
        <f ca="1">IFERROR(__xludf.DUMMYFUNCTION("IMPORTRANGE(""https://docs.google.com/spreadsheets/d/1AxBmuQEdOYAeRnZ4C8vO6kuTNp7X_SGhpLXuY0n4ln4/edit"",""25!e38"")"),1509)</f>
        <v>1509</v>
      </c>
      <c r="H666" s="18">
        <f ca="1">IFERROR(__xludf.DUMMYFUNCTION("IMPORTRANGE(""https://docs.google.com/spreadsheets/d/1AxBmuQEdOYAeRnZ4C8vO6kuTNp7X_SGhpLXuY0n4ln4/edit"",""25!e39"")"),0)</f>
        <v>0</v>
      </c>
      <c r="I666" s="18">
        <f t="shared" ca="1" si="1812"/>
        <v>1509</v>
      </c>
      <c r="J666" s="18">
        <f ca="1">IFERROR(__xludf.DUMMYFUNCTION("IMPORTRANGE(""https://docs.google.com/spreadsheets/d/1AxBmuQEdOYAeRnZ4C8vO6kuTNp7X_SGhpLXuY0n4ln4/edit"",""25!e42"")"),2201)</f>
        <v>2201</v>
      </c>
      <c r="K666" s="18">
        <f ca="1">IFERROR(__xludf.DUMMYFUNCTION("IMPORTRANGE(""https://docs.google.com/spreadsheets/d/1AxBmuQEdOYAeRnZ4C8vO6kuTNp7X_SGhpLXuY0n4ln4/edit"",""25!e43"")"),212)</f>
        <v>212</v>
      </c>
      <c r="L666" s="18">
        <f t="shared" ca="1" si="1842"/>
        <v>2413</v>
      </c>
      <c r="M666" s="18">
        <f t="shared" ca="1" si="1814"/>
        <v>3922</v>
      </c>
      <c r="N666" s="19">
        <f t="shared" ca="1" si="1815"/>
        <v>197.44062499999998</v>
      </c>
      <c r="O666" s="16">
        <v>8345</v>
      </c>
      <c r="P666" s="20">
        <f t="shared" ca="1" si="1816"/>
        <v>0.46998202516476933</v>
      </c>
      <c r="Q666" s="21">
        <v>1.5</v>
      </c>
      <c r="R666" s="20">
        <f t="shared" ca="1" si="1817"/>
        <v>0.55178332445232303</v>
      </c>
      <c r="S666" s="22">
        <f t="shared" ca="1" si="1818"/>
        <v>0.8276749866784846</v>
      </c>
      <c r="T666" s="21">
        <f ca="1">F666/41.205</f>
        <v>115</v>
      </c>
      <c r="U666" s="21">
        <f t="shared" ca="1" si="1819"/>
        <v>4.791666666666667</v>
      </c>
      <c r="V666" s="18">
        <f t="shared" ca="1" si="1820"/>
        <v>163.41666666666666</v>
      </c>
      <c r="W666" s="76"/>
      <c r="X666" s="24" t="s">
        <v>33</v>
      </c>
      <c r="Y666" s="24">
        <v>6</v>
      </c>
      <c r="Z666" s="24">
        <f t="shared" ref="Z666:AI666" si="1853">SUM(Z660:Z665)</f>
        <v>180</v>
      </c>
      <c r="AA666" s="25">
        <f t="shared" ca="1" si="1853"/>
        <v>177</v>
      </c>
      <c r="AB666" s="27">
        <f t="shared" ca="1" si="1853"/>
        <v>34489.460999999981</v>
      </c>
      <c r="AC666" s="25">
        <f t="shared" ca="1" si="1853"/>
        <v>12735</v>
      </c>
      <c r="AD666" s="25">
        <f t="shared" ca="1" si="1853"/>
        <v>218</v>
      </c>
      <c r="AE666" s="25">
        <f t="shared" ca="1" si="1853"/>
        <v>12953</v>
      </c>
      <c r="AF666" s="25">
        <f t="shared" ca="1" si="1853"/>
        <v>17189</v>
      </c>
      <c r="AG666" s="25">
        <f t="shared" ca="1" si="1853"/>
        <v>374</v>
      </c>
      <c r="AH666" s="25">
        <f t="shared" ca="1" si="1853"/>
        <v>17563</v>
      </c>
      <c r="AI666" s="25">
        <f t="shared" ca="1" si="1853"/>
        <v>30516</v>
      </c>
      <c r="AJ666" s="27">
        <f t="shared" ca="1" si="1832"/>
        <v>194.85571186440669</v>
      </c>
      <c r="AK666" s="24">
        <f>SUM(AK660:AK665)</f>
        <v>53273</v>
      </c>
      <c r="AL666" s="28">
        <f t="shared" ca="1" si="1834"/>
        <v>0.57282300602556646</v>
      </c>
      <c r="AM666" s="29">
        <v>1.5</v>
      </c>
      <c r="AN666" s="28">
        <f t="shared" ca="1" si="1836"/>
        <v>0.58986134923941003</v>
      </c>
      <c r="AO666" s="30">
        <f t="shared" ca="1" si="1837"/>
        <v>0.88479202385911504</v>
      </c>
      <c r="AP666" s="29">
        <f ca="1">SUM(AP660:AP665)</f>
        <v>1134.856585828026</v>
      </c>
      <c r="AQ666" s="29">
        <f ca="1">AP666/AA666</f>
        <v>6.4116191289718989</v>
      </c>
      <c r="AR666" s="25">
        <f t="shared" ca="1" si="1839"/>
        <v>172.40677966101694</v>
      </c>
      <c r="AS666" s="76"/>
      <c r="AT666" s="76"/>
    </row>
    <row r="667" spans="1:46" ht="15.75" customHeight="1" x14ac:dyDescent="0.25">
      <c r="A667" s="70"/>
      <c r="B667" s="16">
        <v>14</v>
      </c>
      <c r="C667" s="16" t="s">
        <v>27</v>
      </c>
      <c r="D667" s="17">
        <v>24</v>
      </c>
      <c r="E667" s="18">
        <f ca="1">IFERROR(__xludf.DUMMYFUNCTION("COUNT(IMPORTRANGE(""https://docs.google.com/spreadsheets/d/1LsL4JuXvBtfJ-TVi4NFml9lV_pmd61b789A_nbO-QrA/edit"",""25!d2:d31""))"),21)</f>
        <v>21</v>
      </c>
      <c r="F667" s="23">
        <f ca="1">IFERROR(__xludf.DUMMYFUNCTION("SUM(IMPORTRANGE(""https://docs.google.com/spreadsheets/d/1LsL4JuXvBtfJ-TVi4NFml9lV_pmd61b789A_nbO-QrA/edit"",""25!Q2:Q31""))"),4052.84799999999)</f>
        <v>4052.84799999999</v>
      </c>
      <c r="G667" s="18">
        <f ca="1">IFERROR(__xludf.DUMMYFUNCTION("IMPORTRANGE(""https://docs.google.com/spreadsheets/d/1LsL4JuXvBtfJ-TVi4NFml9lV_pmd61b789A_nbO-QrA/edit"",""25!e38"")"),1867)</f>
        <v>1867</v>
      </c>
      <c r="H667" s="18">
        <f ca="1">IFERROR(__xludf.DUMMYFUNCTION("IMPORTRANGE(""https://docs.google.com/spreadsheets/d/1LsL4JuXvBtfJ-TVi4NFml9lV_pmd61b789A_nbO-QrA/edit"",""25!e39"")"),0)</f>
        <v>0</v>
      </c>
      <c r="I667" s="18">
        <f t="shared" ca="1" si="1812"/>
        <v>1867</v>
      </c>
      <c r="J667" s="18">
        <f ca="1">IFERROR(__xludf.DUMMYFUNCTION("IMPORTRANGE(""https://docs.google.com/spreadsheets/d/1LsL4JuXvBtfJ-TVi4NFml9lV_pmd61b789A_nbO-QrA/edit"",""25!e42"")"),2341)</f>
        <v>2341</v>
      </c>
      <c r="K667" s="18">
        <f ca="1">IFERROR(__xludf.DUMMYFUNCTION("IMPORTRANGE(""https://docs.google.com/spreadsheets/d/1LsL4JuXvBtfJ-TVi4NFml9lV_pmd61b789A_nbO-QrA/edit"",""25!e43"")"),20)</f>
        <v>20</v>
      </c>
      <c r="L667" s="18">
        <f t="shared" ca="1" si="1842"/>
        <v>2361</v>
      </c>
      <c r="M667" s="18">
        <f t="shared" ca="1" si="1814"/>
        <v>4228</v>
      </c>
      <c r="N667" s="19">
        <f t="shared" ca="1" si="1815"/>
        <v>192.99276190476144</v>
      </c>
      <c r="O667" s="16">
        <v>8101</v>
      </c>
      <c r="P667" s="20">
        <f t="shared" ca="1" si="1816"/>
        <v>0.52191087520059254</v>
      </c>
      <c r="Q667" s="21">
        <v>1.5</v>
      </c>
      <c r="R667" s="20">
        <f t="shared" ca="1" si="1817"/>
        <v>0.69547801118291963</v>
      </c>
      <c r="S667" s="22">
        <f t="shared" ca="1" si="1818"/>
        <v>1.0432170167743795</v>
      </c>
      <c r="T667" s="21">
        <f ca="1">F667/19.985</f>
        <v>202.79449587190342</v>
      </c>
      <c r="U667" s="21">
        <f t="shared" ca="1" si="1819"/>
        <v>9.6568807558049254</v>
      </c>
      <c r="V667" s="18">
        <f t="shared" ca="1" si="1820"/>
        <v>201.33333333333334</v>
      </c>
      <c r="W667" s="76"/>
      <c r="X667" s="97" t="s">
        <v>44</v>
      </c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9"/>
      <c r="AS667" s="76"/>
      <c r="AT667" s="76"/>
    </row>
    <row r="668" spans="1:46" ht="15.75" customHeight="1" x14ac:dyDescent="0.25">
      <c r="A668" s="70"/>
      <c r="B668" s="16">
        <v>15</v>
      </c>
      <c r="C668" s="16" t="s">
        <v>40</v>
      </c>
      <c r="D668" s="17">
        <v>24</v>
      </c>
      <c r="E668" s="18">
        <f ca="1">IFERROR(__xludf.DUMMYFUNCTION("COUNT(IMPORTRANGE(""https://docs.google.com/spreadsheets/d/1Krav0MVlY0vbUNsFRDnb_kR72_tyuGnWBYbGjNZrl18/edit"",""25!d2:d31""))"),24)</f>
        <v>24</v>
      </c>
      <c r="F668" s="23">
        <f ca="1">IFERROR(__xludf.DUMMYFUNCTION("SUM(IMPORTRANGE(""https://docs.google.com/spreadsheets/d/1Krav0MVlY0vbUNsFRDnb_kR72_tyuGnWBYbGjNZrl18/edit"",""25!Q2:Q31""))"),4693.095)</f>
        <v>4693.0950000000003</v>
      </c>
      <c r="G668" s="18">
        <f ca="1">IFERROR(__xludf.DUMMYFUNCTION("IMPORTRANGE(""https://docs.google.com/spreadsheets/d/1Krav0MVlY0vbUNsFRDnb_kR72_tyuGnWBYbGjNZrl18/edit"",""25!e38"")"),2667)</f>
        <v>2667</v>
      </c>
      <c r="H668" s="18">
        <f ca="1">IFERROR(__xludf.DUMMYFUNCTION("IMPORTRANGE(""https://docs.google.com/spreadsheets/d/1Krav0MVlY0vbUNsFRDnb_kR72_tyuGnWBYbGjNZrl18/edit"",""25!e39"")"),0)</f>
        <v>0</v>
      </c>
      <c r="I668" s="18">
        <f t="shared" ca="1" si="1812"/>
        <v>2667</v>
      </c>
      <c r="J668" s="18">
        <f ca="1">IFERROR(__xludf.DUMMYFUNCTION("IMPORTRANGE(""https://docs.google.com/spreadsheets/d/1Krav0MVlY0vbUNsFRDnb_kR72_tyuGnWBYbGjNZrl18/edit"",""25!e42"")"),3267)</f>
        <v>3267</v>
      </c>
      <c r="K668" s="18">
        <f ca="1">IFERROR(__xludf.DUMMYFUNCTION("IMPORTRANGE(""https://docs.google.com/spreadsheets/d/1Krav0MVlY0vbUNsFRDnb_kR72_tyuGnWBYbGjNZrl18/edit"",""25!e43"")"),0)</f>
        <v>0</v>
      </c>
      <c r="L668" s="18">
        <f t="shared" ca="1" si="1842"/>
        <v>3267</v>
      </c>
      <c r="M668" s="18">
        <f t="shared" ca="1" si="1814"/>
        <v>5934</v>
      </c>
      <c r="N668" s="19">
        <f t="shared" ca="1" si="1815"/>
        <v>195.545625</v>
      </c>
      <c r="O668" s="16">
        <v>8239</v>
      </c>
      <c r="P668" s="20">
        <f t="shared" ca="1" si="1816"/>
        <v>0.72023303799004734</v>
      </c>
      <c r="Q668" s="21">
        <v>1.5</v>
      </c>
      <c r="R668" s="20">
        <f t="shared" ca="1" si="1817"/>
        <v>0.84294053284666093</v>
      </c>
      <c r="S668" s="22">
        <f t="shared" ca="1" si="1818"/>
        <v>1.2644107992699913</v>
      </c>
      <c r="T668" s="21">
        <f ca="1">F668/28.443</f>
        <v>165</v>
      </c>
      <c r="U668" s="21">
        <f t="shared" ca="1" si="1819"/>
        <v>6.875</v>
      </c>
      <c r="V668" s="18">
        <f t="shared" ca="1" si="1820"/>
        <v>247.25</v>
      </c>
      <c r="W668" s="76"/>
      <c r="X668" s="1" t="s">
        <v>2</v>
      </c>
      <c r="Y668" s="1" t="s">
        <v>3</v>
      </c>
      <c r="Z668" s="1" t="s">
        <v>4</v>
      </c>
      <c r="AA668" s="1" t="s">
        <v>5</v>
      </c>
      <c r="AB668" s="2" t="s">
        <v>6</v>
      </c>
      <c r="AC668" s="1" t="s">
        <v>7</v>
      </c>
      <c r="AD668" s="1" t="s">
        <v>8</v>
      </c>
      <c r="AE668" s="1" t="s">
        <v>9</v>
      </c>
      <c r="AF668" s="1" t="s">
        <v>10</v>
      </c>
      <c r="AG668" s="1" t="s">
        <v>11</v>
      </c>
      <c r="AH668" s="1" t="s">
        <v>12</v>
      </c>
      <c r="AI668" s="1" t="s">
        <v>13</v>
      </c>
      <c r="AJ668" s="2" t="s">
        <v>14</v>
      </c>
      <c r="AK668" s="1" t="s">
        <v>15</v>
      </c>
      <c r="AL668" s="1" t="s">
        <v>16</v>
      </c>
      <c r="AM668" s="3" t="s">
        <v>17</v>
      </c>
      <c r="AN668" s="4" t="s">
        <v>18</v>
      </c>
      <c r="AO668" s="5" t="s">
        <v>19</v>
      </c>
      <c r="AP668" s="6" t="s">
        <v>20</v>
      </c>
      <c r="AQ668" s="6" t="s">
        <v>21</v>
      </c>
      <c r="AR668" s="7" t="s">
        <v>22</v>
      </c>
      <c r="AS668" s="76"/>
      <c r="AT668" s="76"/>
    </row>
    <row r="669" spans="1:46" ht="15.75" customHeight="1" x14ac:dyDescent="0.25">
      <c r="A669" s="70"/>
      <c r="B669" s="16">
        <v>16</v>
      </c>
      <c r="C669" s="16" t="s">
        <v>42</v>
      </c>
      <c r="D669" s="17">
        <v>26</v>
      </c>
      <c r="E669" s="18">
        <f ca="1">IFERROR(__xludf.DUMMYFUNCTION("COUNT(IMPORTRANGE(""https://docs.google.com/spreadsheets/d/1uXtm-E8PG0CetlFmSpTX3RK0LNEMnpR-mxbET9AGD6w/edit"",""25!d2:d34""))"),25)</f>
        <v>25</v>
      </c>
      <c r="F669" s="23">
        <f ca="1">IFERROR(__xludf.DUMMYFUNCTION("SUM(IMPORTRANGE(""https://docs.google.com/spreadsheets/d/1uXtm-E8PG0CetlFmSpTX3RK0LNEMnpR-mxbET9AGD6w/edit"",""25!Q2:Q34""))"),5114.07299999999)</f>
        <v>5114.0729999999903</v>
      </c>
      <c r="G669" s="18">
        <f ca="1">IFERROR(__xludf.DUMMYFUNCTION("IMPORTRANGE(""https://docs.google.com/spreadsheets/d/1uXtm-E8PG0CetlFmSpTX3RK0LNEMnpR-mxbET9AGD6w/edit"",""25!e41"")"),2212)</f>
        <v>2212</v>
      </c>
      <c r="H669" s="18">
        <f ca="1">IFERROR(__xludf.DUMMYFUNCTION("IMPORTRANGE(""https://docs.google.com/spreadsheets/d/1uXtm-E8PG0CetlFmSpTX3RK0LNEMnpR-mxbET9AGD6w/edit"",""25!e42"")"),0)</f>
        <v>0</v>
      </c>
      <c r="I669" s="18">
        <f t="shared" ca="1" si="1812"/>
        <v>2212</v>
      </c>
      <c r="J669" s="18">
        <f ca="1">IFERROR(__xludf.DUMMYFUNCTION("IMPORTRANGE(""https://docs.google.com/spreadsheets/d/1uXtm-E8PG0CetlFmSpTX3RK0LNEMnpR-mxbET9AGD6w/edit"",""25!e45"")"),3333)</f>
        <v>3333</v>
      </c>
      <c r="K669" s="18">
        <f ca="1">IFERROR(__xludf.DUMMYFUNCTION("IMPORTRANGE(""https://docs.google.com/spreadsheets/d/1uXtm-E8PG0CetlFmSpTX3RK0LNEMnpR-mxbET9AGD6w/edit"",""25!e46"")"),0)</f>
        <v>0</v>
      </c>
      <c r="L669" s="18">
        <f t="shared" ca="1" si="1842"/>
        <v>3333</v>
      </c>
      <c r="M669" s="18">
        <f t="shared" ca="1" si="1814"/>
        <v>5545</v>
      </c>
      <c r="N669" s="19">
        <f t="shared" ca="1" si="1815"/>
        <v>204.56291999999962</v>
      </c>
      <c r="O669" s="16">
        <v>9877</v>
      </c>
      <c r="P669" s="20">
        <f t="shared" ca="1" si="1816"/>
        <v>0.56140528500556852</v>
      </c>
      <c r="Q669" s="21">
        <v>1.5</v>
      </c>
      <c r="R669" s="20">
        <f t="shared" ca="1" si="1817"/>
        <v>0.72284198263628108</v>
      </c>
      <c r="S669" s="22">
        <f t="shared" ca="1" si="1818"/>
        <v>1.0842629739544216</v>
      </c>
      <c r="T669" s="21">
        <f ca="1">F669/26.155</f>
        <v>195.52945899445575</v>
      </c>
      <c r="U669" s="21">
        <f t="shared" ca="1" si="1819"/>
        <v>7.8211783597782301</v>
      </c>
      <c r="V669" s="18">
        <f t="shared" ca="1" si="1820"/>
        <v>221.8</v>
      </c>
      <c r="W669" s="76"/>
      <c r="X669" s="8">
        <v>1</v>
      </c>
      <c r="Y669" s="8" t="s">
        <v>26</v>
      </c>
      <c r="Z669" s="8">
        <f t="shared" ref="Z669:AI669" si="1854">SUM(D654)</f>
        <v>16</v>
      </c>
      <c r="AA669" s="9">
        <f t="shared" ca="1" si="1854"/>
        <v>16</v>
      </c>
      <c r="AB669" s="11">
        <f t="shared" ca="1" si="1854"/>
        <v>2948.4029999999998</v>
      </c>
      <c r="AC669" s="9">
        <f t="shared" ca="1" si="1854"/>
        <v>1866</v>
      </c>
      <c r="AD669" s="9">
        <f t="shared" ca="1" si="1854"/>
        <v>0</v>
      </c>
      <c r="AE669" s="9">
        <f t="shared" ca="1" si="1854"/>
        <v>1866</v>
      </c>
      <c r="AF669" s="9">
        <f t="shared" ca="1" si="1854"/>
        <v>1918</v>
      </c>
      <c r="AG669" s="9">
        <f t="shared" ca="1" si="1854"/>
        <v>0</v>
      </c>
      <c r="AH669" s="9">
        <f t="shared" ca="1" si="1854"/>
        <v>1918</v>
      </c>
      <c r="AI669" s="9">
        <f t="shared" ca="1" si="1854"/>
        <v>3784</v>
      </c>
      <c r="AJ669" s="11">
        <f t="shared" ref="AJ669:AJ675" ca="1" si="1855">AB669/AA669</f>
        <v>184.27518749999999</v>
      </c>
      <c r="AK669" s="8">
        <f>SUM(O654)</f>
        <v>5161</v>
      </c>
      <c r="AL669" s="12">
        <f t="shared" ref="AL669:AL675" ca="1" si="1856">AI669/AK669</f>
        <v>0.73319124200736296</v>
      </c>
      <c r="AM669" s="13">
        <f>SUM(Q654)</f>
        <v>1.5</v>
      </c>
      <c r="AN669" s="12">
        <f t="shared" ref="AN669:AN675" ca="1" si="1857">AO669/AM669</f>
        <v>0.85560442947136695</v>
      </c>
      <c r="AO669" s="14">
        <f t="shared" ref="AO669:AO675" ca="1" si="1858">AI669/AB669</f>
        <v>1.2834066442070504</v>
      </c>
      <c r="AP669" s="13">
        <f t="shared" ref="AP669:AQ669" ca="1" si="1859">SUM(T654)</f>
        <v>204.53714880332987</v>
      </c>
      <c r="AQ669" s="13">
        <f t="shared" ca="1" si="1859"/>
        <v>12.783571800208117</v>
      </c>
      <c r="AR669" s="9">
        <f t="shared" ref="AR669:AR675" ca="1" si="1860">AI669/AA669</f>
        <v>236.5</v>
      </c>
      <c r="AS669" s="76"/>
      <c r="AT669" s="76"/>
    </row>
    <row r="670" spans="1:46" ht="15.75" customHeight="1" x14ac:dyDescent="0.25">
      <c r="A670" s="70"/>
      <c r="B670" s="16">
        <v>17</v>
      </c>
      <c r="C670" s="16" t="s">
        <v>29</v>
      </c>
      <c r="D670" s="17">
        <v>24</v>
      </c>
      <c r="E670" s="18">
        <f ca="1">IFERROR(__xludf.DUMMYFUNCTION("COUNT(IMPORTRANGE(""https://docs.google.com/spreadsheets/d/12xcKI0lSnAsjEsxfm9K8Qx0B_89Gzsh816mowItkQao/edit"",""25!d2:d31""))"),24)</f>
        <v>24</v>
      </c>
      <c r="F670" s="23">
        <f ca="1">IFERROR(__xludf.DUMMYFUNCTION("SUM(IMPORTRANGE(""https://docs.google.com/spreadsheets/d/12xcKI0lSnAsjEsxfm9K8Qx0B_89Gzsh816mowItkQao/edit"",""25!Q2:Q31""))"),4790.992)</f>
        <v>4790.9920000000002</v>
      </c>
      <c r="G670" s="18">
        <f ca="1">IFERROR(__xludf.DUMMYFUNCTION("IMPORTRANGE(""https://docs.google.com/spreadsheets/d/12xcKI0lSnAsjEsxfm9K8Qx0B_89Gzsh816mowItkQao/edit"",""25!e38"")"),2115)</f>
        <v>2115</v>
      </c>
      <c r="H670" s="18">
        <f ca="1">IFERROR(__xludf.DUMMYFUNCTION("IMPORTRANGE(""https://docs.google.com/spreadsheets/d/12xcKI0lSnAsjEsxfm9K8Qx0B_89Gzsh816mowItkQao/edit"",""25!e39"")"),0)</f>
        <v>0</v>
      </c>
      <c r="I670" s="18">
        <f t="shared" ca="1" si="1812"/>
        <v>2115</v>
      </c>
      <c r="J670" s="18">
        <f ca="1">IFERROR(__xludf.DUMMYFUNCTION("IMPORTRANGE(""https://docs.google.com/spreadsheets/d/12xcKI0lSnAsjEsxfm9K8Qx0B_89Gzsh816mowItkQao/edit"",""25!e42"")"),2967)</f>
        <v>2967</v>
      </c>
      <c r="K670" s="18">
        <f ca="1">IFERROR(__xludf.DUMMYFUNCTION("IMPORTRANGE(""https://docs.google.com/spreadsheets/d/12xcKI0lSnAsjEsxfm9K8Qx0B_89Gzsh816mowItkQao/edit"",""25!e43"")"),116)</f>
        <v>116</v>
      </c>
      <c r="L670" s="18">
        <f t="shared" ca="1" si="1842"/>
        <v>3083</v>
      </c>
      <c r="M670" s="18">
        <f t="shared" ca="1" si="1814"/>
        <v>5198</v>
      </c>
      <c r="N670" s="19">
        <f t="shared" ca="1" si="1815"/>
        <v>199.62466666666668</v>
      </c>
      <c r="O670" s="16">
        <v>9201</v>
      </c>
      <c r="P670" s="20">
        <f t="shared" ca="1" si="1816"/>
        <v>0.56493859363112708</v>
      </c>
      <c r="Q670" s="21">
        <v>1.5</v>
      </c>
      <c r="R670" s="20">
        <f t="shared" ca="1" si="1817"/>
        <v>0.72330184089919858</v>
      </c>
      <c r="S670" s="22">
        <f t="shared" ca="1" si="1818"/>
        <v>1.0849527613487979</v>
      </c>
      <c r="T670" s="21">
        <f ca="1">F670/26.038</f>
        <v>184</v>
      </c>
      <c r="U670" s="21">
        <f t="shared" ca="1" si="1819"/>
        <v>7.666666666666667</v>
      </c>
      <c r="V670" s="18">
        <f t="shared" ca="1" si="1820"/>
        <v>216.58333333333334</v>
      </c>
      <c r="W670" s="76"/>
      <c r="X670" s="8">
        <v>2</v>
      </c>
      <c r="Y670" s="8" t="s">
        <v>32</v>
      </c>
      <c r="Z670" s="8">
        <f t="shared" ref="Z670:AI670" si="1861">SUM(D657)</f>
        <v>33</v>
      </c>
      <c r="AA670" s="9">
        <f t="shared" ca="1" si="1861"/>
        <v>33</v>
      </c>
      <c r="AB670" s="10">
        <f t="shared" ca="1" si="1861"/>
        <v>6447.8729999999896</v>
      </c>
      <c r="AC670" s="8">
        <f t="shared" ca="1" si="1861"/>
        <v>3761</v>
      </c>
      <c r="AD670" s="8">
        <f t="shared" ca="1" si="1861"/>
        <v>101</v>
      </c>
      <c r="AE670" s="9">
        <f t="shared" ca="1" si="1861"/>
        <v>3862</v>
      </c>
      <c r="AF670" s="8">
        <f t="shared" ca="1" si="1861"/>
        <v>4134</v>
      </c>
      <c r="AG670" s="8">
        <f t="shared" ca="1" si="1861"/>
        <v>0</v>
      </c>
      <c r="AH670" s="9">
        <f t="shared" ca="1" si="1861"/>
        <v>4134</v>
      </c>
      <c r="AI670" s="9">
        <f t="shared" ca="1" si="1861"/>
        <v>7996</v>
      </c>
      <c r="AJ670" s="11">
        <f t="shared" ca="1" si="1855"/>
        <v>195.39009090909059</v>
      </c>
      <c r="AK670" s="8">
        <f>SUM(O657)</f>
        <v>13817</v>
      </c>
      <c r="AL670" s="12">
        <f t="shared" ca="1" si="1856"/>
        <v>0.57870738944778177</v>
      </c>
      <c r="AM670" s="13">
        <f>SUM(Q657)</f>
        <v>1.5</v>
      </c>
      <c r="AN670" s="12">
        <f t="shared" ca="1" si="1857"/>
        <v>0.82673257780770115</v>
      </c>
      <c r="AO670" s="14">
        <f t="shared" ca="1" si="1858"/>
        <v>1.2400988667115518</v>
      </c>
      <c r="AP670" s="13">
        <f t="shared" ref="AP670:AQ670" ca="1" si="1862">SUM(T657)</f>
        <v>256.9999999999996</v>
      </c>
      <c r="AQ670" s="13">
        <f t="shared" ca="1" si="1862"/>
        <v>7.7878787878787756</v>
      </c>
      <c r="AR670" s="9">
        <f t="shared" ca="1" si="1860"/>
        <v>242.30303030303031</v>
      </c>
      <c r="AS670" s="76"/>
      <c r="AT670" s="76"/>
    </row>
    <row r="671" spans="1:46" ht="15.75" customHeight="1" x14ac:dyDescent="0.25">
      <c r="A671" s="70"/>
      <c r="B671" s="16">
        <v>18</v>
      </c>
      <c r="C671" s="16" t="s">
        <v>31</v>
      </c>
      <c r="D671" s="17">
        <v>12</v>
      </c>
      <c r="E671" s="18">
        <f ca="1">IFERROR(__xludf.DUMMYFUNCTION("COUNT(IMPORTRANGE(""https://docs.google.com/spreadsheets/d/1fgCFOFzOla4Qim6_-zG-lbYhLCItqv_kZiAHoErRgcM/edit"",""25!d2:d16""))"),10)</f>
        <v>10</v>
      </c>
      <c r="F671" s="19">
        <f ca="1">IFERROR(__xludf.DUMMYFUNCTION("SUM(IMPORTRANGE(""https://docs.google.com/spreadsheets/d/1fgCFOFzOla4Qim6_-zG-lbYhLCItqv_kZiAHoErRgcM/edit"",""25!Q2:Q16""))"),1955.925)</f>
        <v>1955.925</v>
      </c>
      <c r="G671" s="18">
        <f ca="1">IFERROR(__xludf.DUMMYFUNCTION("IMPORTRANGE(""https://docs.google.com/spreadsheets/d/1fgCFOFzOla4Qim6_-zG-lbYhLCItqv_kZiAHoErRgcM/edit"",""25!e23"")"),626)</f>
        <v>626</v>
      </c>
      <c r="H671" s="18">
        <f ca="1">IFERROR(__xludf.DUMMYFUNCTION("IMPORTRANGE(""https://docs.google.com/spreadsheets/d/1fgCFOFzOla4Qim6_-zG-lbYhLCItqv_kZiAHoErRgcM/edit"",""25!e24"")"),8)</f>
        <v>8</v>
      </c>
      <c r="I671" s="18">
        <f t="shared" ca="1" si="1812"/>
        <v>634</v>
      </c>
      <c r="J671" s="18">
        <f ca="1">IFERROR(__xludf.DUMMYFUNCTION("IMPORTRANGE(""https://docs.google.com/spreadsheets/d/1fgCFOFzOla4Qim6_-zG-lbYhLCItqv_kZiAHoErRgcM/edit"",""25!e27"")"),639)</f>
        <v>639</v>
      </c>
      <c r="K671" s="18">
        <f ca="1">IFERROR(__xludf.DUMMYFUNCTION("IMPORTRANGE(""https://docs.google.com/spreadsheets/d/1fgCFOFzOla4Qim6_-zG-lbYhLCItqv_kZiAHoErRgcM/edit"",""25!e28"")"),0)</f>
        <v>0</v>
      </c>
      <c r="L671" s="18">
        <f t="shared" ca="1" si="1842"/>
        <v>639</v>
      </c>
      <c r="M671" s="18">
        <f t="shared" ca="1" si="1814"/>
        <v>1273</v>
      </c>
      <c r="N671" s="19">
        <f t="shared" ca="1" si="1815"/>
        <v>195.5925</v>
      </c>
      <c r="O671" s="16">
        <v>2717</v>
      </c>
      <c r="P671" s="20">
        <f t="shared" ca="1" si="1816"/>
        <v>0.46853146853146854</v>
      </c>
      <c r="Q671" s="21">
        <v>1.5</v>
      </c>
      <c r="R671" s="20">
        <f t="shared" ca="1" si="1817"/>
        <v>0.43389530102977703</v>
      </c>
      <c r="S671" s="22">
        <f t="shared" ca="1" si="1818"/>
        <v>0.65084295154466554</v>
      </c>
      <c r="T671" s="21">
        <f ca="1">F671/43.465</f>
        <v>44.999999999999993</v>
      </c>
      <c r="U671" s="21">
        <f t="shared" ca="1" si="1819"/>
        <v>4.4999999999999991</v>
      </c>
      <c r="V671" s="18">
        <f t="shared" ca="1" si="1820"/>
        <v>127.3</v>
      </c>
      <c r="W671" s="76"/>
      <c r="X671" s="8">
        <v>3</v>
      </c>
      <c r="Y671" s="8" t="s">
        <v>36</v>
      </c>
      <c r="Z671" s="8">
        <f t="shared" ref="Z671:AI671" si="1863">SUM(D662)</f>
        <v>23</v>
      </c>
      <c r="AA671" s="9">
        <f t="shared" ca="1" si="1863"/>
        <v>23</v>
      </c>
      <c r="AB671" s="10">
        <f t="shared" ca="1" si="1863"/>
        <v>4484.8919999999898</v>
      </c>
      <c r="AC671" s="9">
        <f t="shared" ca="1" si="1863"/>
        <v>1114</v>
      </c>
      <c r="AD671" s="9">
        <f t="shared" ca="1" si="1863"/>
        <v>0</v>
      </c>
      <c r="AE671" s="9">
        <f t="shared" ca="1" si="1863"/>
        <v>1114</v>
      </c>
      <c r="AF671" s="9">
        <f t="shared" ca="1" si="1863"/>
        <v>1625</v>
      </c>
      <c r="AG671" s="9">
        <f t="shared" ca="1" si="1863"/>
        <v>0</v>
      </c>
      <c r="AH671" s="9">
        <f t="shared" ca="1" si="1863"/>
        <v>1625</v>
      </c>
      <c r="AI671" s="9">
        <f t="shared" ca="1" si="1863"/>
        <v>2739</v>
      </c>
      <c r="AJ671" s="11">
        <f t="shared" ca="1" si="1855"/>
        <v>194.99530434782565</v>
      </c>
      <c r="AK671" s="8">
        <f t="shared" ref="AK671:AK674" si="1864">SUM(O662)</f>
        <v>4796</v>
      </c>
      <c r="AL671" s="12">
        <f t="shared" ca="1" si="1856"/>
        <v>0.57110091743119262</v>
      </c>
      <c r="AM671" s="13">
        <f t="shared" ref="AM671:AM674" si="1865">SUM(Q662)</f>
        <v>1.5</v>
      </c>
      <c r="AN671" s="12">
        <f t="shared" ca="1" si="1857"/>
        <v>0.40714469824468552</v>
      </c>
      <c r="AO671" s="14">
        <f t="shared" ca="1" si="1858"/>
        <v>0.61071704736702825</v>
      </c>
      <c r="AP671" s="13">
        <f t="shared" ref="AP671:AQ671" ca="1" si="1866">SUM(T662)</f>
        <v>119.87202651413881</v>
      </c>
      <c r="AQ671" s="13">
        <f t="shared" ca="1" si="1866"/>
        <v>5.2118272397451655</v>
      </c>
      <c r="AR671" s="9">
        <f t="shared" ca="1" si="1860"/>
        <v>119.08695652173913</v>
      </c>
      <c r="AS671" s="76"/>
      <c r="AT671" s="76"/>
    </row>
    <row r="672" spans="1:46" ht="15.75" customHeight="1" x14ac:dyDescent="0.2">
      <c r="A672" s="70"/>
      <c r="B672" s="98" t="s">
        <v>33</v>
      </c>
      <c r="C672" s="98">
        <v>18</v>
      </c>
      <c r="D672" s="98">
        <f t="shared" ref="D672:M672" si="1867">SUM(D654:D671)</f>
        <v>470</v>
      </c>
      <c r="E672" s="74">
        <f t="shared" ca="1" si="1867"/>
        <v>459</v>
      </c>
      <c r="F672" s="99">
        <f t="shared" ca="1" si="1867"/>
        <v>89240.596999999907</v>
      </c>
      <c r="G672" s="74">
        <f t="shared" ca="1" si="1867"/>
        <v>31281</v>
      </c>
      <c r="H672" s="74">
        <f t="shared" ca="1" si="1867"/>
        <v>800</v>
      </c>
      <c r="I672" s="74">
        <f t="shared" ca="1" si="1867"/>
        <v>32081</v>
      </c>
      <c r="J672" s="74">
        <f t="shared" ca="1" si="1867"/>
        <v>42256</v>
      </c>
      <c r="K672" s="74">
        <f t="shared" ca="1" si="1867"/>
        <v>835</v>
      </c>
      <c r="L672" s="74">
        <f t="shared" ca="1" si="1867"/>
        <v>43091</v>
      </c>
      <c r="M672" s="74">
        <f t="shared" ca="1" si="1867"/>
        <v>75172</v>
      </c>
      <c r="N672" s="99">
        <f t="shared" ca="1" si="1815"/>
        <v>194.4239586056643</v>
      </c>
      <c r="O672" s="98">
        <f>SUM(O654:O671)</f>
        <v>126399</v>
      </c>
      <c r="P672" s="69">
        <f t="shared" ca="1" si="1816"/>
        <v>0.59471989493587762</v>
      </c>
      <c r="Q672" s="72">
        <v>1.5</v>
      </c>
      <c r="R672" s="69">
        <f t="shared" ca="1" si="1817"/>
        <v>0.56156803463189198</v>
      </c>
      <c r="S672" s="73">
        <f t="shared" ca="1" si="1818"/>
        <v>0.84235205194783802</v>
      </c>
      <c r="T672" s="72">
        <f ca="1">SUM(T654:T671)</f>
        <v>3290.5415594192837</v>
      </c>
      <c r="U672" s="72">
        <f t="shared" ca="1" si="1819"/>
        <v>7.1689358593012713</v>
      </c>
      <c r="V672" s="74">
        <f t="shared" ca="1" si="1820"/>
        <v>163.77342047930284</v>
      </c>
      <c r="W672" s="76"/>
      <c r="X672" s="8">
        <v>4</v>
      </c>
      <c r="Y672" s="8" t="s">
        <v>37</v>
      </c>
      <c r="Z672" s="8">
        <f t="shared" ref="Z672:AI672" si="1868">SUM(D663)</f>
        <v>24</v>
      </c>
      <c r="AA672" s="9">
        <f t="shared" ca="1" si="1868"/>
        <v>23</v>
      </c>
      <c r="AB672" s="10">
        <f t="shared" ca="1" si="1868"/>
        <v>4349.46</v>
      </c>
      <c r="AC672" s="9">
        <f t="shared" ca="1" si="1868"/>
        <v>1279</v>
      </c>
      <c r="AD672" s="9">
        <f t="shared" ca="1" si="1868"/>
        <v>0</v>
      </c>
      <c r="AE672" s="9">
        <f t="shared" ca="1" si="1868"/>
        <v>1279</v>
      </c>
      <c r="AF672" s="9">
        <f t="shared" ca="1" si="1868"/>
        <v>2475</v>
      </c>
      <c r="AG672" s="9">
        <f t="shared" ca="1" si="1868"/>
        <v>0</v>
      </c>
      <c r="AH672" s="9">
        <f t="shared" ca="1" si="1868"/>
        <v>2475</v>
      </c>
      <c r="AI672" s="9">
        <f t="shared" ca="1" si="1868"/>
        <v>3754</v>
      </c>
      <c r="AJ672" s="11">
        <f t="shared" ca="1" si="1855"/>
        <v>189.10695652173914</v>
      </c>
      <c r="AK672" s="8">
        <f t="shared" si="1864"/>
        <v>5887</v>
      </c>
      <c r="AL672" s="12">
        <f t="shared" ca="1" si="1856"/>
        <v>0.63767623577373878</v>
      </c>
      <c r="AM672" s="13">
        <f t="shared" si="1865"/>
        <v>1.5</v>
      </c>
      <c r="AN672" s="12">
        <f t="shared" ca="1" si="1857"/>
        <v>0.57539709910349024</v>
      </c>
      <c r="AO672" s="14">
        <f t="shared" ca="1" si="1858"/>
        <v>0.86309564865523536</v>
      </c>
      <c r="AP672" s="13">
        <f t="shared" ref="AP672:AQ672" ca="1" si="1869">SUM(T663)</f>
        <v>175.4380445304937</v>
      </c>
      <c r="AQ672" s="13">
        <f t="shared" ca="1" si="1869"/>
        <v>7.6277410665432042</v>
      </c>
      <c r="AR672" s="9">
        <f t="shared" ca="1" si="1860"/>
        <v>163.21739130434781</v>
      </c>
      <c r="AS672" s="76"/>
      <c r="AT672" s="76"/>
    </row>
    <row r="673" spans="1:46" ht="15.75" customHeight="1" x14ac:dyDescent="0.2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6"/>
      <c r="X673" s="8">
        <v>5</v>
      </c>
      <c r="Y673" s="8" t="s">
        <v>39</v>
      </c>
      <c r="Z673" s="8">
        <f t="shared" ref="Z673:AI673" si="1870">SUM(D664)</f>
        <v>22</v>
      </c>
      <c r="AA673" s="9">
        <f t="shared" ca="1" si="1870"/>
        <v>21</v>
      </c>
      <c r="AB673" s="10">
        <f t="shared" ca="1" si="1870"/>
        <v>4083.4269999999901</v>
      </c>
      <c r="AC673" s="9">
        <f t="shared" ca="1" si="1870"/>
        <v>899</v>
      </c>
      <c r="AD673" s="9">
        <f t="shared" ca="1" si="1870"/>
        <v>0</v>
      </c>
      <c r="AE673" s="9">
        <f t="shared" ca="1" si="1870"/>
        <v>899</v>
      </c>
      <c r="AF673" s="9">
        <f t="shared" ca="1" si="1870"/>
        <v>1841</v>
      </c>
      <c r="AG673" s="9">
        <f t="shared" ca="1" si="1870"/>
        <v>0</v>
      </c>
      <c r="AH673" s="9">
        <f t="shared" ca="1" si="1870"/>
        <v>1841</v>
      </c>
      <c r="AI673" s="9">
        <f t="shared" ca="1" si="1870"/>
        <v>2740</v>
      </c>
      <c r="AJ673" s="11">
        <f t="shared" ca="1" si="1855"/>
        <v>194.44890476190429</v>
      </c>
      <c r="AK673" s="8">
        <f t="shared" si="1864"/>
        <v>3569</v>
      </c>
      <c r="AL673" s="12">
        <f t="shared" ca="1" si="1856"/>
        <v>0.76772205099467639</v>
      </c>
      <c r="AM673" s="13">
        <f t="shared" si="1865"/>
        <v>1.5</v>
      </c>
      <c r="AN673" s="12">
        <f t="shared" ca="1" si="1857"/>
        <v>0.44733667741989042</v>
      </c>
      <c r="AO673" s="14">
        <f t="shared" ca="1" si="1858"/>
        <v>0.67100501612983565</v>
      </c>
      <c r="AP673" s="13">
        <f t="shared" ref="AP673:AQ673" ca="1" si="1871">SUM(T664)</f>
        <v>190.25425150258539</v>
      </c>
      <c r="AQ673" s="13">
        <f t="shared" ca="1" si="1871"/>
        <v>9.0597262620278762</v>
      </c>
      <c r="AR673" s="9">
        <f t="shared" ca="1" si="1860"/>
        <v>130.47619047619048</v>
      </c>
      <c r="AS673" s="76"/>
      <c r="AT673" s="76"/>
    </row>
    <row r="674" spans="1:46" ht="15.75" customHeight="1" x14ac:dyDescent="0.2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6"/>
      <c r="X674" s="8">
        <v>6</v>
      </c>
      <c r="Y674" s="8" t="s">
        <v>41</v>
      </c>
      <c r="Z674" s="8">
        <f t="shared" ref="Z674:AI674" si="1872">SUM(D665)</f>
        <v>20</v>
      </c>
      <c r="AA674" s="9">
        <f t="shared" ca="1" si="1872"/>
        <v>20</v>
      </c>
      <c r="AB674" s="10">
        <f t="shared" ca="1" si="1872"/>
        <v>3993.1959999999999</v>
      </c>
      <c r="AC674" s="9">
        <f t="shared" ca="1" si="1872"/>
        <v>880</v>
      </c>
      <c r="AD674" s="9">
        <f t="shared" ca="1" si="1872"/>
        <v>0</v>
      </c>
      <c r="AE674" s="9">
        <f t="shared" ca="1" si="1872"/>
        <v>880</v>
      </c>
      <c r="AF674" s="9">
        <f t="shared" ca="1" si="1872"/>
        <v>1402</v>
      </c>
      <c r="AG674" s="9">
        <f t="shared" ca="1" si="1872"/>
        <v>0</v>
      </c>
      <c r="AH674" s="9">
        <f t="shared" ca="1" si="1872"/>
        <v>1402</v>
      </c>
      <c r="AI674" s="9">
        <f t="shared" ca="1" si="1872"/>
        <v>2282</v>
      </c>
      <c r="AJ674" s="11">
        <f t="shared" ca="1" si="1855"/>
        <v>199.65979999999999</v>
      </c>
      <c r="AK674" s="8">
        <f t="shared" si="1864"/>
        <v>3801</v>
      </c>
      <c r="AL674" s="12">
        <f t="shared" ca="1" si="1856"/>
        <v>0.60036832412523022</v>
      </c>
      <c r="AM674" s="13">
        <f t="shared" si="1865"/>
        <v>1.5</v>
      </c>
      <c r="AN674" s="12">
        <f t="shared" ca="1" si="1857"/>
        <v>0.38098138266524689</v>
      </c>
      <c r="AO674" s="14">
        <f t="shared" ca="1" si="1858"/>
        <v>0.57147207399787037</v>
      </c>
      <c r="AP674" s="13">
        <f t="shared" ref="AP674:AQ674" ca="1" si="1873">SUM(T665)</f>
        <v>134.77777777777777</v>
      </c>
      <c r="AQ674" s="13">
        <f t="shared" ca="1" si="1873"/>
        <v>6.7388888888888889</v>
      </c>
      <c r="AR674" s="9">
        <f t="shared" ca="1" si="1860"/>
        <v>114.1</v>
      </c>
      <c r="AS674" s="76"/>
      <c r="AT674" s="76"/>
    </row>
    <row r="675" spans="1:46" ht="15.75" customHeight="1" x14ac:dyDescent="0.25">
      <c r="A675" s="110" t="s">
        <v>45</v>
      </c>
      <c r="B675" s="76"/>
      <c r="C675" s="76"/>
      <c r="D675" s="75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24" t="s">
        <v>33</v>
      </c>
      <c r="Y675" s="24">
        <v>6</v>
      </c>
      <c r="Z675" s="24">
        <f t="shared" ref="Z675:AI675" si="1874">SUM(Z669:Z674)</f>
        <v>138</v>
      </c>
      <c r="AA675" s="25">
        <f t="shared" ca="1" si="1874"/>
        <v>136</v>
      </c>
      <c r="AB675" s="27">
        <f t="shared" ca="1" si="1874"/>
        <v>26307.250999999967</v>
      </c>
      <c r="AC675" s="25">
        <f t="shared" ca="1" si="1874"/>
        <v>9799</v>
      </c>
      <c r="AD675" s="25">
        <f t="shared" ca="1" si="1874"/>
        <v>101</v>
      </c>
      <c r="AE675" s="25">
        <f t="shared" ca="1" si="1874"/>
        <v>9900</v>
      </c>
      <c r="AF675" s="25">
        <f t="shared" ca="1" si="1874"/>
        <v>13395</v>
      </c>
      <c r="AG675" s="25">
        <f t="shared" ca="1" si="1874"/>
        <v>0</v>
      </c>
      <c r="AH675" s="25">
        <f t="shared" ca="1" si="1874"/>
        <v>13395</v>
      </c>
      <c r="AI675" s="25">
        <f t="shared" ca="1" si="1874"/>
        <v>23295</v>
      </c>
      <c r="AJ675" s="27">
        <f t="shared" ca="1" si="1855"/>
        <v>193.43566911764682</v>
      </c>
      <c r="AK675" s="24">
        <f>SUM(AK669:AK674)</f>
        <v>37031</v>
      </c>
      <c r="AL675" s="28">
        <f t="shared" ca="1" si="1856"/>
        <v>0.62906753800869541</v>
      </c>
      <c r="AM675" s="29">
        <v>1.5</v>
      </c>
      <c r="AN675" s="28">
        <f t="shared" ca="1" si="1857"/>
        <v>0.59033154015218159</v>
      </c>
      <c r="AO675" s="30">
        <f t="shared" ca="1" si="1858"/>
        <v>0.88549731022827238</v>
      </c>
      <c r="AP675" s="29">
        <f ca="1">SUM(AP669:AP674)</f>
        <v>1081.8792491283252</v>
      </c>
      <c r="AQ675" s="29">
        <f ca="1">AP675/AA675</f>
        <v>7.9549944788847444</v>
      </c>
      <c r="AR675" s="25">
        <f t="shared" ca="1" si="1860"/>
        <v>171.28676470588235</v>
      </c>
      <c r="AS675" s="76"/>
      <c r="AT675" s="76"/>
    </row>
    <row r="676" spans="1:46" ht="15.75" customHeight="1" x14ac:dyDescent="0.2">
      <c r="A676" s="110" t="s">
        <v>45</v>
      </c>
      <c r="B676" s="76"/>
      <c r="C676" s="76"/>
      <c r="D676" s="75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7" t="s">
        <v>1</v>
      </c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9"/>
      <c r="AS676" s="76"/>
      <c r="AT676" s="76"/>
    </row>
    <row r="677" spans="1:46" ht="15.75" customHeight="1" x14ac:dyDescent="0.2">
      <c r="A677" s="113">
        <v>46229</v>
      </c>
      <c r="B677" s="80" t="s">
        <v>2</v>
      </c>
      <c r="C677" s="80" t="s">
        <v>3</v>
      </c>
      <c r="D677" s="80" t="s">
        <v>4</v>
      </c>
      <c r="E677" s="80" t="s">
        <v>5</v>
      </c>
      <c r="F677" s="81" t="s">
        <v>6</v>
      </c>
      <c r="G677" s="80" t="s">
        <v>7</v>
      </c>
      <c r="H677" s="80" t="s">
        <v>8</v>
      </c>
      <c r="I677" s="80" t="s">
        <v>9</v>
      </c>
      <c r="J677" s="80" t="s">
        <v>10</v>
      </c>
      <c r="K677" s="80" t="s">
        <v>11</v>
      </c>
      <c r="L677" s="80" t="s">
        <v>12</v>
      </c>
      <c r="M677" s="80" t="s">
        <v>13</v>
      </c>
      <c r="N677" s="81" t="s">
        <v>14</v>
      </c>
      <c r="O677" s="80" t="s">
        <v>15</v>
      </c>
      <c r="P677" s="80" t="s">
        <v>16</v>
      </c>
      <c r="Q677" s="80" t="s">
        <v>17</v>
      </c>
      <c r="R677" s="80" t="s">
        <v>18</v>
      </c>
      <c r="S677" s="106" t="s">
        <v>19</v>
      </c>
      <c r="T677" s="107" t="s">
        <v>20</v>
      </c>
      <c r="U677" s="107" t="s">
        <v>21</v>
      </c>
      <c r="V677" s="105" t="s">
        <v>22</v>
      </c>
      <c r="W677" s="76"/>
      <c r="X677" s="1" t="s">
        <v>2</v>
      </c>
      <c r="Y677" s="1" t="s">
        <v>3</v>
      </c>
      <c r="Z677" s="1" t="s">
        <v>4</v>
      </c>
      <c r="AA677" s="1" t="s">
        <v>5</v>
      </c>
      <c r="AB677" s="2" t="s">
        <v>6</v>
      </c>
      <c r="AC677" s="1" t="s">
        <v>7</v>
      </c>
      <c r="AD677" s="1" t="s">
        <v>8</v>
      </c>
      <c r="AE677" s="1" t="s">
        <v>9</v>
      </c>
      <c r="AF677" s="1" t="s">
        <v>10</v>
      </c>
      <c r="AG677" s="1" t="s">
        <v>11</v>
      </c>
      <c r="AH677" s="1" t="s">
        <v>12</v>
      </c>
      <c r="AI677" s="1" t="s">
        <v>13</v>
      </c>
      <c r="AJ677" s="2" t="s">
        <v>14</v>
      </c>
      <c r="AK677" s="1" t="s">
        <v>15</v>
      </c>
      <c r="AL677" s="1" t="s">
        <v>16</v>
      </c>
      <c r="AM677" s="3" t="s">
        <v>17</v>
      </c>
      <c r="AN677" s="4" t="s">
        <v>18</v>
      </c>
      <c r="AO677" s="5" t="s">
        <v>19</v>
      </c>
      <c r="AP677" s="6" t="s">
        <v>20</v>
      </c>
      <c r="AQ677" s="6" t="s">
        <v>21</v>
      </c>
      <c r="AR677" s="7" t="s">
        <v>22</v>
      </c>
      <c r="AS677" s="76"/>
      <c r="AT677" s="76"/>
    </row>
    <row r="678" spans="1:46" ht="15.75" customHeight="1" x14ac:dyDescent="0.2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6"/>
      <c r="X678" s="8">
        <v>1</v>
      </c>
      <c r="Y678" s="8" t="s">
        <v>23</v>
      </c>
      <c r="Z678" s="8">
        <f t="shared" ref="Z678:AI678" si="1875">SUM(D686)</f>
        <v>26</v>
      </c>
      <c r="AA678" s="9">
        <f t="shared" ca="1" si="1875"/>
        <v>26</v>
      </c>
      <c r="AB678" s="10">
        <f t="shared" ca="1" si="1875"/>
        <v>5060.99999999999</v>
      </c>
      <c r="AC678" s="9">
        <f t="shared" ca="1" si="1875"/>
        <v>954</v>
      </c>
      <c r="AD678" s="9">
        <f t="shared" ca="1" si="1875"/>
        <v>0</v>
      </c>
      <c r="AE678" s="9">
        <f t="shared" ca="1" si="1875"/>
        <v>954</v>
      </c>
      <c r="AF678" s="9">
        <f t="shared" ca="1" si="1875"/>
        <v>2241</v>
      </c>
      <c r="AG678" s="9">
        <f t="shared" ca="1" si="1875"/>
        <v>85</v>
      </c>
      <c r="AH678" s="9">
        <f t="shared" ca="1" si="1875"/>
        <v>2326</v>
      </c>
      <c r="AI678" s="9">
        <f t="shared" ca="1" si="1875"/>
        <v>3280</v>
      </c>
      <c r="AJ678" s="11">
        <f t="shared" ref="AJ678:AJ680" ca="1" si="1876">AB678/AA678</f>
        <v>194.65384615384576</v>
      </c>
      <c r="AK678" s="8">
        <f>SUM(O686)</f>
        <v>6853</v>
      </c>
      <c r="AL678" s="12">
        <f t="shared" ref="AL678:AL684" ca="1" si="1877">AI678/AK678</f>
        <v>0.47862250109441118</v>
      </c>
      <c r="AM678" s="13">
        <f t="shared" ref="AM678:AM680" si="1878">SUM(Q686)</f>
        <v>1.5</v>
      </c>
      <c r="AN678" s="12">
        <f t="shared" ref="AN678:AN684" ca="1" si="1879">AO678/AM678</f>
        <v>0.43206217480076486</v>
      </c>
      <c r="AO678" s="14">
        <f t="shared" ref="AO678:AO684" ca="1" si="1880">AI678/AB678</f>
        <v>0.64809326220114727</v>
      </c>
      <c r="AP678" s="13">
        <f t="shared" ref="AP678:AQ678" ca="1" si="1881">SUM(T686)</f>
        <v>149.99999999999969</v>
      </c>
      <c r="AQ678" s="13">
        <f t="shared" ca="1" si="1881"/>
        <v>5.7692307692307576</v>
      </c>
      <c r="AR678" s="9">
        <f t="shared" ref="AR678:AR684" ca="1" si="1882">AI678/AA678</f>
        <v>126.15384615384616</v>
      </c>
      <c r="AS678" s="76"/>
      <c r="AT678" s="76"/>
    </row>
    <row r="679" spans="1:46" ht="15.75" customHeight="1" x14ac:dyDescent="0.2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6"/>
      <c r="X679" s="8">
        <v>2</v>
      </c>
      <c r="Y679" s="8" t="s">
        <v>24</v>
      </c>
      <c r="Z679" s="8">
        <f t="shared" ref="Z679:AI679" si="1883">SUM(D687)</f>
        <v>35</v>
      </c>
      <c r="AA679" s="9">
        <f t="shared" ca="1" si="1883"/>
        <v>35</v>
      </c>
      <c r="AB679" s="10">
        <f t="shared" ca="1" si="1883"/>
        <v>6748.16499999999</v>
      </c>
      <c r="AC679" s="9">
        <f t="shared" ca="1" si="1883"/>
        <v>645</v>
      </c>
      <c r="AD679" s="9">
        <f t="shared" ca="1" si="1883"/>
        <v>0</v>
      </c>
      <c r="AE679" s="9">
        <f t="shared" ca="1" si="1883"/>
        <v>645</v>
      </c>
      <c r="AF679" s="9">
        <f t="shared" ca="1" si="1883"/>
        <v>865</v>
      </c>
      <c r="AG679" s="9">
        <f t="shared" ca="1" si="1883"/>
        <v>17</v>
      </c>
      <c r="AH679" s="9">
        <f t="shared" ca="1" si="1883"/>
        <v>882</v>
      </c>
      <c r="AI679" s="9">
        <f t="shared" ca="1" si="1883"/>
        <v>1527</v>
      </c>
      <c r="AJ679" s="11">
        <f t="shared" ca="1" si="1876"/>
        <v>192.804714285714</v>
      </c>
      <c r="AK679" s="8">
        <v>1580</v>
      </c>
      <c r="AL679" s="12">
        <f t="shared" ca="1" si="1877"/>
        <v>0.96645569620253169</v>
      </c>
      <c r="AM679" s="13">
        <f t="shared" si="1878"/>
        <v>1.5</v>
      </c>
      <c r="AN679" s="12">
        <f t="shared" ca="1" si="1879"/>
        <v>0.15085582525027197</v>
      </c>
      <c r="AO679" s="14">
        <f t="shared" ca="1" si="1880"/>
        <v>0.22628373787540795</v>
      </c>
      <c r="AP679" s="13">
        <f t="shared" ref="AP679:AQ679" ca="1" si="1884">SUM(T687)</f>
        <v>251.75023316545384</v>
      </c>
      <c r="AQ679" s="13">
        <f t="shared" ca="1" si="1884"/>
        <v>7.1928638047272528</v>
      </c>
      <c r="AR679" s="9">
        <f t="shared" ca="1" si="1882"/>
        <v>43.628571428571426</v>
      </c>
      <c r="AS679" s="76"/>
      <c r="AT679" s="76"/>
    </row>
    <row r="680" spans="1:46" ht="15.75" customHeight="1" x14ac:dyDescent="0.2">
      <c r="A680" s="70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6"/>
      <c r="X680" s="8">
        <v>3</v>
      </c>
      <c r="Y680" s="8" t="s">
        <v>25</v>
      </c>
      <c r="Z680" s="8">
        <f t="shared" ref="Z680:AI680" si="1885">SUM(D688)</f>
        <v>26</v>
      </c>
      <c r="AA680" s="9">
        <f t="shared" ca="1" si="1885"/>
        <v>25</v>
      </c>
      <c r="AB680" s="10">
        <f t="shared" ca="1" si="1885"/>
        <v>4486.7959999999903</v>
      </c>
      <c r="AC680" s="9">
        <f t="shared" ca="1" si="1885"/>
        <v>1466</v>
      </c>
      <c r="AD680" s="9">
        <f t="shared" ca="1" si="1885"/>
        <v>335</v>
      </c>
      <c r="AE680" s="9">
        <f t="shared" ca="1" si="1885"/>
        <v>1801</v>
      </c>
      <c r="AF680" s="9">
        <f t="shared" ca="1" si="1885"/>
        <v>2194</v>
      </c>
      <c r="AG680" s="9">
        <f t="shared" ca="1" si="1885"/>
        <v>211</v>
      </c>
      <c r="AH680" s="9">
        <f t="shared" ca="1" si="1885"/>
        <v>2405</v>
      </c>
      <c r="AI680" s="9">
        <f t="shared" ca="1" si="1885"/>
        <v>4206</v>
      </c>
      <c r="AJ680" s="11">
        <f t="shared" ca="1" si="1876"/>
        <v>179.47183999999962</v>
      </c>
      <c r="AK680" s="8">
        <f>SUM(O688)</f>
        <v>6622</v>
      </c>
      <c r="AL680" s="12">
        <f t="shared" ca="1" si="1877"/>
        <v>0.63515554213228631</v>
      </c>
      <c r="AM680" s="13">
        <f t="shared" si="1878"/>
        <v>1.5</v>
      </c>
      <c r="AN680" s="12">
        <f t="shared" ca="1" si="1879"/>
        <v>0.62494483814285429</v>
      </c>
      <c r="AO680" s="14">
        <f t="shared" ca="1" si="1880"/>
        <v>0.93741725721428149</v>
      </c>
      <c r="AP680" s="13">
        <f t="shared" ref="AP680:AQ680" ca="1" si="1886">SUM(T688)</f>
        <v>188.20453020134187</v>
      </c>
      <c r="AQ680" s="13">
        <f t="shared" ca="1" si="1886"/>
        <v>7.5281812080536747</v>
      </c>
      <c r="AR680" s="9">
        <f t="shared" ca="1" si="1882"/>
        <v>168.24</v>
      </c>
      <c r="AS680" s="76"/>
      <c r="AT680" s="76"/>
    </row>
    <row r="681" spans="1:46" ht="15.75" customHeight="1" x14ac:dyDescent="0.25">
      <c r="A681" s="70"/>
      <c r="B681" s="16">
        <v>1</v>
      </c>
      <c r="C681" s="16" t="s">
        <v>26</v>
      </c>
      <c r="D681" s="17">
        <v>15</v>
      </c>
      <c r="E681" s="18">
        <f ca="1">IFERROR(__xludf.DUMMYFUNCTION("COUNT(IMPORTRANGE(""https://docs.google.com/spreadsheets/d/1z0o91thOT38lgejTE_Bd2p3v_9VCDdQRkUsMIVqpQCk/edit"",""26!d2:d21""))"),14)</f>
        <v>14</v>
      </c>
      <c r="F681" s="19">
        <f ca="1">IFERROR(__xludf.DUMMYFUNCTION("SUM(IMPORTRANGE(""https://docs.google.com/spreadsheets/d/1z0o91thOT38lgejTE_Bd2p3v_9VCDdQRkUsMIVqpQCk/edit"",""26!Q2:Q21""))"),2645.535)</f>
        <v>2645.5349999999999</v>
      </c>
      <c r="G681" s="18">
        <f ca="1">IFERROR(__xludf.DUMMYFUNCTION("IMPORTRANGE(""https://docs.google.com/spreadsheets/d/1z0o91thOT38lgejTE_Bd2p3v_9VCDdQRkUsMIVqpQCk/edit"",""26!e28"")"),1298)</f>
        <v>1298</v>
      </c>
      <c r="H681" s="18">
        <f ca="1">IFERROR(__xludf.DUMMYFUNCTION("IMPORTRANGE(""https://docs.google.com/spreadsheets/d/1z0o91thOT38lgejTE_Bd2p3v_9VCDdQRkUsMIVqpQCk/edit"",""26!e29"")"),0)</f>
        <v>0</v>
      </c>
      <c r="I681" s="18">
        <f t="shared" ref="I681:I698" ca="1" si="1887">SUM(G681:H681)</f>
        <v>1298</v>
      </c>
      <c r="J681" s="18">
        <f ca="1">IFERROR(__xludf.DUMMYFUNCTION("IMPORTRANGE(""https://docs.google.com/spreadsheets/d/1z0o91thOT38lgejTE_Bd2p3v_9VCDdQRkUsMIVqpQCk/edit"",""26!e32"")"),1805)</f>
        <v>1805</v>
      </c>
      <c r="K681" s="18">
        <f ca="1">IFERROR(__xludf.DUMMYFUNCTION("IMPORTRANGE(""https://docs.google.com/spreadsheets/d/1z0o91thOT38lgejTE_Bd2p3v_9VCDdQRkUsMIVqpQCk/edit"",""26!e33"")"),0)</f>
        <v>0</v>
      </c>
      <c r="L681" s="18">
        <f t="shared" ref="L681:L687" ca="1" si="1888">SUM(J681:K681)</f>
        <v>1805</v>
      </c>
      <c r="M681" s="18">
        <f t="shared" ref="M681:M698" ca="1" si="1889">SUM(I681+L681)</f>
        <v>3103</v>
      </c>
      <c r="N681" s="19">
        <f t="shared" ref="N681:N699" ca="1" si="1890">F681/E681</f>
        <v>188.96678571428569</v>
      </c>
      <c r="O681" s="16">
        <v>5161</v>
      </c>
      <c r="P681" s="20">
        <f t="shared" ref="P681:P699" ca="1" si="1891">M681/O681</f>
        <v>0.60124006975392363</v>
      </c>
      <c r="Q681" s="21">
        <v>1.5</v>
      </c>
      <c r="R681" s="20">
        <f t="shared" ref="R681:R699" ca="1" si="1892">S681/Q681</f>
        <v>0.78194643679507803</v>
      </c>
      <c r="S681" s="22">
        <f t="shared" ref="S681:S699" ca="1" si="1893">M681/F681</f>
        <v>1.1729196551926171</v>
      </c>
      <c r="T681" s="21">
        <f ca="1">F681/14.415</f>
        <v>183.52653485952132</v>
      </c>
      <c r="U681" s="21">
        <f t="shared" ref="U681:U699" ca="1" si="1894">T681/E681</f>
        <v>13.109038204251522</v>
      </c>
      <c r="V681" s="18">
        <f t="shared" ref="V681:V699" ca="1" si="1895">M681/E681</f>
        <v>221.64285714285714</v>
      </c>
      <c r="W681" s="76"/>
      <c r="X681" s="8">
        <v>4</v>
      </c>
      <c r="Y681" s="8" t="s">
        <v>27</v>
      </c>
      <c r="Z681" s="8">
        <f t="shared" ref="Z681:AK681" si="1896">SUM(D694)</f>
        <v>23</v>
      </c>
      <c r="AA681" s="9">
        <f t="shared" ca="1" si="1896"/>
        <v>21</v>
      </c>
      <c r="AB681" s="10">
        <f t="shared" ca="1" si="1896"/>
        <v>4206.7049999999899</v>
      </c>
      <c r="AC681" s="9">
        <f t="shared" ca="1" si="1896"/>
        <v>1847</v>
      </c>
      <c r="AD681" s="9">
        <f t="shared" ca="1" si="1896"/>
        <v>0</v>
      </c>
      <c r="AE681" s="9">
        <f t="shared" ca="1" si="1896"/>
        <v>1847</v>
      </c>
      <c r="AF681" s="9">
        <f t="shared" ca="1" si="1896"/>
        <v>2082</v>
      </c>
      <c r="AG681" s="9">
        <f t="shared" ca="1" si="1896"/>
        <v>0</v>
      </c>
      <c r="AH681" s="9">
        <f t="shared" ca="1" si="1896"/>
        <v>2082</v>
      </c>
      <c r="AI681" s="9">
        <f t="shared" ca="1" si="1896"/>
        <v>3929</v>
      </c>
      <c r="AJ681" s="11">
        <f t="shared" ca="1" si="1896"/>
        <v>200.31928571428523</v>
      </c>
      <c r="AK681" s="8">
        <f t="shared" si="1896"/>
        <v>8101</v>
      </c>
      <c r="AL681" s="12">
        <f t="shared" ca="1" si="1877"/>
        <v>0.48500185162325637</v>
      </c>
      <c r="AM681" s="13">
        <f>SUM(Q694)</f>
        <v>1.5</v>
      </c>
      <c r="AN681" s="12">
        <f t="shared" ca="1" si="1879"/>
        <v>0.62265676659840408</v>
      </c>
      <c r="AO681" s="14">
        <f t="shared" ca="1" si="1880"/>
        <v>0.93398514989760617</v>
      </c>
      <c r="AP681" s="13">
        <f t="shared" ref="AP681:AQ681" ca="1" si="1897">SUM(T694)</f>
        <v>210.4931198398794</v>
      </c>
      <c r="AQ681" s="13">
        <f t="shared" ca="1" si="1897"/>
        <v>10.023481897137113</v>
      </c>
      <c r="AR681" s="9">
        <f t="shared" ca="1" si="1882"/>
        <v>187.0952380952381</v>
      </c>
      <c r="AS681" s="76"/>
      <c r="AT681" s="76"/>
    </row>
    <row r="682" spans="1:46" ht="15.75" customHeight="1" x14ac:dyDescent="0.25">
      <c r="A682" s="70"/>
      <c r="B682" s="16">
        <v>2</v>
      </c>
      <c r="C682" s="16" t="s">
        <v>28</v>
      </c>
      <c r="D682" s="17">
        <v>24</v>
      </c>
      <c r="E682" s="18">
        <f ca="1">IFERROR(__xludf.DUMMYFUNCTION("COUNT(IMPORTRANGE(""https://docs.google.com/spreadsheets/d/10a85iNN0y9GF6ngQfF1JXGAzFk-T7ywH4-TZtQcOTaE/edit"",""26!d2:d34""))"),23)</f>
        <v>23</v>
      </c>
      <c r="F682" s="19">
        <f ca="1">IFERROR(__xludf.DUMMYFUNCTION("SUM(IMPORTRANGE(""https://docs.google.com/spreadsheets/d/10a85iNN0y9GF6ngQfF1JXGAzFk-T7ywH4-TZtQcOTaE/edit"",""26!Q2:Q34""))"),4520.528)</f>
        <v>4520.5280000000002</v>
      </c>
      <c r="G682" s="18">
        <f ca="1">IFERROR(__xludf.DUMMYFUNCTION("IMPORTRANGE(""https://docs.google.com/spreadsheets/d/10a85iNN0y9GF6ngQfF1JXGAzFk-T7ywH4-TZtQcOTaE/edit"",""26!e41"")"),1477)</f>
        <v>1477</v>
      </c>
      <c r="H682" s="18">
        <f ca="1">IFERROR(__xludf.DUMMYFUNCTION("IMPORTRANGE(""https://docs.google.com/spreadsheets/d/10a85iNN0y9GF6ngQfF1JXGAzFk-T7ywH4-TZtQcOTaE/edit"",""26!e42"")"),125)</f>
        <v>125</v>
      </c>
      <c r="I682" s="18">
        <f t="shared" ca="1" si="1887"/>
        <v>1602</v>
      </c>
      <c r="J682" s="18">
        <f ca="1">IFERROR(__xludf.DUMMYFUNCTION("IMPORTRANGE(""https://docs.google.com/spreadsheets/d/10a85iNN0y9GF6ngQfF1JXGAzFk-T7ywH4-TZtQcOTaE/edit"",""26!e45"")"),1968)</f>
        <v>1968</v>
      </c>
      <c r="K682" s="18">
        <f ca="1">IFERROR(__xludf.DUMMYFUNCTION("IMPORTRANGE(""https://docs.google.com/spreadsheets/d/10a85iNN0y9GF6ngQfF1JXGAzFk-T7ywH4-TZtQcOTaE/edit"",""26!e46"")"),63)</f>
        <v>63</v>
      </c>
      <c r="L682" s="18">
        <f t="shared" ca="1" si="1888"/>
        <v>2031</v>
      </c>
      <c r="M682" s="18">
        <f t="shared" ca="1" si="1889"/>
        <v>3633</v>
      </c>
      <c r="N682" s="19">
        <f t="shared" ca="1" si="1890"/>
        <v>196.54469565217391</v>
      </c>
      <c r="O682" s="16">
        <v>7315</v>
      </c>
      <c r="P682" s="20">
        <f t="shared" ca="1" si="1891"/>
        <v>0.49665071770334929</v>
      </c>
      <c r="Q682" s="21">
        <v>1.5</v>
      </c>
      <c r="R682" s="20">
        <f t="shared" ca="1" si="1892"/>
        <v>0.53577812149377235</v>
      </c>
      <c r="S682" s="22">
        <f t="shared" ca="1" si="1893"/>
        <v>0.80366718224065858</v>
      </c>
      <c r="T682" s="21">
        <f ca="1">F682/30.897</f>
        <v>146.30960934718581</v>
      </c>
      <c r="U682" s="21">
        <f t="shared" ca="1" si="1894"/>
        <v>6.3612873629211224</v>
      </c>
      <c r="V682" s="18">
        <f t="shared" ca="1" si="1895"/>
        <v>157.95652173913044</v>
      </c>
      <c r="W682" s="76"/>
      <c r="X682" s="8">
        <v>5</v>
      </c>
      <c r="Y682" s="8" t="s">
        <v>29</v>
      </c>
      <c r="Z682" s="8">
        <f t="shared" ref="Z682:AI682" si="1898">SUM(D697)</f>
        <v>23</v>
      </c>
      <c r="AA682" s="9">
        <f t="shared" ca="1" si="1898"/>
        <v>23</v>
      </c>
      <c r="AB682" s="10">
        <f t="shared" ca="1" si="1898"/>
        <v>4556.6499999999996</v>
      </c>
      <c r="AC682" s="9">
        <f t="shared" ca="1" si="1898"/>
        <v>1665</v>
      </c>
      <c r="AD682" s="9">
        <f t="shared" ca="1" si="1898"/>
        <v>66</v>
      </c>
      <c r="AE682" s="9">
        <f t="shared" ca="1" si="1898"/>
        <v>1731</v>
      </c>
      <c r="AF682" s="9">
        <f t="shared" ca="1" si="1898"/>
        <v>2414</v>
      </c>
      <c r="AG682" s="9">
        <f t="shared" ca="1" si="1898"/>
        <v>20</v>
      </c>
      <c r="AH682" s="9">
        <f t="shared" ca="1" si="1898"/>
        <v>2434</v>
      </c>
      <c r="AI682" s="9">
        <f t="shared" ca="1" si="1898"/>
        <v>4165</v>
      </c>
      <c r="AJ682" s="11">
        <f t="shared" ref="AJ682:AJ684" ca="1" si="1899">AB682/AA682</f>
        <v>198.11521739130433</v>
      </c>
      <c r="AK682" s="8">
        <f t="shared" ref="AK682:AK683" si="1900">SUM(O697)</f>
        <v>9201</v>
      </c>
      <c r="AL682" s="12">
        <f t="shared" ca="1" si="1877"/>
        <v>0.45266818824040866</v>
      </c>
      <c r="AM682" s="13">
        <f t="shared" ref="AM682:AM683" si="1901">SUM(Q697)</f>
        <v>1.5</v>
      </c>
      <c r="AN682" s="12">
        <f t="shared" ca="1" si="1879"/>
        <v>0.60936579870445762</v>
      </c>
      <c r="AO682" s="14">
        <f t="shared" ca="1" si="1880"/>
        <v>0.91404869805668643</v>
      </c>
      <c r="AP682" s="13">
        <f t="shared" ref="AP682:AQ682" ca="1" si="1902">SUM(T697)</f>
        <v>174.99999999999997</v>
      </c>
      <c r="AQ682" s="13">
        <f t="shared" ca="1" si="1902"/>
        <v>7.6086956521739122</v>
      </c>
      <c r="AR682" s="9">
        <f t="shared" ca="1" si="1882"/>
        <v>181.08695652173913</v>
      </c>
      <c r="AS682" s="76"/>
      <c r="AT682" s="76"/>
    </row>
    <row r="683" spans="1:46" ht="15.75" customHeight="1" x14ac:dyDescent="0.25">
      <c r="A683" s="70"/>
      <c r="B683" s="16">
        <v>3</v>
      </c>
      <c r="C683" s="16" t="s">
        <v>30</v>
      </c>
      <c r="D683" s="17">
        <v>45</v>
      </c>
      <c r="E683" s="18">
        <f ca="1">IFERROR(__xludf.DUMMYFUNCTION("COUNT(IMPORTRANGE(""https://docs.google.com/spreadsheets/d/1WojVzHhpzodJL1e5UDHeu3A3u5MTSZwvxHu0BrwvL9w/edit"",""26!d2:d61""))"),40)</f>
        <v>40</v>
      </c>
      <c r="F683" s="23">
        <f ca="1">IFERROR(__xludf.DUMMYFUNCTION("SUM(IMPORTRANGE(""https://docs.google.com/spreadsheets/d/1WojVzHhpzodJL1e5UDHeu3A3u5MTSZwvxHu0BrwvL9w/edit"",""26!Q2:Q61""))"),7815.19199999999)</f>
        <v>7815.19199999999</v>
      </c>
      <c r="G683" s="18">
        <f ca="1">IFERROR(__xludf.DUMMYFUNCTION("IMPORTRANGE(""https://docs.google.com/spreadsheets/d/1WojVzHhpzodJL1e5UDHeu3A3u5MTSZwvxHu0BrwvL9w/edit"",""26!e68"")"),1942)</f>
        <v>1942</v>
      </c>
      <c r="H683" s="18">
        <f ca="1">IFERROR(__xludf.DUMMYFUNCTION("IMPORTRANGE(""https://docs.google.com/spreadsheets/d/1WojVzHhpzodJL1e5UDHeu3A3u5MTSZwvxHu0BrwvL9w/edit"",""26!e69"")"),0)</f>
        <v>0</v>
      </c>
      <c r="I683" s="18">
        <f t="shared" ca="1" si="1887"/>
        <v>1942</v>
      </c>
      <c r="J683" s="18">
        <f ca="1">IFERROR(__xludf.DUMMYFUNCTION("IMPORTRANGE(""https://docs.google.com/spreadsheets/d/1WojVzHhpzodJL1e5UDHeu3A3u5MTSZwvxHu0BrwvL9w/edit"",""26!e72"")"),3619)</f>
        <v>3619</v>
      </c>
      <c r="K683" s="18">
        <f ca="1">IFERROR(__xludf.DUMMYFUNCTION("IMPORTRANGE(""https://docs.google.com/spreadsheets/d/1WojVzHhpzodJL1e5UDHeu3A3u5MTSZwvxHu0BrwvL9w/edit"",""26!e73"")"),0)</f>
        <v>0</v>
      </c>
      <c r="L683" s="18">
        <f t="shared" ca="1" si="1888"/>
        <v>3619</v>
      </c>
      <c r="M683" s="18">
        <f t="shared" ca="1" si="1889"/>
        <v>5561</v>
      </c>
      <c r="N683" s="19">
        <f t="shared" ca="1" si="1890"/>
        <v>195.37979999999976</v>
      </c>
      <c r="O683" s="16">
        <v>11164</v>
      </c>
      <c r="P683" s="20">
        <f t="shared" ca="1" si="1891"/>
        <v>0.49811895378000715</v>
      </c>
      <c r="Q683" s="21">
        <v>1.5</v>
      </c>
      <c r="R683" s="20">
        <f t="shared" ca="1" si="1892"/>
        <v>0.47437520835487318</v>
      </c>
      <c r="S683" s="22">
        <f t="shared" ca="1" si="1893"/>
        <v>0.7115628125323098</v>
      </c>
      <c r="T683" s="21">
        <f ca="1">F683/29.603</f>
        <v>263.99999999999966</v>
      </c>
      <c r="U683" s="21">
        <f t="shared" ca="1" si="1894"/>
        <v>6.5999999999999917</v>
      </c>
      <c r="V683" s="18">
        <f t="shared" ca="1" si="1895"/>
        <v>139.02500000000001</v>
      </c>
      <c r="W683" s="76"/>
      <c r="X683" s="8">
        <v>6</v>
      </c>
      <c r="Y683" s="8" t="s">
        <v>31</v>
      </c>
      <c r="Z683" s="8">
        <f t="shared" ref="Z683:AI683" si="1903">SUM(D698)</f>
        <v>11</v>
      </c>
      <c r="AA683" s="9">
        <f t="shared" ca="1" si="1903"/>
        <v>9</v>
      </c>
      <c r="AB683" s="11">
        <f t="shared" ca="1" si="1903"/>
        <v>1738.6</v>
      </c>
      <c r="AC683" s="9">
        <f t="shared" ca="1" si="1903"/>
        <v>414</v>
      </c>
      <c r="AD683" s="9">
        <f t="shared" ca="1" si="1903"/>
        <v>9</v>
      </c>
      <c r="AE683" s="9">
        <f t="shared" ca="1" si="1903"/>
        <v>423</v>
      </c>
      <c r="AF683" s="9">
        <f t="shared" ca="1" si="1903"/>
        <v>546</v>
      </c>
      <c r="AG683" s="9">
        <f t="shared" ca="1" si="1903"/>
        <v>0</v>
      </c>
      <c r="AH683" s="9">
        <f t="shared" ca="1" si="1903"/>
        <v>546</v>
      </c>
      <c r="AI683" s="9">
        <f t="shared" ca="1" si="1903"/>
        <v>969</v>
      </c>
      <c r="AJ683" s="11">
        <f t="shared" ca="1" si="1899"/>
        <v>193.17777777777778</v>
      </c>
      <c r="AK683" s="8">
        <f t="shared" si="1900"/>
        <v>2717</v>
      </c>
      <c r="AL683" s="12">
        <f t="shared" ca="1" si="1877"/>
        <v>0.35664335664335667</v>
      </c>
      <c r="AM683" s="13">
        <f t="shared" si="1901"/>
        <v>1.5</v>
      </c>
      <c r="AN683" s="12">
        <f t="shared" ca="1" si="1879"/>
        <v>0.37156332681467852</v>
      </c>
      <c r="AO683" s="14">
        <f t="shared" ca="1" si="1880"/>
        <v>0.55734499022201778</v>
      </c>
      <c r="AP683" s="13">
        <f t="shared" ref="AP683:AQ683" ca="1" si="1904">SUM(T698)</f>
        <v>39.999999999999993</v>
      </c>
      <c r="AQ683" s="13">
        <f t="shared" ca="1" si="1904"/>
        <v>4.4444444444444438</v>
      </c>
      <c r="AR683" s="9">
        <f t="shared" ca="1" si="1882"/>
        <v>107.66666666666667</v>
      </c>
      <c r="AS683" s="76"/>
      <c r="AT683" s="76"/>
    </row>
    <row r="684" spans="1:46" ht="15.75" customHeight="1" x14ac:dyDescent="0.25">
      <c r="A684" s="70"/>
      <c r="B684" s="16">
        <v>4</v>
      </c>
      <c r="C684" s="16" t="s">
        <v>32</v>
      </c>
      <c r="D684" s="17">
        <v>32</v>
      </c>
      <c r="E684" s="18">
        <f ca="1">IFERROR(__xludf.DUMMYFUNCTION("COUNT(IMPORTRANGE(""https://docs.google.com/spreadsheets/d/1vmCj5YcMSPHj1m64syDndQ6cqVL3yolcU03Y8KHmvdc/edit"",""26!d2:d43""))"),30)</f>
        <v>30</v>
      </c>
      <c r="F684" s="23">
        <f ca="1">IFERROR(__xludf.DUMMYFUNCTION("SUM(IMPORTRANGE(""https://docs.google.com/spreadsheets/d/1vmCj5YcMSPHj1m64syDndQ6cqVL3yolcU03Y8KHmvdc/edit"",""26!Q2:Q43""))"),5984.80099999999)</f>
        <v>5984.8009999999904</v>
      </c>
      <c r="G684" s="16">
        <f ca="1">IFERROR(__xludf.DUMMYFUNCTION("IMPORTRANGE(""https://docs.google.com/spreadsheets/d/1vmCj5YcMSPHj1m64syDndQ6cqVL3yolcU03Y8KHmvdc/edit"",""26!e50"")"),2854)</f>
        <v>2854</v>
      </c>
      <c r="H684" s="16">
        <f ca="1">IFERROR(__xludf.DUMMYFUNCTION("IMPORTRANGE(""https://docs.google.com/spreadsheets/d/1vmCj5YcMSPHj1m64syDndQ6cqVL3yolcU03Y8KHmvdc/edit"",""26!e51"")"),80)</f>
        <v>80</v>
      </c>
      <c r="I684" s="18">
        <f t="shared" ca="1" si="1887"/>
        <v>2934</v>
      </c>
      <c r="J684" s="16">
        <f ca="1">IFERROR(__xludf.DUMMYFUNCTION("IMPORTRANGE(""https://docs.google.com/spreadsheets/d/1vmCj5YcMSPHj1m64syDndQ6cqVL3yolcU03Y8KHmvdc/edit"",""26!e54"")"),3617)</f>
        <v>3617</v>
      </c>
      <c r="K684" s="16">
        <f ca="1">IFERROR(__xludf.DUMMYFUNCTION("IMPORTRANGE(""https://docs.google.com/spreadsheets/d/1vmCj5YcMSPHj1m64syDndQ6cqVL3yolcU03Y8KHmvdc/edit"",""26!e55"")"),0)</f>
        <v>0</v>
      </c>
      <c r="L684" s="18">
        <f t="shared" ca="1" si="1888"/>
        <v>3617</v>
      </c>
      <c r="M684" s="18">
        <f t="shared" ca="1" si="1889"/>
        <v>6551</v>
      </c>
      <c r="N684" s="19">
        <f t="shared" ca="1" si="1890"/>
        <v>199.49336666666633</v>
      </c>
      <c r="O684" s="16">
        <v>13817</v>
      </c>
      <c r="P684" s="20">
        <f t="shared" ca="1" si="1891"/>
        <v>0.47412607657233841</v>
      </c>
      <c r="Q684" s="21">
        <v>1.5</v>
      </c>
      <c r="R684" s="20">
        <f t="shared" ca="1" si="1892"/>
        <v>0.72973743543575476</v>
      </c>
      <c r="S684" s="22">
        <f t="shared" ca="1" si="1893"/>
        <v>1.0946061531536322</v>
      </c>
      <c r="T684" s="21">
        <f ca="1">F684/25.089</f>
        <v>238.54282753397865</v>
      </c>
      <c r="U684" s="21">
        <f t="shared" ca="1" si="1894"/>
        <v>7.9514275844659554</v>
      </c>
      <c r="V684" s="18">
        <f t="shared" ca="1" si="1895"/>
        <v>218.36666666666667</v>
      </c>
      <c r="W684" s="76"/>
      <c r="X684" s="24" t="s">
        <v>33</v>
      </c>
      <c r="Y684" s="24">
        <v>6</v>
      </c>
      <c r="Z684" s="24">
        <f t="shared" ref="Z684:AI684" si="1905">SUM(Z678:Z683)</f>
        <v>144</v>
      </c>
      <c r="AA684" s="25">
        <f t="shared" ca="1" si="1905"/>
        <v>139</v>
      </c>
      <c r="AB684" s="26">
        <f t="shared" ca="1" si="1905"/>
        <v>26797.915999999961</v>
      </c>
      <c r="AC684" s="25">
        <f t="shared" ca="1" si="1905"/>
        <v>6991</v>
      </c>
      <c r="AD684" s="25">
        <f t="shared" ca="1" si="1905"/>
        <v>410</v>
      </c>
      <c r="AE684" s="25">
        <f t="shared" ca="1" si="1905"/>
        <v>7401</v>
      </c>
      <c r="AF684" s="25">
        <f t="shared" ca="1" si="1905"/>
        <v>10342</v>
      </c>
      <c r="AG684" s="25">
        <f t="shared" ca="1" si="1905"/>
        <v>333</v>
      </c>
      <c r="AH684" s="25">
        <f t="shared" ca="1" si="1905"/>
        <v>10675</v>
      </c>
      <c r="AI684" s="25">
        <f t="shared" ca="1" si="1905"/>
        <v>18076</v>
      </c>
      <c r="AJ684" s="27">
        <f t="shared" ca="1" si="1899"/>
        <v>192.79076258992777</v>
      </c>
      <c r="AK684" s="24">
        <f>SUM(AK678:AK683)</f>
        <v>35074</v>
      </c>
      <c r="AL684" s="28">
        <f t="shared" ca="1" si="1877"/>
        <v>0.51536750869590009</v>
      </c>
      <c r="AM684" s="29">
        <v>1.5</v>
      </c>
      <c r="AN684" s="28">
        <f t="shared" ca="1" si="1879"/>
        <v>0.44968670946900069</v>
      </c>
      <c r="AO684" s="30">
        <f t="shared" ca="1" si="1880"/>
        <v>0.67453006420350103</v>
      </c>
      <c r="AP684" s="29">
        <f ca="1">SUM(AP678:AP683)</f>
        <v>1015.4478832066748</v>
      </c>
      <c r="AQ684" s="29">
        <f ca="1">AP684/AA684</f>
        <v>7.3053804547242791</v>
      </c>
      <c r="AR684" s="25">
        <f t="shared" ca="1" si="1882"/>
        <v>130.0431654676259</v>
      </c>
      <c r="AS684" s="76"/>
      <c r="AT684" s="76"/>
    </row>
    <row r="685" spans="1:46" ht="15.75" customHeight="1" x14ac:dyDescent="0.25">
      <c r="A685" s="70"/>
      <c r="B685" s="16">
        <v>5</v>
      </c>
      <c r="C685" s="16" t="s">
        <v>34</v>
      </c>
      <c r="D685" s="17">
        <v>30</v>
      </c>
      <c r="E685" s="18">
        <f ca="1">IFERROR(__xludf.DUMMYFUNCTION("COUNT(IMPORTRANGE(""https://docs.google.com/spreadsheets/d/14_Y-fpuq1wcec3DlT_1PBYekOC0YblQMrWVfO12YO3k/edit"",""26!d2:d41""))"),30)</f>
        <v>30</v>
      </c>
      <c r="F685" s="23">
        <f ca="1">IFERROR(__xludf.DUMMYFUNCTION("SUM(IMPORTRANGE(""https://docs.google.com/spreadsheets/d/14_Y-fpuq1wcec3DlT_1PBYekOC0YblQMrWVfO12YO3k/edit"",""26!Q2:Q41""))"),5839.482)</f>
        <v>5839.482</v>
      </c>
      <c r="G685" s="18">
        <f ca="1">IFERROR(__xludf.DUMMYFUNCTION("IMPORTRANGE(""https://docs.google.com/spreadsheets/d/14_Y-fpuq1wcec3DlT_1PBYekOC0YblQMrWVfO12YO3k/edit"",""26!e48"")"),1764)</f>
        <v>1764</v>
      </c>
      <c r="H685" s="18">
        <f ca="1">IFERROR(__xludf.DUMMYFUNCTION("IMPORTRANGE(""https://docs.google.com/spreadsheets/d/14_Y-fpuq1wcec3DlT_1PBYekOC0YblQMrWVfO12YO3k/edit"",""26!e49"")"),0)</f>
        <v>0</v>
      </c>
      <c r="I685" s="18">
        <f t="shared" ca="1" si="1887"/>
        <v>1764</v>
      </c>
      <c r="J685" s="18">
        <f ca="1">IFERROR(__xludf.DUMMYFUNCTION("IMPORTRANGE(""https://docs.google.com/spreadsheets/d/14_Y-fpuq1wcec3DlT_1PBYekOC0YblQMrWVfO12YO3k/edit"",""26!e52"")"),2209)</f>
        <v>2209</v>
      </c>
      <c r="K685" s="18">
        <f ca="1">IFERROR(__xludf.DUMMYFUNCTION("IMPORTRANGE(""https://docs.google.com/spreadsheets/d/14_Y-fpuq1wcec3DlT_1PBYekOC0YblQMrWVfO12YO3k/edit"",""26!e53"")"),0)</f>
        <v>0</v>
      </c>
      <c r="L685" s="18">
        <f t="shared" ca="1" si="1888"/>
        <v>2209</v>
      </c>
      <c r="M685" s="18">
        <f t="shared" ca="1" si="1889"/>
        <v>3973</v>
      </c>
      <c r="N685" s="19">
        <f t="shared" ca="1" si="1890"/>
        <v>194.64939999999999</v>
      </c>
      <c r="O685" s="16">
        <v>9354</v>
      </c>
      <c r="P685" s="20">
        <f t="shared" ca="1" si="1891"/>
        <v>0.42473807996579005</v>
      </c>
      <c r="Q685" s="21">
        <v>1.5</v>
      </c>
      <c r="R685" s="20">
        <f t="shared" ca="1" si="1892"/>
        <v>0.45357904462530524</v>
      </c>
      <c r="S685" s="22">
        <f t="shared" ca="1" si="1893"/>
        <v>0.68036856693795789</v>
      </c>
      <c r="T685" s="21">
        <f ca="1">F685/30.713</f>
        <v>190.13062872399308</v>
      </c>
      <c r="U685" s="21">
        <f t="shared" ca="1" si="1894"/>
        <v>6.3376876241331024</v>
      </c>
      <c r="V685" s="18">
        <f t="shared" ca="1" si="1895"/>
        <v>132.43333333333334</v>
      </c>
      <c r="W685" s="76"/>
      <c r="X685" s="100" t="s">
        <v>35</v>
      </c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9"/>
      <c r="AS685" s="76"/>
      <c r="AT685" s="76"/>
    </row>
    <row r="686" spans="1:46" ht="15.75" customHeight="1" x14ac:dyDescent="0.25">
      <c r="A686" s="70"/>
      <c r="B686" s="16">
        <v>6</v>
      </c>
      <c r="C686" s="16" t="s">
        <v>23</v>
      </c>
      <c r="D686" s="17">
        <v>26</v>
      </c>
      <c r="E686" s="18">
        <f ca="1">IFERROR(__xludf.DUMMYFUNCTION("COUNT(IMPORTRANGE(""https://docs.google.com/spreadsheets/d/1lJqjdj05V4LOXuBOiTdE65GV4ZITyx1cMLcDdcuoUnE/edit"",""26!d2:d36""))"),26)</f>
        <v>26</v>
      </c>
      <c r="F686" s="23">
        <f ca="1">IFERROR(__xludf.DUMMYFUNCTION("SUM(IMPORTRANGE(""https://docs.google.com/spreadsheets/d/1lJqjdj05V4LOXuBOiTdE65GV4ZITyx1cMLcDdcuoUnE/edit"",""26!Q2:Q36""))"),5060.99999999999)</f>
        <v>5060.99999999999</v>
      </c>
      <c r="G686" s="18">
        <f ca="1">IFERROR(__xludf.DUMMYFUNCTION("IMPORTRANGE(""https://docs.google.com/spreadsheets/d/1lJqjdj05V4LOXuBOiTdE65GV4ZITyx1cMLcDdcuoUnE/edit"",""26!e43"")"),954)</f>
        <v>954</v>
      </c>
      <c r="H686" s="18">
        <f ca="1">IFERROR(__xludf.DUMMYFUNCTION("IMPORTRANGE(""https://docs.google.com/spreadsheets/d/1lJqjdj05V4LOXuBOiTdE65GV4ZITyx1cMLcDdcuoUnE/edit"",""26!e44"")"),0)</f>
        <v>0</v>
      </c>
      <c r="I686" s="18">
        <f t="shared" ca="1" si="1887"/>
        <v>954</v>
      </c>
      <c r="J686" s="18">
        <f ca="1">IFERROR(__xludf.DUMMYFUNCTION("IMPORTRANGE(""https://docs.google.com/spreadsheets/d/1lJqjdj05V4LOXuBOiTdE65GV4ZITyx1cMLcDdcuoUnE/edit"",""26!e47"")"),2241)</f>
        <v>2241</v>
      </c>
      <c r="K686" s="18">
        <f ca="1">IFERROR(__xludf.DUMMYFUNCTION("IMPORTRANGE(""https://docs.google.com/spreadsheets/d/1lJqjdj05V4LOXuBOiTdE65GV4ZITyx1cMLcDdcuoUnE/edit"",""26!e48"")"),85)</f>
        <v>85</v>
      </c>
      <c r="L686" s="18">
        <f t="shared" ca="1" si="1888"/>
        <v>2326</v>
      </c>
      <c r="M686" s="18">
        <f t="shared" ca="1" si="1889"/>
        <v>3280</v>
      </c>
      <c r="N686" s="19">
        <f t="shared" ca="1" si="1890"/>
        <v>194.65384615384576</v>
      </c>
      <c r="O686" s="16">
        <v>6853</v>
      </c>
      <c r="P686" s="20">
        <f t="shared" ca="1" si="1891"/>
        <v>0.47862250109441118</v>
      </c>
      <c r="Q686" s="21">
        <v>1.5</v>
      </c>
      <c r="R686" s="20">
        <f t="shared" ca="1" si="1892"/>
        <v>0.43206217480076486</v>
      </c>
      <c r="S686" s="22">
        <f t="shared" ca="1" si="1893"/>
        <v>0.64809326220114727</v>
      </c>
      <c r="T686" s="21">
        <f ca="1">F686/33.74</f>
        <v>149.99999999999969</v>
      </c>
      <c r="U686" s="21">
        <f t="shared" ca="1" si="1894"/>
        <v>5.7692307692307576</v>
      </c>
      <c r="V686" s="18">
        <f t="shared" ca="1" si="1895"/>
        <v>126.15384615384616</v>
      </c>
      <c r="W686" s="76"/>
      <c r="X686" s="1" t="s">
        <v>2</v>
      </c>
      <c r="Y686" s="1" t="s">
        <v>3</v>
      </c>
      <c r="Z686" s="1" t="s">
        <v>4</v>
      </c>
      <c r="AA686" s="1" t="s">
        <v>5</v>
      </c>
      <c r="AB686" s="2" t="s">
        <v>6</v>
      </c>
      <c r="AC686" s="1" t="s">
        <v>7</v>
      </c>
      <c r="AD686" s="1" t="s">
        <v>8</v>
      </c>
      <c r="AE686" s="1" t="s">
        <v>9</v>
      </c>
      <c r="AF686" s="1" t="s">
        <v>10</v>
      </c>
      <c r="AG686" s="1" t="s">
        <v>11</v>
      </c>
      <c r="AH686" s="1" t="s">
        <v>12</v>
      </c>
      <c r="AI686" s="1" t="s">
        <v>13</v>
      </c>
      <c r="AJ686" s="2" t="s">
        <v>14</v>
      </c>
      <c r="AK686" s="1" t="s">
        <v>15</v>
      </c>
      <c r="AL686" s="1" t="s">
        <v>16</v>
      </c>
      <c r="AM686" s="3" t="s">
        <v>17</v>
      </c>
      <c r="AN686" s="4" t="s">
        <v>18</v>
      </c>
      <c r="AO686" s="5" t="s">
        <v>19</v>
      </c>
      <c r="AP686" s="6" t="s">
        <v>20</v>
      </c>
      <c r="AQ686" s="6" t="s">
        <v>21</v>
      </c>
      <c r="AR686" s="7" t="s">
        <v>22</v>
      </c>
      <c r="AS686" s="76"/>
      <c r="AT686" s="76"/>
    </row>
    <row r="687" spans="1:46" ht="15.75" customHeight="1" x14ac:dyDescent="0.25">
      <c r="A687" s="70"/>
      <c r="B687" s="16">
        <v>7</v>
      </c>
      <c r="C687" s="16" t="s">
        <v>24</v>
      </c>
      <c r="D687" s="17">
        <v>35</v>
      </c>
      <c r="E687" s="31">
        <f ca="1">IFERROR(__xludf.DUMMYFUNCTION("COUNT(IMPORTRANGE(""https://docs.google.com/spreadsheets/d/1_7EEO26q9Yq-XhNFiy7I6Zh4Yg6uGjTs9y0UqNvPKcQ/edit"",""26!d2:d45""))"),35)</f>
        <v>35</v>
      </c>
      <c r="F687" s="32">
        <f ca="1">IFERROR(__xludf.DUMMYFUNCTION("SUM(IMPORTRANGE(""https://docs.google.com/spreadsheets/d/1_7EEO26q9Yq-XhNFiy7I6Zh4Yg6uGjTs9y0UqNvPKcQ/edit"",""26!Q2:Q45""))"),6748.16499999999)</f>
        <v>6748.16499999999</v>
      </c>
      <c r="G687" s="31">
        <f ca="1">IFERROR(__xludf.DUMMYFUNCTION("IMPORTRANGE(""https://docs.google.com/spreadsheets/d/1_7EEO26q9Yq-XhNFiy7I6Zh4Yg6uGjTs9y0UqNvPKcQ/edit"",""26!e53"")"),645)</f>
        <v>645</v>
      </c>
      <c r="H687" s="31">
        <f ca="1">IFERROR(__xludf.DUMMYFUNCTION("IMPORTRANGE(""https://docs.google.com/spreadsheets/d/1_7EEO26q9Yq-XhNFiy7I6Zh4Yg6uGjTs9y0UqNvPKcQ/edit"",""26!e54"")"),0)</f>
        <v>0</v>
      </c>
      <c r="I687" s="31">
        <f t="shared" ca="1" si="1887"/>
        <v>645</v>
      </c>
      <c r="J687" s="31">
        <f ca="1">IFERROR(__xludf.DUMMYFUNCTION("IMPORTRANGE(""https://docs.google.com/spreadsheets/d/1_7EEO26q9Yq-XhNFiy7I6Zh4Yg6uGjTs9y0UqNvPKcQ/edit"",""26!e57"")"),865)</f>
        <v>865</v>
      </c>
      <c r="K687" s="31">
        <f ca="1">IFERROR(__xludf.DUMMYFUNCTION("IMPORTRANGE(""https://docs.google.com/spreadsheets/d/1_7EEO26q9Yq-XhNFiy7I6Zh4Yg6uGjTs9y0UqNvPKcQ/edit"",""26!e58"")"),17)</f>
        <v>17</v>
      </c>
      <c r="L687" s="18">
        <f t="shared" ca="1" si="1888"/>
        <v>882</v>
      </c>
      <c r="M687" s="18">
        <f t="shared" ca="1" si="1889"/>
        <v>1527</v>
      </c>
      <c r="N687" s="19">
        <f t="shared" ca="1" si="1890"/>
        <v>192.804714285714</v>
      </c>
      <c r="O687" s="16">
        <v>1580</v>
      </c>
      <c r="P687" s="20">
        <f t="shared" ca="1" si="1891"/>
        <v>0.96645569620253169</v>
      </c>
      <c r="Q687" s="21">
        <v>1.5</v>
      </c>
      <c r="R687" s="20">
        <f t="shared" ca="1" si="1892"/>
        <v>0.15085582525027197</v>
      </c>
      <c r="S687" s="22">
        <f t="shared" ca="1" si="1893"/>
        <v>0.22628373787540795</v>
      </c>
      <c r="T687" s="21">
        <f ca="1">F687/26.805</f>
        <v>251.75023316545384</v>
      </c>
      <c r="U687" s="21">
        <f t="shared" ca="1" si="1894"/>
        <v>7.1928638047272528</v>
      </c>
      <c r="V687" s="18">
        <f t="shared" ca="1" si="1895"/>
        <v>43.628571428571426</v>
      </c>
      <c r="W687" s="76"/>
      <c r="X687" s="8">
        <v>1</v>
      </c>
      <c r="Y687" s="8" t="s">
        <v>28</v>
      </c>
      <c r="Z687" s="8">
        <f t="shared" ref="Z687:AI687" si="1906">SUM(D682)</f>
        <v>24</v>
      </c>
      <c r="AA687" s="9">
        <f t="shared" ca="1" si="1906"/>
        <v>23</v>
      </c>
      <c r="AB687" s="11">
        <f t="shared" ca="1" si="1906"/>
        <v>4520.5280000000002</v>
      </c>
      <c r="AC687" s="9">
        <f t="shared" ca="1" si="1906"/>
        <v>1477</v>
      </c>
      <c r="AD687" s="9">
        <f t="shared" ca="1" si="1906"/>
        <v>125</v>
      </c>
      <c r="AE687" s="9">
        <f t="shared" ca="1" si="1906"/>
        <v>1602</v>
      </c>
      <c r="AF687" s="9">
        <f t="shared" ca="1" si="1906"/>
        <v>1968</v>
      </c>
      <c r="AG687" s="9">
        <f t="shared" ca="1" si="1906"/>
        <v>63</v>
      </c>
      <c r="AH687" s="9">
        <f t="shared" ca="1" si="1906"/>
        <v>2031</v>
      </c>
      <c r="AI687" s="9">
        <f t="shared" ca="1" si="1906"/>
        <v>3633</v>
      </c>
      <c r="AJ687" s="11">
        <f t="shared" ref="AJ687:AJ693" ca="1" si="1907">AB687/AA687</f>
        <v>196.54469565217391</v>
      </c>
      <c r="AK687" s="8">
        <f t="shared" ref="AK687:AK688" si="1908">SUM(O682)</f>
        <v>7315</v>
      </c>
      <c r="AL687" s="12">
        <f t="shared" ref="AL687:AL693" ca="1" si="1909">AI687/AK687</f>
        <v>0.49665071770334929</v>
      </c>
      <c r="AM687" s="13">
        <f t="shared" ref="AM687:AM688" si="1910">SUM(Q682)</f>
        <v>1.5</v>
      </c>
      <c r="AN687" s="12">
        <f t="shared" ref="AN687:AN693" ca="1" si="1911">AO687/AM687</f>
        <v>0.53577812149377235</v>
      </c>
      <c r="AO687" s="14">
        <f t="shared" ref="AO687:AO693" ca="1" si="1912">AI687/AB687</f>
        <v>0.80366718224065858</v>
      </c>
      <c r="AP687" s="13">
        <f t="shared" ref="AP687:AQ687" ca="1" si="1913">SUM(T682)</f>
        <v>146.30960934718581</v>
      </c>
      <c r="AQ687" s="13">
        <f t="shared" ca="1" si="1913"/>
        <v>6.3612873629211224</v>
      </c>
      <c r="AR687" s="9">
        <f t="shared" ref="AR687:AR693" ca="1" si="1914">AI687/AA687</f>
        <v>157.95652173913044</v>
      </c>
      <c r="AS687" s="76"/>
      <c r="AT687" s="76"/>
    </row>
    <row r="688" spans="1:46" ht="15.75" customHeight="1" x14ac:dyDescent="0.25">
      <c r="A688" s="70"/>
      <c r="B688" s="16">
        <v>8</v>
      </c>
      <c r="C688" s="16" t="s">
        <v>25</v>
      </c>
      <c r="D688" s="34">
        <v>26</v>
      </c>
      <c r="E688" s="18">
        <f ca="1">IFERROR(__xludf.DUMMYFUNCTION("COUNT(IMPORTRANGE(""https://docs.google.com/spreadsheets/d/1vLOLpiE-XsbnCnwWPcoi87PlUSXfqIAAQn3kvqHfO6s/edit"",""26!d2:D33""))"),25)</f>
        <v>25</v>
      </c>
      <c r="F688" s="23">
        <f ca="1">IFERROR(__xludf.DUMMYFUNCTION("SUM(IMPORTRANGE(""https://docs.google.com/spreadsheets/d/1vLOLpiE-XsbnCnwWPcoi87PlUSXfqIAAQn3kvqHfO6s/edit"",""26!Q2:Q33""))"),4486.79599999999)</f>
        <v>4486.7959999999903</v>
      </c>
      <c r="G688" s="18">
        <f ca="1">IFERROR(__xludf.DUMMYFUNCTION("IMPORTRANGE(""https://docs.google.com/spreadsheets/d/1vLOLpiE-XsbnCnwWPcoi87PlUSXfqIAAQn3kvqHfO6s/edit"",""26!e40"")"),1466)</f>
        <v>1466</v>
      </c>
      <c r="H688" s="18">
        <f ca="1">IFERROR(__xludf.DUMMYFUNCTION("IMPORTRANGE(""https://docs.google.com/spreadsheets/d/1vLOLpiE-XsbnCnwWPcoi87PlUSXfqIAAQn3kvqHfO6s/edit"",""26!e41"")"),335)</f>
        <v>335</v>
      </c>
      <c r="I688" s="18">
        <f t="shared" ca="1" si="1887"/>
        <v>1801</v>
      </c>
      <c r="J688" s="18">
        <f ca="1">IFERROR(__xludf.DUMMYFUNCTION("IMPORTRANGE(""https://docs.google.com/spreadsheets/d/1vLOLpiE-XsbnCnwWPcoi87PlUSXfqIAAQn3kvqHfO6s/edit"",""26!e44"")"),2194)</f>
        <v>2194</v>
      </c>
      <c r="K688" s="18">
        <f ca="1">IFERROR(__xludf.DUMMYFUNCTION("IMPORTRANGE(""https://docs.google.com/spreadsheets/d/1vLOLpiE-XsbnCnwWPcoi87PlUSXfqIAAQn3kvqHfO6s/edit"",""26!e45"")"),211)</f>
        <v>211</v>
      </c>
      <c r="L688" s="18">
        <f ca="1">J688+K688</f>
        <v>2405</v>
      </c>
      <c r="M688" s="18">
        <f t="shared" ca="1" si="1889"/>
        <v>4206</v>
      </c>
      <c r="N688" s="19">
        <f t="shared" ca="1" si="1890"/>
        <v>179.47183999999962</v>
      </c>
      <c r="O688" s="16">
        <v>6622</v>
      </c>
      <c r="P688" s="20">
        <f t="shared" ca="1" si="1891"/>
        <v>0.63515554213228631</v>
      </c>
      <c r="Q688" s="21">
        <v>1.5</v>
      </c>
      <c r="R688" s="20">
        <f t="shared" ca="1" si="1892"/>
        <v>0.62494483814285429</v>
      </c>
      <c r="S688" s="22">
        <f t="shared" ca="1" si="1893"/>
        <v>0.93741725721428149</v>
      </c>
      <c r="T688" s="21">
        <f ca="1">F688/23.84</f>
        <v>188.20453020134187</v>
      </c>
      <c r="U688" s="21">
        <f t="shared" ca="1" si="1894"/>
        <v>7.5281812080536747</v>
      </c>
      <c r="V688" s="18">
        <f t="shared" ca="1" si="1895"/>
        <v>168.24</v>
      </c>
      <c r="W688" s="76"/>
      <c r="X688" s="8">
        <v>2</v>
      </c>
      <c r="Y688" s="8" t="s">
        <v>30</v>
      </c>
      <c r="Z688" s="8">
        <f t="shared" ref="Z688:AI688" si="1915">SUM(D683)</f>
        <v>45</v>
      </c>
      <c r="AA688" s="9">
        <f t="shared" ca="1" si="1915"/>
        <v>40</v>
      </c>
      <c r="AB688" s="10">
        <f t="shared" ca="1" si="1915"/>
        <v>7815.19199999999</v>
      </c>
      <c r="AC688" s="9">
        <f t="shared" ca="1" si="1915"/>
        <v>1942</v>
      </c>
      <c r="AD688" s="9">
        <f t="shared" ca="1" si="1915"/>
        <v>0</v>
      </c>
      <c r="AE688" s="9">
        <f t="shared" ca="1" si="1915"/>
        <v>1942</v>
      </c>
      <c r="AF688" s="9">
        <f t="shared" ca="1" si="1915"/>
        <v>3619</v>
      </c>
      <c r="AG688" s="9">
        <f t="shared" ca="1" si="1915"/>
        <v>0</v>
      </c>
      <c r="AH688" s="9">
        <f t="shared" ca="1" si="1915"/>
        <v>3619</v>
      </c>
      <c r="AI688" s="9">
        <f t="shared" ca="1" si="1915"/>
        <v>5561</v>
      </c>
      <c r="AJ688" s="11">
        <f t="shared" ca="1" si="1907"/>
        <v>195.37979999999976</v>
      </c>
      <c r="AK688" s="8">
        <f t="shared" si="1908"/>
        <v>11164</v>
      </c>
      <c r="AL688" s="12">
        <f t="shared" ca="1" si="1909"/>
        <v>0.49811895378000715</v>
      </c>
      <c r="AM688" s="13">
        <f t="shared" si="1910"/>
        <v>1.5</v>
      </c>
      <c r="AN688" s="12">
        <f t="shared" ca="1" si="1911"/>
        <v>0.47437520835487318</v>
      </c>
      <c r="AO688" s="14">
        <f t="shared" ca="1" si="1912"/>
        <v>0.7115628125323098</v>
      </c>
      <c r="AP688" s="13">
        <f t="shared" ref="AP688:AQ688" ca="1" si="1916">SUM(T683)</f>
        <v>263.99999999999966</v>
      </c>
      <c r="AQ688" s="13">
        <f t="shared" ca="1" si="1916"/>
        <v>6.5999999999999917</v>
      </c>
      <c r="AR688" s="9">
        <f t="shared" ca="1" si="1914"/>
        <v>139.02500000000001</v>
      </c>
      <c r="AS688" s="76"/>
      <c r="AT688" s="76"/>
    </row>
    <row r="689" spans="1:46" ht="15.75" customHeight="1" x14ac:dyDescent="0.25">
      <c r="A689" s="70"/>
      <c r="B689" s="16">
        <v>9</v>
      </c>
      <c r="C689" s="16" t="s">
        <v>36</v>
      </c>
      <c r="D689" s="34">
        <v>22</v>
      </c>
      <c r="E689" s="18">
        <f ca="1">IFERROR(__xludf.DUMMYFUNCTION("COUNT(IMPORTRANGE(""https://docs.google.com/spreadsheets/d/1WJJVq25XDtGjt-J2JPxeKs3jIvDZtkIREC0lFPXwf74/edit"",""26!d2:d31""))"),22)</f>
        <v>22</v>
      </c>
      <c r="F689" s="23">
        <f ca="1">IFERROR(__xludf.DUMMYFUNCTION("SUM(IMPORTRANGE(""https://docs.google.com/spreadsheets/d/1WJJVq25XDtGjt-J2JPxeKs3jIvDZtkIREC0lFPXwf74/edit"",""26!Q2:Q31""))"),4335.23599999999)</f>
        <v>4335.2359999999899</v>
      </c>
      <c r="G689" s="18">
        <f ca="1">IFERROR(__xludf.DUMMYFUNCTION("IMPORTRANGE(""https://docs.google.com/spreadsheets/d/1WJJVq25XDtGjt-J2JPxeKs3jIvDZtkIREC0lFPXwf74/edit"",""26!e38"")"),842)</f>
        <v>842</v>
      </c>
      <c r="H689" s="18">
        <f ca="1">IFERROR(__xludf.DUMMYFUNCTION("IMPORTRANGE(""https://docs.google.com/spreadsheets/d/1WJJVq25XDtGjt-J2JPxeKs3jIvDZtkIREC0lFPXwf74/edit"",""26!e39"")"),0)</f>
        <v>0</v>
      </c>
      <c r="I689" s="18">
        <f t="shared" ca="1" si="1887"/>
        <v>842</v>
      </c>
      <c r="J689" s="18">
        <f ca="1">IFERROR(__xludf.DUMMYFUNCTION("IMPORTRANGE(""https://docs.google.com/spreadsheets/d/1WJJVq25XDtGjt-J2JPxeKs3jIvDZtkIREC0lFPXwf74/edit"",""26!e42"")"),1425)</f>
        <v>1425</v>
      </c>
      <c r="K689" s="18">
        <f ca="1">IFERROR(__xludf.DUMMYFUNCTION("IMPORTRANGE(""https://docs.google.com/spreadsheets/d/1WJJVq25XDtGjt-J2JPxeKs3jIvDZtkIREC0lFPXwf74/edit"",""26!e43"")"),0)</f>
        <v>0</v>
      </c>
      <c r="L689" s="18">
        <f t="shared" ref="L689:L698" ca="1" si="1917">SUM(J689:K689)</f>
        <v>1425</v>
      </c>
      <c r="M689" s="18">
        <f t="shared" ca="1" si="1889"/>
        <v>2267</v>
      </c>
      <c r="N689" s="19">
        <f t="shared" ca="1" si="1890"/>
        <v>197.05618181818136</v>
      </c>
      <c r="O689" s="16">
        <v>4796</v>
      </c>
      <c r="P689" s="20">
        <f t="shared" ca="1" si="1891"/>
        <v>0.47268557130942451</v>
      </c>
      <c r="Q689" s="21">
        <v>1.5</v>
      </c>
      <c r="R689" s="20">
        <f t="shared" ca="1" si="1892"/>
        <v>0.34861616145772384</v>
      </c>
      <c r="S689" s="22">
        <f t="shared" ca="1" si="1893"/>
        <v>0.52292424218658573</v>
      </c>
      <c r="T689" s="21">
        <f ca="1">F689/37.414</f>
        <v>115.87202651413882</v>
      </c>
      <c r="U689" s="21">
        <f t="shared" ca="1" si="1894"/>
        <v>5.2669102960972189</v>
      </c>
      <c r="V689" s="18">
        <f t="shared" ca="1" si="1895"/>
        <v>103.04545454545455</v>
      </c>
      <c r="W689" s="76"/>
      <c r="X689" s="8">
        <v>3</v>
      </c>
      <c r="Y689" s="8" t="s">
        <v>34</v>
      </c>
      <c r="Z689" s="8">
        <f t="shared" ref="Z689:AI689" si="1918">SUM(D685)</f>
        <v>30</v>
      </c>
      <c r="AA689" s="9">
        <f t="shared" ca="1" si="1918"/>
        <v>30</v>
      </c>
      <c r="AB689" s="10">
        <f t="shared" ca="1" si="1918"/>
        <v>5839.482</v>
      </c>
      <c r="AC689" s="9">
        <f t="shared" ca="1" si="1918"/>
        <v>1764</v>
      </c>
      <c r="AD689" s="9">
        <f t="shared" ca="1" si="1918"/>
        <v>0</v>
      </c>
      <c r="AE689" s="9">
        <f t="shared" ca="1" si="1918"/>
        <v>1764</v>
      </c>
      <c r="AF689" s="9">
        <f t="shared" ca="1" si="1918"/>
        <v>2209</v>
      </c>
      <c r="AG689" s="9">
        <f t="shared" ca="1" si="1918"/>
        <v>0</v>
      </c>
      <c r="AH689" s="9">
        <f t="shared" ca="1" si="1918"/>
        <v>2209</v>
      </c>
      <c r="AI689" s="9">
        <f t="shared" ca="1" si="1918"/>
        <v>3973</v>
      </c>
      <c r="AJ689" s="11">
        <f t="shared" ca="1" si="1907"/>
        <v>194.64939999999999</v>
      </c>
      <c r="AK689" s="8">
        <f>SUM(O685)</f>
        <v>9354</v>
      </c>
      <c r="AL689" s="12">
        <f t="shared" ca="1" si="1909"/>
        <v>0.42473807996579005</v>
      </c>
      <c r="AM689" s="13">
        <f>SUM(Q685)</f>
        <v>1.5</v>
      </c>
      <c r="AN689" s="12">
        <f t="shared" ca="1" si="1911"/>
        <v>0.45357904462530524</v>
      </c>
      <c r="AO689" s="14">
        <f t="shared" ca="1" si="1912"/>
        <v>0.68036856693795789</v>
      </c>
      <c r="AP689" s="13">
        <f t="shared" ref="AP689:AQ689" ca="1" si="1919">SUM(T685)</f>
        <v>190.13062872399308</v>
      </c>
      <c r="AQ689" s="13">
        <f t="shared" ca="1" si="1919"/>
        <v>6.3376876241331024</v>
      </c>
      <c r="AR689" s="9">
        <f t="shared" ca="1" si="1914"/>
        <v>132.43333333333334</v>
      </c>
      <c r="AS689" s="76"/>
      <c r="AT689" s="76"/>
    </row>
    <row r="690" spans="1:46" ht="15.75" customHeight="1" x14ac:dyDescent="0.25">
      <c r="A690" s="70"/>
      <c r="B690" s="16">
        <v>10</v>
      </c>
      <c r="C690" s="16" t="s">
        <v>37</v>
      </c>
      <c r="D690" s="17">
        <v>23</v>
      </c>
      <c r="E690" s="18">
        <f ca="1">IFERROR(__xludf.DUMMYFUNCTION("COUNT(IMPORTRANGE(""https://docs.google.com/spreadsheets/d/1rJyYfywRpWJW0zvDJHLOJtqUQqffoCGaqTVxxTDgV0k/edit"",""26!d2:d31""))"),23)</f>
        <v>23</v>
      </c>
      <c r="F690" s="23">
        <f ca="1">IFERROR(__xludf.DUMMYFUNCTION("SUM(IMPORTRANGE(""https://docs.google.com/spreadsheets/d/1rJyYfywRpWJW0zvDJHLOJtqUQqffoCGaqTVxxTDgV0k/edit"",""26!Q2:Q31""))"),4523.004)</f>
        <v>4523.0039999999999</v>
      </c>
      <c r="G690" s="18">
        <f ca="1">IFERROR(__xludf.DUMMYFUNCTION("(IMPORTRANGE(""https://docs.google.com/spreadsheets/d/1rJyYfywRpWJW0zvDJHLOJtqUQqffoCGaqTVxxTDgV0k/edit"",""26!e38""))"),939)</f>
        <v>939</v>
      </c>
      <c r="H690" s="18">
        <f ca="1">IFERROR(__xludf.DUMMYFUNCTION("(IMPORTRANGE(""https://docs.google.com/spreadsheets/d/1rJyYfywRpWJW0zvDJHLOJtqUQqffoCGaqTVxxTDgV0k/edit"",""26!e39""))"),0)</f>
        <v>0</v>
      </c>
      <c r="I690" s="18">
        <f t="shared" ca="1" si="1887"/>
        <v>939</v>
      </c>
      <c r="J690" s="18">
        <f ca="1">IFERROR(__xludf.DUMMYFUNCTION("(IMPORTRANGE(""https://docs.google.com/spreadsheets/d/1rJyYfywRpWJW0zvDJHLOJtqUQqffoCGaqTVxxTDgV0k/edit"",""26!e42""))"),1838)</f>
        <v>1838</v>
      </c>
      <c r="K690" s="18">
        <f ca="1">IFERROR(__xludf.DUMMYFUNCTION("(IMPORTRANGE(""https://docs.google.com/spreadsheets/d/1rJyYfywRpWJW0zvDJHLOJtqUQqffoCGaqTVxxTDgV0k/edit"",""26!e43""))"),0)</f>
        <v>0</v>
      </c>
      <c r="L690" s="18">
        <f t="shared" ca="1" si="1917"/>
        <v>1838</v>
      </c>
      <c r="M690" s="18">
        <f t="shared" ca="1" si="1889"/>
        <v>2777</v>
      </c>
      <c r="N690" s="19">
        <f t="shared" ca="1" si="1890"/>
        <v>196.65234782608695</v>
      </c>
      <c r="O690" s="16">
        <v>5887</v>
      </c>
      <c r="P690" s="20">
        <f t="shared" ca="1" si="1891"/>
        <v>0.47171734329879395</v>
      </c>
      <c r="Q690" s="21">
        <v>1.5</v>
      </c>
      <c r="R690" s="20">
        <f t="shared" ca="1" si="1892"/>
        <v>0.40931498918270542</v>
      </c>
      <c r="S690" s="22">
        <f t="shared" ca="1" si="1893"/>
        <v>0.61397248377405811</v>
      </c>
      <c r="T690" s="21">
        <f ca="1">F690/24.792</f>
        <v>182.4380445304937</v>
      </c>
      <c r="U690" s="21">
        <f t="shared" ca="1" si="1894"/>
        <v>7.9320888926301611</v>
      </c>
      <c r="V690" s="18">
        <f t="shared" ca="1" si="1895"/>
        <v>120.73913043478261</v>
      </c>
      <c r="W690" s="76"/>
      <c r="X690" s="8">
        <v>4</v>
      </c>
      <c r="Y690" s="8" t="s">
        <v>38</v>
      </c>
      <c r="Z690" s="8">
        <f t="shared" ref="Z690:AI690" si="1920">SUM(D693)</f>
        <v>23</v>
      </c>
      <c r="AA690" s="9">
        <f t="shared" ca="1" si="1920"/>
        <v>23</v>
      </c>
      <c r="AB690" s="10">
        <f t="shared" ca="1" si="1920"/>
        <v>4532.55</v>
      </c>
      <c r="AC690" s="9">
        <f t="shared" ca="1" si="1920"/>
        <v>1063</v>
      </c>
      <c r="AD690" s="9">
        <f t="shared" ca="1" si="1920"/>
        <v>0</v>
      </c>
      <c r="AE690" s="9">
        <f t="shared" ca="1" si="1920"/>
        <v>1063</v>
      </c>
      <c r="AF690" s="9">
        <f t="shared" ca="1" si="1920"/>
        <v>2286</v>
      </c>
      <c r="AG690" s="9">
        <f t="shared" ca="1" si="1920"/>
        <v>95</v>
      </c>
      <c r="AH690" s="9">
        <f t="shared" ca="1" si="1920"/>
        <v>2381</v>
      </c>
      <c r="AI690" s="9">
        <f t="shared" ca="1" si="1920"/>
        <v>3444</v>
      </c>
      <c r="AJ690" s="11">
        <f t="shared" ca="1" si="1907"/>
        <v>197.06739130434784</v>
      </c>
      <c r="AK690" s="8">
        <v>7324</v>
      </c>
      <c r="AL690" s="12">
        <f t="shared" ca="1" si="1909"/>
        <v>0.47023484434735119</v>
      </c>
      <c r="AM690" s="13">
        <f>SUM(Q693)</f>
        <v>1.5</v>
      </c>
      <c r="AN690" s="12">
        <f t="shared" ca="1" si="1911"/>
        <v>0.50655811849841703</v>
      </c>
      <c r="AO690" s="14">
        <f t="shared" ca="1" si="1912"/>
        <v>0.75983717774762549</v>
      </c>
      <c r="AP690" s="13">
        <f t="shared" ref="AP690:AQ690" ca="1" si="1921">SUM(T693)</f>
        <v>110.00000000000001</v>
      </c>
      <c r="AQ690" s="13">
        <f t="shared" ca="1" si="1921"/>
        <v>4.7826086956521747</v>
      </c>
      <c r="AR690" s="9">
        <f t="shared" ca="1" si="1914"/>
        <v>149.7391304347826</v>
      </c>
      <c r="AS690" s="76"/>
      <c r="AT690" s="76"/>
    </row>
    <row r="691" spans="1:46" ht="15.75" customHeight="1" x14ac:dyDescent="0.25">
      <c r="A691" s="70"/>
      <c r="B691" s="16">
        <v>12</v>
      </c>
      <c r="C691" s="16" t="s">
        <v>39</v>
      </c>
      <c r="D691" s="17">
        <v>21</v>
      </c>
      <c r="E691" s="18">
        <f ca="1">IFERROR(__xludf.DUMMYFUNCTION("COUNT(IMPORTRANGE(""https://docs.google.com/spreadsheets/d/1uaTn2DZCfr7O1PvovOd0wElzVz8kpl_iPfnrkNPp0Is/edit"",""26!d2:d29""))"),20)</f>
        <v>20</v>
      </c>
      <c r="F691" s="23">
        <f ca="1">IFERROR(__xludf.DUMMYFUNCTION("SUM(IMPORTRANGE(""https://docs.google.com/spreadsheets/d/1uaTn2DZCfr7O1PvovOd0wElzVz8kpl_iPfnrkNPp0Is/edit"",""26!Q2:Q29""))"),3824.05199999999)</f>
        <v>3824.0519999999901</v>
      </c>
      <c r="G691" s="18">
        <f ca="1">IFERROR(__xludf.DUMMYFUNCTION("IMPORTRANGE(""https://docs.google.com/spreadsheets/d/1uaTn2DZCfr7O1PvovOd0wElzVz8kpl_iPfnrkNPp0Is/edit"",""26!e36"")"),712)</f>
        <v>712</v>
      </c>
      <c r="H691" s="18">
        <f ca="1">IFERROR(__xludf.DUMMYFUNCTION("(IMPORTRANGE(""https://docs.google.com/spreadsheets/d/1uaTn2DZCfr7O1PvovOd0wElzVz8kpl_iPfnrkNPp0Is/edit"",""26!e37""))"),0)</f>
        <v>0</v>
      </c>
      <c r="I691" s="18">
        <f t="shared" ca="1" si="1887"/>
        <v>712</v>
      </c>
      <c r="J691" s="18">
        <f ca="1">IFERROR(__xludf.DUMMYFUNCTION("IMPORTRANGE(""https://docs.google.com/spreadsheets/d/1uaTn2DZCfr7O1PvovOd0wElzVz8kpl_iPfnrkNPp0Is/edit"",""26!e40"")"),1522)</f>
        <v>1522</v>
      </c>
      <c r="K691" s="18">
        <f ca="1">IFERROR(__xludf.DUMMYFUNCTION("IMPORTRANGE(""https://docs.google.com/spreadsheets/d/1uaTn2DZCfr7O1PvovOd0wElzVz8kpl_iPfnrkNPp0Is/edit"",""26!e41"")"),0)</f>
        <v>0</v>
      </c>
      <c r="L691" s="18">
        <f t="shared" ca="1" si="1917"/>
        <v>1522</v>
      </c>
      <c r="M691" s="18">
        <f t="shared" ca="1" si="1889"/>
        <v>2234</v>
      </c>
      <c r="N691" s="19">
        <f t="shared" ca="1" si="1890"/>
        <v>191.20259999999951</v>
      </c>
      <c r="O691" s="16">
        <v>3569</v>
      </c>
      <c r="P691" s="20">
        <f t="shared" ca="1" si="1891"/>
        <v>0.6259456430372653</v>
      </c>
      <c r="Q691" s="21">
        <v>1.5</v>
      </c>
      <c r="R691" s="20">
        <f t="shared" ca="1" si="1892"/>
        <v>0.38946471787866305</v>
      </c>
      <c r="S691" s="22">
        <f t="shared" ca="1" si="1893"/>
        <v>0.5841970768179946</v>
      </c>
      <c r="T691" s="21">
        <f ca="1">F691/21.463</f>
        <v>178.16950100172343</v>
      </c>
      <c r="U691" s="21">
        <f t="shared" ca="1" si="1894"/>
        <v>8.9084750500861709</v>
      </c>
      <c r="V691" s="18">
        <f t="shared" ca="1" si="1895"/>
        <v>111.7</v>
      </c>
      <c r="W691" s="76"/>
      <c r="X691" s="8">
        <v>5</v>
      </c>
      <c r="Y691" s="8" t="s">
        <v>40</v>
      </c>
      <c r="Z691" s="8">
        <f t="shared" ref="Z691:AI691" si="1922">SUM(D695)</f>
        <v>23</v>
      </c>
      <c r="AA691" s="9">
        <f t="shared" ca="1" si="1922"/>
        <v>23</v>
      </c>
      <c r="AB691" s="10">
        <f t="shared" ca="1" si="1922"/>
        <v>4579.3230000000003</v>
      </c>
      <c r="AC691" s="9">
        <f t="shared" ca="1" si="1922"/>
        <v>2366</v>
      </c>
      <c r="AD691" s="9">
        <f t="shared" ca="1" si="1922"/>
        <v>0</v>
      </c>
      <c r="AE691" s="9">
        <f t="shared" ca="1" si="1922"/>
        <v>2366</v>
      </c>
      <c r="AF691" s="9">
        <f t="shared" ca="1" si="1922"/>
        <v>2767</v>
      </c>
      <c r="AG691" s="9">
        <f t="shared" ca="1" si="1922"/>
        <v>30</v>
      </c>
      <c r="AH691" s="9">
        <f t="shared" ca="1" si="1922"/>
        <v>2797</v>
      </c>
      <c r="AI691" s="9">
        <f t="shared" ca="1" si="1922"/>
        <v>5163</v>
      </c>
      <c r="AJ691" s="11">
        <f t="shared" ca="1" si="1907"/>
        <v>199.10100000000003</v>
      </c>
      <c r="AK691" s="8">
        <f t="shared" ref="AK691:AK692" si="1923">SUM(O695)</f>
        <v>8239</v>
      </c>
      <c r="AL691" s="12">
        <f t="shared" ca="1" si="1909"/>
        <v>0.62665372011166409</v>
      </c>
      <c r="AM691" s="13">
        <f t="shared" ref="AM691:AM692" si="1924">SUM(Q695)</f>
        <v>1.5</v>
      </c>
      <c r="AN691" s="12">
        <f t="shared" ca="1" si="1911"/>
        <v>0.75163948906858058</v>
      </c>
      <c r="AO691" s="14">
        <f t="shared" ca="1" si="1912"/>
        <v>1.1274592336028708</v>
      </c>
      <c r="AP691" s="13">
        <f t="shared" ref="AP691:AQ691" ca="1" si="1925">SUM(T695)</f>
        <v>161</v>
      </c>
      <c r="AQ691" s="13">
        <f t="shared" ca="1" si="1925"/>
        <v>7</v>
      </c>
      <c r="AR691" s="9">
        <f t="shared" ca="1" si="1914"/>
        <v>224.47826086956522</v>
      </c>
      <c r="AS691" s="76"/>
      <c r="AT691" s="76"/>
    </row>
    <row r="692" spans="1:46" ht="15.75" customHeight="1" x14ac:dyDescent="0.25">
      <c r="A692" s="70"/>
      <c r="B692" s="16">
        <v>12</v>
      </c>
      <c r="C692" s="16" t="s">
        <v>41</v>
      </c>
      <c r="D692" s="17">
        <v>19</v>
      </c>
      <c r="E692" s="18">
        <f ca="1">IFERROR(__xludf.DUMMYFUNCTION("COUNT(IMPORTRANGE(""https://docs.google.com/spreadsheets/d/1oYscvfOJW7GMkxt8QcupWuzb3ohaYePd3Mt2V2ufHok/edit"",""26!d2:d25""))"),19)</f>
        <v>19</v>
      </c>
      <c r="F692" s="23">
        <f ca="1">IFERROR(__xludf.DUMMYFUNCTION("SUM(IMPORTRANGE(""https://docs.google.com/spreadsheets/d/1oYscvfOJW7GMkxt8QcupWuzb3ohaYePd3Mt2V2ufHok/edit"",""26!Q2:Q25""))"),3802.26)</f>
        <v>3802.26</v>
      </c>
      <c r="G692" s="18">
        <f ca="1">IFERROR(__xludf.DUMMYFUNCTION("IMPORTRANGE(""https://docs.google.com/spreadsheets/d/1oYscvfOJW7GMkxt8QcupWuzb3ohaYePd3Mt2V2ufHok/edit"",""26!e32"")"),795)</f>
        <v>795</v>
      </c>
      <c r="H692" s="18">
        <f ca="1">IFERROR(__xludf.DUMMYFUNCTION("IMPORTRANGE(""https://docs.google.com/spreadsheets/d/1oYscvfOJW7GMkxt8QcupWuzb3ohaYePd3Mt2V2ufHok/edit"",""26!e33"")"),0)</f>
        <v>0</v>
      </c>
      <c r="I692" s="18">
        <f t="shared" ca="1" si="1887"/>
        <v>795</v>
      </c>
      <c r="J692" s="18">
        <f ca="1">IFERROR(__xludf.DUMMYFUNCTION("IMPORTRANGE(""https://docs.google.com/spreadsheets/d/1oYscvfOJW7GMkxt8QcupWuzb3ohaYePd3Mt2V2ufHok/edit"",""26!e36"")"),1124)</f>
        <v>1124</v>
      </c>
      <c r="K692" s="18">
        <f ca="1">IFERROR(__xludf.DUMMYFUNCTION("IMPORTRANGE(""https://docs.google.com/spreadsheets/d/1oYscvfOJW7GMkxt8QcupWuzb3ohaYePd3Mt2V2ufHok/edit"",""26!e37"")"),0)</f>
        <v>0</v>
      </c>
      <c r="L692" s="18">
        <f t="shared" ca="1" si="1917"/>
        <v>1124</v>
      </c>
      <c r="M692" s="18">
        <f t="shared" ca="1" si="1889"/>
        <v>1919</v>
      </c>
      <c r="N692" s="19">
        <f t="shared" ca="1" si="1890"/>
        <v>200.11894736842106</v>
      </c>
      <c r="O692" s="16">
        <v>3801</v>
      </c>
      <c r="P692" s="20">
        <f t="shared" ca="1" si="1891"/>
        <v>0.50486714022625623</v>
      </c>
      <c r="Q692" s="21">
        <v>1.5</v>
      </c>
      <c r="R692" s="20">
        <f t="shared" ca="1" si="1892"/>
        <v>0.33646655760872041</v>
      </c>
      <c r="S692" s="22">
        <f t="shared" ca="1" si="1893"/>
        <v>0.50469983641308058</v>
      </c>
      <c r="T692" s="21">
        <f ca="1">F692/29.628</f>
        <v>128.33333333333334</v>
      </c>
      <c r="U692" s="21">
        <f t="shared" ca="1" si="1894"/>
        <v>6.7543859649122808</v>
      </c>
      <c r="V692" s="18">
        <f t="shared" ca="1" si="1895"/>
        <v>101</v>
      </c>
      <c r="W692" s="76"/>
      <c r="X692" s="8">
        <v>6</v>
      </c>
      <c r="Y692" s="8" t="s">
        <v>42</v>
      </c>
      <c r="Z692" s="8">
        <f t="shared" ref="Z692:AI692" si="1926">SUM(D696)</f>
        <v>24</v>
      </c>
      <c r="AA692" s="9">
        <f t="shared" ca="1" si="1926"/>
        <v>24</v>
      </c>
      <c r="AB692" s="10">
        <f t="shared" ca="1" si="1926"/>
        <v>4698.6689999999899</v>
      </c>
      <c r="AC692" s="9">
        <f t="shared" ca="1" si="1926"/>
        <v>2418</v>
      </c>
      <c r="AD692" s="9">
        <f t="shared" ca="1" si="1926"/>
        <v>0</v>
      </c>
      <c r="AE692" s="9">
        <f t="shared" ca="1" si="1926"/>
        <v>2418</v>
      </c>
      <c r="AF692" s="9">
        <f t="shared" ca="1" si="1926"/>
        <v>2636</v>
      </c>
      <c r="AG692" s="9">
        <f t="shared" ca="1" si="1926"/>
        <v>115</v>
      </c>
      <c r="AH692" s="9">
        <f t="shared" ca="1" si="1926"/>
        <v>2751</v>
      </c>
      <c r="AI692" s="9">
        <f t="shared" ca="1" si="1926"/>
        <v>5169</v>
      </c>
      <c r="AJ692" s="11">
        <f t="shared" ca="1" si="1907"/>
        <v>195.77787499999957</v>
      </c>
      <c r="AK692" s="8">
        <f t="shared" si="1923"/>
        <v>9877</v>
      </c>
      <c r="AL692" s="12">
        <f t="shared" ca="1" si="1909"/>
        <v>0.52333704566163819</v>
      </c>
      <c r="AM692" s="13">
        <f t="shared" si="1924"/>
        <v>1.5</v>
      </c>
      <c r="AN692" s="12">
        <f t="shared" ca="1" si="1911"/>
        <v>0.73339918176828534</v>
      </c>
      <c r="AO692" s="14">
        <f t="shared" ca="1" si="1912"/>
        <v>1.1000987726524281</v>
      </c>
      <c r="AP692" s="13">
        <f t="shared" ref="AP692:AQ692" ca="1" si="1927">SUM(T696)</f>
        <v>179.64706557063619</v>
      </c>
      <c r="AQ692" s="13">
        <f t="shared" ca="1" si="1927"/>
        <v>7.4852943987765075</v>
      </c>
      <c r="AR692" s="9">
        <f t="shared" ca="1" si="1914"/>
        <v>215.375</v>
      </c>
      <c r="AS692" s="76"/>
      <c r="AT692" s="76"/>
    </row>
    <row r="693" spans="1:46" ht="15.75" customHeight="1" x14ac:dyDescent="0.25">
      <c r="A693" s="70"/>
      <c r="B693" s="16">
        <v>13</v>
      </c>
      <c r="C693" s="16" t="s">
        <v>43</v>
      </c>
      <c r="D693" s="17">
        <v>23</v>
      </c>
      <c r="E693" s="18">
        <f ca="1">IFERROR(__xludf.DUMMYFUNCTION("COUNT(IMPORTRANGE(""https://docs.google.com/spreadsheets/d/1AxBmuQEdOYAeRnZ4C8vO6kuTNp7X_SGhpLXuY0n4ln4/edit"",""26!d2:d31""))"),23)</f>
        <v>23</v>
      </c>
      <c r="F693" s="23">
        <f ca="1">IFERROR(__xludf.DUMMYFUNCTION("SUM(IMPORTRANGE(""https://docs.google.com/spreadsheets/d/1AxBmuQEdOYAeRnZ4C8vO6kuTNp7X_SGhpLXuY0n4ln4/edit"",""26!Q2:Q31""))"),4532.55)</f>
        <v>4532.55</v>
      </c>
      <c r="G693" s="18">
        <f ca="1">IFERROR(__xludf.DUMMYFUNCTION("IMPORTRANGE(""https://docs.google.com/spreadsheets/d/1AxBmuQEdOYAeRnZ4C8vO6kuTNp7X_SGhpLXuY0n4ln4/edit"",""26!e38"")"),1063)</f>
        <v>1063</v>
      </c>
      <c r="H693" s="18">
        <f ca="1">IFERROR(__xludf.DUMMYFUNCTION("IMPORTRANGE(""https://docs.google.com/spreadsheets/d/1AxBmuQEdOYAeRnZ4C8vO6kuTNp7X_SGhpLXuY0n4ln4/edit"",""26!e39"")"),0)</f>
        <v>0</v>
      </c>
      <c r="I693" s="18">
        <f t="shared" ca="1" si="1887"/>
        <v>1063</v>
      </c>
      <c r="J693" s="18">
        <f ca="1">IFERROR(__xludf.DUMMYFUNCTION("IMPORTRANGE(""https://docs.google.com/spreadsheets/d/1AxBmuQEdOYAeRnZ4C8vO6kuTNp7X_SGhpLXuY0n4ln4/edit"",""26!e42"")"),2286)</f>
        <v>2286</v>
      </c>
      <c r="K693" s="18">
        <f ca="1">IFERROR(__xludf.DUMMYFUNCTION("IMPORTRANGE(""https://docs.google.com/spreadsheets/d/1AxBmuQEdOYAeRnZ4C8vO6kuTNp7X_SGhpLXuY0n4ln4/edit"",""26!e43"")"),95)</f>
        <v>95</v>
      </c>
      <c r="L693" s="18">
        <f t="shared" ca="1" si="1917"/>
        <v>2381</v>
      </c>
      <c r="M693" s="18">
        <f t="shared" ca="1" si="1889"/>
        <v>3444</v>
      </c>
      <c r="N693" s="19">
        <f t="shared" ca="1" si="1890"/>
        <v>197.06739130434784</v>
      </c>
      <c r="O693" s="16">
        <v>8345</v>
      </c>
      <c r="P693" s="20">
        <f t="shared" ca="1" si="1891"/>
        <v>0.41270221689634512</v>
      </c>
      <c r="Q693" s="21">
        <v>1.5</v>
      </c>
      <c r="R693" s="20">
        <f t="shared" ca="1" si="1892"/>
        <v>0.50655811849841703</v>
      </c>
      <c r="S693" s="22">
        <f t="shared" ca="1" si="1893"/>
        <v>0.75983717774762549</v>
      </c>
      <c r="T693" s="21">
        <f ca="1">F693/41.205</f>
        <v>110.00000000000001</v>
      </c>
      <c r="U693" s="21">
        <f t="shared" ca="1" si="1894"/>
        <v>4.7826086956521747</v>
      </c>
      <c r="V693" s="18">
        <f t="shared" ca="1" si="1895"/>
        <v>149.7391304347826</v>
      </c>
      <c r="W693" s="76"/>
      <c r="X693" s="24" t="s">
        <v>33</v>
      </c>
      <c r="Y693" s="24">
        <v>6</v>
      </c>
      <c r="Z693" s="24">
        <f t="shared" ref="Z693:AI693" si="1928">SUM(Z687:Z692)</f>
        <v>169</v>
      </c>
      <c r="AA693" s="25">
        <f t="shared" ca="1" si="1928"/>
        <v>163</v>
      </c>
      <c r="AB693" s="27">
        <f t="shared" ca="1" si="1928"/>
        <v>31985.743999999981</v>
      </c>
      <c r="AC693" s="25">
        <f t="shared" ca="1" si="1928"/>
        <v>11030</v>
      </c>
      <c r="AD693" s="25">
        <f t="shared" ca="1" si="1928"/>
        <v>125</v>
      </c>
      <c r="AE693" s="25">
        <f t="shared" ca="1" si="1928"/>
        <v>11155</v>
      </c>
      <c r="AF693" s="25">
        <f t="shared" ca="1" si="1928"/>
        <v>15485</v>
      </c>
      <c r="AG693" s="25">
        <f t="shared" ca="1" si="1928"/>
        <v>303</v>
      </c>
      <c r="AH693" s="25">
        <f t="shared" ca="1" si="1928"/>
        <v>15788</v>
      </c>
      <c r="AI693" s="25">
        <f t="shared" ca="1" si="1928"/>
        <v>26943</v>
      </c>
      <c r="AJ693" s="27">
        <f t="shared" ca="1" si="1907"/>
        <v>196.23155828220848</v>
      </c>
      <c r="AK693" s="24">
        <f>SUM(AK687:AK692)</f>
        <v>53273</v>
      </c>
      <c r="AL693" s="28">
        <f t="shared" ca="1" si="1909"/>
        <v>0.50575338351510146</v>
      </c>
      <c r="AM693" s="29">
        <v>1.5</v>
      </c>
      <c r="AN693" s="28">
        <f t="shared" ca="1" si="1911"/>
        <v>0.5615626761722351</v>
      </c>
      <c r="AO693" s="30">
        <f t="shared" ca="1" si="1912"/>
        <v>0.84234401425835259</v>
      </c>
      <c r="AP693" s="29">
        <f ca="1">SUM(AP687:AP692)</f>
        <v>1051.0873036418147</v>
      </c>
      <c r="AQ693" s="29">
        <f ca="1">AP693/AA693</f>
        <v>6.448388365900704</v>
      </c>
      <c r="AR693" s="25">
        <f t="shared" ca="1" si="1914"/>
        <v>165.29447852760737</v>
      </c>
      <c r="AS693" s="76"/>
      <c r="AT693" s="76"/>
    </row>
    <row r="694" spans="1:46" ht="15.75" customHeight="1" x14ac:dyDescent="0.25">
      <c r="A694" s="70"/>
      <c r="B694" s="16">
        <v>14</v>
      </c>
      <c r="C694" s="16" t="s">
        <v>27</v>
      </c>
      <c r="D694" s="17">
        <v>23</v>
      </c>
      <c r="E694" s="18">
        <f ca="1">IFERROR(__xludf.DUMMYFUNCTION("COUNT(IMPORTRANGE(""https://docs.google.com/spreadsheets/d/1LsL4JuXvBtfJ-TVi4NFml9lV_pmd61b789A_nbO-QrA/edit"",""26!d2:d31""))"),21)</f>
        <v>21</v>
      </c>
      <c r="F694" s="23">
        <f ca="1">IFERROR(__xludf.DUMMYFUNCTION("SUM(IMPORTRANGE(""https://docs.google.com/spreadsheets/d/1LsL4JuXvBtfJ-TVi4NFml9lV_pmd61b789A_nbO-QrA/edit"",""26!Q2:Q31""))"),4206.70499999999)</f>
        <v>4206.7049999999899</v>
      </c>
      <c r="G694" s="18">
        <f ca="1">IFERROR(__xludf.DUMMYFUNCTION("IMPORTRANGE(""https://docs.google.com/spreadsheets/d/1LsL4JuXvBtfJ-TVi4NFml9lV_pmd61b789A_nbO-QrA/edit"",""26!e38"")"),1847)</f>
        <v>1847</v>
      </c>
      <c r="H694" s="18">
        <f ca="1">IFERROR(__xludf.DUMMYFUNCTION("IMPORTRANGE(""https://docs.google.com/spreadsheets/d/1LsL4JuXvBtfJ-TVi4NFml9lV_pmd61b789A_nbO-QrA/edit"",""26!e39"")"),0)</f>
        <v>0</v>
      </c>
      <c r="I694" s="18">
        <f t="shared" ca="1" si="1887"/>
        <v>1847</v>
      </c>
      <c r="J694" s="18">
        <f ca="1">IFERROR(__xludf.DUMMYFUNCTION("IMPORTRANGE(""https://docs.google.com/spreadsheets/d/1LsL4JuXvBtfJ-TVi4NFml9lV_pmd61b789A_nbO-QrA/edit"",""26!e42"")"),2082)</f>
        <v>2082</v>
      </c>
      <c r="K694" s="18">
        <f ca="1">IFERROR(__xludf.DUMMYFUNCTION("IMPORTRANGE(""https://docs.google.com/spreadsheets/d/1LsL4JuXvBtfJ-TVi4NFml9lV_pmd61b789A_nbO-QrA/edit"",""26!e43"")"),0)</f>
        <v>0</v>
      </c>
      <c r="L694" s="18">
        <f t="shared" ca="1" si="1917"/>
        <v>2082</v>
      </c>
      <c r="M694" s="18">
        <f t="shared" ca="1" si="1889"/>
        <v>3929</v>
      </c>
      <c r="N694" s="19">
        <f t="shared" ca="1" si="1890"/>
        <v>200.31928571428523</v>
      </c>
      <c r="O694" s="16">
        <v>8101</v>
      </c>
      <c r="P694" s="20">
        <f t="shared" ca="1" si="1891"/>
        <v>0.48500185162325637</v>
      </c>
      <c r="Q694" s="21">
        <v>1.5</v>
      </c>
      <c r="R694" s="20">
        <f t="shared" ca="1" si="1892"/>
        <v>0.62265676659840408</v>
      </c>
      <c r="S694" s="22">
        <f t="shared" ca="1" si="1893"/>
        <v>0.93398514989760617</v>
      </c>
      <c r="T694" s="21">
        <f ca="1">F694/19.985</f>
        <v>210.4931198398794</v>
      </c>
      <c r="U694" s="21">
        <f t="shared" ca="1" si="1894"/>
        <v>10.023481897137113</v>
      </c>
      <c r="V694" s="18">
        <f t="shared" ca="1" si="1895"/>
        <v>187.0952380952381</v>
      </c>
      <c r="W694" s="76"/>
      <c r="X694" s="97" t="s">
        <v>44</v>
      </c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9"/>
      <c r="AS694" s="76"/>
      <c r="AT694" s="76"/>
    </row>
    <row r="695" spans="1:46" ht="15.75" customHeight="1" x14ac:dyDescent="0.25">
      <c r="A695" s="70"/>
      <c r="B695" s="16">
        <v>15</v>
      </c>
      <c r="C695" s="16" t="s">
        <v>40</v>
      </c>
      <c r="D695" s="17">
        <v>23</v>
      </c>
      <c r="E695" s="18">
        <f ca="1">IFERROR(__xludf.DUMMYFUNCTION("COUNT(IMPORTRANGE(""https://docs.google.com/spreadsheets/d/1Krav0MVlY0vbUNsFRDnb_kR72_tyuGnWBYbGjNZrl18/edit"",""26!d2:d31""))"),23)</f>
        <v>23</v>
      </c>
      <c r="F695" s="23">
        <f ca="1">IFERROR(__xludf.DUMMYFUNCTION("SUM(IMPORTRANGE(""https://docs.google.com/spreadsheets/d/1Krav0MVlY0vbUNsFRDnb_kR72_tyuGnWBYbGjNZrl18/edit"",""26!Q2:Q31""))"),4579.323)</f>
        <v>4579.3230000000003</v>
      </c>
      <c r="G695" s="18">
        <f ca="1">IFERROR(__xludf.DUMMYFUNCTION("IMPORTRANGE(""https://docs.google.com/spreadsheets/d/1Krav0MVlY0vbUNsFRDnb_kR72_tyuGnWBYbGjNZrl18/edit"",""26!e38"")"),2366)</f>
        <v>2366</v>
      </c>
      <c r="H695" s="18">
        <f ca="1">IFERROR(__xludf.DUMMYFUNCTION("IMPORTRANGE(""https://docs.google.com/spreadsheets/d/1Krav0MVlY0vbUNsFRDnb_kR72_tyuGnWBYbGjNZrl18/edit"",""26!e39"")"),0)</f>
        <v>0</v>
      </c>
      <c r="I695" s="18">
        <f t="shared" ca="1" si="1887"/>
        <v>2366</v>
      </c>
      <c r="J695" s="18">
        <f ca="1">IFERROR(__xludf.DUMMYFUNCTION("IMPORTRANGE(""https://docs.google.com/spreadsheets/d/1Krav0MVlY0vbUNsFRDnb_kR72_tyuGnWBYbGjNZrl18/edit"",""26!e42"")"),2767)</f>
        <v>2767</v>
      </c>
      <c r="K695" s="18">
        <f ca="1">IFERROR(__xludf.DUMMYFUNCTION("IMPORTRANGE(""https://docs.google.com/spreadsheets/d/1Krav0MVlY0vbUNsFRDnb_kR72_tyuGnWBYbGjNZrl18/edit"",""26!e43"")"),30)</f>
        <v>30</v>
      </c>
      <c r="L695" s="18">
        <f t="shared" ca="1" si="1917"/>
        <v>2797</v>
      </c>
      <c r="M695" s="18">
        <f t="shared" ca="1" si="1889"/>
        <v>5163</v>
      </c>
      <c r="N695" s="19">
        <f t="shared" ca="1" si="1890"/>
        <v>199.10100000000003</v>
      </c>
      <c r="O695" s="16">
        <v>8239</v>
      </c>
      <c r="P695" s="20">
        <f t="shared" ca="1" si="1891"/>
        <v>0.62665372011166409</v>
      </c>
      <c r="Q695" s="21">
        <v>1.5</v>
      </c>
      <c r="R695" s="20">
        <f t="shared" ca="1" si="1892"/>
        <v>0.75163948906858058</v>
      </c>
      <c r="S695" s="22">
        <f t="shared" ca="1" si="1893"/>
        <v>1.1274592336028708</v>
      </c>
      <c r="T695" s="21">
        <f ca="1">F695/28.443</f>
        <v>161</v>
      </c>
      <c r="U695" s="21">
        <f t="shared" ca="1" si="1894"/>
        <v>7</v>
      </c>
      <c r="V695" s="18">
        <f t="shared" ca="1" si="1895"/>
        <v>224.47826086956522</v>
      </c>
      <c r="W695" s="76"/>
      <c r="X695" s="1" t="s">
        <v>2</v>
      </c>
      <c r="Y695" s="1" t="s">
        <v>3</v>
      </c>
      <c r="Z695" s="1" t="s">
        <v>4</v>
      </c>
      <c r="AA695" s="1" t="s">
        <v>5</v>
      </c>
      <c r="AB695" s="2" t="s">
        <v>6</v>
      </c>
      <c r="AC695" s="1" t="s">
        <v>7</v>
      </c>
      <c r="AD695" s="1" t="s">
        <v>8</v>
      </c>
      <c r="AE695" s="1" t="s">
        <v>9</v>
      </c>
      <c r="AF695" s="1" t="s">
        <v>10</v>
      </c>
      <c r="AG695" s="1" t="s">
        <v>11</v>
      </c>
      <c r="AH695" s="1" t="s">
        <v>12</v>
      </c>
      <c r="AI695" s="1" t="s">
        <v>13</v>
      </c>
      <c r="AJ695" s="2" t="s">
        <v>14</v>
      </c>
      <c r="AK695" s="1" t="s">
        <v>15</v>
      </c>
      <c r="AL695" s="1" t="s">
        <v>16</v>
      </c>
      <c r="AM695" s="3" t="s">
        <v>17</v>
      </c>
      <c r="AN695" s="4" t="s">
        <v>18</v>
      </c>
      <c r="AO695" s="5" t="s">
        <v>19</v>
      </c>
      <c r="AP695" s="6" t="s">
        <v>20</v>
      </c>
      <c r="AQ695" s="6" t="s">
        <v>21</v>
      </c>
      <c r="AR695" s="7" t="s">
        <v>22</v>
      </c>
      <c r="AS695" s="76"/>
      <c r="AT695" s="76"/>
    </row>
    <row r="696" spans="1:46" ht="15.75" customHeight="1" x14ac:dyDescent="0.25">
      <c r="A696" s="70"/>
      <c r="B696" s="16">
        <v>16</v>
      </c>
      <c r="C696" s="16" t="s">
        <v>42</v>
      </c>
      <c r="D696" s="17">
        <v>24</v>
      </c>
      <c r="E696" s="18">
        <f ca="1">IFERROR(__xludf.DUMMYFUNCTION("COUNT(IMPORTRANGE(""https://docs.google.com/spreadsheets/d/1uXtm-E8PG0CetlFmSpTX3RK0LNEMnpR-mxbET9AGD6w/edit"",""26!d2:d34""))"),24)</f>
        <v>24</v>
      </c>
      <c r="F696" s="23">
        <f ca="1">IFERROR(__xludf.DUMMYFUNCTION("SUM(IMPORTRANGE(""https://docs.google.com/spreadsheets/d/1uXtm-E8PG0CetlFmSpTX3RK0LNEMnpR-mxbET9AGD6w/edit"",""26!Q2:Q34""))"),4698.66899999999)</f>
        <v>4698.6689999999899</v>
      </c>
      <c r="G696" s="18">
        <f ca="1">IFERROR(__xludf.DUMMYFUNCTION("IMPORTRANGE(""https://docs.google.com/spreadsheets/d/1uXtm-E8PG0CetlFmSpTX3RK0LNEMnpR-mxbET9AGD6w/edit"",""26!e41"")"),2418)</f>
        <v>2418</v>
      </c>
      <c r="H696" s="18">
        <f ca="1">IFERROR(__xludf.DUMMYFUNCTION("IMPORTRANGE(""https://docs.google.com/spreadsheets/d/1uXtm-E8PG0CetlFmSpTX3RK0LNEMnpR-mxbET9AGD6w/edit"",""26!e42"")"),0)</f>
        <v>0</v>
      </c>
      <c r="I696" s="18">
        <f t="shared" ca="1" si="1887"/>
        <v>2418</v>
      </c>
      <c r="J696" s="18">
        <f ca="1">IFERROR(__xludf.DUMMYFUNCTION("IMPORTRANGE(""https://docs.google.com/spreadsheets/d/1uXtm-E8PG0CetlFmSpTX3RK0LNEMnpR-mxbET9AGD6w/edit"",""26!e45"")"),2636)</f>
        <v>2636</v>
      </c>
      <c r="K696" s="18">
        <f ca="1">IFERROR(__xludf.DUMMYFUNCTION("IMPORTRANGE(""https://docs.google.com/spreadsheets/d/1uXtm-E8PG0CetlFmSpTX3RK0LNEMnpR-mxbET9AGD6w/edit"",""26!e46"")"),115)</f>
        <v>115</v>
      </c>
      <c r="L696" s="18">
        <f t="shared" ca="1" si="1917"/>
        <v>2751</v>
      </c>
      <c r="M696" s="18">
        <f t="shared" ca="1" si="1889"/>
        <v>5169</v>
      </c>
      <c r="N696" s="19">
        <f t="shared" ca="1" si="1890"/>
        <v>195.77787499999957</v>
      </c>
      <c r="O696" s="16">
        <v>9877</v>
      </c>
      <c r="P696" s="20">
        <f t="shared" ca="1" si="1891"/>
        <v>0.52333704566163819</v>
      </c>
      <c r="Q696" s="21">
        <v>1.5</v>
      </c>
      <c r="R696" s="20">
        <f t="shared" ca="1" si="1892"/>
        <v>0.73339918176828534</v>
      </c>
      <c r="S696" s="22">
        <f t="shared" ca="1" si="1893"/>
        <v>1.1000987726524281</v>
      </c>
      <c r="T696" s="21">
        <f ca="1">F696/26.155</f>
        <v>179.64706557063619</v>
      </c>
      <c r="U696" s="21">
        <f t="shared" ca="1" si="1894"/>
        <v>7.4852943987765075</v>
      </c>
      <c r="V696" s="18">
        <f t="shared" ca="1" si="1895"/>
        <v>215.375</v>
      </c>
      <c r="W696" s="76"/>
      <c r="X696" s="8">
        <v>1</v>
      </c>
      <c r="Y696" s="8" t="s">
        <v>26</v>
      </c>
      <c r="Z696" s="8">
        <f t="shared" ref="Z696:AI696" si="1929">SUM(D681)</f>
        <v>15</v>
      </c>
      <c r="AA696" s="9">
        <f t="shared" ca="1" si="1929"/>
        <v>14</v>
      </c>
      <c r="AB696" s="11">
        <f t="shared" ca="1" si="1929"/>
        <v>2645.5349999999999</v>
      </c>
      <c r="AC696" s="9">
        <f t="shared" ca="1" si="1929"/>
        <v>1298</v>
      </c>
      <c r="AD696" s="9">
        <f t="shared" ca="1" si="1929"/>
        <v>0</v>
      </c>
      <c r="AE696" s="9">
        <f t="shared" ca="1" si="1929"/>
        <v>1298</v>
      </c>
      <c r="AF696" s="9">
        <f t="shared" ca="1" si="1929"/>
        <v>1805</v>
      </c>
      <c r="AG696" s="9">
        <f t="shared" ca="1" si="1929"/>
        <v>0</v>
      </c>
      <c r="AH696" s="9">
        <f t="shared" ca="1" si="1929"/>
        <v>1805</v>
      </c>
      <c r="AI696" s="9">
        <f t="shared" ca="1" si="1929"/>
        <v>3103</v>
      </c>
      <c r="AJ696" s="11">
        <f t="shared" ref="AJ696:AJ702" ca="1" si="1930">AB696/AA696</f>
        <v>188.96678571428569</v>
      </c>
      <c r="AK696" s="8">
        <f>SUM(O681)</f>
        <v>5161</v>
      </c>
      <c r="AL696" s="12">
        <f t="shared" ref="AL696:AL702" ca="1" si="1931">AI696/AK696</f>
        <v>0.60124006975392363</v>
      </c>
      <c r="AM696" s="13">
        <f>SUM(Q681)</f>
        <v>1.5</v>
      </c>
      <c r="AN696" s="12">
        <f t="shared" ref="AN696:AN702" ca="1" si="1932">AO696/AM696</f>
        <v>0.78194643679507803</v>
      </c>
      <c r="AO696" s="14">
        <f t="shared" ref="AO696:AO702" ca="1" si="1933">AI696/AB696</f>
        <v>1.1729196551926171</v>
      </c>
      <c r="AP696" s="13">
        <f t="shared" ref="AP696:AQ696" ca="1" si="1934">SUM(T681)</f>
        <v>183.52653485952132</v>
      </c>
      <c r="AQ696" s="13">
        <f t="shared" ca="1" si="1934"/>
        <v>13.109038204251522</v>
      </c>
      <c r="AR696" s="9">
        <f t="shared" ref="AR696:AR702" ca="1" si="1935">AI696/AA696</f>
        <v>221.64285714285714</v>
      </c>
      <c r="AS696" s="76"/>
      <c r="AT696" s="76"/>
    </row>
    <row r="697" spans="1:46" ht="15.75" customHeight="1" x14ac:dyDescent="0.25">
      <c r="A697" s="70"/>
      <c r="B697" s="16">
        <v>17</v>
      </c>
      <c r="C697" s="16" t="s">
        <v>29</v>
      </c>
      <c r="D697" s="17">
        <v>23</v>
      </c>
      <c r="E697" s="18">
        <f ca="1">IFERROR(__xludf.DUMMYFUNCTION("COUNT(IMPORTRANGE(""https://docs.google.com/spreadsheets/d/12xcKI0lSnAsjEsxfm9K8Qx0B_89Gzsh816mowItkQao/edit"",""26!d2:d31""))"),23)</f>
        <v>23</v>
      </c>
      <c r="F697" s="23">
        <f ca="1">IFERROR(__xludf.DUMMYFUNCTION("SUM(IMPORTRANGE(""https://docs.google.com/spreadsheets/d/12xcKI0lSnAsjEsxfm9K8Qx0B_89Gzsh816mowItkQao/edit"",""26!Q2:Q31""))"),4556.65)</f>
        <v>4556.6499999999996</v>
      </c>
      <c r="G697" s="18">
        <f ca="1">IFERROR(__xludf.DUMMYFUNCTION("IMPORTRANGE(""https://docs.google.com/spreadsheets/d/12xcKI0lSnAsjEsxfm9K8Qx0B_89Gzsh816mowItkQao/edit"",""26!e38"")"),1665)</f>
        <v>1665</v>
      </c>
      <c r="H697" s="18">
        <f ca="1">IFERROR(__xludf.DUMMYFUNCTION("IMPORTRANGE(""https://docs.google.com/spreadsheets/d/12xcKI0lSnAsjEsxfm9K8Qx0B_89Gzsh816mowItkQao/edit"",""26!e39"")"),66)</f>
        <v>66</v>
      </c>
      <c r="I697" s="18">
        <f t="shared" ca="1" si="1887"/>
        <v>1731</v>
      </c>
      <c r="J697" s="18">
        <f ca="1">IFERROR(__xludf.DUMMYFUNCTION("IMPORTRANGE(""https://docs.google.com/spreadsheets/d/12xcKI0lSnAsjEsxfm9K8Qx0B_89Gzsh816mowItkQao/edit"",""26!e42"")"),2414)</f>
        <v>2414</v>
      </c>
      <c r="K697" s="18">
        <f ca="1">IFERROR(__xludf.DUMMYFUNCTION("IMPORTRANGE(""https://docs.google.com/spreadsheets/d/12xcKI0lSnAsjEsxfm9K8Qx0B_89Gzsh816mowItkQao/edit"",""26!e43"")"),20)</f>
        <v>20</v>
      </c>
      <c r="L697" s="18">
        <f t="shared" ca="1" si="1917"/>
        <v>2434</v>
      </c>
      <c r="M697" s="18">
        <f t="shared" ca="1" si="1889"/>
        <v>4165</v>
      </c>
      <c r="N697" s="19">
        <f t="shared" ca="1" si="1890"/>
        <v>198.11521739130433</v>
      </c>
      <c r="O697" s="16">
        <v>9201</v>
      </c>
      <c r="P697" s="20">
        <f t="shared" ca="1" si="1891"/>
        <v>0.45266818824040866</v>
      </c>
      <c r="Q697" s="21">
        <v>1.5</v>
      </c>
      <c r="R697" s="20">
        <f t="shared" ca="1" si="1892"/>
        <v>0.60936579870445762</v>
      </c>
      <c r="S697" s="22">
        <f t="shared" ca="1" si="1893"/>
        <v>0.91404869805668643</v>
      </c>
      <c r="T697" s="21">
        <f ca="1">F697/26.038</f>
        <v>174.99999999999997</v>
      </c>
      <c r="U697" s="21">
        <f t="shared" ca="1" si="1894"/>
        <v>7.6086956521739122</v>
      </c>
      <c r="V697" s="18">
        <f t="shared" ca="1" si="1895"/>
        <v>181.08695652173913</v>
      </c>
      <c r="W697" s="76"/>
      <c r="X697" s="8">
        <v>2</v>
      </c>
      <c r="Y697" s="8" t="s">
        <v>32</v>
      </c>
      <c r="Z697" s="8">
        <f t="shared" ref="Z697:AI697" si="1936">SUM(D684)</f>
        <v>32</v>
      </c>
      <c r="AA697" s="9">
        <f t="shared" ca="1" si="1936"/>
        <v>30</v>
      </c>
      <c r="AB697" s="10">
        <f t="shared" ca="1" si="1936"/>
        <v>5984.8009999999904</v>
      </c>
      <c r="AC697" s="8">
        <f t="shared" ca="1" si="1936"/>
        <v>2854</v>
      </c>
      <c r="AD697" s="8">
        <f t="shared" ca="1" si="1936"/>
        <v>80</v>
      </c>
      <c r="AE697" s="9">
        <f t="shared" ca="1" si="1936"/>
        <v>2934</v>
      </c>
      <c r="AF697" s="8">
        <f t="shared" ca="1" si="1936"/>
        <v>3617</v>
      </c>
      <c r="AG697" s="8">
        <f t="shared" ca="1" si="1936"/>
        <v>0</v>
      </c>
      <c r="AH697" s="9">
        <f t="shared" ca="1" si="1936"/>
        <v>3617</v>
      </c>
      <c r="AI697" s="9">
        <f t="shared" ca="1" si="1936"/>
        <v>6551</v>
      </c>
      <c r="AJ697" s="11">
        <f t="shared" ca="1" si="1930"/>
        <v>199.49336666666633</v>
      </c>
      <c r="AK697" s="8">
        <f>SUM(O684)</f>
        <v>13817</v>
      </c>
      <c r="AL697" s="12">
        <f t="shared" ca="1" si="1931"/>
        <v>0.47412607657233841</v>
      </c>
      <c r="AM697" s="13">
        <f>SUM(Q684)</f>
        <v>1.5</v>
      </c>
      <c r="AN697" s="12">
        <f t="shared" ca="1" si="1932"/>
        <v>0.72973743543575476</v>
      </c>
      <c r="AO697" s="14">
        <f t="shared" ca="1" si="1933"/>
        <v>1.0946061531536322</v>
      </c>
      <c r="AP697" s="13">
        <f t="shared" ref="AP697:AQ697" ca="1" si="1937">SUM(T684)</f>
        <v>238.54282753397865</v>
      </c>
      <c r="AQ697" s="13">
        <f t="shared" ca="1" si="1937"/>
        <v>7.9514275844659554</v>
      </c>
      <c r="AR697" s="9">
        <f t="shared" ca="1" si="1935"/>
        <v>218.36666666666667</v>
      </c>
      <c r="AS697" s="76"/>
      <c r="AT697" s="76"/>
    </row>
    <row r="698" spans="1:46" ht="15.75" customHeight="1" x14ac:dyDescent="0.25">
      <c r="A698" s="70"/>
      <c r="B698" s="16">
        <v>18</v>
      </c>
      <c r="C698" s="16" t="s">
        <v>31</v>
      </c>
      <c r="D698" s="17">
        <v>11</v>
      </c>
      <c r="E698" s="18">
        <f ca="1">IFERROR(__xludf.DUMMYFUNCTION("COUNT(IMPORTRANGE(""https://docs.google.com/spreadsheets/d/1fgCFOFzOla4Qim6_-zG-lbYhLCItqv_kZiAHoErRgcM/edit"",""26!d2:d16""))"),9)</f>
        <v>9</v>
      </c>
      <c r="F698" s="19">
        <f ca="1">IFERROR(__xludf.DUMMYFUNCTION("SUM(IMPORTRANGE(""https://docs.google.com/spreadsheets/d/1fgCFOFzOla4Qim6_-zG-lbYhLCItqv_kZiAHoErRgcM/edit"",""26!Q2:Q16""))"),1738.6)</f>
        <v>1738.6</v>
      </c>
      <c r="G698" s="18">
        <f ca="1">IFERROR(__xludf.DUMMYFUNCTION("IMPORTRANGE(""https://docs.google.com/spreadsheets/d/1fgCFOFzOla4Qim6_-zG-lbYhLCItqv_kZiAHoErRgcM/edit"",""26!e23"")"),414)</f>
        <v>414</v>
      </c>
      <c r="H698" s="18">
        <f ca="1">IFERROR(__xludf.DUMMYFUNCTION("IMPORTRANGE(""https://docs.google.com/spreadsheets/d/1fgCFOFzOla4Qim6_-zG-lbYhLCItqv_kZiAHoErRgcM/edit"",""26!e24"")"),9)</f>
        <v>9</v>
      </c>
      <c r="I698" s="18">
        <f t="shared" ca="1" si="1887"/>
        <v>423</v>
      </c>
      <c r="J698" s="18">
        <f ca="1">IFERROR(__xludf.DUMMYFUNCTION("IMPORTRANGE(""https://docs.google.com/spreadsheets/d/1fgCFOFzOla4Qim6_-zG-lbYhLCItqv_kZiAHoErRgcM/edit"",""26!e27"")"),546)</f>
        <v>546</v>
      </c>
      <c r="K698" s="18">
        <f ca="1">IFERROR(__xludf.DUMMYFUNCTION("IMPORTRANGE(""https://docs.google.com/spreadsheets/d/1fgCFOFzOla4Qim6_-zG-lbYhLCItqv_kZiAHoErRgcM/edit"",""26!e28"")"),0)</f>
        <v>0</v>
      </c>
      <c r="L698" s="18">
        <f t="shared" ca="1" si="1917"/>
        <v>546</v>
      </c>
      <c r="M698" s="18">
        <f t="shared" ca="1" si="1889"/>
        <v>969</v>
      </c>
      <c r="N698" s="19">
        <f t="shared" ca="1" si="1890"/>
        <v>193.17777777777778</v>
      </c>
      <c r="O698" s="16">
        <v>2717</v>
      </c>
      <c r="P698" s="20">
        <f t="shared" ca="1" si="1891"/>
        <v>0.35664335664335667</v>
      </c>
      <c r="Q698" s="21">
        <v>1.5</v>
      </c>
      <c r="R698" s="20">
        <f t="shared" ca="1" si="1892"/>
        <v>0.37156332681467852</v>
      </c>
      <c r="S698" s="22">
        <f t="shared" ca="1" si="1893"/>
        <v>0.55734499022201778</v>
      </c>
      <c r="T698" s="21">
        <f ca="1">F698/43.465</f>
        <v>39.999999999999993</v>
      </c>
      <c r="U698" s="21">
        <f t="shared" ca="1" si="1894"/>
        <v>4.4444444444444438</v>
      </c>
      <c r="V698" s="18">
        <f t="shared" ca="1" si="1895"/>
        <v>107.66666666666667</v>
      </c>
      <c r="W698" s="76"/>
      <c r="X698" s="8">
        <v>3</v>
      </c>
      <c r="Y698" s="8" t="s">
        <v>36</v>
      </c>
      <c r="Z698" s="8">
        <f t="shared" ref="Z698:AI698" si="1938">SUM(D689)</f>
        <v>22</v>
      </c>
      <c r="AA698" s="9">
        <f t="shared" ca="1" si="1938"/>
        <v>22</v>
      </c>
      <c r="AB698" s="10">
        <f t="shared" ca="1" si="1938"/>
        <v>4335.2359999999899</v>
      </c>
      <c r="AC698" s="9">
        <f t="shared" ca="1" si="1938"/>
        <v>842</v>
      </c>
      <c r="AD698" s="9">
        <f t="shared" ca="1" si="1938"/>
        <v>0</v>
      </c>
      <c r="AE698" s="9">
        <f t="shared" ca="1" si="1938"/>
        <v>842</v>
      </c>
      <c r="AF698" s="9">
        <f t="shared" ca="1" si="1938"/>
        <v>1425</v>
      </c>
      <c r="AG698" s="9">
        <f t="shared" ca="1" si="1938"/>
        <v>0</v>
      </c>
      <c r="AH698" s="9">
        <f t="shared" ca="1" si="1938"/>
        <v>1425</v>
      </c>
      <c r="AI698" s="9">
        <f t="shared" ca="1" si="1938"/>
        <v>2267</v>
      </c>
      <c r="AJ698" s="11">
        <f t="shared" ca="1" si="1930"/>
        <v>197.05618181818136</v>
      </c>
      <c r="AK698" s="8">
        <f t="shared" ref="AK698:AK701" si="1939">SUM(O689)</f>
        <v>4796</v>
      </c>
      <c r="AL698" s="12">
        <f t="shared" ca="1" si="1931"/>
        <v>0.47268557130942451</v>
      </c>
      <c r="AM698" s="13">
        <f t="shared" ref="AM698:AM701" si="1940">SUM(Q689)</f>
        <v>1.5</v>
      </c>
      <c r="AN698" s="12">
        <f t="shared" ca="1" si="1932"/>
        <v>0.34861616145772384</v>
      </c>
      <c r="AO698" s="14">
        <f t="shared" ca="1" si="1933"/>
        <v>0.52292424218658573</v>
      </c>
      <c r="AP698" s="13">
        <f t="shared" ref="AP698:AQ698" ca="1" si="1941">SUM(T689)</f>
        <v>115.87202651413882</v>
      </c>
      <c r="AQ698" s="13">
        <f t="shared" ca="1" si="1941"/>
        <v>5.2669102960972189</v>
      </c>
      <c r="AR698" s="9">
        <f t="shared" ca="1" si="1935"/>
        <v>103.04545454545455</v>
      </c>
      <c r="AS698" s="76"/>
      <c r="AT698" s="76"/>
    </row>
    <row r="699" spans="1:46" ht="15.75" customHeight="1" x14ac:dyDescent="0.2">
      <c r="A699" s="70"/>
      <c r="B699" s="98" t="s">
        <v>33</v>
      </c>
      <c r="C699" s="98">
        <v>18</v>
      </c>
      <c r="D699" s="98">
        <f t="shared" ref="D699:M699" si="1942">SUM(D681:D698)</f>
        <v>445</v>
      </c>
      <c r="E699" s="74">
        <f t="shared" ca="1" si="1942"/>
        <v>430</v>
      </c>
      <c r="F699" s="99">
        <f t="shared" ca="1" si="1942"/>
        <v>83898.547999999922</v>
      </c>
      <c r="G699" s="74">
        <f t="shared" ca="1" si="1942"/>
        <v>25461</v>
      </c>
      <c r="H699" s="74">
        <f t="shared" ca="1" si="1942"/>
        <v>615</v>
      </c>
      <c r="I699" s="74">
        <f t="shared" ca="1" si="1942"/>
        <v>26076</v>
      </c>
      <c r="J699" s="74">
        <f t="shared" ca="1" si="1942"/>
        <v>37158</v>
      </c>
      <c r="K699" s="74">
        <f t="shared" ca="1" si="1942"/>
        <v>636</v>
      </c>
      <c r="L699" s="74">
        <f t="shared" ca="1" si="1942"/>
        <v>37794</v>
      </c>
      <c r="M699" s="74">
        <f t="shared" ca="1" si="1942"/>
        <v>63870</v>
      </c>
      <c r="N699" s="99">
        <f t="shared" ca="1" si="1890"/>
        <v>195.11290232558122</v>
      </c>
      <c r="O699" s="98">
        <f>SUM(O681:O698)</f>
        <v>126399</v>
      </c>
      <c r="P699" s="69">
        <f t="shared" ca="1" si="1891"/>
        <v>0.50530463057460895</v>
      </c>
      <c r="Q699" s="72">
        <v>1.5</v>
      </c>
      <c r="R699" s="69">
        <f t="shared" ca="1" si="1892"/>
        <v>0.50751772247596039</v>
      </c>
      <c r="S699" s="73">
        <f t="shared" ca="1" si="1893"/>
        <v>0.76127658371394058</v>
      </c>
      <c r="T699" s="72">
        <f ca="1">SUM(T681:T698)</f>
        <v>3093.4174546216791</v>
      </c>
      <c r="U699" s="72">
        <f t="shared" ca="1" si="1894"/>
        <v>7.1939940805155329</v>
      </c>
      <c r="V699" s="74">
        <f t="shared" ca="1" si="1895"/>
        <v>148.53488372093022</v>
      </c>
      <c r="W699" s="76"/>
      <c r="X699" s="8">
        <v>4</v>
      </c>
      <c r="Y699" s="8" t="s">
        <v>37</v>
      </c>
      <c r="Z699" s="8">
        <f t="shared" ref="Z699:AI699" si="1943">SUM(D690)</f>
        <v>23</v>
      </c>
      <c r="AA699" s="9">
        <f t="shared" ca="1" si="1943"/>
        <v>23</v>
      </c>
      <c r="AB699" s="10">
        <f t="shared" ca="1" si="1943"/>
        <v>4523.0039999999999</v>
      </c>
      <c r="AC699" s="9">
        <f t="shared" ca="1" si="1943"/>
        <v>939</v>
      </c>
      <c r="AD699" s="9">
        <f t="shared" ca="1" si="1943"/>
        <v>0</v>
      </c>
      <c r="AE699" s="9">
        <f t="shared" ca="1" si="1943"/>
        <v>939</v>
      </c>
      <c r="AF699" s="9">
        <f t="shared" ca="1" si="1943"/>
        <v>1838</v>
      </c>
      <c r="AG699" s="9">
        <f t="shared" ca="1" si="1943"/>
        <v>0</v>
      </c>
      <c r="AH699" s="9">
        <f t="shared" ca="1" si="1943"/>
        <v>1838</v>
      </c>
      <c r="AI699" s="9">
        <f t="shared" ca="1" si="1943"/>
        <v>2777</v>
      </c>
      <c r="AJ699" s="11">
        <f t="shared" ca="1" si="1930"/>
        <v>196.65234782608695</v>
      </c>
      <c r="AK699" s="8">
        <f t="shared" si="1939"/>
        <v>5887</v>
      </c>
      <c r="AL699" s="12">
        <f t="shared" ca="1" si="1931"/>
        <v>0.47171734329879395</v>
      </c>
      <c r="AM699" s="13">
        <f t="shared" si="1940"/>
        <v>1.5</v>
      </c>
      <c r="AN699" s="12">
        <f t="shared" ca="1" si="1932"/>
        <v>0.40931498918270542</v>
      </c>
      <c r="AO699" s="14">
        <f t="shared" ca="1" si="1933"/>
        <v>0.61397248377405811</v>
      </c>
      <c r="AP699" s="13">
        <f t="shared" ref="AP699:AQ699" ca="1" si="1944">SUM(T690)</f>
        <v>182.4380445304937</v>
      </c>
      <c r="AQ699" s="13">
        <f t="shared" ca="1" si="1944"/>
        <v>7.9320888926301611</v>
      </c>
      <c r="AR699" s="9">
        <f t="shared" ca="1" si="1935"/>
        <v>120.73913043478261</v>
      </c>
      <c r="AS699" s="76"/>
      <c r="AT699" s="76"/>
    </row>
    <row r="700" spans="1:46" ht="15.75" customHeight="1" x14ac:dyDescent="0.2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6"/>
      <c r="X700" s="8">
        <v>5</v>
      </c>
      <c r="Y700" s="8" t="s">
        <v>39</v>
      </c>
      <c r="Z700" s="8">
        <f t="shared" ref="Z700:AI700" si="1945">SUM(D691)</f>
        <v>21</v>
      </c>
      <c r="AA700" s="9">
        <f t="shared" ca="1" si="1945"/>
        <v>20</v>
      </c>
      <c r="AB700" s="10">
        <f t="shared" ca="1" si="1945"/>
        <v>3824.0519999999901</v>
      </c>
      <c r="AC700" s="9">
        <f t="shared" ca="1" si="1945"/>
        <v>712</v>
      </c>
      <c r="AD700" s="9">
        <f t="shared" ca="1" si="1945"/>
        <v>0</v>
      </c>
      <c r="AE700" s="9">
        <f t="shared" ca="1" si="1945"/>
        <v>712</v>
      </c>
      <c r="AF700" s="9">
        <f t="shared" ca="1" si="1945"/>
        <v>1522</v>
      </c>
      <c r="AG700" s="9">
        <f t="shared" ca="1" si="1945"/>
        <v>0</v>
      </c>
      <c r="AH700" s="9">
        <f t="shared" ca="1" si="1945"/>
        <v>1522</v>
      </c>
      <c r="AI700" s="9">
        <f t="shared" ca="1" si="1945"/>
        <v>2234</v>
      </c>
      <c r="AJ700" s="11">
        <f t="shared" ca="1" si="1930"/>
        <v>191.20259999999951</v>
      </c>
      <c r="AK700" s="8">
        <f t="shared" si="1939"/>
        <v>3569</v>
      </c>
      <c r="AL700" s="12">
        <f t="shared" ca="1" si="1931"/>
        <v>0.6259456430372653</v>
      </c>
      <c r="AM700" s="13">
        <f t="shared" si="1940"/>
        <v>1.5</v>
      </c>
      <c r="AN700" s="12">
        <f t="shared" ca="1" si="1932"/>
        <v>0.38946471787866305</v>
      </c>
      <c r="AO700" s="14">
        <f t="shared" ca="1" si="1933"/>
        <v>0.5841970768179946</v>
      </c>
      <c r="AP700" s="13">
        <f t="shared" ref="AP700:AQ700" ca="1" si="1946">SUM(T691)</f>
        <v>178.16950100172343</v>
      </c>
      <c r="AQ700" s="13">
        <f t="shared" ca="1" si="1946"/>
        <v>8.9084750500861709</v>
      </c>
      <c r="AR700" s="9">
        <f t="shared" ca="1" si="1935"/>
        <v>111.7</v>
      </c>
      <c r="AS700" s="76"/>
      <c r="AT700" s="76"/>
    </row>
    <row r="701" spans="1:46" ht="15.75" customHeight="1" x14ac:dyDescent="0.2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6"/>
      <c r="X701" s="8">
        <v>6</v>
      </c>
      <c r="Y701" s="8" t="s">
        <v>41</v>
      </c>
      <c r="Z701" s="8">
        <f t="shared" ref="Z701:AI701" si="1947">SUM(D692)</f>
        <v>19</v>
      </c>
      <c r="AA701" s="9">
        <f t="shared" ca="1" si="1947"/>
        <v>19</v>
      </c>
      <c r="AB701" s="10">
        <f t="shared" ca="1" si="1947"/>
        <v>3802.26</v>
      </c>
      <c r="AC701" s="9">
        <f t="shared" ca="1" si="1947"/>
        <v>795</v>
      </c>
      <c r="AD701" s="9">
        <f t="shared" ca="1" si="1947"/>
        <v>0</v>
      </c>
      <c r="AE701" s="9">
        <f t="shared" ca="1" si="1947"/>
        <v>795</v>
      </c>
      <c r="AF701" s="9">
        <f t="shared" ca="1" si="1947"/>
        <v>1124</v>
      </c>
      <c r="AG701" s="9">
        <f t="shared" ca="1" si="1947"/>
        <v>0</v>
      </c>
      <c r="AH701" s="9">
        <f t="shared" ca="1" si="1947"/>
        <v>1124</v>
      </c>
      <c r="AI701" s="9">
        <f t="shared" ca="1" si="1947"/>
        <v>1919</v>
      </c>
      <c r="AJ701" s="11">
        <f t="shared" ca="1" si="1930"/>
        <v>200.11894736842106</v>
      </c>
      <c r="AK701" s="8">
        <f t="shared" si="1939"/>
        <v>3801</v>
      </c>
      <c r="AL701" s="12">
        <f t="shared" ca="1" si="1931"/>
        <v>0.50486714022625623</v>
      </c>
      <c r="AM701" s="13">
        <f t="shared" si="1940"/>
        <v>1.5</v>
      </c>
      <c r="AN701" s="12">
        <f t="shared" ca="1" si="1932"/>
        <v>0.33646655760872041</v>
      </c>
      <c r="AO701" s="14">
        <f t="shared" ca="1" si="1933"/>
        <v>0.50469983641308058</v>
      </c>
      <c r="AP701" s="13">
        <f t="shared" ref="AP701:AQ701" ca="1" si="1948">SUM(T692)</f>
        <v>128.33333333333334</v>
      </c>
      <c r="AQ701" s="13">
        <f t="shared" ca="1" si="1948"/>
        <v>6.7543859649122808</v>
      </c>
      <c r="AR701" s="9">
        <f t="shared" ca="1" si="1935"/>
        <v>101</v>
      </c>
      <c r="AS701" s="76"/>
      <c r="AT701" s="76"/>
    </row>
    <row r="702" spans="1:46" ht="15.75" customHeight="1" x14ac:dyDescent="0.25">
      <c r="A702" s="110" t="s">
        <v>45</v>
      </c>
      <c r="B702" s="76"/>
      <c r="C702" s="76"/>
      <c r="D702" s="75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24" t="s">
        <v>33</v>
      </c>
      <c r="Y702" s="24">
        <v>6</v>
      </c>
      <c r="Z702" s="24">
        <f t="shared" ref="Z702:AI702" si="1949">SUM(Z696:Z701)</f>
        <v>132</v>
      </c>
      <c r="AA702" s="25">
        <f t="shared" ca="1" si="1949"/>
        <v>128</v>
      </c>
      <c r="AB702" s="27">
        <f t="shared" ca="1" si="1949"/>
        <v>25114.88799999997</v>
      </c>
      <c r="AC702" s="25">
        <f t="shared" ca="1" si="1949"/>
        <v>7440</v>
      </c>
      <c r="AD702" s="25">
        <f t="shared" ca="1" si="1949"/>
        <v>80</v>
      </c>
      <c r="AE702" s="25">
        <f t="shared" ca="1" si="1949"/>
        <v>7520</v>
      </c>
      <c r="AF702" s="25">
        <f t="shared" ca="1" si="1949"/>
        <v>11331</v>
      </c>
      <c r="AG702" s="25">
        <f t="shared" ca="1" si="1949"/>
        <v>0</v>
      </c>
      <c r="AH702" s="25">
        <f t="shared" ca="1" si="1949"/>
        <v>11331</v>
      </c>
      <c r="AI702" s="25">
        <f t="shared" ca="1" si="1949"/>
        <v>18851</v>
      </c>
      <c r="AJ702" s="27">
        <f t="shared" ca="1" si="1930"/>
        <v>196.21006249999976</v>
      </c>
      <c r="AK702" s="24">
        <f>SUM(AK696:AK701)</f>
        <v>37031</v>
      </c>
      <c r="AL702" s="28">
        <f t="shared" ca="1" si="1931"/>
        <v>0.50905997677621451</v>
      </c>
      <c r="AM702" s="29">
        <v>1.5</v>
      </c>
      <c r="AN702" s="28">
        <f t="shared" ca="1" si="1932"/>
        <v>0.50039376378398936</v>
      </c>
      <c r="AO702" s="30">
        <f t="shared" ca="1" si="1933"/>
        <v>0.75059064567598399</v>
      </c>
      <c r="AP702" s="29">
        <f ca="1">SUM(AP696:AP701)</f>
        <v>1026.8822677731894</v>
      </c>
      <c r="AQ702" s="29">
        <f ca="1">AP702/AA702</f>
        <v>8.0225177169780419</v>
      </c>
      <c r="AR702" s="25">
        <f t="shared" ca="1" si="1935"/>
        <v>147.2734375</v>
      </c>
      <c r="AS702" s="76"/>
      <c r="AT702" s="76"/>
    </row>
    <row r="703" spans="1:46" ht="15.75" customHeight="1" x14ac:dyDescent="0.2">
      <c r="A703" s="110" t="s">
        <v>45</v>
      </c>
      <c r="B703" s="76"/>
      <c r="C703" s="76"/>
      <c r="D703" s="75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7" t="s">
        <v>1</v>
      </c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9"/>
      <c r="AS703" s="76"/>
      <c r="AT703" s="76"/>
    </row>
    <row r="704" spans="1:46" ht="15.75" customHeight="1" x14ac:dyDescent="0.2">
      <c r="A704" s="109">
        <v>46230</v>
      </c>
      <c r="B704" s="80" t="s">
        <v>2</v>
      </c>
      <c r="C704" s="80" t="s">
        <v>3</v>
      </c>
      <c r="D704" s="80" t="s">
        <v>4</v>
      </c>
      <c r="E704" s="80" t="s">
        <v>5</v>
      </c>
      <c r="F704" s="81" t="s">
        <v>6</v>
      </c>
      <c r="G704" s="80" t="s">
        <v>7</v>
      </c>
      <c r="H704" s="80" t="s">
        <v>8</v>
      </c>
      <c r="I704" s="80" t="s">
        <v>9</v>
      </c>
      <c r="J704" s="80" t="s">
        <v>10</v>
      </c>
      <c r="K704" s="80" t="s">
        <v>11</v>
      </c>
      <c r="L704" s="80" t="s">
        <v>12</v>
      </c>
      <c r="M704" s="80" t="s">
        <v>13</v>
      </c>
      <c r="N704" s="81" t="s">
        <v>14</v>
      </c>
      <c r="O704" s="80" t="s">
        <v>15</v>
      </c>
      <c r="P704" s="80" t="s">
        <v>16</v>
      </c>
      <c r="Q704" s="80" t="s">
        <v>17</v>
      </c>
      <c r="R704" s="80" t="s">
        <v>18</v>
      </c>
      <c r="S704" s="106" t="s">
        <v>19</v>
      </c>
      <c r="T704" s="107" t="s">
        <v>20</v>
      </c>
      <c r="U704" s="107" t="s">
        <v>21</v>
      </c>
      <c r="V704" s="105" t="s">
        <v>22</v>
      </c>
      <c r="W704" s="76"/>
      <c r="X704" s="1" t="s">
        <v>2</v>
      </c>
      <c r="Y704" s="1" t="s">
        <v>3</v>
      </c>
      <c r="Z704" s="1" t="s">
        <v>4</v>
      </c>
      <c r="AA704" s="1" t="s">
        <v>5</v>
      </c>
      <c r="AB704" s="2" t="s">
        <v>6</v>
      </c>
      <c r="AC704" s="1" t="s">
        <v>7</v>
      </c>
      <c r="AD704" s="1" t="s">
        <v>8</v>
      </c>
      <c r="AE704" s="1" t="s">
        <v>9</v>
      </c>
      <c r="AF704" s="1" t="s">
        <v>10</v>
      </c>
      <c r="AG704" s="1" t="s">
        <v>11</v>
      </c>
      <c r="AH704" s="1" t="s">
        <v>12</v>
      </c>
      <c r="AI704" s="1" t="s">
        <v>13</v>
      </c>
      <c r="AJ704" s="2" t="s">
        <v>14</v>
      </c>
      <c r="AK704" s="1" t="s">
        <v>15</v>
      </c>
      <c r="AL704" s="1" t="s">
        <v>16</v>
      </c>
      <c r="AM704" s="3" t="s">
        <v>17</v>
      </c>
      <c r="AN704" s="4" t="s">
        <v>18</v>
      </c>
      <c r="AO704" s="5" t="s">
        <v>19</v>
      </c>
      <c r="AP704" s="6" t="s">
        <v>20</v>
      </c>
      <c r="AQ704" s="6" t="s">
        <v>21</v>
      </c>
      <c r="AR704" s="7" t="s">
        <v>22</v>
      </c>
      <c r="AS704" s="76"/>
      <c r="AT704" s="76"/>
    </row>
    <row r="705" spans="1:46" ht="15.75" customHeight="1" x14ac:dyDescent="0.2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6"/>
      <c r="X705" s="8">
        <v>1</v>
      </c>
      <c r="Y705" s="8" t="s">
        <v>23</v>
      </c>
      <c r="Z705" s="8">
        <f t="shared" ref="Z705:AI705" si="1950">SUM(D713)</f>
        <v>35</v>
      </c>
      <c r="AA705" s="9">
        <f t="shared" ca="1" si="1950"/>
        <v>34</v>
      </c>
      <c r="AB705" s="10">
        <f t="shared" ca="1" si="1950"/>
        <v>6714.2599999999902</v>
      </c>
      <c r="AC705" s="9">
        <f t="shared" ca="1" si="1950"/>
        <v>1764</v>
      </c>
      <c r="AD705" s="9">
        <f t="shared" ca="1" si="1950"/>
        <v>0</v>
      </c>
      <c r="AE705" s="9">
        <f t="shared" ca="1" si="1950"/>
        <v>1764</v>
      </c>
      <c r="AF705" s="9">
        <f t="shared" ca="1" si="1950"/>
        <v>3236</v>
      </c>
      <c r="AG705" s="9">
        <f t="shared" ca="1" si="1950"/>
        <v>0</v>
      </c>
      <c r="AH705" s="9">
        <f t="shared" ca="1" si="1950"/>
        <v>3236</v>
      </c>
      <c r="AI705" s="9">
        <f t="shared" ca="1" si="1950"/>
        <v>5000</v>
      </c>
      <c r="AJ705" s="11">
        <f t="shared" ref="AJ705:AJ707" ca="1" si="1951">AB705/AA705</f>
        <v>197.47823529411735</v>
      </c>
      <c r="AK705" s="8">
        <f>SUM(O713)</f>
        <v>6853</v>
      </c>
      <c r="AL705" s="12">
        <f t="shared" ref="AL705:AL711" ca="1" si="1952">AI705/AK705</f>
        <v>0.72960747118050484</v>
      </c>
      <c r="AM705" s="13">
        <f t="shared" ref="AM705:AM707" si="1953">SUM(Q713)</f>
        <v>1.5</v>
      </c>
      <c r="AN705" s="12">
        <f t="shared" ref="AN705:AN711" ca="1" si="1954">AO705/AM705</f>
        <v>0.49645580202931344</v>
      </c>
      <c r="AO705" s="14">
        <f t="shared" ref="AO705:AO711" ca="1" si="1955">AI705/AB705</f>
        <v>0.74468370304397014</v>
      </c>
      <c r="AP705" s="13">
        <f t="shared" ref="AP705:AQ705" ca="1" si="1956">SUM(T713)</f>
        <v>198.99999999999969</v>
      </c>
      <c r="AQ705" s="13">
        <f t="shared" ca="1" si="1956"/>
        <v>5.852941176470579</v>
      </c>
      <c r="AR705" s="9">
        <f t="shared" ref="AR705:AR711" ca="1" si="1957">AI705/AA705</f>
        <v>147.05882352941177</v>
      </c>
      <c r="AS705" s="76"/>
      <c r="AT705" s="76"/>
    </row>
    <row r="706" spans="1:46" ht="15.75" customHeight="1" x14ac:dyDescent="0.2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6"/>
      <c r="X706" s="8">
        <v>2</v>
      </c>
      <c r="Y706" s="8" t="s">
        <v>24</v>
      </c>
      <c r="Z706" s="8">
        <f t="shared" ref="Z706:AI706" si="1958">SUM(D714)</f>
        <v>44</v>
      </c>
      <c r="AA706" s="9">
        <f t="shared" ca="1" si="1958"/>
        <v>42</v>
      </c>
      <c r="AB706" s="10">
        <f t="shared" ca="1" si="1958"/>
        <v>7962.0909999999903</v>
      </c>
      <c r="AC706" s="9">
        <f t="shared" ca="1" si="1958"/>
        <v>1106</v>
      </c>
      <c r="AD706" s="9">
        <f t="shared" ca="1" si="1958"/>
        <v>5</v>
      </c>
      <c r="AE706" s="9">
        <f t="shared" ca="1" si="1958"/>
        <v>1111</v>
      </c>
      <c r="AF706" s="9">
        <f t="shared" ca="1" si="1958"/>
        <v>1194</v>
      </c>
      <c r="AG706" s="9">
        <f t="shared" ca="1" si="1958"/>
        <v>32</v>
      </c>
      <c r="AH706" s="9">
        <f t="shared" ca="1" si="1958"/>
        <v>1226</v>
      </c>
      <c r="AI706" s="9">
        <f t="shared" ca="1" si="1958"/>
        <v>2337</v>
      </c>
      <c r="AJ706" s="11">
        <f t="shared" ca="1" si="1951"/>
        <v>189.57359523809501</v>
      </c>
      <c r="AK706" s="8">
        <v>1580</v>
      </c>
      <c r="AL706" s="15">
        <f t="shared" ca="1" si="1952"/>
        <v>1.479113924050633</v>
      </c>
      <c r="AM706" s="13">
        <f t="shared" si="1953"/>
        <v>1.5</v>
      </c>
      <c r="AN706" s="12">
        <f t="shared" ca="1" si="1954"/>
        <v>0.19567724106644871</v>
      </c>
      <c r="AO706" s="14">
        <f t="shared" ca="1" si="1955"/>
        <v>0.29351586159967308</v>
      </c>
      <c r="AP706" s="13">
        <f t="shared" ref="AP706:AQ706" ca="1" si="1959">SUM(T714)</f>
        <v>297.0375303115087</v>
      </c>
      <c r="AQ706" s="13">
        <f t="shared" ca="1" si="1959"/>
        <v>7.072322150274017</v>
      </c>
      <c r="AR706" s="9">
        <f t="shared" ca="1" si="1957"/>
        <v>55.642857142857146</v>
      </c>
      <c r="AS706" s="76"/>
      <c r="AT706" s="76"/>
    </row>
    <row r="707" spans="1:46" ht="15.75" customHeight="1" x14ac:dyDescent="0.2">
      <c r="A707" s="70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6"/>
      <c r="X707" s="8">
        <v>3</v>
      </c>
      <c r="Y707" s="8" t="s">
        <v>25</v>
      </c>
      <c r="Z707" s="8">
        <f t="shared" ref="Z707:AI707" si="1960">SUM(D715)</f>
        <v>32</v>
      </c>
      <c r="AA707" s="9">
        <f t="shared" ca="1" si="1960"/>
        <v>32</v>
      </c>
      <c r="AB707" s="10">
        <f t="shared" ca="1" si="1960"/>
        <v>6341.44</v>
      </c>
      <c r="AC707" s="9">
        <f t="shared" ca="1" si="1960"/>
        <v>2320</v>
      </c>
      <c r="AD707" s="9">
        <f t="shared" ca="1" si="1960"/>
        <v>524</v>
      </c>
      <c r="AE707" s="9">
        <f t="shared" ca="1" si="1960"/>
        <v>2844</v>
      </c>
      <c r="AF707" s="9">
        <f t="shared" ca="1" si="1960"/>
        <v>3251</v>
      </c>
      <c r="AG707" s="9">
        <f t="shared" ca="1" si="1960"/>
        <v>342</v>
      </c>
      <c r="AH707" s="9">
        <f t="shared" ca="1" si="1960"/>
        <v>3593</v>
      </c>
      <c r="AI707" s="9">
        <f t="shared" ca="1" si="1960"/>
        <v>6437</v>
      </c>
      <c r="AJ707" s="11">
        <f t="shared" ca="1" si="1951"/>
        <v>198.17</v>
      </c>
      <c r="AK707" s="8">
        <f>SUM(O715)</f>
        <v>6622</v>
      </c>
      <c r="AL707" s="12">
        <f t="shared" ca="1" si="1952"/>
        <v>0.97206282090003016</v>
      </c>
      <c r="AM707" s="13">
        <f t="shared" si="1953"/>
        <v>1.5</v>
      </c>
      <c r="AN707" s="12">
        <f t="shared" ca="1" si="1954"/>
        <v>0.67671275504196737</v>
      </c>
      <c r="AO707" s="14">
        <f t="shared" ca="1" si="1955"/>
        <v>1.0150691325629511</v>
      </c>
      <c r="AP707" s="13">
        <f t="shared" ref="AP707:AQ707" ca="1" si="1961">SUM(T715)</f>
        <v>266</v>
      </c>
      <c r="AQ707" s="13">
        <f t="shared" ca="1" si="1961"/>
        <v>8.3125</v>
      </c>
      <c r="AR707" s="9">
        <f t="shared" ca="1" si="1957"/>
        <v>201.15625</v>
      </c>
      <c r="AS707" s="76"/>
      <c r="AT707" s="76"/>
    </row>
    <row r="708" spans="1:46" ht="15.75" customHeight="1" x14ac:dyDescent="0.25">
      <c r="A708" s="70"/>
      <c r="B708" s="16">
        <v>1</v>
      </c>
      <c r="C708" s="16" t="s">
        <v>26</v>
      </c>
      <c r="D708" s="17">
        <v>20</v>
      </c>
      <c r="E708" s="18">
        <f ca="1">IFERROR(__xludf.DUMMYFUNCTION("COUNT(IMPORTRANGE(""https://docs.google.com/spreadsheets/d/1z0o91thOT38lgejTE_Bd2p3v_9VCDdQRkUsMIVqpQCk/edit"",""27!d2:d21""))"),20)</f>
        <v>20</v>
      </c>
      <c r="F708" s="19">
        <f ca="1">IFERROR(__xludf.DUMMYFUNCTION("SUM(IMPORTRANGE(""https://docs.google.com/spreadsheets/d/1z0o91thOT38lgejTE_Bd2p3v_9VCDdQRkUsMIVqpQCk/edit"",""27!Q2:Q21""))"),3892.662)</f>
        <v>3892.6619999999998</v>
      </c>
      <c r="G708" s="18">
        <f ca="1">IFERROR(__xludf.DUMMYFUNCTION("IMPORTRANGE(""https://docs.google.com/spreadsheets/d/1z0o91thOT38lgejTE_Bd2p3v_9VCDdQRkUsMIVqpQCk/edit"",""27!e28"")"),1908)</f>
        <v>1908</v>
      </c>
      <c r="H708" s="18">
        <f ca="1">IFERROR(__xludf.DUMMYFUNCTION("IMPORTRANGE(""https://docs.google.com/spreadsheets/d/1z0o91thOT38lgejTE_Bd2p3v_9VCDdQRkUsMIVqpQCk/edit"",""27!e29"")"),0)</f>
        <v>0</v>
      </c>
      <c r="I708" s="18">
        <f t="shared" ref="I708:I725" ca="1" si="1962">SUM(G708:H708)</f>
        <v>1908</v>
      </c>
      <c r="J708" s="18">
        <f ca="1">IFERROR(__xludf.DUMMYFUNCTION("IMPORTRANGE(""https://docs.google.com/spreadsheets/d/1z0o91thOT38lgejTE_Bd2p3v_9VCDdQRkUsMIVqpQCk/edit"",""27!e32"")"),3288)</f>
        <v>3288</v>
      </c>
      <c r="K708" s="18">
        <f ca="1">IFERROR(__xludf.DUMMYFUNCTION("IMPORTRANGE(""https://docs.google.com/spreadsheets/d/1z0o91thOT38lgejTE_Bd2p3v_9VCDdQRkUsMIVqpQCk/edit"",""27!e33"")"),0)</f>
        <v>0</v>
      </c>
      <c r="L708" s="18">
        <f t="shared" ref="L708:L714" ca="1" si="1963">SUM(J708:K708)</f>
        <v>3288</v>
      </c>
      <c r="M708" s="18">
        <f t="shared" ref="M708:M725" ca="1" si="1964">SUM(I708+L708)</f>
        <v>5196</v>
      </c>
      <c r="N708" s="19">
        <f t="shared" ref="N708:N726" ca="1" si="1965">F708/E708</f>
        <v>194.63309999999998</v>
      </c>
      <c r="O708" s="16">
        <v>5161</v>
      </c>
      <c r="P708" s="33">
        <f t="shared" ref="P708:P726" ca="1" si="1966">M708/O708</f>
        <v>1.0067816314667699</v>
      </c>
      <c r="Q708" s="21">
        <v>1.5</v>
      </c>
      <c r="R708" s="20">
        <f t="shared" ref="R708:R726" ca="1" si="1967">S708/Q708</f>
        <v>0.88987947065529971</v>
      </c>
      <c r="S708" s="22">
        <f t="shared" ref="S708:S726" ca="1" si="1968">M708/F708</f>
        <v>1.3348192059829496</v>
      </c>
      <c r="T708" s="21">
        <f ca="1">F708/14.415</f>
        <v>270.04245577523415</v>
      </c>
      <c r="U708" s="21">
        <f t="shared" ref="U708:U726" ca="1" si="1969">T708/E708</f>
        <v>13.502122788761707</v>
      </c>
      <c r="V708" s="18">
        <f t="shared" ref="V708:V726" ca="1" si="1970">M708/E708</f>
        <v>259.8</v>
      </c>
      <c r="W708" s="76"/>
      <c r="X708" s="8">
        <v>4</v>
      </c>
      <c r="Y708" s="8" t="s">
        <v>27</v>
      </c>
      <c r="Z708" s="8">
        <f t="shared" ref="Z708:AK708" si="1971">SUM(D721)</f>
        <v>30</v>
      </c>
      <c r="AA708" s="9">
        <f t="shared" ca="1" si="1971"/>
        <v>28</v>
      </c>
      <c r="AB708" s="10">
        <f t="shared" ca="1" si="1971"/>
        <v>5471.7830000000004</v>
      </c>
      <c r="AC708" s="9">
        <f t="shared" ca="1" si="1971"/>
        <v>2863</v>
      </c>
      <c r="AD708" s="9">
        <f t="shared" ca="1" si="1971"/>
        <v>0</v>
      </c>
      <c r="AE708" s="9">
        <f t="shared" ca="1" si="1971"/>
        <v>2863</v>
      </c>
      <c r="AF708" s="9">
        <f t="shared" ca="1" si="1971"/>
        <v>3313</v>
      </c>
      <c r="AG708" s="9">
        <f t="shared" ca="1" si="1971"/>
        <v>0</v>
      </c>
      <c r="AH708" s="9">
        <f t="shared" ca="1" si="1971"/>
        <v>3313</v>
      </c>
      <c r="AI708" s="9">
        <f t="shared" ca="1" si="1971"/>
        <v>6176</v>
      </c>
      <c r="AJ708" s="11">
        <f t="shared" ca="1" si="1971"/>
        <v>195.42082142857143</v>
      </c>
      <c r="AK708" s="8">
        <f t="shared" si="1971"/>
        <v>8101</v>
      </c>
      <c r="AL708" s="12">
        <f t="shared" ca="1" si="1952"/>
        <v>0.76237501543019381</v>
      </c>
      <c r="AM708" s="13">
        <f>SUM(Q721)</f>
        <v>1.5</v>
      </c>
      <c r="AN708" s="12">
        <f t="shared" ca="1" si="1954"/>
        <v>0.75246648731013888</v>
      </c>
      <c r="AO708" s="14">
        <f t="shared" ca="1" si="1955"/>
        <v>1.1286997309652083</v>
      </c>
      <c r="AP708" s="13">
        <f t="shared" ref="AP708:AQ708" ca="1" si="1972">SUM(T721)</f>
        <v>273.79449587190396</v>
      </c>
      <c r="AQ708" s="13">
        <f t="shared" ca="1" si="1972"/>
        <v>9.7783748525679979</v>
      </c>
      <c r="AR708" s="9">
        <f t="shared" ca="1" si="1957"/>
        <v>220.57142857142858</v>
      </c>
      <c r="AS708" s="76"/>
      <c r="AT708" s="76"/>
    </row>
    <row r="709" spans="1:46" ht="15.75" customHeight="1" x14ac:dyDescent="0.25">
      <c r="A709" s="70"/>
      <c r="B709" s="16">
        <v>2</v>
      </c>
      <c r="C709" s="16" t="s">
        <v>28</v>
      </c>
      <c r="D709" s="17">
        <v>33</v>
      </c>
      <c r="E709" s="18">
        <f ca="1">IFERROR(__xludf.DUMMYFUNCTION("COUNT(IMPORTRANGE(""https://docs.google.com/spreadsheets/d/10a85iNN0y9GF6ngQfF1JXGAzFk-T7ywH4-TZtQcOTaE/edit"",""27!d2:d34""))"),33)</f>
        <v>33</v>
      </c>
      <c r="F709" s="19">
        <f ca="1">IFERROR(__xludf.DUMMYFUNCTION("SUM(IMPORTRANGE(""https://docs.google.com/spreadsheets/d/10a85iNN0y9GF6ngQfF1JXGAzFk-T7ywH4-TZtQcOTaE/edit"",""27!Q2:Q34""))"),6483.664)</f>
        <v>6483.6639999999998</v>
      </c>
      <c r="G709" s="18">
        <f ca="1">IFERROR(__xludf.DUMMYFUNCTION("IMPORTRANGE(""https://docs.google.com/spreadsheets/d/10a85iNN0y9GF6ngQfF1JXGAzFk-T7ywH4-TZtQcOTaE/edit"",""27!e41"")"),2734)</f>
        <v>2734</v>
      </c>
      <c r="H709" s="18">
        <f ca="1">IFERROR(__xludf.DUMMYFUNCTION("IMPORTRANGE(""https://docs.google.com/spreadsheets/d/10a85iNN0y9GF6ngQfF1JXGAzFk-T7ywH4-TZtQcOTaE/edit"",""27!e42"")"),154)</f>
        <v>154</v>
      </c>
      <c r="I709" s="18">
        <f t="shared" ca="1" si="1962"/>
        <v>2888</v>
      </c>
      <c r="J709" s="18">
        <f ca="1">IFERROR(__xludf.DUMMYFUNCTION("IMPORTRANGE(""https://docs.google.com/spreadsheets/d/10a85iNN0y9GF6ngQfF1JXGAzFk-T7ywH4-TZtQcOTaE/edit"",""27!e45"")"),3023)</f>
        <v>3023</v>
      </c>
      <c r="K709" s="18">
        <f ca="1">IFERROR(__xludf.DUMMYFUNCTION("IMPORTRANGE(""https://docs.google.com/spreadsheets/d/10a85iNN0y9GF6ngQfF1JXGAzFk-T7ywH4-TZtQcOTaE/edit"",""27!e46"")"),157)</f>
        <v>157</v>
      </c>
      <c r="L709" s="18">
        <f t="shared" ca="1" si="1963"/>
        <v>3180</v>
      </c>
      <c r="M709" s="18">
        <f t="shared" ca="1" si="1964"/>
        <v>6068</v>
      </c>
      <c r="N709" s="19">
        <f t="shared" ca="1" si="1965"/>
        <v>196.47466666666665</v>
      </c>
      <c r="O709" s="16">
        <v>7315</v>
      </c>
      <c r="P709" s="20">
        <f t="shared" ca="1" si="1966"/>
        <v>0.82952836637047167</v>
      </c>
      <c r="Q709" s="21">
        <v>1.5</v>
      </c>
      <c r="R709" s="20">
        <f t="shared" ca="1" si="1967"/>
        <v>0.62392704701127844</v>
      </c>
      <c r="S709" s="22">
        <f t="shared" ca="1" si="1968"/>
        <v>0.9358905705169176</v>
      </c>
      <c r="T709" s="21">
        <f ca="1">F709/30.897</f>
        <v>209.84768747774865</v>
      </c>
      <c r="U709" s="21">
        <f t="shared" ca="1" si="1969"/>
        <v>6.3590208326590503</v>
      </c>
      <c r="V709" s="18">
        <f t="shared" ca="1" si="1970"/>
        <v>183.87878787878788</v>
      </c>
      <c r="W709" s="76"/>
      <c r="X709" s="8">
        <v>5</v>
      </c>
      <c r="Y709" s="8" t="s">
        <v>29</v>
      </c>
      <c r="Z709" s="8">
        <f t="shared" ref="Z709:AI709" si="1973">SUM(D724)</f>
        <v>30</v>
      </c>
      <c r="AA709" s="9">
        <f t="shared" ca="1" si="1973"/>
        <v>29</v>
      </c>
      <c r="AB709" s="10">
        <f t="shared" ca="1" si="1973"/>
        <v>5858.55</v>
      </c>
      <c r="AC709" s="9">
        <f t="shared" ca="1" si="1973"/>
        <v>2924</v>
      </c>
      <c r="AD709" s="9">
        <f t="shared" ca="1" si="1973"/>
        <v>0</v>
      </c>
      <c r="AE709" s="9">
        <f t="shared" ca="1" si="1973"/>
        <v>2924</v>
      </c>
      <c r="AF709" s="9">
        <f t="shared" ca="1" si="1973"/>
        <v>4368</v>
      </c>
      <c r="AG709" s="9">
        <f t="shared" ca="1" si="1973"/>
        <v>0</v>
      </c>
      <c r="AH709" s="9">
        <f t="shared" ca="1" si="1973"/>
        <v>4368</v>
      </c>
      <c r="AI709" s="9">
        <f t="shared" ca="1" si="1973"/>
        <v>7292</v>
      </c>
      <c r="AJ709" s="11">
        <f t="shared" ref="AJ709:AJ711" ca="1" si="1974">AB709/AA709</f>
        <v>202.01896551724138</v>
      </c>
      <c r="AK709" s="8">
        <f t="shared" ref="AK709:AK710" si="1975">SUM(O724)</f>
        <v>9201</v>
      </c>
      <c r="AL709" s="12">
        <f t="shared" ca="1" si="1952"/>
        <v>0.79252255189653298</v>
      </c>
      <c r="AM709" s="13">
        <f t="shared" ref="AM709:AM710" si="1976">SUM(Q724)</f>
        <v>1.5</v>
      </c>
      <c r="AN709" s="12">
        <f t="shared" ca="1" si="1954"/>
        <v>0.82978438919755459</v>
      </c>
      <c r="AO709" s="14">
        <f t="shared" ca="1" si="1955"/>
        <v>1.2446765837963318</v>
      </c>
      <c r="AP709" s="13">
        <f t="shared" ref="AP709:AQ709" ca="1" si="1977">SUM(T724)</f>
        <v>225</v>
      </c>
      <c r="AQ709" s="13">
        <f t="shared" ca="1" si="1977"/>
        <v>7.7586206896551726</v>
      </c>
      <c r="AR709" s="9">
        <f t="shared" ca="1" si="1957"/>
        <v>251.44827586206895</v>
      </c>
      <c r="AS709" s="76"/>
      <c r="AT709" s="76"/>
    </row>
    <row r="710" spans="1:46" ht="15.75" customHeight="1" x14ac:dyDescent="0.25">
      <c r="A710" s="70"/>
      <c r="B710" s="16">
        <v>3</v>
      </c>
      <c r="C710" s="16" t="s">
        <v>30</v>
      </c>
      <c r="D710" s="17">
        <v>60</v>
      </c>
      <c r="E710" s="18">
        <f ca="1">IFERROR(__xludf.DUMMYFUNCTION("COUNT(IMPORTRANGE(""https://docs.google.com/spreadsheets/d/1WojVzHhpzodJL1e5UDHeu3A3u5MTSZwvxHu0BrwvL9w/edit"",""27!d2:d61""))"),58)</f>
        <v>58</v>
      </c>
      <c r="F710" s="23">
        <f ca="1">IFERROR(__xludf.DUMMYFUNCTION("SUM(IMPORTRANGE(""https://docs.google.com/spreadsheets/d/1WojVzHhpzodJL1e5UDHeu3A3u5MTSZwvxHu0BrwvL9w/edit"",""27!Q2:Q61""))"),11359.0579999999)</f>
        <v>11359.057999999901</v>
      </c>
      <c r="G710" s="18">
        <f ca="1">IFERROR(__xludf.DUMMYFUNCTION("IMPORTRANGE(""https://docs.google.com/spreadsheets/d/1WojVzHhpzodJL1e5UDHeu3A3u5MTSZwvxHu0BrwvL9w/edit"",""27!e68"")"),3606)</f>
        <v>3606</v>
      </c>
      <c r="H710" s="18">
        <f ca="1">IFERROR(__xludf.DUMMYFUNCTION("IMPORTRANGE(""https://docs.google.com/spreadsheets/d/1WojVzHhpzodJL1e5UDHeu3A3u5MTSZwvxHu0BrwvL9w/edit"",""27!e69"")"),0)</f>
        <v>0</v>
      </c>
      <c r="I710" s="18">
        <f t="shared" ca="1" si="1962"/>
        <v>3606</v>
      </c>
      <c r="J710" s="18">
        <f ca="1">IFERROR(__xludf.DUMMYFUNCTION("IMPORTRANGE(""https://docs.google.com/spreadsheets/d/1WojVzHhpzodJL1e5UDHeu3A3u5MTSZwvxHu0BrwvL9w/edit"",""27!e72"")"),5746)</f>
        <v>5746</v>
      </c>
      <c r="K710" s="18">
        <f ca="1">IFERROR(__xludf.DUMMYFUNCTION("IMPORTRANGE(""https://docs.google.com/spreadsheets/d/1WojVzHhpzodJL1e5UDHeu3A3u5MTSZwvxHu0BrwvL9w/edit"",""27!e73"")"),0)</f>
        <v>0</v>
      </c>
      <c r="L710" s="18">
        <f t="shared" ca="1" si="1963"/>
        <v>5746</v>
      </c>
      <c r="M710" s="18">
        <f t="shared" ca="1" si="1964"/>
        <v>9352</v>
      </c>
      <c r="N710" s="19">
        <f t="shared" ca="1" si="1965"/>
        <v>195.84582758620519</v>
      </c>
      <c r="O710" s="16">
        <v>11164</v>
      </c>
      <c r="P710" s="20">
        <f t="shared" ca="1" si="1966"/>
        <v>0.8376925833034754</v>
      </c>
      <c r="Q710" s="21">
        <v>1.5</v>
      </c>
      <c r="R710" s="20">
        <f t="shared" ca="1" si="1967"/>
        <v>0.5488718049213871</v>
      </c>
      <c r="S710" s="22">
        <f t="shared" ca="1" si="1968"/>
        <v>0.82330770738208059</v>
      </c>
      <c r="T710" s="21">
        <f ca="1">F710/29.603</f>
        <v>383.71306962131877</v>
      </c>
      <c r="U710" s="21">
        <f t="shared" ca="1" si="1969"/>
        <v>6.6157425796779101</v>
      </c>
      <c r="V710" s="18">
        <f t="shared" ca="1" si="1970"/>
        <v>161.24137931034483</v>
      </c>
      <c r="W710" s="76"/>
      <c r="X710" s="8">
        <v>6</v>
      </c>
      <c r="Y710" s="8" t="s">
        <v>31</v>
      </c>
      <c r="Z710" s="8">
        <f t="shared" ref="Z710:AI710" si="1978">SUM(D725)</f>
        <v>15</v>
      </c>
      <c r="AA710" s="9">
        <f t="shared" ca="1" si="1978"/>
        <v>13</v>
      </c>
      <c r="AB710" s="11">
        <f t="shared" ca="1" si="1978"/>
        <v>2651.3649999999998</v>
      </c>
      <c r="AC710" s="9">
        <f t="shared" ca="1" si="1978"/>
        <v>892</v>
      </c>
      <c r="AD710" s="9">
        <f t="shared" ca="1" si="1978"/>
        <v>15</v>
      </c>
      <c r="AE710" s="9">
        <f t="shared" ca="1" si="1978"/>
        <v>907</v>
      </c>
      <c r="AF710" s="9">
        <f t="shared" ca="1" si="1978"/>
        <v>1084</v>
      </c>
      <c r="AG710" s="9">
        <f t="shared" ca="1" si="1978"/>
        <v>0</v>
      </c>
      <c r="AH710" s="9">
        <f t="shared" ca="1" si="1978"/>
        <v>1084</v>
      </c>
      <c r="AI710" s="9">
        <f t="shared" ca="1" si="1978"/>
        <v>1991</v>
      </c>
      <c r="AJ710" s="11">
        <f t="shared" ca="1" si="1974"/>
        <v>203.95115384615383</v>
      </c>
      <c r="AK710" s="8">
        <f t="shared" si="1975"/>
        <v>2717</v>
      </c>
      <c r="AL710" s="12">
        <f t="shared" ca="1" si="1952"/>
        <v>0.73279352226720651</v>
      </c>
      <c r="AM710" s="13">
        <f t="shared" si="1976"/>
        <v>1.5</v>
      </c>
      <c r="AN710" s="12">
        <f t="shared" ca="1" si="1954"/>
        <v>0.50062263525894524</v>
      </c>
      <c r="AO710" s="14">
        <f t="shared" ca="1" si="1955"/>
        <v>0.75093395288841791</v>
      </c>
      <c r="AP710" s="13">
        <f t="shared" ref="AP710:AQ710" ca="1" si="1979">SUM(T725)</f>
        <v>60.999999999999993</v>
      </c>
      <c r="AQ710" s="13">
        <f t="shared" ca="1" si="1979"/>
        <v>4.6923076923076916</v>
      </c>
      <c r="AR710" s="9">
        <f t="shared" ca="1" si="1957"/>
        <v>153.15384615384616</v>
      </c>
      <c r="AS710" s="76"/>
      <c r="AT710" s="76"/>
    </row>
    <row r="711" spans="1:46" ht="15.75" customHeight="1" x14ac:dyDescent="0.25">
      <c r="A711" s="70"/>
      <c r="B711" s="16">
        <v>4</v>
      </c>
      <c r="C711" s="16" t="s">
        <v>32</v>
      </c>
      <c r="D711" s="17">
        <v>42</v>
      </c>
      <c r="E711" s="18">
        <f ca="1">IFERROR(__xludf.DUMMYFUNCTION("COUNT(IMPORTRANGE(""https://docs.google.com/spreadsheets/d/1vmCj5YcMSPHj1m64syDndQ6cqVL3yolcU03Y8KHmvdc/edit"",""27!d2:d43""))"),42)</f>
        <v>42</v>
      </c>
      <c r="F711" s="23">
        <f ca="1">IFERROR(__xludf.DUMMYFUNCTION("SUM(IMPORTRANGE(""https://docs.google.com/spreadsheets/d/1vmCj5YcMSPHj1m64syDndQ6cqVL3yolcU03Y8KHmvdc/edit"",""27!Q2:Q43""))"),8217.72199999999)</f>
        <v>8217.7219999999907</v>
      </c>
      <c r="G711" s="16">
        <f ca="1">IFERROR(__xludf.DUMMYFUNCTION("IMPORTRANGE(""https://docs.google.com/spreadsheets/d/1vmCj5YcMSPHj1m64syDndQ6cqVL3yolcU03Y8KHmvdc/edit"",""27!e50"")"),5070)</f>
        <v>5070</v>
      </c>
      <c r="H711" s="16">
        <f ca="1">IFERROR(__xludf.DUMMYFUNCTION("IMPORTRANGE(""https://docs.google.com/spreadsheets/d/1vmCj5YcMSPHj1m64syDndQ6cqVL3yolcU03Y8KHmvdc/edit"",""27!e51"")"),40)</f>
        <v>40</v>
      </c>
      <c r="I711" s="18">
        <f t="shared" ca="1" si="1962"/>
        <v>5110</v>
      </c>
      <c r="J711" s="16">
        <f ca="1">IFERROR(__xludf.DUMMYFUNCTION("IMPORTRANGE(""https://docs.google.com/spreadsheets/d/1vmCj5YcMSPHj1m64syDndQ6cqVL3yolcU03Y8KHmvdc/edit"",""27!e54"")"),5978)</f>
        <v>5978</v>
      </c>
      <c r="K711" s="16">
        <f ca="1">IFERROR(__xludf.DUMMYFUNCTION("IMPORTRANGE(""https://docs.google.com/spreadsheets/d/1vmCj5YcMSPHj1m64syDndQ6cqVL3yolcU03Y8KHmvdc/edit"",""27!e55"")"),0)</f>
        <v>0</v>
      </c>
      <c r="L711" s="18">
        <f t="shared" ca="1" si="1963"/>
        <v>5978</v>
      </c>
      <c r="M711" s="18">
        <f t="shared" ca="1" si="1964"/>
        <v>11088</v>
      </c>
      <c r="N711" s="19">
        <f t="shared" ca="1" si="1965"/>
        <v>195.66004761904739</v>
      </c>
      <c r="O711" s="16">
        <v>13817</v>
      </c>
      <c r="P711" s="20">
        <f t="shared" ca="1" si="1966"/>
        <v>0.80248968661793441</v>
      </c>
      <c r="Q711" s="21">
        <v>1.5</v>
      </c>
      <c r="R711" s="20">
        <f t="shared" ca="1" si="1967"/>
        <v>0.89951935585068565</v>
      </c>
      <c r="S711" s="22">
        <f t="shared" ca="1" si="1968"/>
        <v>1.3492790337760285</v>
      </c>
      <c r="T711" s="21">
        <f ca="1">F711/25.089</f>
        <v>327.54282753397865</v>
      </c>
      <c r="U711" s="21">
        <f t="shared" ca="1" si="1969"/>
        <v>7.7986387508090154</v>
      </c>
      <c r="V711" s="18">
        <f t="shared" ca="1" si="1970"/>
        <v>264</v>
      </c>
      <c r="W711" s="76"/>
      <c r="X711" s="24" t="s">
        <v>33</v>
      </c>
      <c r="Y711" s="24">
        <v>6</v>
      </c>
      <c r="Z711" s="24">
        <f t="shared" ref="Z711:AI711" si="1980">SUM(Z705:Z710)</f>
        <v>186</v>
      </c>
      <c r="AA711" s="25">
        <f t="shared" ca="1" si="1980"/>
        <v>178</v>
      </c>
      <c r="AB711" s="26">
        <f t="shared" ca="1" si="1980"/>
        <v>34999.48899999998</v>
      </c>
      <c r="AC711" s="25">
        <f t="shared" ca="1" si="1980"/>
        <v>11869</v>
      </c>
      <c r="AD711" s="25">
        <f t="shared" ca="1" si="1980"/>
        <v>544</v>
      </c>
      <c r="AE711" s="25">
        <f t="shared" ca="1" si="1980"/>
        <v>12413</v>
      </c>
      <c r="AF711" s="25">
        <f t="shared" ca="1" si="1980"/>
        <v>16446</v>
      </c>
      <c r="AG711" s="25">
        <f t="shared" ca="1" si="1980"/>
        <v>374</v>
      </c>
      <c r="AH711" s="25">
        <f t="shared" ca="1" si="1980"/>
        <v>16820</v>
      </c>
      <c r="AI711" s="25">
        <f t="shared" ca="1" si="1980"/>
        <v>29233</v>
      </c>
      <c r="AJ711" s="27">
        <f t="shared" ca="1" si="1974"/>
        <v>196.62634269662911</v>
      </c>
      <c r="AK711" s="24">
        <f>SUM(AK705:AK710)</f>
        <v>35074</v>
      </c>
      <c r="AL711" s="28">
        <f t="shared" ca="1" si="1952"/>
        <v>0.8334663853566745</v>
      </c>
      <c r="AM711" s="29">
        <v>1.5</v>
      </c>
      <c r="AN711" s="28">
        <f t="shared" ca="1" si="1954"/>
        <v>0.55682717729583653</v>
      </c>
      <c r="AO711" s="30">
        <f t="shared" ca="1" si="1955"/>
        <v>0.83524076594375474</v>
      </c>
      <c r="AP711" s="29">
        <f ca="1">SUM(AP705:AP710)</f>
        <v>1321.8320261834124</v>
      </c>
      <c r="AQ711" s="29">
        <f ca="1">AP711/AA711</f>
        <v>7.4260226190079344</v>
      </c>
      <c r="AR711" s="25">
        <f t="shared" ca="1" si="1957"/>
        <v>164.23033707865167</v>
      </c>
      <c r="AS711" s="76"/>
      <c r="AT711" s="76"/>
    </row>
    <row r="712" spans="1:46" ht="15.75" customHeight="1" x14ac:dyDescent="0.25">
      <c r="A712" s="70"/>
      <c r="B712" s="16">
        <v>5</v>
      </c>
      <c r="C712" s="16" t="s">
        <v>34</v>
      </c>
      <c r="D712" s="17">
        <v>40</v>
      </c>
      <c r="E712" s="18">
        <f ca="1">IFERROR(__xludf.DUMMYFUNCTION("COUNT(IMPORTRANGE(""https://docs.google.com/spreadsheets/d/14_Y-fpuq1wcec3DlT_1PBYekOC0YblQMrWVfO12YO3k/edit"",""27!d2:d41""))"),39)</f>
        <v>39</v>
      </c>
      <c r="F712" s="23">
        <f ca="1">IFERROR(__xludf.DUMMYFUNCTION("SUM(IMPORTRANGE(""https://docs.google.com/spreadsheets/d/14_Y-fpuq1wcec3DlT_1PBYekOC0YblQMrWVfO12YO3k/edit"",""27!Q2:Q41""))"),7795.425)</f>
        <v>7795.4250000000002</v>
      </c>
      <c r="G712" s="18">
        <f ca="1">IFERROR(__xludf.DUMMYFUNCTION("IMPORTRANGE(""https://docs.google.com/spreadsheets/d/14_Y-fpuq1wcec3DlT_1PBYekOC0YblQMrWVfO12YO3k/edit"",""27!e48"")"),3289)</f>
        <v>3289</v>
      </c>
      <c r="H712" s="18">
        <f ca="1">IFERROR(__xludf.DUMMYFUNCTION("IMPORTRANGE(""https://docs.google.com/spreadsheets/d/14_Y-fpuq1wcec3DlT_1PBYekOC0YblQMrWVfO12YO3k/edit"",""27!e49"")"),0)</f>
        <v>0</v>
      </c>
      <c r="I712" s="18">
        <f t="shared" ca="1" si="1962"/>
        <v>3289</v>
      </c>
      <c r="J712" s="18">
        <f ca="1">IFERROR(__xludf.DUMMYFUNCTION("IMPORTRANGE(""https://docs.google.com/spreadsheets/d/14_Y-fpuq1wcec3DlT_1PBYekOC0YblQMrWVfO12YO3k/edit"",""27!e52"")"),3438)</f>
        <v>3438</v>
      </c>
      <c r="K712" s="18">
        <f ca="1">IFERROR(__xludf.DUMMYFUNCTION("IMPORTRANGE(""https://docs.google.com/spreadsheets/d/14_Y-fpuq1wcec3DlT_1PBYekOC0YblQMrWVfO12YO3k/edit"",""27!e53"")"),0)</f>
        <v>0</v>
      </c>
      <c r="L712" s="18">
        <f t="shared" ca="1" si="1963"/>
        <v>3438</v>
      </c>
      <c r="M712" s="18">
        <f t="shared" ca="1" si="1964"/>
        <v>6727</v>
      </c>
      <c r="N712" s="19">
        <f t="shared" ca="1" si="1965"/>
        <v>199.88269230769231</v>
      </c>
      <c r="O712" s="16">
        <v>9354</v>
      </c>
      <c r="P712" s="20">
        <f t="shared" ca="1" si="1966"/>
        <v>0.71915757964507165</v>
      </c>
      <c r="Q712" s="21">
        <v>1.5</v>
      </c>
      <c r="R712" s="20">
        <f t="shared" ca="1" si="1967"/>
        <v>0.57529469742402328</v>
      </c>
      <c r="S712" s="22">
        <f t="shared" ca="1" si="1968"/>
        <v>0.86294204613603487</v>
      </c>
      <c r="T712" s="21">
        <f ca="1">F712/30.713</f>
        <v>253.81515970435973</v>
      </c>
      <c r="U712" s="21">
        <f t="shared" ca="1" si="1969"/>
        <v>6.5080810180605058</v>
      </c>
      <c r="V712" s="18">
        <f t="shared" ca="1" si="1970"/>
        <v>172.48717948717947</v>
      </c>
      <c r="W712" s="76"/>
      <c r="X712" s="100" t="s">
        <v>35</v>
      </c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9"/>
      <c r="AS712" s="76"/>
      <c r="AT712" s="76"/>
    </row>
    <row r="713" spans="1:46" ht="15.75" customHeight="1" x14ac:dyDescent="0.25">
      <c r="A713" s="70"/>
      <c r="B713" s="16">
        <v>6</v>
      </c>
      <c r="C713" s="16" t="s">
        <v>23</v>
      </c>
      <c r="D713" s="17">
        <v>35</v>
      </c>
      <c r="E713" s="18">
        <f ca="1">IFERROR(__xludf.DUMMYFUNCTION("COUNT(IMPORTRANGE(""https://docs.google.com/spreadsheets/d/1lJqjdj05V4LOXuBOiTdE65GV4ZITyx1cMLcDdcuoUnE/edit"",""27!d2:d36""))"),34)</f>
        <v>34</v>
      </c>
      <c r="F713" s="23">
        <f ca="1">IFERROR(__xludf.DUMMYFUNCTION("SUM(IMPORTRANGE(""https://docs.google.com/spreadsheets/d/1lJqjdj05V4LOXuBOiTdE65GV4ZITyx1cMLcDdcuoUnE/edit"",""27!Q2:Q36""))"),6714.25999999999)</f>
        <v>6714.2599999999902</v>
      </c>
      <c r="G713" s="18">
        <f ca="1">IFERROR(__xludf.DUMMYFUNCTION("IMPORTRANGE(""https://docs.google.com/spreadsheets/d/1lJqjdj05V4LOXuBOiTdE65GV4ZITyx1cMLcDdcuoUnE/edit"",""27!e43"")"),1764)</f>
        <v>1764</v>
      </c>
      <c r="H713" s="18">
        <f ca="1">IFERROR(__xludf.DUMMYFUNCTION("IMPORTRANGE(""https://docs.google.com/spreadsheets/d/1lJqjdj05V4LOXuBOiTdE65GV4ZITyx1cMLcDdcuoUnE/edit"",""27!e44"")"),0)</f>
        <v>0</v>
      </c>
      <c r="I713" s="18">
        <f t="shared" ca="1" si="1962"/>
        <v>1764</v>
      </c>
      <c r="J713" s="18">
        <f ca="1">IFERROR(__xludf.DUMMYFUNCTION("IMPORTRANGE(""https://docs.google.com/spreadsheets/d/1lJqjdj05V4LOXuBOiTdE65GV4ZITyx1cMLcDdcuoUnE/edit"",""27!e47"")"),3236)</f>
        <v>3236</v>
      </c>
      <c r="K713" s="18">
        <f ca="1">IFERROR(__xludf.DUMMYFUNCTION("IMPORTRANGE(""https://docs.google.com/spreadsheets/d/1lJqjdj05V4LOXuBOiTdE65GV4ZITyx1cMLcDdcuoUnE/edit"",""27!e48"")"),0)</f>
        <v>0</v>
      </c>
      <c r="L713" s="18">
        <f t="shared" ca="1" si="1963"/>
        <v>3236</v>
      </c>
      <c r="M713" s="18">
        <f t="shared" ca="1" si="1964"/>
        <v>5000</v>
      </c>
      <c r="N713" s="19">
        <f t="shared" ca="1" si="1965"/>
        <v>197.47823529411735</v>
      </c>
      <c r="O713" s="16">
        <v>6853</v>
      </c>
      <c r="P713" s="20">
        <f t="shared" ca="1" si="1966"/>
        <v>0.72960747118050484</v>
      </c>
      <c r="Q713" s="21">
        <v>1.5</v>
      </c>
      <c r="R713" s="20">
        <f t="shared" ca="1" si="1967"/>
        <v>0.49645580202931344</v>
      </c>
      <c r="S713" s="22">
        <f t="shared" ca="1" si="1968"/>
        <v>0.74468370304397014</v>
      </c>
      <c r="T713" s="21">
        <f ca="1">F713/33.74</f>
        <v>198.99999999999969</v>
      </c>
      <c r="U713" s="21">
        <f t="shared" ca="1" si="1969"/>
        <v>5.852941176470579</v>
      </c>
      <c r="V713" s="18">
        <f t="shared" ca="1" si="1970"/>
        <v>147.05882352941177</v>
      </c>
      <c r="W713" s="76"/>
      <c r="X713" s="1" t="s">
        <v>2</v>
      </c>
      <c r="Y713" s="1" t="s">
        <v>3</v>
      </c>
      <c r="Z713" s="1" t="s">
        <v>4</v>
      </c>
      <c r="AA713" s="1" t="s">
        <v>5</v>
      </c>
      <c r="AB713" s="2" t="s">
        <v>6</v>
      </c>
      <c r="AC713" s="1" t="s">
        <v>7</v>
      </c>
      <c r="AD713" s="1" t="s">
        <v>8</v>
      </c>
      <c r="AE713" s="1" t="s">
        <v>9</v>
      </c>
      <c r="AF713" s="1" t="s">
        <v>10</v>
      </c>
      <c r="AG713" s="1" t="s">
        <v>11</v>
      </c>
      <c r="AH713" s="1" t="s">
        <v>12</v>
      </c>
      <c r="AI713" s="1" t="s">
        <v>13</v>
      </c>
      <c r="AJ713" s="2" t="s">
        <v>14</v>
      </c>
      <c r="AK713" s="1" t="s">
        <v>15</v>
      </c>
      <c r="AL713" s="1" t="s">
        <v>16</v>
      </c>
      <c r="AM713" s="3" t="s">
        <v>17</v>
      </c>
      <c r="AN713" s="4" t="s">
        <v>18</v>
      </c>
      <c r="AO713" s="5" t="s">
        <v>19</v>
      </c>
      <c r="AP713" s="6" t="s">
        <v>20</v>
      </c>
      <c r="AQ713" s="6" t="s">
        <v>21</v>
      </c>
      <c r="AR713" s="7" t="s">
        <v>22</v>
      </c>
      <c r="AS713" s="76"/>
      <c r="AT713" s="76"/>
    </row>
    <row r="714" spans="1:46" ht="15.75" customHeight="1" x14ac:dyDescent="0.25">
      <c r="A714" s="70"/>
      <c r="B714" s="16">
        <v>7</v>
      </c>
      <c r="C714" s="16" t="s">
        <v>24</v>
      </c>
      <c r="D714" s="17">
        <v>44</v>
      </c>
      <c r="E714" s="31">
        <f ca="1">IFERROR(__xludf.DUMMYFUNCTION("COUNT(IMPORTRANGE(""https://docs.google.com/spreadsheets/d/1_7EEO26q9Yq-XhNFiy7I6Zh4Yg6uGjTs9y0UqNvPKcQ/edit"",""27!d2:d45""))"),42)</f>
        <v>42</v>
      </c>
      <c r="F714" s="32">
        <f ca="1">IFERROR(__xludf.DUMMYFUNCTION("SUM(IMPORTRANGE(""https://docs.google.com/spreadsheets/d/1_7EEO26q9Yq-XhNFiy7I6Zh4Yg6uGjTs9y0UqNvPKcQ/edit"",""27!Q2:Q45""))"),7962.09099999999)</f>
        <v>7962.0909999999903</v>
      </c>
      <c r="G714" s="31">
        <f ca="1">IFERROR(__xludf.DUMMYFUNCTION("IMPORTRANGE(""https://docs.google.com/spreadsheets/d/1_7EEO26q9Yq-XhNFiy7I6Zh4Yg6uGjTs9y0UqNvPKcQ/edit"",""27!e53"")"),1106)</f>
        <v>1106</v>
      </c>
      <c r="H714" s="31">
        <f ca="1">IFERROR(__xludf.DUMMYFUNCTION("IMPORTRANGE(""https://docs.google.com/spreadsheets/d/1_7EEO26q9Yq-XhNFiy7I6Zh4Yg6uGjTs9y0UqNvPKcQ/edit"",""27!e54"")"),5)</f>
        <v>5</v>
      </c>
      <c r="I714" s="31">
        <f t="shared" ca="1" si="1962"/>
        <v>1111</v>
      </c>
      <c r="J714" s="31">
        <f ca="1">IFERROR(__xludf.DUMMYFUNCTION("IMPORTRANGE(""https://docs.google.com/spreadsheets/d/1_7EEO26q9Yq-XhNFiy7I6Zh4Yg6uGjTs9y0UqNvPKcQ/edit"",""27!e57"")"),1194)</f>
        <v>1194</v>
      </c>
      <c r="K714" s="31">
        <f ca="1">IFERROR(__xludf.DUMMYFUNCTION("IMPORTRANGE(""https://docs.google.com/spreadsheets/d/1_7EEO26q9Yq-XhNFiy7I6Zh4Yg6uGjTs9y0UqNvPKcQ/edit"",""27!e58"")"),32)</f>
        <v>32</v>
      </c>
      <c r="L714" s="18">
        <f t="shared" ca="1" si="1963"/>
        <v>1226</v>
      </c>
      <c r="M714" s="18">
        <f t="shared" ca="1" si="1964"/>
        <v>2337</v>
      </c>
      <c r="N714" s="19">
        <f t="shared" ca="1" si="1965"/>
        <v>189.57359523809501</v>
      </c>
      <c r="O714" s="16">
        <v>1580</v>
      </c>
      <c r="P714" s="33">
        <f t="shared" ca="1" si="1966"/>
        <v>1.479113924050633</v>
      </c>
      <c r="Q714" s="21">
        <v>1.5</v>
      </c>
      <c r="R714" s="20">
        <f t="shared" ca="1" si="1967"/>
        <v>0.19567724106644871</v>
      </c>
      <c r="S714" s="22">
        <f t="shared" ca="1" si="1968"/>
        <v>0.29351586159967308</v>
      </c>
      <c r="T714" s="21">
        <f ca="1">F714/26.805</f>
        <v>297.0375303115087</v>
      </c>
      <c r="U714" s="21">
        <f t="shared" ca="1" si="1969"/>
        <v>7.072322150274017</v>
      </c>
      <c r="V714" s="18">
        <f t="shared" ca="1" si="1970"/>
        <v>55.642857142857146</v>
      </c>
      <c r="W714" s="76"/>
      <c r="X714" s="8">
        <v>1</v>
      </c>
      <c r="Y714" s="8" t="s">
        <v>28</v>
      </c>
      <c r="Z714" s="8">
        <f t="shared" ref="Z714:AI714" si="1981">SUM(D709)</f>
        <v>33</v>
      </c>
      <c r="AA714" s="9">
        <f t="shared" ca="1" si="1981"/>
        <v>33</v>
      </c>
      <c r="AB714" s="11">
        <f t="shared" ca="1" si="1981"/>
        <v>6483.6639999999998</v>
      </c>
      <c r="AC714" s="9">
        <f t="shared" ca="1" si="1981"/>
        <v>2734</v>
      </c>
      <c r="AD714" s="9">
        <f t="shared" ca="1" si="1981"/>
        <v>154</v>
      </c>
      <c r="AE714" s="9">
        <f t="shared" ca="1" si="1981"/>
        <v>2888</v>
      </c>
      <c r="AF714" s="9">
        <f t="shared" ca="1" si="1981"/>
        <v>3023</v>
      </c>
      <c r="AG714" s="9">
        <f t="shared" ca="1" si="1981"/>
        <v>157</v>
      </c>
      <c r="AH714" s="9">
        <f t="shared" ca="1" si="1981"/>
        <v>3180</v>
      </c>
      <c r="AI714" s="9">
        <f t="shared" ca="1" si="1981"/>
        <v>6068</v>
      </c>
      <c r="AJ714" s="11">
        <f t="shared" ref="AJ714:AJ720" ca="1" si="1982">AB714/AA714</f>
        <v>196.47466666666665</v>
      </c>
      <c r="AK714" s="8">
        <f t="shared" ref="AK714:AK715" si="1983">SUM(O709)</f>
        <v>7315</v>
      </c>
      <c r="AL714" s="12">
        <f t="shared" ref="AL714:AL720" ca="1" si="1984">AI714/AK714</f>
        <v>0.82952836637047167</v>
      </c>
      <c r="AM714" s="13">
        <f t="shared" ref="AM714:AM715" si="1985">SUM(Q709)</f>
        <v>1.5</v>
      </c>
      <c r="AN714" s="12">
        <f t="shared" ref="AN714:AN720" ca="1" si="1986">AO714/AM714</f>
        <v>0.62392704701127844</v>
      </c>
      <c r="AO714" s="14">
        <f t="shared" ref="AO714:AO720" ca="1" si="1987">AI714/AB714</f>
        <v>0.9358905705169176</v>
      </c>
      <c r="AP714" s="13">
        <f t="shared" ref="AP714:AQ714" ca="1" si="1988">SUM(T709)</f>
        <v>209.84768747774865</v>
      </c>
      <c r="AQ714" s="13">
        <f t="shared" ca="1" si="1988"/>
        <v>6.3590208326590503</v>
      </c>
      <c r="AR714" s="9">
        <f t="shared" ref="AR714:AR720" ca="1" si="1989">AI714/AA714</f>
        <v>183.87878787878788</v>
      </c>
      <c r="AS714" s="76"/>
      <c r="AT714" s="76"/>
    </row>
    <row r="715" spans="1:46" ht="15.75" customHeight="1" x14ac:dyDescent="0.25">
      <c r="A715" s="70"/>
      <c r="B715" s="16">
        <v>8</v>
      </c>
      <c r="C715" s="16" t="s">
        <v>25</v>
      </c>
      <c r="D715" s="34">
        <v>32</v>
      </c>
      <c r="E715" s="18">
        <f ca="1">IFERROR(__xludf.DUMMYFUNCTION("COUNT(IMPORTRANGE(""https://docs.google.com/spreadsheets/d/1vLOLpiE-XsbnCnwWPcoi87PlUSXfqIAAQn3kvqHfO6s/edit"",""27!d2:D33""))"),32)</f>
        <v>32</v>
      </c>
      <c r="F715" s="23">
        <f ca="1">IFERROR(__xludf.DUMMYFUNCTION("SUM(IMPORTRANGE(""https://docs.google.com/spreadsheets/d/1vLOLpiE-XsbnCnwWPcoi87PlUSXfqIAAQn3kvqHfO6s/edit"",""27!Q2:Q33""))"),6341.44)</f>
        <v>6341.44</v>
      </c>
      <c r="G715" s="18">
        <f ca="1">IFERROR(__xludf.DUMMYFUNCTION("IMPORTRANGE(""https://docs.google.com/spreadsheets/d/1vLOLpiE-XsbnCnwWPcoi87PlUSXfqIAAQn3kvqHfO6s/edit"",""27!e40"")"),2320)</f>
        <v>2320</v>
      </c>
      <c r="H715" s="18">
        <f ca="1">IFERROR(__xludf.DUMMYFUNCTION("IMPORTRANGE(""https://docs.google.com/spreadsheets/d/1vLOLpiE-XsbnCnwWPcoi87PlUSXfqIAAQn3kvqHfO6s/edit"",""27!e41"")"),524)</f>
        <v>524</v>
      </c>
      <c r="I715" s="18">
        <f t="shared" ca="1" si="1962"/>
        <v>2844</v>
      </c>
      <c r="J715" s="18">
        <f ca="1">IFERROR(__xludf.DUMMYFUNCTION("IMPORTRANGE(""https://docs.google.com/spreadsheets/d/1vLOLpiE-XsbnCnwWPcoi87PlUSXfqIAAQn3kvqHfO6s/edit"",""27!e44"")"),3251)</f>
        <v>3251</v>
      </c>
      <c r="K715" s="18">
        <f ca="1">IFERROR(__xludf.DUMMYFUNCTION("IMPORTRANGE(""https://docs.google.com/spreadsheets/d/1vLOLpiE-XsbnCnwWPcoi87PlUSXfqIAAQn3kvqHfO6s/edit"",""27!e45"")"),342)</f>
        <v>342</v>
      </c>
      <c r="L715" s="18">
        <f ca="1">J715+K715</f>
        <v>3593</v>
      </c>
      <c r="M715" s="18">
        <f t="shared" ca="1" si="1964"/>
        <v>6437</v>
      </c>
      <c r="N715" s="19">
        <f t="shared" ca="1" si="1965"/>
        <v>198.17</v>
      </c>
      <c r="O715" s="16">
        <v>6622</v>
      </c>
      <c r="P715" s="20">
        <f t="shared" ca="1" si="1966"/>
        <v>0.97206282090003016</v>
      </c>
      <c r="Q715" s="21">
        <v>1.5</v>
      </c>
      <c r="R715" s="20">
        <f t="shared" ca="1" si="1967"/>
        <v>0.67671275504196737</v>
      </c>
      <c r="S715" s="22">
        <f t="shared" ca="1" si="1968"/>
        <v>1.0150691325629511</v>
      </c>
      <c r="T715" s="21">
        <f ca="1">F715/23.84</f>
        <v>266</v>
      </c>
      <c r="U715" s="21">
        <f t="shared" ca="1" si="1969"/>
        <v>8.3125</v>
      </c>
      <c r="V715" s="18">
        <f t="shared" ca="1" si="1970"/>
        <v>201.15625</v>
      </c>
      <c r="W715" s="76"/>
      <c r="X715" s="8">
        <v>2</v>
      </c>
      <c r="Y715" s="8" t="s">
        <v>30</v>
      </c>
      <c r="Z715" s="8">
        <f t="shared" ref="Z715:AI715" si="1990">SUM(D710)</f>
        <v>60</v>
      </c>
      <c r="AA715" s="9">
        <f t="shared" ca="1" si="1990"/>
        <v>58</v>
      </c>
      <c r="AB715" s="10">
        <f t="shared" ca="1" si="1990"/>
        <v>11359.057999999901</v>
      </c>
      <c r="AC715" s="9">
        <f t="shared" ca="1" si="1990"/>
        <v>3606</v>
      </c>
      <c r="AD715" s="9">
        <f t="shared" ca="1" si="1990"/>
        <v>0</v>
      </c>
      <c r="AE715" s="9">
        <f t="shared" ca="1" si="1990"/>
        <v>3606</v>
      </c>
      <c r="AF715" s="9">
        <f t="shared" ca="1" si="1990"/>
        <v>5746</v>
      </c>
      <c r="AG715" s="9">
        <f t="shared" ca="1" si="1990"/>
        <v>0</v>
      </c>
      <c r="AH715" s="9">
        <f t="shared" ca="1" si="1990"/>
        <v>5746</v>
      </c>
      <c r="AI715" s="9">
        <f t="shared" ca="1" si="1990"/>
        <v>9352</v>
      </c>
      <c r="AJ715" s="11">
        <f t="shared" ca="1" si="1982"/>
        <v>195.84582758620519</v>
      </c>
      <c r="AK715" s="8">
        <f t="shared" si="1983"/>
        <v>11164</v>
      </c>
      <c r="AL715" s="12">
        <f t="shared" ca="1" si="1984"/>
        <v>0.8376925833034754</v>
      </c>
      <c r="AM715" s="13">
        <f t="shared" si="1985"/>
        <v>1.5</v>
      </c>
      <c r="AN715" s="12">
        <f t="shared" ca="1" si="1986"/>
        <v>0.5488718049213871</v>
      </c>
      <c r="AO715" s="14">
        <f t="shared" ca="1" si="1987"/>
        <v>0.82330770738208059</v>
      </c>
      <c r="AP715" s="13">
        <f t="shared" ref="AP715:AQ715" ca="1" si="1991">SUM(T710)</f>
        <v>383.71306962131877</v>
      </c>
      <c r="AQ715" s="13">
        <f t="shared" ca="1" si="1991"/>
        <v>6.6157425796779101</v>
      </c>
      <c r="AR715" s="9">
        <f t="shared" ca="1" si="1989"/>
        <v>161.24137931034483</v>
      </c>
      <c r="AS715" s="76"/>
      <c r="AT715" s="76"/>
    </row>
    <row r="716" spans="1:46" ht="15.75" customHeight="1" x14ac:dyDescent="0.25">
      <c r="A716" s="70"/>
      <c r="B716" s="16">
        <v>9</v>
      </c>
      <c r="C716" s="16" t="s">
        <v>36</v>
      </c>
      <c r="D716" s="34">
        <v>29</v>
      </c>
      <c r="E716" s="18">
        <f ca="1">IFERROR(__xludf.DUMMYFUNCTION("COUNT(IMPORTRANGE(""https://docs.google.com/spreadsheets/d/1WJJVq25XDtGjt-J2JPxeKs3jIvDZtkIREC0lFPXwf74/edit"",""27!d2:d31""))"),29)</f>
        <v>29</v>
      </c>
      <c r="F716" s="23">
        <f ca="1">IFERROR(__xludf.DUMMYFUNCTION("SUM(IMPORTRANGE(""https://docs.google.com/spreadsheets/d/1WJJVq25XDtGjt-J2JPxeKs3jIvDZtkIREC0lFPXwf74/edit"",""27!Q2:Q31""))"),5752.17999999999)</f>
        <v>5752.1799999999903</v>
      </c>
      <c r="G716" s="18">
        <f ca="1">IFERROR(__xludf.DUMMYFUNCTION("IMPORTRANGE(""https://docs.google.com/spreadsheets/d/1WJJVq25XDtGjt-J2JPxeKs3jIvDZtkIREC0lFPXwf74/edit"",""27!e38"")"),2247)</f>
        <v>2247</v>
      </c>
      <c r="H716" s="18">
        <f ca="1">IFERROR(__xludf.DUMMYFUNCTION("IMPORTRANGE(""https://docs.google.com/spreadsheets/d/1WJJVq25XDtGjt-J2JPxeKs3jIvDZtkIREC0lFPXwf74/edit"",""27!e39"")"),0)</f>
        <v>0</v>
      </c>
      <c r="I716" s="18">
        <f t="shared" ca="1" si="1962"/>
        <v>2247</v>
      </c>
      <c r="J716" s="18">
        <f ca="1">IFERROR(__xludf.DUMMYFUNCTION("IMPORTRANGE(""https://docs.google.com/spreadsheets/d/1WJJVq25XDtGjt-J2JPxeKs3jIvDZtkIREC0lFPXwf74/edit"",""27!e42"")"),1589)</f>
        <v>1589</v>
      </c>
      <c r="K716" s="18">
        <f ca="1">IFERROR(__xludf.DUMMYFUNCTION("IMPORTRANGE(""https://docs.google.com/spreadsheets/d/1WJJVq25XDtGjt-J2JPxeKs3jIvDZtkIREC0lFPXwf74/edit"",""27!e43"")"),0)</f>
        <v>0</v>
      </c>
      <c r="L716" s="18">
        <f t="shared" ref="L716:L725" ca="1" si="1992">SUM(J716:K716)</f>
        <v>1589</v>
      </c>
      <c r="M716" s="18">
        <f t="shared" ca="1" si="1964"/>
        <v>3836</v>
      </c>
      <c r="N716" s="19">
        <f t="shared" ca="1" si="1965"/>
        <v>198.35103448275828</v>
      </c>
      <c r="O716" s="16">
        <v>4796</v>
      </c>
      <c r="P716" s="20">
        <f t="shared" ca="1" si="1966"/>
        <v>0.79983319432860722</v>
      </c>
      <c r="Q716" s="21">
        <v>1.5</v>
      </c>
      <c r="R716" s="20">
        <f t="shared" ca="1" si="1967"/>
        <v>0.4445850674584832</v>
      </c>
      <c r="S716" s="22">
        <f t="shared" ca="1" si="1968"/>
        <v>0.66687760118772477</v>
      </c>
      <c r="T716" s="21">
        <f ca="1">F716/37.414</f>
        <v>153.74405302827793</v>
      </c>
      <c r="U716" s="21">
        <f t="shared" ca="1" si="1969"/>
        <v>5.3015190699406185</v>
      </c>
      <c r="V716" s="18">
        <f t="shared" ca="1" si="1970"/>
        <v>132.27586206896552</v>
      </c>
      <c r="W716" s="76"/>
      <c r="X716" s="8">
        <v>3</v>
      </c>
      <c r="Y716" s="8" t="s">
        <v>34</v>
      </c>
      <c r="Z716" s="8">
        <f t="shared" ref="Z716:AI716" si="1993">SUM(D712)</f>
        <v>40</v>
      </c>
      <c r="AA716" s="9">
        <f t="shared" ca="1" si="1993"/>
        <v>39</v>
      </c>
      <c r="AB716" s="10">
        <f t="shared" ca="1" si="1993"/>
        <v>7795.4250000000002</v>
      </c>
      <c r="AC716" s="9">
        <f t="shared" ca="1" si="1993"/>
        <v>3289</v>
      </c>
      <c r="AD716" s="9">
        <f t="shared" ca="1" si="1993"/>
        <v>0</v>
      </c>
      <c r="AE716" s="9">
        <f t="shared" ca="1" si="1993"/>
        <v>3289</v>
      </c>
      <c r="AF716" s="9">
        <f t="shared" ca="1" si="1993"/>
        <v>3438</v>
      </c>
      <c r="AG716" s="9">
        <f t="shared" ca="1" si="1993"/>
        <v>0</v>
      </c>
      <c r="AH716" s="9">
        <f t="shared" ca="1" si="1993"/>
        <v>3438</v>
      </c>
      <c r="AI716" s="9">
        <f t="shared" ca="1" si="1993"/>
        <v>6727</v>
      </c>
      <c r="AJ716" s="11">
        <f t="shared" ca="1" si="1982"/>
        <v>199.88269230769231</v>
      </c>
      <c r="AK716" s="8">
        <f>SUM(O712)</f>
        <v>9354</v>
      </c>
      <c r="AL716" s="12">
        <f t="shared" ca="1" si="1984"/>
        <v>0.71915757964507165</v>
      </c>
      <c r="AM716" s="13">
        <f>SUM(Q712)</f>
        <v>1.5</v>
      </c>
      <c r="AN716" s="12">
        <f t="shared" ca="1" si="1986"/>
        <v>0.57529469742402328</v>
      </c>
      <c r="AO716" s="14">
        <f t="shared" ca="1" si="1987"/>
        <v>0.86294204613603487</v>
      </c>
      <c r="AP716" s="13">
        <f t="shared" ref="AP716:AQ716" ca="1" si="1994">SUM(T712)</f>
        <v>253.81515970435973</v>
      </c>
      <c r="AQ716" s="13">
        <f t="shared" ca="1" si="1994"/>
        <v>6.5080810180605058</v>
      </c>
      <c r="AR716" s="9">
        <f t="shared" ca="1" si="1989"/>
        <v>172.48717948717947</v>
      </c>
      <c r="AS716" s="76"/>
      <c r="AT716" s="76"/>
    </row>
    <row r="717" spans="1:46" ht="15.75" customHeight="1" x14ac:dyDescent="0.25">
      <c r="A717" s="70"/>
      <c r="B717" s="16">
        <v>10</v>
      </c>
      <c r="C717" s="16" t="s">
        <v>37</v>
      </c>
      <c r="D717" s="17">
        <v>30</v>
      </c>
      <c r="E717" s="18">
        <f ca="1">IFERROR(__xludf.DUMMYFUNCTION("COUNT(IMPORTRANGE(""https://docs.google.com/spreadsheets/d/1rJyYfywRpWJW0zvDJHLOJtqUQqffoCGaqTVxxTDgV0k/edit"",""27!d2:d31""))"),30)</f>
        <v>30</v>
      </c>
      <c r="F717" s="23">
        <f ca="1">IFERROR(__xludf.DUMMYFUNCTION("SUM(IMPORTRANGE(""https://docs.google.com/spreadsheets/d/1rJyYfywRpWJW0zvDJHLOJtqUQqffoCGaqTVxxTDgV0k/edit"",""27!Q2:Q31""))"),5663.436)</f>
        <v>5663.4359999999997</v>
      </c>
      <c r="G717" s="18">
        <f ca="1">IFERROR(__xludf.DUMMYFUNCTION("(IMPORTRANGE(""https://docs.google.com/spreadsheets/d/1rJyYfywRpWJW0zvDJHLOJtqUQqffoCGaqTVxxTDgV0k/edit"",""27!e38""))"),2218)</f>
        <v>2218</v>
      </c>
      <c r="H717" s="18">
        <f ca="1">IFERROR(__xludf.DUMMYFUNCTION("(IMPORTRANGE(""https://docs.google.com/spreadsheets/d/1rJyYfywRpWJW0zvDJHLOJtqUQqffoCGaqTVxxTDgV0k/edit"",""27!e39""))"),0)</f>
        <v>0</v>
      </c>
      <c r="I717" s="18">
        <f t="shared" ca="1" si="1962"/>
        <v>2218</v>
      </c>
      <c r="J717" s="18">
        <f ca="1">IFERROR(__xludf.DUMMYFUNCTION("(IMPORTRANGE(""https://docs.google.com/spreadsheets/d/1rJyYfywRpWJW0zvDJHLOJtqUQqffoCGaqTVxxTDgV0k/edit"",""27!e42""))"),3001)</f>
        <v>3001</v>
      </c>
      <c r="K717" s="18">
        <f ca="1">IFERROR(__xludf.DUMMYFUNCTION("(IMPORTRANGE(""https://docs.google.com/spreadsheets/d/1rJyYfywRpWJW0zvDJHLOJtqUQqffoCGaqTVxxTDgV0k/edit"",""27!e43""))"),0)</f>
        <v>0</v>
      </c>
      <c r="L717" s="18">
        <f t="shared" ca="1" si="1992"/>
        <v>3001</v>
      </c>
      <c r="M717" s="18">
        <f t="shared" ca="1" si="1964"/>
        <v>5219</v>
      </c>
      <c r="N717" s="19">
        <f t="shared" ca="1" si="1965"/>
        <v>188.78119999999998</v>
      </c>
      <c r="O717" s="16">
        <v>5887</v>
      </c>
      <c r="P717" s="20">
        <f t="shared" ca="1" si="1966"/>
        <v>0.88652964158314929</v>
      </c>
      <c r="Q717" s="21">
        <v>1.5</v>
      </c>
      <c r="R717" s="20">
        <f t="shared" ca="1" si="1967"/>
        <v>0.61435025192009474</v>
      </c>
      <c r="S717" s="22">
        <f t="shared" ca="1" si="1968"/>
        <v>0.9215253778801421</v>
      </c>
      <c r="T717" s="21">
        <f ca="1">F717/24.792</f>
        <v>228.43804453049367</v>
      </c>
      <c r="U717" s="21">
        <f t="shared" ca="1" si="1969"/>
        <v>7.6146014843497891</v>
      </c>
      <c r="V717" s="18">
        <f t="shared" ca="1" si="1970"/>
        <v>173.96666666666667</v>
      </c>
      <c r="W717" s="76"/>
      <c r="X717" s="8">
        <v>4</v>
      </c>
      <c r="Y717" s="8" t="s">
        <v>38</v>
      </c>
      <c r="Z717" s="8">
        <f t="shared" ref="Z717:AI717" si="1995">SUM(D720)</f>
        <v>30</v>
      </c>
      <c r="AA717" s="9">
        <f t="shared" ca="1" si="1995"/>
        <v>30</v>
      </c>
      <c r="AB717" s="10">
        <f t="shared" ca="1" si="1995"/>
        <v>6470.2160000000003</v>
      </c>
      <c r="AC717" s="9">
        <f t="shared" ca="1" si="1995"/>
        <v>2264</v>
      </c>
      <c r="AD717" s="9">
        <f t="shared" ca="1" si="1995"/>
        <v>0</v>
      </c>
      <c r="AE717" s="9">
        <f t="shared" ca="1" si="1995"/>
        <v>2264</v>
      </c>
      <c r="AF717" s="9">
        <f t="shared" ca="1" si="1995"/>
        <v>3072</v>
      </c>
      <c r="AG717" s="9">
        <f t="shared" ca="1" si="1995"/>
        <v>372</v>
      </c>
      <c r="AH717" s="9">
        <f t="shared" ca="1" si="1995"/>
        <v>3444</v>
      </c>
      <c r="AI717" s="9">
        <f t="shared" ca="1" si="1995"/>
        <v>5708</v>
      </c>
      <c r="AJ717" s="11">
        <f t="shared" ca="1" si="1982"/>
        <v>215.67386666666667</v>
      </c>
      <c r="AK717" s="8">
        <v>7324</v>
      </c>
      <c r="AL717" s="12">
        <f t="shared" ca="1" si="1984"/>
        <v>0.77935554341889679</v>
      </c>
      <c r="AM717" s="13">
        <f>SUM(Q720)</f>
        <v>1.5</v>
      </c>
      <c r="AN717" s="12">
        <f t="shared" ca="1" si="1986"/>
        <v>0.58813080325808798</v>
      </c>
      <c r="AO717" s="14">
        <f t="shared" ca="1" si="1987"/>
        <v>0.88219620488713202</v>
      </c>
      <c r="AP717" s="13">
        <f t="shared" ref="AP717:AQ717" ca="1" si="1996">SUM(T720)</f>
        <v>157.025021235287</v>
      </c>
      <c r="AQ717" s="13">
        <f t="shared" ca="1" si="1996"/>
        <v>5.2341673745095667</v>
      </c>
      <c r="AR717" s="9">
        <f t="shared" ca="1" si="1989"/>
        <v>190.26666666666668</v>
      </c>
      <c r="AS717" s="76"/>
      <c r="AT717" s="76"/>
    </row>
    <row r="718" spans="1:46" ht="15.75" customHeight="1" x14ac:dyDescent="0.25">
      <c r="A718" s="70"/>
      <c r="B718" s="16">
        <v>12</v>
      </c>
      <c r="C718" s="16" t="s">
        <v>39</v>
      </c>
      <c r="D718" s="17">
        <v>28</v>
      </c>
      <c r="E718" s="18">
        <f ca="1">IFERROR(__xludf.DUMMYFUNCTION("COUNT(IMPORTRANGE(""https://docs.google.com/spreadsheets/d/1uaTn2DZCfr7O1PvovOd0wElzVz8kpl_iPfnrkNPp0Is/edit"",""27!d2:d29""))"),28)</f>
        <v>28</v>
      </c>
      <c r="F718" s="23">
        <f ca="1">IFERROR(__xludf.DUMMYFUNCTION("SUM(IMPORTRANGE(""https://docs.google.com/spreadsheets/d/1uaTn2DZCfr7O1PvovOd0wElzVz8kpl_iPfnrkNPp0Is/edit"",""27!Q2:Q29""))"),5468.7)</f>
        <v>5468.7</v>
      </c>
      <c r="G718" s="18">
        <f ca="1">IFERROR(__xludf.DUMMYFUNCTION("IMPORTRANGE(""https://docs.google.com/spreadsheets/d/1uaTn2DZCfr7O1PvovOd0wElzVz8kpl_iPfnrkNPp0Is/edit"",""27!e36"")"),1195)</f>
        <v>1195</v>
      </c>
      <c r="H718" s="18">
        <f ca="1">IFERROR(__xludf.DUMMYFUNCTION("(IMPORTRANGE(""https://docs.google.com/spreadsheets/d/1uaTn2DZCfr7O1PvovOd0wElzVz8kpl_iPfnrkNPp0Is/edit"",""27!e37""))"),0)</f>
        <v>0</v>
      </c>
      <c r="I718" s="18">
        <f t="shared" ca="1" si="1962"/>
        <v>1195</v>
      </c>
      <c r="J718" s="18">
        <f ca="1">IFERROR(__xludf.DUMMYFUNCTION("IMPORTRANGE(""https://docs.google.com/spreadsheets/d/1uaTn2DZCfr7O1PvovOd0wElzVz8kpl_iPfnrkNPp0Is/edit"",""27!e40"")"),1602)</f>
        <v>1602</v>
      </c>
      <c r="K718" s="18">
        <f ca="1">IFERROR(__xludf.DUMMYFUNCTION("IMPORTRANGE(""https://docs.google.com/spreadsheets/d/1uaTn2DZCfr7O1PvovOd0wElzVz8kpl_iPfnrkNPp0Is/edit"",""27!e41"")"),228)</f>
        <v>228</v>
      </c>
      <c r="L718" s="18">
        <f t="shared" ca="1" si="1992"/>
        <v>1830</v>
      </c>
      <c r="M718" s="18">
        <f t="shared" ca="1" si="1964"/>
        <v>3025</v>
      </c>
      <c r="N718" s="19">
        <f t="shared" ca="1" si="1965"/>
        <v>195.31071428571428</v>
      </c>
      <c r="O718" s="16">
        <v>3569</v>
      </c>
      <c r="P718" s="20">
        <f t="shared" ca="1" si="1966"/>
        <v>0.84757635191930514</v>
      </c>
      <c r="Q718" s="21">
        <v>1.5</v>
      </c>
      <c r="R718" s="20">
        <f t="shared" ca="1" si="1967"/>
        <v>0.3687652763301455</v>
      </c>
      <c r="S718" s="22">
        <f t="shared" ca="1" si="1968"/>
        <v>0.55314791449521827</v>
      </c>
      <c r="T718" s="21">
        <f ca="1">F718/21.463</f>
        <v>254.7966267530168</v>
      </c>
      <c r="U718" s="21">
        <f t="shared" ca="1" si="1969"/>
        <v>9.0998795268934565</v>
      </c>
      <c r="V718" s="18">
        <f t="shared" ca="1" si="1970"/>
        <v>108.03571428571429</v>
      </c>
      <c r="W718" s="76"/>
      <c r="X718" s="8">
        <v>5</v>
      </c>
      <c r="Y718" s="8" t="s">
        <v>40</v>
      </c>
      <c r="Z718" s="8">
        <f t="shared" ref="Z718:AI718" si="1997">SUM(D722)</f>
        <v>30</v>
      </c>
      <c r="AA718" s="9">
        <f t="shared" ca="1" si="1997"/>
        <v>30</v>
      </c>
      <c r="AB718" s="10">
        <f t="shared" ca="1" si="1997"/>
        <v>5830.8149999999896</v>
      </c>
      <c r="AC718" s="9">
        <f t="shared" ca="1" si="1997"/>
        <v>3577</v>
      </c>
      <c r="AD718" s="9">
        <f t="shared" ca="1" si="1997"/>
        <v>0</v>
      </c>
      <c r="AE718" s="9">
        <f t="shared" ca="1" si="1997"/>
        <v>3577</v>
      </c>
      <c r="AF718" s="9">
        <f t="shared" ca="1" si="1997"/>
        <v>3911</v>
      </c>
      <c r="AG718" s="9">
        <f t="shared" ca="1" si="1997"/>
        <v>0</v>
      </c>
      <c r="AH718" s="9">
        <f t="shared" ca="1" si="1997"/>
        <v>3911</v>
      </c>
      <c r="AI718" s="9">
        <f t="shared" ca="1" si="1997"/>
        <v>7488</v>
      </c>
      <c r="AJ718" s="11">
        <f t="shared" ca="1" si="1982"/>
        <v>194.36049999999966</v>
      </c>
      <c r="AK718" s="8">
        <f t="shared" ref="AK718:AK719" si="1998">SUM(O722)</f>
        <v>8239</v>
      </c>
      <c r="AL718" s="12">
        <f t="shared" ca="1" si="1984"/>
        <v>0.90884816118460976</v>
      </c>
      <c r="AM718" s="13">
        <f t="shared" ref="AM718:AM719" si="1999">SUM(Q722)</f>
        <v>1.5</v>
      </c>
      <c r="AN718" s="12">
        <f t="shared" ca="1" si="1986"/>
        <v>0.85614103688764065</v>
      </c>
      <c r="AO718" s="14">
        <f t="shared" ca="1" si="1987"/>
        <v>1.284211555331461</v>
      </c>
      <c r="AP718" s="13">
        <f t="shared" ref="AP718:AQ718" ca="1" si="2000">SUM(T722)</f>
        <v>204.99999999999963</v>
      </c>
      <c r="AQ718" s="13">
        <f t="shared" ca="1" si="2000"/>
        <v>6.8333333333333206</v>
      </c>
      <c r="AR718" s="9">
        <f t="shared" ca="1" si="1989"/>
        <v>249.6</v>
      </c>
      <c r="AS718" s="76"/>
      <c r="AT718" s="76"/>
    </row>
    <row r="719" spans="1:46" ht="15.75" customHeight="1" x14ac:dyDescent="0.25">
      <c r="A719" s="70"/>
      <c r="B719" s="16">
        <v>12</v>
      </c>
      <c r="C719" s="16" t="s">
        <v>41</v>
      </c>
      <c r="D719" s="17">
        <v>24</v>
      </c>
      <c r="E719" s="18">
        <f ca="1">IFERROR(__xludf.DUMMYFUNCTION("COUNT(IMPORTRANGE(""https://docs.google.com/spreadsheets/d/1oYscvfOJW7GMkxt8QcupWuzb3ohaYePd3Mt2V2ufHok/edit"",""27!d2:d25""))"),24)</f>
        <v>24</v>
      </c>
      <c r="F719" s="23">
        <f ca="1">IFERROR(__xludf.DUMMYFUNCTION("SUM(IMPORTRANGE(""https://docs.google.com/spreadsheets/d/1oYscvfOJW7GMkxt8QcupWuzb3ohaYePd3Mt2V2ufHok/edit"",""27!Q2:Q25""))"),4793.152)</f>
        <v>4793.152</v>
      </c>
      <c r="G719" s="18">
        <f ca="1">IFERROR(__xludf.DUMMYFUNCTION("IMPORTRANGE(""https://docs.google.com/spreadsheets/d/1oYscvfOJW7GMkxt8QcupWuzb3ohaYePd3Mt2V2ufHok/edit"",""27!e32"")"),1051)</f>
        <v>1051</v>
      </c>
      <c r="H719" s="18">
        <f ca="1">IFERROR(__xludf.DUMMYFUNCTION("IMPORTRANGE(""https://docs.google.com/spreadsheets/d/1oYscvfOJW7GMkxt8QcupWuzb3ohaYePd3Mt2V2ufHok/edit"",""27!e33"")"),34)</f>
        <v>34</v>
      </c>
      <c r="I719" s="18">
        <f t="shared" ca="1" si="1962"/>
        <v>1085</v>
      </c>
      <c r="J719" s="18">
        <f ca="1">IFERROR(__xludf.DUMMYFUNCTION("IMPORTRANGE(""https://docs.google.com/spreadsheets/d/1oYscvfOJW7GMkxt8QcupWuzb3ohaYePd3Mt2V2ufHok/edit"",""27!e36"")"),1211)</f>
        <v>1211</v>
      </c>
      <c r="K719" s="18">
        <f ca="1">IFERROR(__xludf.DUMMYFUNCTION("IMPORTRANGE(""https://docs.google.com/spreadsheets/d/1oYscvfOJW7GMkxt8QcupWuzb3ohaYePd3Mt2V2ufHok/edit"",""27!e37"")"),471)</f>
        <v>471</v>
      </c>
      <c r="L719" s="18">
        <f t="shared" ca="1" si="1992"/>
        <v>1682</v>
      </c>
      <c r="M719" s="18">
        <f t="shared" ca="1" si="1964"/>
        <v>2767</v>
      </c>
      <c r="N719" s="19">
        <f t="shared" ca="1" si="1965"/>
        <v>199.71466666666666</v>
      </c>
      <c r="O719" s="16">
        <v>3801</v>
      </c>
      <c r="P719" s="20">
        <f t="shared" ca="1" si="1966"/>
        <v>0.72796632465140754</v>
      </c>
      <c r="Q719" s="21">
        <v>1.5</v>
      </c>
      <c r="R719" s="20">
        <f t="shared" ca="1" si="1967"/>
        <v>0.38485461480601213</v>
      </c>
      <c r="S719" s="22">
        <f t="shared" ca="1" si="1968"/>
        <v>0.57728192220901819</v>
      </c>
      <c r="T719" s="21">
        <f ca="1">F719/29.628</f>
        <v>161.77777777777777</v>
      </c>
      <c r="U719" s="21">
        <f t="shared" ca="1" si="1969"/>
        <v>6.7407407407407405</v>
      </c>
      <c r="V719" s="18">
        <f t="shared" ca="1" si="1970"/>
        <v>115.29166666666667</v>
      </c>
      <c r="W719" s="76"/>
      <c r="X719" s="8">
        <v>6</v>
      </c>
      <c r="Y719" s="8" t="s">
        <v>42</v>
      </c>
      <c r="Z719" s="8">
        <f t="shared" ref="Z719:AI719" si="2001">SUM(D723)</f>
        <v>33</v>
      </c>
      <c r="AA719" s="9">
        <f t="shared" ca="1" si="2001"/>
        <v>32</v>
      </c>
      <c r="AB719" s="10">
        <f t="shared" ca="1" si="2001"/>
        <v>6178.7349999999897</v>
      </c>
      <c r="AC719" s="9">
        <f t="shared" ca="1" si="2001"/>
        <v>3403</v>
      </c>
      <c r="AD719" s="9">
        <f t="shared" ca="1" si="2001"/>
        <v>0</v>
      </c>
      <c r="AE719" s="9">
        <f t="shared" ca="1" si="2001"/>
        <v>3403</v>
      </c>
      <c r="AF719" s="9">
        <f t="shared" ca="1" si="2001"/>
        <v>4381</v>
      </c>
      <c r="AG719" s="9">
        <f t="shared" ca="1" si="2001"/>
        <v>0</v>
      </c>
      <c r="AH719" s="9">
        <f t="shared" ca="1" si="2001"/>
        <v>4381</v>
      </c>
      <c r="AI719" s="9">
        <f t="shared" ca="1" si="2001"/>
        <v>7784</v>
      </c>
      <c r="AJ719" s="11">
        <f t="shared" ca="1" si="1982"/>
        <v>193.08546874999968</v>
      </c>
      <c r="AK719" s="8">
        <f t="shared" si="1998"/>
        <v>9877</v>
      </c>
      <c r="AL719" s="12">
        <f t="shared" ca="1" si="1984"/>
        <v>0.78809355067328135</v>
      </c>
      <c r="AM719" s="13">
        <f t="shared" si="1999"/>
        <v>1.5</v>
      </c>
      <c r="AN719" s="12">
        <f t="shared" ca="1" si="1986"/>
        <v>0.83986986548757026</v>
      </c>
      <c r="AO719" s="14">
        <f t="shared" ca="1" si="1987"/>
        <v>1.2598047982313554</v>
      </c>
      <c r="AP719" s="13">
        <f t="shared" ref="AP719:AQ719" ca="1" si="2002">SUM(T723)</f>
        <v>236.23532785318255</v>
      </c>
      <c r="AQ719" s="13">
        <f t="shared" ca="1" si="2002"/>
        <v>7.3823539954119548</v>
      </c>
      <c r="AR719" s="9">
        <f t="shared" ca="1" si="1989"/>
        <v>243.25</v>
      </c>
      <c r="AS719" s="76"/>
      <c r="AT719" s="76"/>
    </row>
    <row r="720" spans="1:46" ht="15.75" customHeight="1" x14ac:dyDescent="0.25">
      <c r="A720" s="70"/>
      <c r="B720" s="16">
        <v>13</v>
      </c>
      <c r="C720" s="16" t="s">
        <v>43</v>
      </c>
      <c r="D720" s="17">
        <v>30</v>
      </c>
      <c r="E720" s="18">
        <f ca="1">IFERROR(__xludf.DUMMYFUNCTION("COUNT(IMPORTRANGE(""https://docs.google.com/spreadsheets/d/1AxBmuQEdOYAeRnZ4C8vO6kuTNp7X_SGhpLXuY0n4ln4/edit"",""27!d2:d31""))"),30)</f>
        <v>30</v>
      </c>
      <c r="F720" s="23">
        <f ca="1">IFERROR(__xludf.DUMMYFUNCTION("SUM(IMPORTRANGE(""https://docs.google.com/spreadsheets/d/1AxBmuQEdOYAeRnZ4C8vO6kuTNp7X_SGhpLXuY0n4ln4/edit"",""27!Q2:Q31""))"),6470.216)</f>
        <v>6470.2160000000003</v>
      </c>
      <c r="G720" s="18">
        <f ca="1">IFERROR(__xludf.DUMMYFUNCTION("IMPORTRANGE(""https://docs.google.com/spreadsheets/d/1AxBmuQEdOYAeRnZ4C8vO6kuTNp7X_SGhpLXuY0n4ln4/edit"",""27!e38"")"),2264)</f>
        <v>2264</v>
      </c>
      <c r="H720" s="18">
        <f ca="1">IFERROR(__xludf.DUMMYFUNCTION("IMPORTRANGE(""https://docs.google.com/spreadsheets/d/1AxBmuQEdOYAeRnZ4C8vO6kuTNp7X_SGhpLXuY0n4ln4/edit"",""27!e39"")"),0)</f>
        <v>0</v>
      </c>
      <c r="I720" s="18">
        <f t="shared" ca="1" si="1962"/>
        <v>2264</v>
      </c>
      <c r="J720" s="18">
        <f ca="1">IFERROR(__xludf.DUMMYFUNCTION("IMPORTRANGE(""https://docs.google.com/spreadsheets/d/1AxBmuQEdOYAeRnZ4C8vO6kuTNp7X_SGhpLXuY0n4ln4/edit"",""27!e42"")"),3072)</f>
        <v>3072</v>
      </c>
      <c r="K720" s="18">
        <f ca="1">IFERROR(__xludf.DUMMYFUNCTION("IMPORTRANGE(""https://docs.google.com/spreadsheets/d/1AxBmuQEdOYAeRnZ4C8vO6kuTNp7X_SGhpLXuY0n4ln4/edit"",""27!e43"")"),372)</f>
        <v>372</v>
      </c>
      <c r="L720" s="18">
        <f t="shared" ca="1" si="1992"/>
        <v>3444</v>
      </c>
      <c r="M720" s="18">
        <f t="shared" ca="1" si="1964"/>
        <v>5708</v>
      </c>
      <c r="N720" s="19">
        <f t="shared" ca="1" si="1965"/>
        <v>215.67386666666667</v>
      </c>
      <c r="O720" s="16">
        <v>8345</v>
      </c>
      <c r="P720" s="20">
        <f t="shared" ca="1" si="1966"/>
        <v>0.68400239664469742</v>
      </c>
      <c r="Q720" s="21">
        <v>1.5</v>
      </c>
      <c r="R720" s="20">
        <f t="shared" ca="1" si="1967"/>
        <v>0.58813080325808798</v>
      </c>
      <c r="S720" s="22">
        <f t="shared" ca="1" si="1968"/>
        <v>0.88219620488713202</v>
      </c>
      <c r="T720" s="21">
        <f ca="1">F720/41.205</f>
        <v>157.025021235287</v>
      </c>
      <c r="U720" s="21">
        <f t="shared" ca="1" si="1969"/>
        <v>5.2341673745095667</v>
      </c>
      <c r="V720" s="18">
        <f t="shared" ca="1" si="1970"/>
        <v>190.26666666666668</v>
      </c>
      <c r="W720" s="76"/>
      <c r="X720" s="24" t="s">
        <v>33</v>
      </c>
      <c r="Y720" s="24">
        <v>6</v>
      </c>
      <c r="Z720" s="24">
        <f t="shared" ref="Z720:AI720" si="2003">SUM(Z714:Z719)</f>
        <v>226</v>
      </c>
      <c r="AA720" s="25">
        <f t="shared" ca="1" si="2003"/>
        <v>222</v>
      </c>
      <c r="AB720" s="27">
        <f t="shared" ca="1" si="2003"/>
        <v>44117.912999999884</v>
      </c>
      <c r="AC720" s="25">
        <f t="shared" ca="1" si="2003"/>
        <v>18873</v>
      </c>
      <c r="AD720" s="25">
        <f t="shared" ca="1" si="2003"/>
        <v>154</v>
      </c>
      <c r="AE720" s="25">
        <f t="shared" ca="1" si="2003"/>
        <v>19027</v>
      </c>
      <c r="AF720" s="25">
        <f t="shared" ca="1" si="2003"/>
        <v>23571</v>
      </c>
      <c r="AG720" s="25">
        <f t="shared" ca="1" si="2003"/>
        <v>529</v>
      </c>
      <c r="AH720" s="25">
        <f t="shared" ca="1" si="2003"/>
        <v>24100</v>
      </c>
      <c r="AI720" s="25">
        <f t="shared" ca="1" si="2003"/>
        <v>43127</v>
      </c>
      <c r="AJ720" s="27">
        <f t="shared" ca="1" si="1982"/>
        <v>198.72933783783731</v>
      </c>
      <c r="AK720" s="24">
        <f>SUM(AK714:AK719)</f>
        <v>53273</v>
      </c>
      <c r="AL720" s="28">
        <f t="shared" ca="1" si="1984"/>
        <v>0.80954705010042616</v>
      </c>
      <c r="AM720" s="29">
        <v>1.5</v>
      </c>
      <c r="AN720" s="28">
        <f t="shared" ca="1" si="1986"/>
        <v>0.65169296048372483</v>
      </c>
      <c r="AO720" s="30">
        <f t="shared" ca="1" si="1987"/>
        <v>0.97753944072558718</v>
      </c>
      <c r="AP720" s="29">
        <f ca="1">SUM(AP714:AP719)</f>
        <v>1445.6362658918963</v>
      </c>
      <c r="AQ720" s="29">
        <f ca="1">AP720/AA720</f>
        <v>6.5118750715851181</v>
      </c>
      <c r="AR720" s="25">
        <f t="shared" ca="1" si="1989"/>
        <v>194.26576576576576</v>
      </c>
      <c r="AS720" s="76"/>
      <c r="AT720" s="76"/>
    </row>
    <row r="721" spans="1:46" ht="15.75" customHeight="1" x14ac:dyDescent="0.25">
      <c r="A721" s="70"/>
      <c r="B721" s="16">
        <v>14</v>
      </c>
      <c r="C721" s="16" t="s">
        <v>27</v>
      </c>
      <c r="D721" s="17">
        <v>30</v>
      </c>
      <c r="E721" s="18">
        <f ca="1">IFERROR(__xludf.DUMMYFUNCTION("COUNT(IMPORTRANGE(""https://docs.google.com/spreadsheets/d/1LsL4JuXvBtfJ-TVi4NFml9lV_pmd61b789A_nbO-QrA/edit"",""27!d2:d31""))"),28)</f>
        <v>28</v>
      </c>
      <c r="F721" s="23">
        <f ca="1">IFERROR(__xludf.DUMMYFUNCTION("SUM(IMPORTRANGE(""https://docs.google.com/spreadsheets/d/1LsL4JuXvBtfJ-TVi4NFml9lV_pmd61b789A_nbO-QrA/edit"",""27!Q2:Q31""))"),5471.783)</f>
        <v>5471.7830000000004</v>
      </c>
      <c r="G721" s="18">
        <f ca="1">IFERROR(__xludf.DUMMYFUNCTION("IMPORTRANGE(""https://docs.google.com/spreadsheets/d/1LsL4JuXvBtfJ-TVi4NFml9lV_pmd61b789A_nbO-QrA/edit"",""27!e38"")"),2863)</f>
        <v>2863</v>
      </c>
      <c r="H721" s="18">
        <f ca="1">IFERROR(__xludf.DUMMYFUNCTION("IMPORTRANGE(""https://docs.google.com/spreadsheets/d/1LsL4JuXvBtfJ-TVi4NFml9lV_pmd61b789A_nbO-QrA/edit"",""27!e39"")"),0)</f>
        <v>0</v>
      </c>
      <c r="I721" s="18">
        <f t="shared" ca="1" si="1962"/>
        <v>2863</v>
      </c>
      <c r="J721" s="18">
        <f ca="1">IFERROR(__xludf.DUMMYFUNCTION("IMPORTRANGE(""https://docs.google.com/spreadsheets/d/1LsL4JuXvBtfJ-TVi4NFml9lV_pmd61b789A_nbO-QrA/edit"",""27!e42"")"),3313)</f>
        <v>3313</v>
      </c>
      <c r="K721" s="18">
        <f ca="1">IFERROR(__xludf.DUMMYFUNCTION("IMPORTRANGE(""https://docs.google.com/spreadsheets/d/1LsL4JuXvBtfJ-TVi4NFml9lV_pmd61b789A_nbO-QrA/edit"",""27!e43"")"),0)</f>
        <v>0</v>
      </c>
      <c r="L721" s="18">
        <f t="shared" ca="1" si="1992"/>
        <v>3313</v>
      </c>
      <c r="M721" s="18">
        <f t="shared" ca="1" si="1964"/>
        <v>6176</v>
      </c>
      <c r="N721" s="19">
        <f t="shared" ca="1" si="1965"/>
        <v>195.42082142857143</v>
      </c>
      <c r="O721" s="16">
        <v>8101</v>
      </c>
      <c r="P721" s="20">
        <f t="shared" ca="1" si="1966"/>
        <v>0.76237501543019381</v>
      </c>
      <c r="Q721" s="21">
        <v>1.5</v>
      </c>
      <c r="R721" s="20">
        <f t="shared" ca="1" si="1967"/>
        <v>0.75246648731013888</v>
      </c>
      <c r="S721" s="22">
        <f t="shared" ca="1" si="1968"/>
        <v>1.1286997309652083</v>
      </c>
      <c r="T721" s="21">
        <f ca="1">F721/19.985</f>
        <v>273.79449587190396</v>
      </c>
      <c r="U721" s="21">
        <f t="shared" ca="1" si="1969"/>
        <v>9.7783748525679979</v>
      </c>
      <c r="V721" s="18">
        <f t="shared" ca="1" si="1970"/>
        <v>220.57142857142858</v>
      </c>
      <c r="W721" s="76"/>
      <c r="X721" s="97" t="s">
        <v>44</v>
      </c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9"/>
      <c r="AS721" s="76"/>
      <c r="AT721" s="76"/>
    </row>
    <row r="722" spans="1:46" ht="15.75" customHeight="1" x14ac:dyDescent="0.25">
      <c r="A722" s="70"/>
      <c r="B722" s="16">
        <v>15</v>
      </c>
      <c r="C722" s="16" t="s">
        <v>40</v>
      </c>
      <c r="D722" s="17">
        <v>30</v>
      </c>
      <c r="E722" s="18">
        <f ca="1">IFERROR(__xludf.DUMMYFUNCTION("COUNT(IMPORTRANGE(""https://docs.google.com/spreadsheets/d/1Krav0MVlY0vbUNsFRDnb_kR72_tyuGnWBYbGjNZrl18/edit"",""27!d2:d31""))"),30)</f>
        <v>30</v>
      </c>
      <c r="F722" s="23">
        <f ca="1">IFERROR(__xludf.DUMMYFUNCTION("SUM(IMPORTRANGE(""https://docs.google.com/spreadsheets/d/1Krav0MVlY0vbUNsFRDnb_kR72_tyuGnWBYbGjNZrl18/edit"",""27!Q2:Q31""))"),5830.81499999999)</f>
        <v>5830.8149999999896</v>
      </c>
      <c r="G722" s="18">
        <f ca="1">IFERROR(__xludf.DUMMYFUNCTION("IMPORTRANGE(""https://docs.google.com/spreadsheets/d/1Krav0MVlY0vbUNsFRDnb_kR72_tyuGnWBYbGjNZrl18/edit"",""27!e38"")"),3577)</f>
        <v>3577</v>
      </c>
      <c r="H722" s="18">
        <f ca="1">IFERROR(__xludf.DUMMYFUNCTION("IMPORTRANGE(""https://docs.google.com/spreadsheets/d/1Krav0MVlY0vbUNsFRDnb_kR72_tyuGnWBYbGjNZrl18/edit"",""27!e39"")"),0)</f>
        <v>0</v>
      </c>
      <c r="I722" s="18">
        <f t="shared" ca="1" si="1962"/>
        <v>3577</v>
      </c>
      <c r="J722" s="18">
        <f ca="1">IFERROR(__xludf.DUMMYFUNCTION("IMPORTRANGE(""https://docs.google.com/spreadsheets/d/1Krav0MVlY0vbUNsFRDnb_kR72_tyuGnWBYbGjNZrl18/edit"",""27!e42"")"),3911)</f>
        <v>3911</v>
      </c>
      <c r="K722" s="18">
        <f ca="1">IFERROR(__xludf.DUMMYFUNCTION("IMPORTRANGE(""https://docs.google.com/spreadsheets/d/1Krav0MVlY0vbUNsFRDnb_kR72_tyuGnWBYbGjNZrl18/edit"",""27!e43"")"),0)</f>
        <v>0</v>
      </c>
      <c r="L722" s="18">
        <f t="shared" ca="1" si="1992"/>
        <v>3911</v>
      </c>
      <c r="M722" s="18">
        <f t="shared" ca="1" si="1964"/>
        <v>7488</v>
      </c>
      <c r="N722" s="19">
        <f t="shared" ca="1" si="1965"/>
        <v>194.36049999999966</v>
      </c>
      <c r="O722" s="16">
        <v>8239</v>
      </c>
      <c r="P722" s="20">
        <f t="shared" ca="1" si="1966"/>
        <v>0.90884816118460976</v>
      </c>
      <c r="Q722" s="21">
        <v>1.5</v>
      </c>
      <c r="R722" s="20">
        <f t="shared" ca="1" si="1967"/>
        <v>0.85614103688764065</v>
      </c>
      <c r="S722" s="22">
        <f t="shared" ca="1" si="1968"/>
        <v>1.284211555331461</v>
      </c>
      <c r="T722" s="21">
        <f ca="1">F722/28.443</f>
        <v>204.99999999999963</v>
      </c>
      <c r="U722" s="21">
        <f t="shared" ca="1" si="1969"/>
        <v>6.8333333333333206</v>
      </c>
      <c r="V722" s="18">
        <f t="shared" ca="1" si="1970"/>
        <v>249.6</v>
      </c>
      <c r="W722" s="76"/>
      <c r="X722" s="1" t="s">
        <v>2</v>
      </c>
      <c r="Y722" s="1" t="s">
        <v>3</v>
      </c>
      <c r="Z722" s="1" t="s">
        <v>4</v>
      </c>
      <c r="AA722" s="1" t="s">
        <v>5</v>
      </c>
      <c r="AB722" s="2" t="s">
        <v>6</v>
      </c>
      <c r="AC722" s="1" t="s">
        <v>7</v>
      </c>
      <c r="AD722" s="1" t="s">
        <v>8</v>
      </c>
      <c r="AE722" s="1" t="s">
        <v>9</v>
      </c>
      <c r="AF722" s="1" t="s">
        <v>10</v>
      </c>
      <c r="AG722" s="1" t="s">
        <v>11</v>
      </c>
      <c r="AH722" s="1" t="s">
        <v>12</v>
      </c>
      <c r="AI722" s="1" t="s">
        <v>13</v>
      </c>
      <c r="AJ722" s="2" t="s">
        <v>14</v>
      </c>
      <c r="AK722" s="1" t="s">
        <v>15</v>
      </c>
      <c r="AL722" s="1" t="s">
        <v>16</v>
      </c>
      <c r="AM722" s="3" t="s">
        <v>17</v>
      </c>
      <c r="AN722" s="4" t="s">
        <v>18</v>
      </c>
      <c r="AO722" s="5" t="s">
        <v>19</v>
      </c>
      <c r="AP722" s="6" t="s">
        <v>20</v>
      </c>
      <c r="AQ722" s="6" t="s">
        <v>21</v>
      </c>
      <c r="AR722" s="7" t="s">
        <v>22</v>
      </c>
      <c r="AS722" s="76"/>
      <c r="AT722" s="76"/>
    </row>
    <row r="723" spans="1:46" ht="15.75" customHeight="1" x14ac:dyDescent="0.25">
      <c r="A723" s="70"/>
      <c r="B723" s="16">
        <v>16</v>
      </c>
      <c r="C723" s="16" t="s">
        <v>42</v>
      </c>
      <c r="D723" s="17">
        <v>33</v>
      </c>
      <c r="E723" s="18">
        <f ca="1">IFERROR(__xludf.DUMMYFUNCTION("COUNT(IMPORTRANGE(""https://docs.google.com/spreadsheets/d/1uXtm-E8PG0CetlFmSpTX3RK0LNEMnpR-mxbET9AGD6w/edit"",""27!d2:d34""))"),32)</f>
        <v>32</v>
      </c>
      <c r="F723" s="23">
        <f ca="1">IFERROR(__xludf.DUMMYFUNCTION("SUM(IMPORTRANGE(""https://docs.google.com/spreadsheets/d/1uXtm-E8PG0CetlFmSpTX3RK0LNEMnpR-mxbET9AGD6w/edit"",""27!Q2:Q34""))"),6178.73499999999)</f>
        <v>6178.7349999999897</v>
      </c>
      <c r="G723" s="18">
        <f ca="1">IFERROR(__xludf.DUMMYFUNCTION("IMPORTRANGE(""https://docs.google.com/spreadsheets/d/1uXtm-E8PG0CetlFmSpTX3RK0LNEMnpR-mxbET9AGD6w/edit"",""27!e41"")"),3403)</f>
        <v>3403</v>
      </c>
      <c r="H723" s="18">
        <f ca="1">IFERROR(__xludf.DUMMYFUNCTION("IMPORTRANGE(""https://docs.google.com/spreadsheets/d/1uXtm-E8PG0CetlFmSpTX3RK0LNEMnpR-mxbET9AGD6w/edit"",""27!e42"")"),0)</f>
        <v>0</v>
      </c>
      <c r="I723" s="18">
        <f t="shared" ca="1" si="1962"/>
        <v>3403</v>
      </c>
      <c r="J723" s="18">
        <f ca="1">IFERROR(__xludf.DUMMYFUNCTION("IMPORTRANGE(""https://docs.google.com/spreadsheets/d/1uXtm-E8PG0CetlFmSpTX3RK0LNEMnpR-mxbET9AGD6w/edit"",""27!e45"")"),4381)</f>
        <v>4381</v>
      </c>
      <c r="K723" s="18">
        <f ca="1">IFERROR(__xludf.DUMMYFUNCTION("IMPORTRANGE(""https://docs.google.com/spreadsheets/d/1uXtm-E8PG0CetlFmSpTX3RK0LNEMnpR-mxbET9AGD6w/edit"",""27!e46"")"),0)</f>
        <v>0</v>
      </c>
      <c r="L723" s="18">
        <f t="shared" ca="1" si="1992"/>
        <v>4381</v>
      </c>
      <c r="M723" s="18">
        <f t="shared" ca="1" si="1964"/>
        <v>7784</v>
      </c>
      <c r="N723" s="19">
        <f t="shared" ca="1" si="1965"/>
        <v>193.08546874999968</v>
      </c>
      <c r="O723" s="16">
        <v>9877</v>
      </c>
      <c r="P723" s="20">
        <f t="shared" ca="1" si="1966"/>
        <v>0.78809355067328135</v>
      </c>
      <c r="Q723" s="21">
        <v>1.5</v>
      </c>
      <c r="R723" s="20">
        <f t="shared" ca="1" si="1967"/>
        <v>0.83986986548757026</v>
      </c>
      <c r="S723" s="22">
        <f t="shared" ca="1" si="1968"/>
        <v>1.2598047982313554</v>
      </c>
      <c r="T723" s="21">
        <f ca="1">F723/26.155</f>
        <v>236.23532785318255</v>
      </c>
      <c r="U723" s="21">
        <f t="shared" ca="1" si="1969"/>
        <v>7.3823539954119548</v>
      </c>
      <c r="V723" s="18">
        <f t="shared" ca="1" si="1970"/>
        <v>243.25</v>
      </c>
      <c r="W723" s="76"/>
      <c r="X723" s="8">
        <v>1</v>
      </c>
      <c r="Y723" s="8" t="s">
        <v>26</v>
      </c>
      <c r="Z723" s="8">
        <f t="shared" ref="Z723:AI723" si="2004">SUM(D708)</f>
        <v>20</v>
      </c>
      <c r="AA723" s="9">
        <f t="shared" ca="1" si="2004"/>
        <v>20</v>
      </c>
      <c r="AB723" s="11">
        <f t="shared" ca="1" si="2004"/>
        <v>3892.6619999999998</v>
      </c>
      <c r="AC723" s="9">
        <f t="shared" ca="1" si="2004"/>
        <v>1908</v>
      </c>
      <c r="AD723" s="9">
        <f t="shared" ca="1" si="2004"/>
        <v>0</v>
      </c>
      <c r="AE723" s="9">
        <f t="shared" ca="1" si="2004"/>
        <v>1908</v>
      </c>
      <c r="AF723" s="9">
        <f t="shared" ca="1" si="2004"/>
        <v>3288</v>
      </c>
      <c r="AG723" s="9">
        <f t="shared" ca="1" si="2004"/>
        <v>0</v>
      </c>
      <c r="AH723" s="9">
        <f t="shared" ca="1" si="2004"/>
        <v>3288</v>
      </c>
      <c r="AI723" s="9">
        <f t="shared" ca="1" si="2004"/>
        <v>5196</v>
      </c>
      <c r="AJ723" s="11">
        <f t="shared" ref="AJ723:AJ729" ca="1" si="2005">AB723/AA723</f>
        <v>194.63309999999998</v>
      </c>
      <c r="AK723" s="8">
        <f>SUM(O708)</f>
        <v>5161</v>
      </c>
      <c r="AL723" s="15">
        <f t="shared" ref="AL723:AL729" ca="1" si="2006">AI723/AK723</f>
        <v>1.0067816314667699</v>
      </c>
      <c r="AM723" s="13">
        <f>SUM(Q708)</f>
        <v>1.5</v>
      </c>
      <c r="AN723" s="12">
        <f t="shared" ref="AN723:AN729" ca="1" si="2007">AO723/AM723</f>
        <v>0.88987947065529971</v>
      </c>
      <c r="AO723" s="14">
        <f t="shared" ref="AO723:AO729" ca="1" si="2008">AI723/AB723</f>
        <v>1.3348192059829496</v>
      </c>
      <c r="AP723" s="13">
        <f t="shared" ref="AP723:AQ723" ca="1" si="2009">SUM(T708)</f>
        <v>270.04245577523415</v>
      </c>
      <c r="AQ723" s="13">
        <f t="shared" ca="1" si="2009"/>
        <v>13.502122788761707</v>
      </c>
      <c r="AR723" s="9">
        <f t="shared" ref="AR723:AR729" ca="1" si="2010">AI723/AA723</f>
        <v>259.8</v>
      </c>
      <c r="AS723" s="76"/>
      <c r="AT723" s="76"/>
    </row>
    <row r="724" spans="1:46" ht="15.75" customHeight="1" x14ac:dyDescent="0.25">
      <c r="A724" s="70"/>
      <c r="B724" s="16">
        <v>17</v>
      </c>
      <c r="C724" s="16" t="s">
        <v>29</v>
      </c>
      <c r="D724" s="17">
        <v>30</v>
      </c>
      <c r="E724" s="18">
        <f ca="1">IFERROR(__xludf.DUMMYFUNCTION("COUNT(IMPORTRANGE(""https://docs.google.com/spreadsheets/d/12xcKI0lSnAsjEsxfm9K8Qx0B_89Gzsh816mowItkQao/edit"",""27!d2:d31""))"),29)</f>
        <v>29</v>
      </c>
      <c r="F724" s="23">
        <f ca="1">IFERROR(__xludf.DUMMYFUNCTION("SUM(IMPORTRANGE(""https://docs.google.com/spreadsheets/d/12xcKI0lSnAsjEsxfm9K8Qx0B_89Gzsh816mowItkQao/edit"",""27!Q2:Q31""))"),5858.55)</f>
        <v>5858.55</v>
      </c>
      <c r="G724" s="18">
        <f ca="1">IFERROR(__xludf.DUMMYFUNCTION("IMPORTRANGE(""https://docs.google.com/spreadsheets/d/12xcKI0lSnAsjEsxfm9K8Qx0B_89Gzsh816mowItkQao/edit"",""27!e38"")"),2924)</f>
        <v>2924</v>
      </c>
      <c r="H724" s="18">
        <f ca="1">IFERROR(__xludf.DUMMYFUNCTION("IMPORTRANGE(""https://docs.google.com/spreadsheets/d/12xcKI0lSnAsjEsxfm9K8Qx0B_89Gzsh816mowItkQao/edit"",""27!e39"")"),0)</f>
        <v>0</v>
      </c>
      <c r="I724" s="18">
        <f t="shared" ca="1" si="1962"/>
        <v>2924</v>
      </c>
      <c r="J724" s="18">
        <f ca="1">IFERROR(__xludf.DUMMYFUNCTION("IMPORTRANGE(""https://docs.google.com/spreadsheets/d/12xcKI0lSnAsjEsxfm9K8Qx0B_89Gzsh816mowItkQao/edit"",""27!e42"")"),4368)</f>
        <v>4368</v>
      </c>
      <c r="K724" s="18">
        <f ca="1">IFERROR(__xludf.DUMMYFUNCTION("IMPORTRANGE(""https://docs.google.com/spreadsheets/d/12xcKI0lSnAsjEsxfm9K8Qx0B_89Gzsh816mowItkQao/edit"",""27!e43"")"),0)</f>
        <v>0</v>
      </c>
      <c r="L724" s="18">
        <f t="shared" ca="1" si="1992"/>
        <v>4368</v>
      </c>
      <c r="M724" s="18">
        <f t="shared" ca="1" si="1964"/>
        <v>7292</v>
      </c>
      <c r="N724" s="19">
        <f t="shared" ca="1" si="1965"/>
        <v>202.01896551724138</v>
      </c>
      <c r="O724" s="16">
        <v>9201</v>
      </c>
      <c r="P724" s="20">
        <f t="shared" ca="1" si="1966"/>
        <v>0.79252255189653298</v>
      </c>
      <c r="Q724" s="21">
        <v>1.5</v>
      </c>
      <c r="R724" s="20">
        <f t="shared" ca="1" si="1967"/>
        <v>0.82978438919755459</v>
      </c>
      <c r="S724" s="22">
        <f t="shared" ca="1" si="1968"/>
        <v>1.2446765837963318</v>
      </c>
      <c r="T724" s="21">
        <f ca="1">F724/26.038</f>
        <v>225</v>
      </c>
      <c r="U724" s="21">
        <f t="shared" ca="1" si="1969"/>
        <v>7.7586206896551726</v>
      </c>
      <c r="V724" s="18">
        <f t="shared" ca="1" si="1970"/>
        <v>251.44827586206895</v>
      </c>
      <c r="W724" s="76"/>
      <c r="X724" s="8">
        <v>2</v>
      </c>
      <c r="Y724" s="8" t="s">
        <v>32</v>
      </c>
      <c r="Z724" s="8">
        <f t="shared" ref="Z724:AI724" si="2011">SUM(D711)</f>
        <v>42</v>
      </c>
      <c r="AA724" s="9">
        <f t="shared" ca="1" si="2011"/>
        <v>42</v>
      </c>
      <c r="AB724" s="10">
        <f t="shared" ca="1" si="2011"/>
        <v>8217.7219999999907</v>
      </c>
      <c r="AC724" s="8">
        <f t="shared" ca="1" si="2011"/>
        <v>5070</v>
      </c>
      <c r="AD724" s="8">
        <f t="shared" ca="1" si="2011"/>
        <v>40</v>
      </c>
      <c r="AE724" s="9">
        <f t="shared" ca="1" si="2011"/>
        <v>5110</v>
      </c>
      <c r="AF724" s="8">
        <f t="shared" ca="1" si="2011"/>
        <v>5978</v>
      </c>
      <c r="AG724" s="8">
        <f t="shared" ca="1" si="2011"/>
        <v>0</v>
      </c>
      <c r="AH724" s="9">
        <f t="shared" ca="1" si="2011"/>
        <v>5978</v>
      </c>
      <c r="AI724" s="9">
        <f t="shared" ca="1" si="2011"/>
        <v>11088</v>
      </c>
      <c r="AJ724" s="11">
        <f t="shared" ca="1" si="2005"/>
        <v>195.66004761904739</v>
      </c>
      <c r="AK724" s="8">
        <f>SUM(O711)</f>
        <v>13817</v>
      </c>
      <c r="AL724" s="12">
        <f t="shared" ca="1" si="2006"/>
        <v>0.80248968661793441</v>
      </c>
      <c r="AM724" s="13">
        <f>SUM(Q711)</f>
        <v>1.5</v>
      </c>
      <c r="AN724" s="12">
        <f t="shared" ca="1" si="2007"/>
        <v>0.89951935585068565</v>
      </c>
      <c r="AO724" s="14">
        <f t="shared" ca="1" si="2008"/>
        <v>1.3492790337760285</v>
      </c>
      <c r="AP724" s="13">
        <f t="shared" ref="AP724:AQ724" ca="1" si="2012">SUM(T711)</f>
        <v>327.54282753397865</v>
      </c>
      <c r="AQ724" s="13">
        <f t="shared" ca="1" si="2012"/>
        <v>7.7986387508090154</v>
      </c>
      <c r="AR724" s="9">
        <f t="shared" ca="1" si="2010"/>
        <v>264</v>
      </c>
      <c r="AS724" s="76"/>
      <c r="AT724" s="76"/>
    </row>
    <row r="725" spans="1:46" ht="15.75" customHeight="1" x14ac:dyDescent="0.25">
      <c r="A725" s="70"/>
      <c r="B725" s="16">
        <v>18</v>
      </c>
      <c r="C725" s="16" t="s">
        <v>31</v>
      </c>
      <c r="D725" s="17">
        <v>15</v>
      </c>
      <c r="E725" s="18">
        <f ca="1">IFERROR(__xludf.DUMMYFUNCTION("COUNT(IMPORTRANGE(""https://docs.google.com/spreadsheets/d/1fgCFOFzOla4Qim6_-zG-lbYhLCItqv_kZiAHoErRgcM/edit"",""27!d2:d16""))"),13)</f>
        <v>13</v>
      </c>
      <c r="F725" s="19">
        <f ca="1">IFERROR(__xludf.DUMMYFUNCTION("SUM(IMPORTRANGE(""https://docs.google.com/spreadsheets/d/1fgCFOFzOla4Qim6_-zG-lbYhLCItqv_kZiAHoErRgcM/edit"",""27!Q2:Q16""))"),2651.365)</f>
        <v>2651.3649999999998</v>
      </c>
      <c r="G725" s="18">
        <f ca="1">IFERROR(__xludf.DUMMYFUNCTION("IMPORTRANGE(""https://docs.google.com/spreadsheets/d/1fgCFOFzOla4Qim6_-zG-lbYhLCItqv_kZiAHoErRgcM/edit"",""27!e23"")"),892)</f>
        <v>892</v>
      </c>
      <c r="H725" s="18">
        <f ca="1">IFERROR(__xludf.DUMMYFUNCTION("IMPORTRANGE(""https://docs.google.com/spreadsheets/d/1fgCFOFzOla4Qim6_-zG-lbYhLCItqv_kZiAHoErRgcM/edit"",""27!e24"")"),15)</f>
        <v>15</v>
      </c>
      <c r="I725" s="18">
        <f t="shared" ca="1" si="1962"/>
        <v>907</v>
      </c>
      <c r="J725" s="18">
        <f ca="1">IFERROR(__xludf.DUMMYFUNCTION("IMPORTRANGE(""https://docs.google.com/spreadsheets/d/1fgCFOFzOla4Qim6_-zG-lbYhLCItqv_kZiAHoErRgcM/edit"",""27!e27"")"),1084)</f>
        <v>1084</v>
      </c>
      <c r="K725" s="18">
        <f ca="1">IFERROR(__xludf.DUMMYFUNCTION("IMPORTRANGE(""https://docs.google.com/spreadsheets/d/1fgCFOFzOla4Qim6_-zG-lbYhLCItqv_kZiAHoErRgcM/edit"",""27!e28"")"),0)</f>
        <v>0</v>
      </c>
      <c r="L725" s="18">
        <f t="shared" ca="1" si="1992"/>
        <v>1084</v>
      </c>
      <c r="M725" s="18">
        <f t="shared" ca="1" si="1964"/>
        <v>1991</v>
      </c>
      <c r="N725" s="19">
        <f t="shared" ca="1" si="1965"/>
        <v>203.95115384615383</v>
      </c>
      <c r="O725" s="16">
        <v>2717</v>
      </c>
      <c r="P725" s="20">
        <f t="shared" ca="1" si="1966"/>
        <v>0.73279352226720651</v>
      </c>
      <c r="Q725" s="21">
        <v>1.5</v>
      </c>
      <c r="R725" s="20">
        <f t="shared" ca="1" si="1967"/>
        <v>0.50062263525894524</v>
      </c>
      <c r="S725" s="22">
        <f t="shared" ca="1" si="1968"/>
        <v>0.75093395288841791</v>
      </c>
      <c r="T725" s="21">
        <f ca="1">F725/43.465</f>
        <v>60.999999999999993</v>
      </c>
      <c r="U725" s="21">
        <f t="shared" ca="1" si="1969"/>
        <v>4.6923076923076916</v>
      </c>
      <c r="V725" s="18">
        <f t="shared" ca="1" si="1970"/>
        <v>153.15384615384616</v>
      </c>
      <c r="W725" s="76"/>
      <c r="X725" s="8">
        <v>3</v>
      </c>
      <c r="Y725" s="8" t="s">
        <v>36</v>
      </c>
      <c r="Z725" s="8">
        <f t="shared" ref="Z725:AI725" si="2013">SUM(D716)</f>
        <v>29</v>
      </c>
      <c r="AA725" s="9">
        <f t="shared" ca="1" si="2013"/>
        <v>29</v>
      </c>
      <c r="AB725" s="10">
        <f t="shared" ca="1" si="2013"/>
        <v>5752.1799999999903</v>
      </c>
      <c r="AC725" s="9">
        <f t="shared" ca="1" si="2013"/>
        <v>2247</v>
      </c>
      <c r="AD725" s="9">
        <f t="shared" ca="1" si="2013"/>
        <v>0</v>
      </c>
      <c r="AE725" s="9">
        <f t="shared" ca="1" si="2013"/>
        <v>2247</v>
      </c>
      <c r="AF725" s="9">
        <f t="shared" ca="1" si="2013"/>
        <v>1589</v>
      </c>
      <c r="AG725" s="9">
        <f t="shared" ca="1" si="2013"/>
        <v>0</v>
      </c>
      <c r="AH725" s="9">
        <f t="shared" ca="1" si="2013"/>
        <v>1589</v>
      </c>
      <c r="AI725" s="9">
        <f t="shared" ca="1" si="2013"/>
        <v>3836</v>
      </c>
      <c r="AJ725" s="11">
        <f t="shared" ca="1" si="2005"/>
        <v>198.35103448275828</v>
      </c>
      <c r="AK725" s="8">
        <f t="shared" ref="AK725:AK728" si="2014">SUM(O716)</f>
        <v>4796</v>
      </c>
      <c r="AL725" s="12">
        <f t="shared" ca="1" si="2006"/>
        <v>0.79983319432860722</v>
      </c>
      <c r="AM725" s="13">
        <f t="shared" ref="AM725:AM728" si="2015">SUM(Q716)</f>
        <v>1.5</v>
      </c>
      <c r="AN725" s="12">
        <f t="shared" ca="1" si="2007"/>
        <v>0.4445850674584832</v>
      </c>
      <c r="AO725" s="14">
        <f t="shared" ca="1" si="2008"/>
        <v>0.66687760118772477</v>
      </c>
      <c r="AP725" s="13">
        <f t="shared" ref="AP725:AQ725" ca="1" si="2016">SUM(T716)</f>
        <v>153.74405302827793</v>
      </c>
      <c r="AQ725" s="13">
        <f t="shared" ca="1" si="2016"/>
        <v>5.3015190699406185</v>
      </c>
      <c r="AR725" s="9">
        <f t="shared" ca="1" si="2010"/>
        <v>132.27586206896552</v>
      </c>
      <c r="AS725" s="76"/>
      <c r="AT725" s="76"/>
    </row>
    <row r="726" spans="1:46" ht="15.75" customHeight="1" x14ac:dyDescent="0.2">
      <c r="A726" s="70"/>
      <c r="B726" s="98" t="s">
        <v>33</v>
      </c>
      <c r="C726" s="98">
        <v>18</v>
      </c>
      <c r="D726" s="98">
        <f t="shared" ref="D726:M726" si="2017">SUM(D708:D725)</f>
        <v>585</v>
      </c>
      <c r="E726" s="74">
        <f t="shared" ca="1" si="2017"/>
        <v>573</v>
      </c>
      <c r="F726" s="99">
        <f t="shared" ca="1" si="2017"/>
        <v>112905.25399999984</v>
      </c>
      <c r="G726" s="74">
        <f t="shared" ca="1" si="2017"/>
        <v>44431</v>
      </c>
      <c r="H726" s="74">
        <f t="shared" ca="1" si="2017"/>
        <v>772</v>
      </c>
      <c r="I726" s="74">
        <f t="shared" ca="1" si="2017"/>
        <v>45203</v>
      </c>
      <c r="J726" s="74">
        <f t="shared" ca="1" si="2017"/>
        <v>56686</v>
      </c>
      <c r="K726" s="74">
        <f t="shared" ca="1" si="2017"/>
        <v>1602</v>
      </c>
      <c r="L726" s="74">
        <f t="shared" ca="1" si="2017"/>
        <v>58288</v>
      </c>
      <c r="M726" s="74">
        <f t="shared" ca="1" si="2017"/>
        <v>103491</v>
      </c>
      <c r="N726" s="99">
        <f t="shared" ca="1" si="1965"/>
        <v>197.04232809773097</v>
      </c>
      <c r="O726" s="98">
        <f>SUM(O708:O725)</f>
        <v>126399</v>
      </c>
      <c r="P726" s="69">
        <f t="shared" ca="1" si="1966"/>
        <v>0.81876438895877346</v>
      </c>
      <c r="Q726" s="72">
        <v>1.5</v>
      </c>
      <c r="R726" s="69">
        <f t="shared" ca="1" si="1967"/>
        <v>0.61107873686728609</v>
      </c>
      <c r="S726" s="73">
        <f t="shared" ca="1" si="1968"/>
        <v>0.91661810530092913</v>
      </c>
      <c r="T726" s="72">
        <f ca="1">SUM(T708:T725)</f>
        <v>4163.8100774740888</v>
      </c>
      <c r="U726" s="72">
        <f t="shared" ca="1" si="1969"/>
        <v>7.2666842538814809</v>
      </c>
      <c r="V726" s="74">
        <f t="shared" ca="1" si="1970"/>
        <v>180.61256544502618</v>
      </c>
      <c r="W726" s="76"/>
      <c r="X726" s="8">
        <v>4</v>
      </c>
      <c r="Y726" s="8" t="s">
        <v>37</v>
      </c>
      <c r="Z726" s="8">
        <f t="shared" ref="Z726:AI726" si="2018">SUM(D717)</f>
        <v>30</v>
      </c>
      <c r="AA726" s="9">
        <f t="shared" ca="1" si="2018"/>
        <v>30</v>
      </c>
      <c r="AB726" s="10">
        <f t="shared" ca="1" si="2018"/>
        <v>5663.4359999999997</v>
      </c>
      <c r="AC726" s="9">
        <f t="shared" ca="1" si="2018"/>
        <v>2218</v>
      </c>
      <c r="AD726" s="9">
        <f t="shared" ca="1" si="2018"/>
        <v>0</v>
      </c>
      <c r="AE726" s="9">
        <f t="shared" ca="1" si="2018"/>
        <v>2218</v>
      </c>
      <c r="AF726" s="9">
        <f t="shared" ca="1" si="2018"/>
        <v>3001</v>
      </c>
      <c r="AG726" s="9">
        <f t="shared" ca="1" si="2018"/>
        <v>0</v>
      </c>
      <c r="AH726" s="9">
        <f t="shared" ca="1" si="2018"/>
        <v>3001</v>
      </c>
      <c r="AI726" s="9">
        <f t="shared" ca="1" si="2018"/>
        <v>5219</v>
      </c>
      <c r="AJ726" s="11">
        <f t="shared" ca="1" si="2005"/>
        <v>188.78119999999998</v>
      </c>
      <c r="AK726" s="8">
        <f t="shared" si="2014"/>
        <v>5887</v>
      </c>
      <c r="AL726" s="12">
        <f t="shared" ca="1" si="2006"/>
        <v>0.88652964158314929</v>
      </c>
      <c r="AM726" s="13">
        <f t="shared" si="2015"/>
        <v>1.5</v>
      </c>
      <c r="AN726" s="12">
        <f t="shared" ca="1" si="2007"/>
        <v>0.61435025192009474</v>
      </c>
      <c r="AO726" s="14">
        <f t="shared" ca="1" si="2008"/>
        <v>0.9215253778801421</v>
      </c>
      <c r="AP726" s="13">
        <f t="shared" ref="AP726:AQ726" ca="1" si="2019">SUM(T717)</f>
        <v>228.43804453049367</v>
      </c>
      <c r="AQ726" s="13">
        <f t="shared" ca="1" si="2019"/>
        <v>7.6146014843497891</v>
      </c>
      <c r="AR726" s="9">
        <f t="shared" ca="1" si="2010"/>
        <v>173.96666666666667</v>
      </c>
      <c r="AS726" s="76"/>
      <c r="AT726" s="76"/>
    </row>
    <row r="727" spans="1:46" ht="15.75" customHeight="1" x14ac:dyDescent="0.2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6"/>
      <c r="X727" s="8">
        <v>5</v>
      </c>
      <c r="Y727" s="8" t="s">
        <v>39</v>
      </c>
      <c r="Z727" s="8">
        <f t="shared" ref="Z727:AI727" si="2020">SUM(D718)</f>
        <v>28</v>
      </c>
      <c r="AA727" s="9">
        <f t="shared" ca="1" si="2020"/>
        <v>28</v>
      </c>
      <c r="AB727" s="10">
        <f t="shared" ca="1" si="2020"/>
        <v>5468.7</v>
      </c>
      <c r="AC727" s="9">
        <f t="shared" ca="1" si="2020"/>
        <v>1195</v>
      </c>
      <c r="AD727" s="9">
        <f t="shared" ca="1" si="2020"/>
        <v>0</v>
      </c>
      <c r="AE727" s="9">
        <f t="shared" ca="1" si="2020"/>
        <v>1195</v>
      </c>
      <c r="AF727" s="9">
        <f t="shared" ca="1" si="2020"/>
        <v>1602</v>
      </c>
      <c r="AG727" s="9">
        <f t="shared" ca="1" si="2020"/>
        <v>228</v>
      </c>
      <c r="AH727" s="9">
        <f t="shared" ca="1" si="2020"/>
        <v>1830</v>
      </c>
      <c r="AI727" s="9">
        <f t="shared" ca="1" si="2020"/>
        <v>3025</v>
      </c>
      <c r="AJ727" s="11">
        <f t="shared" ca="1" si="2005"/>
        <v>195.31071428571428</v>
      </c>
      <c r="AK727" s="8">
        <f t="shared" si="2014"/>
        <v>3569</v>
      </c>
      <c r="AL727" s="12">
        <f t="shared" ca="1" si="2006"/>
        <v>0.84757635191930514</v>
      </c>
      <c r="AM727" s="13">
        <f t="shared" si="2015"/>
        <v>1.5</v>
      </c>
      <c r="AN727" s="12">
        <f t="shared" ca="1" si="2007"/>
        <v>0.3687652763301455</v>
      </c>
      <c r="AO727" s="14">
        <f t="shared" ca="1" si="2008"/>
        <v>0.55314791449521827</v>
      </c>
      <c r="AP727" s="13">
        <f t="shared" ref="AP727:AQ727" ca="1" si="2021">SUM(T718)</f>
        <v>254.7966267530168</v>
      </c>
      <c r="AQ727" s="13">
        <f t="shared" ca="1" si="2021"/>
        <v>9.0998795268934565</v>
      </c>
      <c r="AR727" s="9">
        <f t="shared" ca="1" si="2010"/>
        <v>108.03571428571429</v>
      </c>
      <c r="AS727" s="76"/>
      <c r="AT727" s="76"/>
    </row>
    <row r="728" spans="1:46" ht="15.75" customHeight="1" x14ac:dyDescent="0.2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6"/>
      <c r="X728" s="8">
        <v>6</v>
      </c>
      <c r="Y728" s="8" t="s">
        <v>41</v>
      </c>
      <c r="Z728" s="8">
        <f t="shared" ref="Z728:AI728" si="2022">SUM(D719)</f>
        <v>24</v>
      </c>
      <c r="AA728" s="9">
        <f t="shared" ca="1" si="2022"/>
        <v>24</v>
      </c>
      <c r="AB728" s="10">
        <f t="shared" ca="1" si="2022"/>
        <v>4793.152</v>
      </c>
      <c r="AC728" s="9">
        <f t="shared" ca="1" si="2022"/>
        <v>1051</v>
      </c>
      <c r="AD728" s="9">
        <f t="shared" ca="1" si="2022"/>
        <v>34</v>
      </c>
      <c r="AE728" s="9">
        <f t="shared" ca="1" si="2022"/>
        <v>1085</v>
      </c>
      <c r="AF728" s="9">
        <f t="shared" ca="1" si="2022"/>
        <v>1211</v>
      </c>
      <c r="AG728" s="9">
        <f t="shared" ca="1" si="2022"/>
        <v>471</v>
      </c>
      <c r="AH728" s="9">
        <f t="shared" ca="1" si="2022"/>
        <v>1682</v>
      </c>
      <c r="AI728" s="9">
        <f t="shared" ca="1" si="2022"/>
        <v>2767</v>
      </c>
      <c r="AJ728" s="11">
        <f t="shared" ca="1" si="2005"/>
        <v>199.71466666666666</v>
      </c>
      <c r="AK728" s="8">
        <f t="shared" si="2014"/>
        <v>3801</v>
      </c>
      <c r="AL728" s="12">
        <f t="shared" ca="1" si="2006"/>
        <v>0.72796632465140754</v>
      </c>
      <c r="AM728" s="13">
        <f t="shared" si="2015"/>
        <v>1.5</v>
      </c>
      <c r="AN728" s="12">
        <f t="shared" ca="1" si="2007"/>
        <v>0.38485461480601213</v>
      </c>
      <c r="AO728" s="14">
        <f t="shared" ca="1" si="2008"/>
        <v>0.57728192220901819</v>
      </c>
      <c r="AP728" s="13">
        <f t="shared" ref="AP728:AQ728" ca="1" si="2023">SUM(T719)</f>
        <v>161.77777777777777</v>
      </c>
      <c r="AQ728" s="13">
        <f t="shared" ca="1" si="2023"/>
        <v>6.7407407407407405</v>
      </c>
      <c r="AR728" s="9">
        <f t="shared" ca="1" si="2010"/>
        <v>115.29166666666667</v>
      </c>
      <c r="AS728" s="76"/>
      <c r="AT728" s="76"/>
    </row>
    <row r="729" spans="1:46" ht="15.75" customHeight="1" x14ac:dyDescent="0.25">
      <c r="A729" s="110" t="s">
        <v>45</v>
      </c>
      <c r="B729" s="76"/>
      <c r="C729" s="76"/>
      <c r="D729" s="75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24" t="s">
        <v>33</v>
      </c>
      <c r="Y729" s="24">
        <v>6</v>
      </c>
      <c r="Z729" s="24">
        <f t="shared" ref="Z729:AI729" si="2024">SUM(Z723:Z728)</f>
        <v>173</v>
      </c>
      <c r="AA729" s="25">
        <f t="shared" ca="1" si="2024"/>
        <v>173</v>
      </c>
      <c r="AB729" s="27">
        <f t="shared" ca="1" si="2024"/>
        <v>33787.851999999977</v>
      </c>
      <c r="AC729" s="25">
        <f t="shared" ca="1" si="2024"/>
        <v>13689</v>
      </c>
      <c r="AD729" s="25">
        <f t="shared" ca="1" si="2024"/>
        <v>74</v>
      </c>
      <c r="AE729" s="25">
        <f t="shared" ca="1" si="2024"/>
        <v>13763</v>
      </c>
      <c r="AF729" s="25">
        <f t="shared" ca="1" si="2024"/>
        <v>16669</v>
      </c>
      <c r="AG729" s="25">
        <f t="shared" ca="1" si="2024"/>
        <v>699</v>
      </c>
      <c r="AH729" s="25">
        <f t="shared" ca="1" si="2024"/>
        <v>17368</v>
      </c>
      <c r="AI729" s="25">
        <f t="shared" ca="1" si="2024"/>
        <v>31131</v>
      </c>
      <c r="AJ729" s="27">
        <f t="shared" ca="1" si="2005"/>
        <v>195.30550289017327</v>
      </c>
      <c r="AK729" s="24">
        <f>SUM(AK723:AK728)</f>
        <v>37031</v>
      </c>
      <c r="AL729" s="28">
        <f t="shared" ca="1" si="2006"/>
        <v>0.84067402986686834</v>
      </c>
      <c r="AM729" s="29">
        <v>1.5</v>
      </c>
      <c r="AN729" s="28">
        <f t="shared" ca="1" si="2007"/>
        <v>0.61424443317675281</v>
      </c>
      <c r="AO729" s="30">
        <f t="shared" ca="1" si="2008"/>
        <v>0.92136664976512928</v>
      </c>
      <c r="AP729" s="29">
        <f ca="1">SUM(AP723:AP728)</f>
        <v>1396.3417853987792</v>
      </c>
      <c r="AQ729" s="29">
        <f ca="1">AP729/AA729</f>
        <v>8.071339799992943</v>
      </c>
      <c r="AR729" s="25">
        <f t="shared" ca="1" si="2010"/>
        <v>179.94797687861271</v>
      </c>
      <c r="AS729" s="76"/>
      <c r="AT729" s="76"/>
    </row>
    <row r="730" spans="1:46" ht="15.75" customHeight="1" x14ac:dyDescent="0.2">
      <c r="A730" s="110" t="s">
        <v>45</v>
      </c>
      <c r="B730" s="76"/>
      <c r="C730" s="76"/>
      <c r="D730" s="75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7" t="s">
        <v>1</v>
      </c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9"/>
      <c r="AS730" s="76"/>
      <c r="AT730" s="76"/>
    </row>
    <row r="731" spans="1:46" ht="15.75" customHeight="1" x14ac:dyDescent="0.2">
      <c r="A731" s="109">
        <v>46231</v>
      </c>
      <c r="B731" s="80" t="s">
        <v>2</v>
      </c>
      <c r="C731" s="80" t="s">
        <v>3</v>
      </c>
      <c r="D731" s="80" t="s">
        <v>4</v>
      </c>
      <c r="E731" s="80" t="s">
        <v>5</v>
      </c>
      <c r="F731" s="81" t="s">
        <v>6</v>
      </c>
      <c r="G731" s="80" t="s">
        <v>7</v>
      </c>
      <c r="H731" s="80" t="s">
        <v>8</v>
      </c>
      <c r="I731" s="80" t="s">
        <v>9</v>
      </c>
      <c r="J731" s="80" t="s">
        <v>10</v>
      </c>
      <c r="K731" s="80" t="s">
        <v>11</v>
      </c>
      <c r="L731" s="80" t="s">
        <v>12</v>
      </c>
      <c r="M731" s="80" t="s">
        <v>13</v>
      </c>
      <c r="N731" s="81" t="s">
        <v>14</v>
      </c>
      <c r="O731" s="80" t="s">
        <v>15</v>
      </c>
      <c r="P731" s="80" t="s">
        <v>16</v>
      </c>
      <c r="Q731" s="80" t="s">
        <v>17</v>
      </c>
      <c r="R731" s="80" t="s">
        <v>18</v>
      </c>
      <c r="S731" s="106" t="s">
        <v>19</v>
      </c>
      <c r="T731" s="107" t="s">
        <v>20</v>
      </c>
      <c r="U731" s="107" t="s">
        <v>21</v>
      </c>
      <c r="V731" s="105" t="s">
        <v>22</v>
      </c>
      <c r="W731" s="76"/>
      <c r="X731" s="1" t="s">
        <v>2</v>
      </c>
      <c r="Y731" s="1" t="s">
        <v>3</v>
      </c>
      <c r="Z731" s="1" t="s">
        <v>4</v>
      </c>
      <c r="AA731" s="1" t="s">
        <v>5</v>
      </c>
      <c r="AB731" s="2" t="s">
        <v>6</v>
      </c>
      <c r="AC731" s="1" t="s">
        <v>7</v>
      </c>
      <c r="AD731" s="1" t="s">
        <v>8</v>
      </c>
      <c r="AE731" s="1" t="s">
        <v>9</v>
      </c>
      <c r="AF731" s="1" t="s">
        <v>10</v>
      </c>
      <c r="AG731" s="1" t="s">
        <v>11</v>
      </c>
      <c r="AH731" s="1" t="s">
        <v>12</v>
      </c>
      <c r="AI731" s="1" t="s">
        <v>13</v>
      </c>
      <c r="AJ731" s="2" t="s">
        <v>14</v>
      </c>
      <c r="AK731" s="1" t="s">
        <v>15</v>
      </c>
      <c r="AL731" s="1" t="s">
        <v>16</v>
      </c>
      <c r="AM731" s="3" t="s">
        <v>17</v>
      </c>
      <c r="AN731" s="4" t="s">
        <v>18</v>
      </c>
      <c r="AO731" s="5" t="s">
        <v>19</v>
      </c>
      <c r="AP731" s="6" t="s">
        <v>20</v>
      </c>
      <c r="AQ731" s="6" t="s">
        <v>21</v>
      </c>
      <c r="AR731" s="7" t="s">
        <v>22</v>
      </c>
      <c r="AS731" s="76"/>
      <c r="AT731" s="76"/>
    </row>
    <row r="732" spans="1:46" ht="15.75" customHeight="1" x14ac:dyDescent="0.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6"/>
      <c r="X732" s="8">
        <v>1</v>
      </c>
      <c r="Y732" s="8" t="s">
        <v>23</v>
      </c>
      <c r="Z732" s="8">
        <f t="shared" ref="Z732:AI732" si="2025">SUM(D740)</f>
        <v>35</v>
      </c>
      <c r="AA732" s="9">
        <f t="shared" ca="1" si="2025"/>
        <v>34</v>
      </c>
      <c r="AB732" s="10">
        <f t="shared" ca="1" si="2025"/>
        <v>6781.7399999999898</v>
      </c>
      <c r="AC732" s="9">
        <f t="shared" ca="1" si="2025"/>
        <v>1762</v>
      </c>
      <c r="AD732" s="9">
        <f t="shared" ca="1" si="2025"/>
        <v>0</v>
      </c>
      <c r="AE732" s="9">
        <f t="shared" ca="1" si="2025"/>
        <v>1762</v>
      </c>
      <c r="AF732" s="9">
        <f t="shared" ca="1" si="2025"/>
        <v>3334</v>
      </c>
      <c r="AG732" s="9">
        <f t="shared" ca="1" si="2025"/>
        <v>0</v>
      </c>
      <c r="AH732" s="9">
        <f t="shared" ca="1" si="2025"/>
        <v>3334</v>
      </c>
      <c r="AI732" s="9">
        <f t="shared" ca="1" si="2025"/>
        <v>5096</v>
      </c>
      <c r="AJ732" s="11">
        <f t="shared" ref="AJ732:AJ734" ca="1" si="2026">AB732/AA732</f>
        <v>199.46294117647028</v>
      </c>
      <c r="AK732" s="8">
        <f>SUM(O740)</f>
        <v>6853</v>
      </c>
      <c r="AL732" s="12">
        <f t="shared" ref="AL732:AL738" ca="1" si="2027">AI732/AK732</f>
        <v>0.74361593462717057</v>
      </c>
      <c r="AM732" s="13">
        <f t="shared" ref="AM732:AM734" si="2028">SUM(Q740)</f>
        <v>1.5</v>
      </c>
      <c r="AN732" s="12">
        <f t="shared" ref="AN732:AN738" ca="1" si="2029">AO732/AM732</f>
        <v>0.5009530494140646</v>
      </c>
      <c r="AO732" s="14">
        <f t="shared" ref="AO732:AO738" ca="1" si="2030">AI732/AB732</f>
        <v>0.7514295741210969</v>
      </c>
      <c r="AP732" s="13">
        <f t="shared" ref="AP732:AQ732" ca="1" si="2031">SUM(T740)</f>
        <v>200.99999999999969</v>
      </c>
      <c r="AQ732" s="13">
        <f t="shared" ca="1" si="2031"/>
        <v>5.9117647058823435</v>
      </c>
      <c r="AR732" s="9">
        <f t="shared" ref="AR732:AR738" ca="1" si="2032">AI732/AA732</f>
        <v>149.88235294117646</v>
      </c>
      <c r="AS732" s="76"/>
      <c r="AT732" s="76"/>
    </row>
    <row r="733" spans="1:46" ht="15.75" customHeight="1" x14ac:dyDescent="0.2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6"/>
      <c r="X733" s="8">
        <v>2</v>
      </c>
      <c r="Y733" s="8" t="s">
        <v>24</v>
      </c>
      <c r="Z733" s="8">
        <f t="shared" ref="Z733:AI733" si="2033">SUM(D741)</f>
        <v>44</v>
      </c>
      <c r="AA733" s="9">
        <f t="shared" ca="1" si="2033"/>
        <v>43</v>
      </c>
      <c r="AB733" s="10">
        <f t="shared" ca="1" si="2033"/>
        <v>8211.6209999999901</v>
      </c>
      <c r="AC733" s="9">
        <f t="shared" ca="1" si="2033"/>
        <v>1073</v>
      </c>
      <c r="AD733" s="9">
        <f t="shared" ca="1" si="2033"/>
        <v>0</v>
      </c>
      <c r="AE733" s="9">
        <f t="shared" ca="1" si="2033"/>
        <v>1073</v>
      </c>
      <c r="AF733" s="9">
        <f t="shared" ca="1" si="2033"/>
        <v>1423</v>
      </c>
      <c r="AG733" s="9">
        <f t="shared" ca="1" si="2033"/>
        <v>0</v>
      </c>
      <c r="AH733" s="9">
        <f t="shared" ca="1" si="2033"/>
        <v>1423</v>
      </c>
      <c r="AI733" s="9">
        <f t="shared" ca="1" si="2033"/>
        <v>2496</v>
      </c>
      <c r="AJ733" s="11">
        <f t="shared" ca="1" si="2026"/>
        <v>190.9679302325579</v>
      </c>
      <c r="AK733" s="8">
        <v>1580</v>
      </c>
      <c r="AL733" s="15">
        <f t="shared" ca="1" si="2027"/>
        <v>1.579746835443038</v>
      </c>
      <c r="AM733" s="13">
        <f t="shared" si="2028"/>
        <v>1.5</v>
      </c>
      <c r="AN733" s="12">
        <f t="shared" ca="1" si="2029"/>
        <v>0.20263964934572629</v>
      </c>
      <c r="AO733" s="14">
        <f t="shared" ca="1" si="2030"/>
        <v>0.30395947401858942</v>
      </c>
      <c r="AP733" s="13">
        <f t="shared" ref="AP733:AQ733" ca="1" si="2034">SUM(T741)</f>
        <v>306.34661443760456</v>
      </c>
      <c r="AQ733" s="13">
        <f t="shared" ca="1" si="2034"/>
        <v>7.1243398706419665</v>
      </c>
      <c r="AR733" s="9">
        <f t="shared" ca="1" si="2032"/>
        <v>58.046511627906973</v>
      </c>
      <c r="AS733" s="76"/>
      <c r="AT733" s="76"/>
    </row>
    <row r="734" spans="1:46" ht="15.75" customHeight="1" x14ac:dyDescent="0.2">
      <c r="A734" s="70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6"/>
      <c r="X734" s="8">
        <v>3</v>
      </c>
      <c r="Y734" s="8" t="s">
        <v>25</v>
      </c>
      <c r="Z734" s="8">
        <f t="shared" ref="Z734:AI734" si="2035">SUM(D742)</f>
        <v>32</v>
      </c>
      <c r="AA734" s="9">
        <f t="shared" ca="1" si="2035"/>
        <v>32</v>
      </c>
      <c r="AB734" s="10">
        <f t="shared" ca="1" si="2035"/>
        <v>6196.6319999999996</v>
      </c>
      <c r="AC734" s="9">
        <f t="shared" ca="1" si="2035"/>
        <v>2405</v>
      </c>
      <c r="AD734" s="9">
        <f t="shared" ca="1" si="2035"/>
        <v>405</v>
      </c>
      <c r="AE734" s="9">
        <f t="shared" ca="1" si="2035"/>
        <v>2810</v>
      </c>
      <c r="AF734" s="9">
        <f t="shared" ca="1" si="2035"/>
        <v>3336</v>
      </c>
      <c r="AG734" s="9">
        <f t="shared" ca="1" si="2035"/>
        <v>469</v>
      </c>
      <c r="AH734" s="9">
        <f t="shared" ca="1" si="2035"/>
        <v>3805</v>
      </c>
      <c r="AI734" s="9">
        <f t="shared" ca="1" si="2035"/>
        <v>6615</v>
      </c>
      <c r="AJ734" s="11">
        <f t="shared" ca="1" si="2026"/>
        <v>193.64474999999999</v>
      </c>
      <c r="AK734" s="8">
        <f>SUM(O742)</f>
        <v>6622</v>
      </c>
      <c r="AL734" s="12">
        <f t="shared" ca="1" si="2027"/>
        <v>0.9989429175475687</v>
      </c>
      <c r="AM734" s="13">
        <f t="shared" si="2028"/>
        <v>1.5</v>
      </c>
      <c r="AN734" s="12">
        <f t="shared" ca="1" si="2029"/>
        <v>0.71167692385153736</v>
      </c>
      <c r="AO734" s="14">
        <f t="shared" ca="1" si="2030"/>
        <v>1.0675153857773061</v>
      </c>
      <c r="AP734" s="13">
        <f t="shared" ref="AP734:AQ734" ca="1" si="2036">SUM(T742)</f>
        <v>259.92583892617449</v>
      </c>
      <c r="AQ734" s="13">
        <f t="shared" ca="1" si="2036"/>
        <v>8.1226824664429529</v>
      </c>
      <c r="AR734" s="9">
        <f t="shared" ca="1" si="2032"/>
        <v>206.71875</v>
      </c>
      <c r="AS734" s="76"/>
      <c r="AT734" s="76"/>
    </row>
    <row r="735" spans="1:46" ht="15.75" customHeight="1" x14ac:dyDescent="0.25">
      <c r="A735" s="70"/>
      <c r="B735" s="16">
        <v>1</v>
      </c>
      <c r="C735" s="16" t="s">
        <v>26</v>
      </c>
      <c r="D735" s="17">
        <v>20</v>
      </c>
      <c r="E735" s="18">
        <f ca="1">IFERROR(__xludf.DUMMYFUNCTION("COUNT(IMPORTRANGE(""https://docs.google.com/spreadsheets/d/1z0o91thOT38lgejTE_Bd2p3v_9VCDdQRkUsMIVqpQCk/edit"",""28!d2:d21""))"),20)</f>
        <v>20</v>
      </c>
      <c r="F735" s="19">
        <f ca="1">IFERROR(__xludf.DUMMYFUNCTION("SUM(IMPORTRANGE(""https://docs.google.com/spreadsheets/d/1z0o91thOT38lgejTE_Bd2p3v_9VCDdQRkUsMIVqpQCk/edit"",""28!Q2:Q21""))"),3762.92699999999)</f>
        <v>3762.9269999999901</v>
      </c>
      <c r="G735" s="18">
        <f ca="1">IFERROR(__xludf.DUMMYFUNCTION("IMPORTRANGE(""https://docs.google.com/spreadsheets/d/1z0o91thOT38lgejTE_Bd2p3v_9VCDdQRkUsMIVqpQCk/edit"",""28!e28"")"),2021)</f>
        <v>2021</v>
      </c>
      <c r="H735" s="18">
        <f ca="1">IFERROR(__xludf.DUMMYFUNCTION("IMPORTRANGE(""https://docs.google.com/spreadsheets/d/1z0o91thOT38lgejTE_Bd2p3v_9VCDdQRkUsMIVqpQCk/edit"",""28!e29"")"),0)</f>
        <v>0</v>
      </c>
      <c r="I735" s="18">
        <f t="shared" ref="I735:I752" ca="1" si="2037">SUM(G735:H735)</f>
        <v>2021</v>
      </c>
      <c r="J735" s="18">
        <f ca="1">IFERROR(__xludf.DUMMYFUNCTION("IMPORTRANGE(""https://docs.google.com/spreadsheets/d/1z0o91thOT38lgejTE_Bd2p3v_9VCDdQRkUsMIVqpQCk/edit"",""28!e32"")"),2848)</f>
        <v>2848</v>
      </c>
      <c r="K735" s="18">
        <f ca="1">IFERROR(__xludf.DUMMYFUNCTION("IMPORTRANGE(""https://docs.google.com/spreadsheets/d/1z0o91thOT38lgejTE_Bd2p3v_9VCDdQRkUsMIVqpQCk/edit"",""28!e33"")"),0)</f>
        <v>0</v>
      </c>
      <c r="L735" s="18">
        <f t="shared" ref="L735:L741" ca="1" si="2038">SUM(J735:K735)</f>
        <v>2848</v>
      </c>
      <c r="M735" s="18">
        <f t="shared" ref="M735:M752" ca="1" si="2039">SUM(I735+L735)</f>
        <v>4869</v>
      </c>
      <c r="N735" s="19">
        <f t="shared" ref="N735:N753" ca="1" si="2040">F735/E735</f>
        <v>188.1463499999995</v>
      </c>
      <c r="O735" s="16">
        <v>5161</v>
      </c>
      <c r="P735" s="20">
        <f t="shared" ref="P735:P753" ca="1" si="2041">M735/O735</f>
        <v>0.94342181747723308</v>
      </c>
      <c r="Q735" s="21">
        <v>1.5</v>
      </c>
      <c r="R735" s="20">
        <f t="shared" ref="R735:R753" ca="1" si="2042">S735/Q735</f>
        <v>0.86262635443100777</v>
      </c>
      <c r="S735" s="22">
        <f t="shared" ref="S735:S753" ca="1" si="2043">M735/F735</f>
        <v>1.2939395316465117</v>
      </c>
      <c r="T735" s="21">
        <f ca="1">F735/14.415</f>
        <v>261.04245577523346</v>
      </c>
      <c r="U735" s="21">
        <f t="shared" ref="U735:U753" ca="1" si="2044">T735/E735</f>
        <v>13.052122788761674</v>
      </c>
      <c r="V735" s="18">
        <f t="shared" ref="V735:V753" ca="1" si="2045">M735/E735</f>
        <v>243.45</v>
      </c>
      <c r="W735" s="76"/>
      <c r="X735" s="8">
        <v>4</v>
      </c>
      <c r="Y735" s="8" t="s">
        <v>27</v>
      </c>
      <c r="Z735" s="8">
        <f t="shared" ref="Z735:AK735" si="2046">SUM(D748)</f>
        <v>30</v>
      </c>
      <c r="AA735" s="9">
        <f t="shared" ca="1" si="2046"/>
        <v>29</v>
      </c>
      <c r="AB735" s="10">
        <f t="shared" ca="1" si="2046"/>
        <v>5645.625</v>
      </c>
      <c r="AC735" s="9">
        <f t="shared" ca="1" si="2046"/>
        <v>2956</v>
      </c>
      <c r="AD735" s="9">
        <f t="shared" ca="1" si="2046"/>
        <v>0</v>
      </c>
      <c r="AE735" s="9">
        <f t="shared" ca="1" si="2046"/>
        <v>2956</v>
      </c>
      <c r="AF735" s="9">
        <f t="shared" ca="1" si="2046"/>
        <v>2968</v>
      </c>
      <c r="AG735" s="9">
        <f t="shared" ca="1" si="2046"/>
        <v>0</v>
      </c>
      <c r="AH735" s="9">
        <f t="shared" ca="1" si="2046"/>
        <v>2968</v>
      </c>
      <c r="AI735" s="9">
        <f t="shared" ca="1" si="2046"/>
        <v>5924</v>
      </c>
      <c r="AJ735" s="11">
        <f t="shared" ca="1" si="2046"/>
        <v>194.67672413793105</v>
      </c>
      <c r="AK735" s="8">
        <f t="shared" si="2046"/>
        <v>8101</v>
      </c>
      <c r="AL735" s="12">
        <f t="shared" ca="1" si="2027"/>
        <v>0.7312677447228737</v>
      </c>
      <c r="AM735" s="13">
        <f>SUM(Q748)</f>
        <v>1.5</v>
      </c>
      <c r="AN735" s="12">
        <f t="shared" ca="1" si="2029"/>
        <v>0.69953872836636044</v>
      </c>
      <c r="AO735" s="14">
        <f t="shared" ca="1" si="2030"/>
        <v>1.0493080925495406</v>
      </c>
      <c r="AP735" s="13">
        <f t="shared" ref="AP735:AQ735" ca="1" si="2047">SUM(T748)</f>
        <v>282.49311983987991</v>
      </c>
      <c r="AQ735" s="13">
        <f t="shared" ca="1" si="2047"/>
        <v>9.7411420634441352</v>
      </c>
      <c r="AR735" s="9">
        <f t="shared" ca="1" si="2032"/>
        <v>204.27586206896552</v>
      </c>
      <c r="AS735" s="76"/>
      <c r="AT735" s="76"/>
    </row>
    <row r="736" spans="1:46" ht="15.75" customHeight="1" x14ac:dyDescent="0.25">
      <c r="A736" s="70"/>
      <c r="B736" s="16">
        <v>2</v>
      </c>
      <c r="C736" s="16" t="s">
        <v>28</v>
      </c>
      <c r="D736" s="44">
        <v>33</v>
      </c>
      <c r="E736" s="18">
        <f ca="1">IFERROR(__xludf.DUMMYFUNCTION("COUNT(IMPORTRANGE(""https://docs.google.com/spreadsheets/d/10a85iNN0y9GF6ngQfF1JXGAzFk-T7ywH4-TZtQcOTaE/edit"",""28!d2:d34""))"),33)</f>
        <v>33</v>
      </c>
      <c r="F736" s="19">
        <f ca="1">IFERROR(__xludf.DUMMYFUNCTION("SUM(IMPORTRANGE(""https://docs.google.com/spreadsheets/d/10a85iNN0y9GF6ngQfF1JXGAzFk-T7ywH4-TZtQcOTaE/edit"",""28!Q2:Q34""))"),6188.96599999999)</f>
        <v>6188.9659999999903</v>
      </c>
      <c r="G736" s="18">
        <f ca="1">IFERROR(__xludf.DUMMYFUNCTION("IMPORTRANGE(""https://docs.google.com/spreadsheets/d/10a85iNN0y9GF6ngQfF1JXGAzFk-T7ywH4-TZtQcOTaE/edit"",""28!e41"")"),2559)</f>
        <v>2559</v>
      </c>
      <c r="H736" s="18">
        <f ca="1">IFERROR(__xludf.DUMMYFUNCTION("IMPORTRANGE(""https://docs.google.com/spreadsheets/d/10a85iNN0y9GF6ngQfF1JXGAzFk-T7ywH4-TZtQcOTaE/edit"",""28!e42"")"),240)</f>
        <v>240</v>
      </c>
      <c r="I736" s="18">
        <f t="shared" ca="1" si="2037"/>
        <v>2799</v>
      </c>
      <c r="J736" s="18">
        <f ca="1">IFERROR(__xludf.DUMMYFUNCTION("IMPORTRANGE(""https://docs.google.com/spreadsheets/d/10a85iNN0y9GF6ngQfF1JXGAzFk-T7ywH4-TZtQcOTaE/edit"",""28!e45"")"),3073)</f>
        <v>3073</v>
      </c>
      <c r="K736" s="18">
        <f ca="1">IFERROR(__xludf.DUMMYFUNCTION("IMPORTRANGE(""https://docs.google.com/spreadsheets/d/10a85iNN0y9GF6ngQfF1JXGAzFk-T7ywH4-TZtQcOTaE/edit"",""28!e46"")"),136)</f>
        <v>136</v>
      </c>
      <c r="L736" s="18">
        <f t="shared" ca="1" si="2038"/>
        <v>3209</v>
      </c>
      <c r="M736" s="18">
        <f t="shared" ca="1" si="2039"/>
        <v>6008</v>
      </c>
      <c r="N736" s="19">
        <f t="shared" ca="1" si="2040"/>
        <v>187.54442424242396</v>
      </c>
      <c r="O736" s="16">
        <v>7315</v>
      </c>
      <c r="P736" s="20">
        <f t="shared" ca="1" si="2041"/>
        <v>0.8213260423786739</v>
      </c>
      <c r="Q736" s="21">
        <v>1.5</v>
      </c>
      <c r="R736" s="20">
        <f t="shared" ca="1" si="2042"/>
        <v>0.64717326502251582</v>
      </c>
      <c r="S736" s="22">
        <f t="shared" ca="1" si="2043"/>
        <v>0.97075989753377367</v>
      </c>
      <c r="T736" s="21">
        <f ca="1">F736/30.897</f>
        <v>200.3096093471855</v>
      </c>
      <c r="U736" s="21">
        <f t="shared" ca="1" si="2044"/>
        <v>6.0699881620359246</v>
      </c>
      <c r="V736" s="18">
        <f t="shared" ca="1" si="2045"/>
        <v>182.06060606060606</v>
      </c>
      <c r="W736" s="76"/>
      <c r="X736" s="8">
        <v>5</v>
      </c>
      <c r="Y736" s="8" t="s">
        <v>29</v>
      </c>
      <c r="Z736" s="8">
        <f t="shared" ref="Z736:AI736" si="2048">SUM(D751)</f>
        <v>30</v>
      </c>
      <c r="AA736" s="9">
        <f t="shared" ca="1" si="2048"/>
        <v>30</v>
      </c>
      <c r="AB736" s="10">
        <f t="shared" ca="1" si="2048"/>
        <v>6040.8159999999998</v>
      </c>
      <c r="AC736" s="9">
        <f t="shared" ca="1" si="2048"/>
        <v>2814</v>
      </c>
      <c r="AD736" s="9">
        <f t="shared" ca="1" si="2048"/>
        <v>0</v>
      </c>
      <c r="AE736" s="9">
        <f t="shared" ca="1" si="2048"/>
        <v>2814</v>
      </c>
      <c r="AF736" s="9">
        <f t="shared" ca="1" si="2048"/>
        <v>4452</v>
      </c>
      <c r="AG736" s="9">
        <f t="shared" ca="1" si="2048"/>
        <v>0</v>
      </c>
      <c r="AH736" s="9">
        <f t="shared" ca="1" si="2048"/>
        <v>4452</v>
      </c>
      <c r="AI736" s="9">
        <f t="shared" ca="1" si="2048"/>
        <v>7266</v>
      </c>
      <c r="AJ736" s="11">
        <f t="shared" ref="AJ736:AJ738" ca="1" si="2049">AB736/AA736</f>
        <v>201.36053333333334</v>
      </c>
      <c r="AK736" s="8">
        <f t="shared" ref="AK736:AK737" si="2050">SUM(O751)</f>
        <v>9201</v>
      </c>
      <c r="AL736" s="12">
        <f t="shared" ca="1" si="2027"/>
        <v>0.78969677208999023</v>
      </c>
      <c r="AM736" s="13">
        <f t="shared" ref="AM736:AM737" si="2051">SUM(Q751)</f>
        <v>1.5</v>
      </c>
      <c r="AN736" s="12">
        <f t="shared" ca="1" si="2029"/>
        <v>0.80187842172315793</v>
      </c>
      <c r="AO736" s="14">
        <f t="shared" ca="1" si="2030"/>
        <v>1.2028176325847368</v>
      </c>
      <c r="AP736" s="13">
        <f t="shared" ref="AP736:AQ736" ca="1" si="2052">SUM(T751)</f>
        <v>232</v>
      </c>
      <c r="AQ736" s="13">
        <f t="shared" ca="1" si="2052"/>
        <v>7.7333333333333334</v>
      </c>
      <c r="AR736" s="9">
        <f t="shared" ca="1" si="2032"/>
        <v>242.2</v>
      </c>
      <c r="AS736" s="76"/>
      <c r="AT736" s="76"/>
    </row>
    <row r="737" spans="1:46" ht="15.75" customHeight="1" x14ac:dyDescent="0.25">
      <c r="A737" s="70"/>
      <c r="B737" s="16">
        <v>3</v>
      </c>
      <c r="C737" s="16" t="s">
        <v>30</v>
      </c>
      <c r="D737" s="44">
        <v>60</v>
      </c>
      <c r="E737" s="18">
        <f ca="1">IFERROR(__xludf.DUMMYFUNCTION("COUNT(IMPORTRANGE(""https://docs.google.com/spreadsheets/d/1WojVzHhpzodJL1e5UDHeu3A3u5MTSZwvxHu0BrwvL9w/edit"",""28!d2:d61""))"),59)</f>
        <v>59</v>
      </c>
      <c r="F737" s="23">
        <f ca="1">IFERROR(__xludf.DUMMYFUNCTION("SUM(IMPORTRANGE(""https://docs.google.com/spreadsheets/d/1WojVzHhpzodJL1e5UDHeu3A3u5MTSZwvxHu0BrwvL9w/edit"",""28!Q2:Q61""))"),11765.0059999999)</f>
        <v>11765.005999999899</v>
      </c>
      <c r="G737" s="18">
        <f ca="1">IFERROR(__xludf.DUMMYFUNCTION("IMPORTRANGE(""https://docs.google.com/spreadsheets/d/1WojVzHhpzodJL1e5UDHeu3A3u5MTSZwvxHu0BrwvL9w/edit"",""28!e68"")"),3840)</f>
        <v>3840</v>
      </c>
      <c r="H737" s="18">
        <f ca="1">IFERROR(__xludf.DUMMYFUNCTION("IMPORTRANGE(""https://docs.google.com/spreadsheets/d/1WojVzHhpzodJL1e5UDHeu3A3u5MTSZwvxHu0BrwvL9w/edit"",""28!e69"")"),51)</f>
        <v>51</v>
      </c>
      <c r="I737" s="18">
        <f t="shared" ca="1" si="2037"/>
        <v>3891</v>
      </c>
      <c r="J737" s="18">
        <f ca="1">IFERROR(__xludf.DUMMYFUNCTION("IMPORTRANGE(""https://docs.google.com/spreadsheets/d/1WojVzHhpzodJL1e5UDHeu3A3u5MTSZwvxHu0BrwvL9w/edit"",""28!e72"")"),5361)</f>
        <v>5361</v>
      </c>
      <c r="K737" s="18">
        <f ca="1">IFERROR(__xludf.DUMMYFUNCTION("IMPORTRANGE(""https://docs.google.com/spreadsheets/d/1WojVzHhpzodJL1e5UDHeu3A3u5MTSZwvxHu0BrwvL9w/edit"",""28!e73"")"),0)</f>
        <v>0</v>
      </c>
      <c r="L737" s="18">
        <f t="shared" ca="1" si="2038"/>
        <v>5361</v>
      </c>
      <c r="M737" s="18">
        <f t="shared" ca="1" si="2039"/>
        <v>9252</v>
      </c>
      <c r="N737" s="19">
        <f t="shared" ca="1" si="2040"/>
        <v>199.40688135593049</v>
      </c>
      <c r="O737" s="16">
        <v>11164</v>
      </c>
      <c r="P737" s="20">
        <f t="shared" ca="1" si="2041"/>
        <v>0.82873522035112868</v>
      </c>
      <c r="Q737" s="21">
        <v>1.5</v>
      </c>
      <c r="R737" s="20">
        <f t="shared" ca="1" si="2042"/>
        <v>0.52426662595837625</v>
      </c>
      <c r="S737" s="22">
        <f t="shared" ca="1" si="2043"/>
        <v>0.78639993893756444</v>
      </c>
      <c r="T737" s="21">
        <f ca="1">F737/29.603</f>
        <v>397.42613924264089</v>
      </c>
      <c r="U737" s="21">
        <f t="shared" ca="1" si="2044"/>
        <v>6.7360362583498459</v>
      </c>
      <c r="V737" s="18">
        <f t="shared" ca="1" si="2045"/>
        <v>156.81355932203391</v>
      </c>
      <c r="W737" s="76"/>
      <c r="X737" s="8">
        <v>6</v>
      </c>
      <c r="Y737" s="8" t="s">
        <v>31</v>
      </c>
      <c r="Z737" s="8">
        <f t="shared" ref="Z737:AI737" si="2053">SUM(D752)</f>
        <v>15</v>
      </c>
      <c r="AA737" s="9">
        <f t="shared" ca="1" si="2053"/>
        <v>14</v>
      </c>
      <c r="AB737" s="11">
        <f t="shared" ca="1" si="2053"/>
        <v>2868.69</v>
      </c>
      <c r="AC737" s="9">
        <f t="shared" ca="1" si="2053"/>
        <v>928</v>
      </c>
      <c r="AD737" s="9">
        <f t="shared" ca="1" si="2053"/>
        <v>0</v>
      </c>
      <c r="AE737" s="9">
        <f t="shared" ca="1" si="2053"/>
        <v>928</v>
      </c>
      <c r="AF737" s="9">
        <f t="shared" ca="1" si="2053"/>
        <v>1063</v>
      </c>
      <c r="AG737" s="9">
        <f t="shared" ca="1" si="2053"/>
        <v>0</v>
      </c>
      <c r="AH737" s="9">
        <f t="shared" ca="1" si="2053"/>
        <v>1063</v>
      </c>
      <c r="AI737" s="9">
        <f t="shared" ca="1" si="2053"/>
        <v>1991</v>
      </c>
      <c r="AJ737" s="11">
        <f t="shared" ca="1" si="2049"/>
        <v>204.90642857142856</v>
      </c>
      <c r="AK737" s="8">
        <f t="shared" si="2050"/>
        <v>2717</v>
      </c>
      <c r="AL737" s="12">
        <f t="shared" ca="1" si="2027"/>
        <v>0.73279352226720651</v>
      </c>
      <c r="AM737" s="13">
        <f t="shared" si="2051"/>
        <v>1.5</v>
      </c>
      <c r="AN737" s="12">
        <f t="shared" ca="1" si="2029"/>
        <v>0.46269667804235848</v>
      </c>
      <c r="AO737" s="14">
        <f t="shared" ca="1" si="2030"/>
        <v>0.69404501706353772</v>
      </c>
      <c r="AP737" s="13">
        <f t="shared" ref="AP737:AQ737" ca="1" si="2054">SUM(T752)</f>
        <v>66</v>
      </c>
      <c r="AQ737" s="13">
        <f t="shared" ca="1" si="2054"/>
        <v>4.7142857142857144</v>
      </c>
      <c r="AR737" s="9">
        <f t="shared" ca="1" si="2032"/>
        <v>142.21428571428572</v>
      </c>
      <c r="AS737" s="76"/>
      <c r="AT737" s="76"/>
    </row>
    <row r="738" spans="1:46" ht="15.75" customHeight="1" x14ac:dyDescent="0.25">
      <c r="A738" s="70"/>
      <c r="B738" s="16">
        <v>4</v>
      </c>
      <c r="C738" s="16" t="s">
        <v>32</v>
      </c>
      <c r="D738" s="44">
        <v>42</v>
      </c>
      <c r="E738" s="18">
        <f ca="1">IFERROR(__xludf.DUMMYFUNCTION("COUNT(IMPORTRANGE(""https://docs.google.com/spreadsheets/d/1vmCj5YcMSPHj1m64syDndQ6cqVL3yolcU03Y8KHmvdc/edit"",""28!d2:d43""))"),42)</f>
        <v>42</v>
      </c>
      <c r="F738" s="23">
        <f ca="1">IFERROR(__xludf.DUMMYFUNCTION("SUM(IMPORTRANGE(""https://docs.google.com/spreadsheets/d/1vmCj5YcMSPHj1m64syDndQ6cqVL3yolcU03Y8KHmvdc/edit"",""28!Q2:Q43""))"),8144.60399999999)</f>
        <v>8144.6039999999903</v>
      </c>
      <c r="G738" s="16">
        <f ca="1">IFERROR(__xludf.DUMMYFUNCTION("IMPORTRANGE(""https://docs.google.com/spreadsheets/d/1vmCj5YcMSPHj1m64syDndQ6cqVL3yolcU03Y8KHmvdc/edit"",""28!e50"")"),4689)</f>
        <v>4689</v>
      </c>
      <c r="H738" s="16">
        <f ca="1">IFERROR(__xludf.DUMMYFUNCTION("IMPORTRANGE(""https://docs.google.com/spreadsheets/d/1vmCj5YcMSPHj1m64syDndQ6cqVL3yolcU03Y8KHmvdc/edit"",""28!e51"")"),0)</f>
        <v>0</v>
      </c>
      <c r="I738" s="18">
        <f t="shared" ca="1" si="2037"/>
        <v>4689</v>
      </c>
      <c r="J738" s="16">
        <f ca="1">IFERROR(__xludf.DUMMYFUNCTION("IMPORTRANGE(""https://docs.google.com/spreadsheets/d/1vmCj5YcMSPHj1m64syDndQ6cqVL3yolcU03Y8KHmvdc/edit"",""28!e54"")"),5889)</f>
        <v>5889</v>
      </c>
      <c r="K738" s="16">
        <f ca="1">IFERROR(__xludf.DUMMYFUNCTION("IMPORTRANGE(""https://docs.google.com/spreadsheets/d/1vmCj5YcMSPHj1m64syDndQ6cqVL3yolcU03Y8KHmvdc/edit"",""28!e55"")"),0)</f>
        <v>0</v>
      </c>
      <c r="L738" s="18">
        <f t="shared" ca="1" si="2038"/>
        <v>5889</v>
      </c>
      <c r="M738" s="18">
        <f t="shared" ca="1" si="2039"/>
        <v>10578</v>
      </c>
      <c r="N738" s="19">
        <f t="shared" ca="1" si="2040"/>
        <v>193.91914285714262</v>
      </c>
      <c r="O738" s="16">
        <v>13817</v>
      </c>
      <c r="P738" s="20">
        <f t="shared" ca="1" si="2041"/>
        <v>0.76557863501483681</v>
      </c>
      <c r="Q738" s="21">
        <v>1.5</v>
      </c>
      <c r="R738" s="20">
        <f t="shared" ca="1" si="2042"/>
        <v>0.86584934025030658</v>
      </c>
      <c r="S738" s="22">
        <f t="shared" ca="1" si="2043"/>
        <v>1.2987740103754599</v>
      </c>
      <c r="T738" s="21">
        <f ca="1">F738/25.089</f>
        <v>324.62848260193675</v>
      </c>
      <c r="U738" s="21">
        <f t="shared" ca="1" si="2044"/>
        <v>7.7292495857603987</v>
      </c>
      <c r="V738" s="18">
        <f t="shared" ca="1" si="2045"/>
        <v>251.85714285714286</v>
      </c>
      <c r="W738" s="76"/>
      <c r="X738" s="24" t="s">
        <v>33</v>
      </c>
      <c r="Y738" s="24">
        <v>6</v>
      </c>
      <c r="Z738" s="24">
        <f t="shared" ref="Z738:AI738" si="2055">SUM(Z732:Z737)</f>
        <v>186</v>
      </c>
      <c r="AA738" s="25">
        <f t="shared" ca="1" si="2055"/>
        <v>182</v>
      </c>
      <c r="AB738" s="26">
        <f t="shared" ca="1" si="2055"/>
        <v>35745.123999999982</v>
      </c>
      <c r="AC738" s="25">
        <f t="shared" ca="1" si="2055"/>
        <v>11938</v>
      </c>
      <c r="AD738" s="25">
        <f t="shared" ca="1" si="2055"/>
        <v>405</v>
      </c>
      <c r="AE738" s="25">
        <f t="shared" ca="1" si="2055"/>
        <v>12343</v>
      </c>
      <c r="AF738" s="25">
        <f t="shared" ca="1" si="2055"/>
        <v>16576</v>
      </c>
      <c r="AG738" s="25">
        <f t="shared" ca="1" si="2055"/>
        <v>469</v>
      </c>
      <c r="AH738" s="25">
        <f t="shared" ca="1" si="2055"/>
        <v>17045</v>
      </c>
      <c r="AI738" s="25">
        <f t="shared" ca="1" si="2055"/>
        <v>29388</v>
      </c>
      <c r="AJ738" s="27">
        <f t="shared" ca="1" si="2049"/>
        <v>196.40178021978011</v>
      </c>
      <c r="AK738" s="24">
        <f>SUM(AK732:AK737)</f>
        <v>35074</v>
      </c>
      <c r="AL738" s="28">
        <f t="shared" ca="1" si="2027"/>
        <v>0.8378856132747905</v>
      </c>
      <c r="AM738" s="29">
        <v>1.5</v>
      </c>
      <c r="AN738" s="28">
        <f t="shared" ca="1" si="2029"/>
        <v>0.54810272864069542</v>
      </c>
      <c r="AO738" s="30">
        <f t="shared" ca="1" si="2030"/>
        <v>0.82215409296104314</v>
      </c>
      <c r="AP738" s="29">
        <f ca="1">SUM(AP732:AP737)</f>
        <v>1347.7655732036587</v>
      </c>
      <c r="AQ738" s="29">
        <f ca="1">AP738/AA738</f>
        <v>7.4053053472728498</v>
      </c>
      <c r="AR738" s="25">
        <f t="shared" ca="1" si="2032"/>
        <v>161.47252747252747</v>
      </c>
      <c r="AS738" s="76"/>
      <c r="AT738" s="76"/>
    </row>
    <row r="739" spans="1:46" ht="15.75" customHeight="1" x14ac:dyDescent="0.25">
      <c r="A739" s="70"/>
      <c r="B739" s="16">
        <v>5</v>
      </c>
      <c r="C739" s="16" t="s">
        <v>34</v>
      </c>
      <c r="D739" s="44">
        <v>40</v>
      </c>
      <c r="E739" s="18">
        <f ca="1">IFERROR(__xludf.DUMMYFUNCTION("COUNT(IMPORTRANGE(""https://docs.google.com/spreadsheets/d/14_Y-fpuq1wcec3DlT_1PBYekOC0YblQMrWVfO12YO3k/edit"",""28!d2:d41""))"),40)</f>
        <v>40</v>
      </c>
      <c r="F739" s="23">
        <f ca="1">IFERROR(__xludf.DUMMYFUNCTION("SUM(IMPORTRANGE(""https://docs.google.com/spreadsheets/d/14_Y-fpuq1wcec3DlT_1PBYekOC0YblQMrWVfO12YO3k/edit"",""28!Q2:Q41""))"),8022.201)</f>
        <v>8022.201</v>
      </c>
      <c r="G739" s="18">
        <f ca="1">IFERROR(__xludf.DUMMYFUNCTION("IMPORTRANGE(""https://docs.google.com/spreadsheets/d/14_Y-fpuq1wcec3DlT_1PBYekOC0YblQMrWVfO12YO3k/edit"",""28!e48"")"),3277)</f>
        <v>3277</v>
      </c>
      <c r="H739" s="18">
        <f ca="1">IFERROR(__xludf.DUMMYFUNCTION("IMPORTRANGE(""https://docs.google.com/spreadsheets/d/14_Y-fpuq1wcec3DlT_1PBYekOC0YblQMrWVfO12YO3k/edit"",""28!e49"")"),0)</f>
        <v>0</v>
      </c>
      <c r="I739" s="18">
        <f t="shared" ca="1" si="2037"/>
        <v>3277</v>
      </c>
      <c r="J739" s="18">
        <f ca="1">IFERROR(__xludf.DUMMYFUNCTION("IMPORTRANGE(""https://docs.google.com/spreadsheets/d/14_Y-fpuq1wcec3DlT_1PBYekOC0YblQMrWVfO12YO3k/edit"",""28!e52"")"),3380)</f>
        <v>3380</v>
      </c>
      <c r="K739" s="18">
        <f ca="1">IFERROR(__xludf.DUMMYFUNCTION("IMPORTRANGE(""https://docs.google.com/spreadsheets/d/14_Y-fpuq1wcec3DlT_1PBYekOC0YblQMrWVfO12YO3k/edit"",""28!e53"")"),88)</f>
        <v>88</v>
      </c>
      <c r="L739" s="18">
        <f t="shared" ca="1" si="2038"/>
        <v>3468</v>
      </c>
      <c r="M739" s="18">
        <f t="shared" ca="1" si="2039"/>
        <v>6745</v>
      </c>
      <c r="N739" s="19">
        <f t="shared" ca="1" si="2040"/>
        <v>200.555025</v>
      </c>
      <c r="O739" s="16">
        <v>9354</v>
      </c>
      <c r="P739" s="20">
        <f t="shared" ca="1" si="2041"/>
        <v>0.72108189010049173</v>
      </c>
      <c r="Q739" s="21">
        <v>1.5</v>
      </c>
      <c r="R739" s="20">
        <f t="shared" ca="1" si="2042"/>
        <v>0.56052779862617086</v>
      </c>
      <c r="S739" s="22">
        <f t="shared" ca="1" si="2043"/>
        <v>0.84079169793925634</v>
      </c>
      <c r="T739" s="21">
        <f ca="1">F739/30.713</f>
        <v>261.19887344121383</v>
      </c>
      <c r="U739" s="21">
        <f t="shared" ca="1" si="2044"/>
        <v>6.529971836030346</v>
      </c>
      <c r="V739" s="18">
        <f t="shared" ca="1" si="2045"/>
        <v>168.625</v>
      </c>
      <c r="W739" s="76"/>
      <c r="X739" s="100" t="s">
        <v>35</v>
      </c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9"/>
      <c r="AS739" s="76"/>
      <c r="AT739" s="76"/>
    </row>
    <row r="740" spans="1:46" ht="15.75" customHeight="1" x14ac:dyDescent="0.25">
      <c r="A740" s="70"/>
      <c r="B740" s="16">
        <v>6</v>
      </c>
      <c r="C740" s="16" t="s">
        <v>23</v>
      </c>
      <c r="D740" s="44">
        <v>35</v>
      </c>
      <c r="E740" s="18">
        <f ca="1">IFERROR(__xludf.DUMMYFUNCTION("COUNT(IMPORTRANGE(""https://docs.google.com/spreadsheets/d/1lJqjdj05V4LOXuBOiTdE65GV4ZITyx1cMLcDdcuoUnE/edit"",""28!d2:d36""))"),34)</f>
        <v>34</v>
      </c>
      <c r="F740" s="23">
        <f ca="1">IFERROR(__xludf.DUMMYFUNCTION("SUM(IMPORTRANGE(""https://docs.google.com/spreadsheets/d/1lJqjdj05V4LOXuBOiTdE65GV4ZITyx1cMLcDdcuoUnE/edit"",""28!Q2:Q36""))"),6781.73999999999)</f>
        <v>6781.7399999999898</v>
      </c>
      <c r="G740" s="18">
        <f ca="1">IFERROR(__xludf.DUMMYFUNCTION("IMPORTRANGE(""https://docs.google.com/spreadsheets/d/1lJqjdj05V4LOXuBOiTdE65GV4ZITyx1cMLcDdcuoUnE/edit"",""28!e43"")"),1762)</f>
        <v>1762</v>
      </c>
      <c r="H740" s="18">
        <f ca="1">IFERROR(__xludf.DUMMYFUNCTION("IMPORTRANGE(""https://docs.google.com/spreadsheets/d/1lJqjdj05V4LOXuBOiTdE65GV4ZITyx1cMLcDdcuoUnE/edit"",""28!e44"")"),0)</f>
        <v>0</v>
      </c>
      <c r="I740" s="18">
        <f t="shared" ca="1" si="2037"/>
        <v>1762</v>
      </c>
      <c r="J740" s="18">
        <f ca="1">IFERROR(__xludf.DUMMYFUNCTION("IMPORTRANGE(""https://docs.google.com/spreadsheets/d/1lJqjdj05V4LOXuBOiTdE65GV4ZITyx1cMLcDdcuoUnE/edit"",""28!e47"")"),3334)</f>
        <v>3334</v>
      </c>
      <c r="K740" s="18">
        <f ca="1">IFERROR(__xludf.DUMMYFUNCTION("IMPORTRANGE(""https://docs.google.com/spreadsheets/d/1lJqjdj05V4LOXuBOiTdE65GV4ZITyx1cMLcDdcuoUnE/edit"",""28!e48"")"),0)</f>
        <v>0</v>
      </c>
      <c r="L740" s="18">
        <f t="shared" ca="1" si="2038"/>
        <v>3334</v>
      </c>
      <c r="M740" s="18">
        <f t="shared" ca="1" si="2039"/>
        <v>5096</v>
      </c>
      <c r="N740" s="19">
        <f t="shared" ca="1" si="2040"/>
        <v>199.46294117647028</v>
      </c>
      <c r="O740" s="16">
        <v>6853</v>
      </c>
      <c r="P740" s="20">
        <f t="shared" ca="1" si="2041"/>
        <v>0.74361593462717057</v>
      </c>
      <c r="Q740" s="21">
        <v>1.5</v>
      </c>
      <c r="R740" s="20">
        <f t="shared" ca="1" si="2042"/>
        <v>0.5009530494140646</v>
      </c>
      <c r="S740" s="22">
        <f t="shared" ca="1" si="2043"/>
        <v>0.7514295741210969</v>
      </c>
      <c r="T740" s="21">
        <f ca="1">F740/33.74</f>
        <v>200.99999999999969</v>
      </c>
      <c r="U740" s="21">
        <f t="shared" ca="1" si="2044"/>
        <v>5.9117647058823435</v>
      </c>
      <c r="V740" s="18">
        <f t="shared" ca="1" si="2045"/>
        <v>149.88235294117646</v>
      </c>
      <c r="W740" s="76"/>
      <c r="X740" s="1" t="s">
        <v>2</v>
      </c>
      <c r="Y740" s="1" t="s">
        <v>3</v>
      </c>
      <c r="Z740" s="1" t="s">
        <v>4</v>
      </c>
      <c r="AA740" s="1" t="s">
        <v>5</v>
      </c>
      <c r="AB740" s="2" t="s">
        <v>6</v>
      </c>
      <c r="AC740" s="1" t="s">
        <v>7</v>
      </c>
      <c r="AD740" s="1" t="s">
        <v>8</v>
      </c>
      <c r="AE740" s="1" t="s">
        <v>9</v>
      </c>
      <c r="AF740" s="1" t="s">
        <v>10</v>
      </c>
      <c r="AG740" s="1" t="s">
        <v>11</v>
      </c>
      <c r="AH740" s="1" t="s">
        <v>12</v>
      </c>
      <c r="AI740" s="1" t="s">
        <v>13</v>
      </c>
      <c r="AJ740" s="2" t="s">
        <v>14</v>
      </c>
      <c r="AK740" s="1" t="s">
        <v>15</v>
      </c>
      <c r="AL740" s="1" t="s">
        <v>16</v>
      </c>
      <c r="AM740" s="3" t="s">
        <v>17</v>
      </c>
      <c r="AN740" s="4" t="s">
        <v>18</v>
      </c>
      <c r="AO740" s="5" t="s">
        <v>19</v>
      </c>
      <c r="AP740" s="6" t="s">
        <v>20</v>
      </c>
      <c r="AQ740" s="6" t="s">
        <v>21</v>
      </c>
      <c r="AR740" s="7" t="s">
        <v>22</v>
      </c>
      <c r="AS740" s="76"/>
      <c r="AT740" s="76"/>
    </row>
    <row r="741" spans="1:46" ht="15.75" customHeight="1" x14ac:dyDescent="0.25">
      <c r="A741" s="70"/>
      <c r="B741" s="16">
        <v>7</v>
      </c>
      <c r="C741" s="16" t="s">
        <v>24</v>
      </c>
      <c r="D741" s="44">
        <v>44</v>
      </c>
      <c r="E741" s="31">
        <f ca="1">IFERROR(__xludf.DUMMYFUNCTION("COUNT(IMPORTRANGE(""https://docs.google.com/spreadsheets/d/1_7EEO26q9Yq-XhNFiy7I6Zh4Yg6uGjTs9y0UqNvPKcQ/edit"",""28!d2:d45""))"),43)</f>
        <v>43</v>
      </c>
      <c r="F741" s="32">
        <f ca="1">IFERROR(__xludf.DUMMYFUNCTION("SUM(IMPORTRANGE(""https://docs.google.com/spreadsheets/d/1_7EEO26q9Yq-XhNFiy7I6Zh4Yg6uGjTs9y0UqNvPKcQ/edit"",""28!Q2:Q45""))"),8211.62099999999)</f>
        <v>8211.6209999999901</v>
      </c>
      <c r="G741" s="31">
        <f ca="1">IFERROR(__xludf.DUMMYFUNCTION("IMPORTRANGE(""https://docs.google.com/spreadsheets/d/1_7EEO26q9Yq-XhNFiy7I6Zh4Yg6uGjTs9y0UqNvPKcQ/edit"",""28!e53"")"),1073)</f>
        <v>1073</v>
      </c>
      <c r="H741" s="31">
        <f ca="1">IFERROR(__xludf.DUMMYFUNCTION("IMPORTRANGE(""https://docs.google.com/spreadsheets/d/1_7EEO26q9Yq-XhNFiy7I6Zh4Yg6uGjTs9y0UqNvPKcQ/edit"",""28!e54"")"),0)</f>
        <v>0</v>
      </c>
      <c r="I741" s="31">
        <f t="shared" ca="1" si="2037"/>
        <v>1073</v>
      </c>
      <c r="J741" s="31">
        <f ca="1">IFERROR(__xludf.DUMMYFUNCTION("IMPORTRANGE(""https://docs.google.com/spreadsheets/d/1_7EEO26q9Yq-XhNFiy7I6Zh4Yg6uGjTs9y0UqNvPKcQ/edit"",""28!e57"")"),1423)</f>
        <v>1423</v>
      </c>
      <c r="K741" s="31">
        <f ca="1">IFERROR(__xludf.DUMMYFUNCTION("IMPORTRANGE(""https://docs.google.com/spreadsheets/d/1_7EEO26q9Yq-XhNFiy7I6Zh4Yg6uGjTs9y0UqNvPKcQ/edit"",""28!e58"")"),0)</f>
        <v>0</v>
      </c>
      <c r="L741" s="18">
        <f t="shared" ca="1" si="2038"/>
        <v>1423</v>
      </c>
      <c r="M741" s="18">
        <f t="shared" ca="1" si="2039"/>
        <v>2496</v>
      </c>
      <c r="N741" s="19">
        <f t="shared" ca="1" si="2040"/>
        <v>190.9679302325579</v>
      </c>
      <c r="O741" s="16">
        <v>1580</v>
      </c>
      <c r="P741" s="33">
        <f t="shared" ca="1" si="2041"/>
        <v>1.579746835443038</v>
      </c>
      <c r="Q741" s="21">
        <v>1.5</v>
      </c>
      <c r="R741" s="20">
        <f t="shared" ca="1" si="2042"/>
        <v>0.20263964934572629</v>
      </c>
      <c r="S741" s="22">
        <f t="shared" ca="1" si="2043"/>
        <v>0.30395947401858942</v>
      </c>
      <c r="T741" s="21">
        <f ca="1">F741/26.805</f>
        <v>306.34661443760456</v>
      </c>
      <c r="U741" s="21">
        <f t="shared" ca="1" si="2044"/>
        <v>7.1243398706419665</v>
      </c>
      <c r="V741" s="18">
        <f t="shared" ca="1" si="2045"/>
        <v>58.046511627906973</v>
      </c>
      <c r="W741" s="76"/>
      <c r="X741" s="8">
        <v>1</v>
      </c>
      <c r="Y741" s="8" t="s">
        <v>28</v>
      </c>
      <c r="Z741" s="8">
        <f t="shared" ref="Z741:AI741" si="2056">SUM(D736)</f>
        <v>33</v>
      </c>
      <c r="AA741" s="9">
        <f t="shared" ca="1" si="2056"/>
        <v>33</v>
      </c>
      <c r="AB741" s="11">
        <f t="shared" ca="1" si="2056"/>
        <v>6188.9659999999903</v>
      </c>
      <c r="AC741" s="9">
        <f t="shared" ca="1" si="2056"/>
        <v>2559</v>
      </c>
      <c r="AD741" s="9">
        <f t="shared" ca="1" si="2056"/>
        <v>240</v>
      </c>
      <c r="AE741" s="9">
        <f t="shared" ca="1" si="2056"/>
        <v>2799</v>
      </c>
      <c r="AF741" s="9">
        <f t="shared" ca="1" si="2056"/>
        <v>3073</v>
      </c>
      <c r="AG741" s="9">
        <f t="shared" ca="1" si="2056"/>
        <v>136</v>
      </c>
      <c r="AH741" s="9">
        <f t="shared" ca="1" si="2056"/>
        <v>3209</v>
      </c>
      <c r="AI741" s="9">
        <f t="shared" ca="1" si="2056"/>
        <v>6008</v>
      </c>
      <c r="AJ741" s="11">
        <f t="shared" ref="AJ741:AJ747" ca="1" si="2057">AB741/AA741</f>
        <v>187.54442424242396</v>
      </c>
      <c r="AK741" s="8">
        <f t="shared" ref="AK741:AK742" si="2058">SUM(O736)</f>
        <v>7315</v>
      </c>
      <c r="AL741" s="12">
        <f t="shared" ref="AL741:AL747" ca="1" si="2059">AI741/AK741</f>
        <v>0.8213260423786739</v>
      </c>
      <c r="AM741" s="13">
        <f t="shared" ref="AM741:AM742" si="2060">SUM(Q736)</f>
        <v>1.5</v>
      </c>
      <c r="AN741" s="12">
        <f t="shared" ref="AN741:AN747" ca="1" si="2061">AO741/AM741</f>
        <v>0.64717326502251582</v>
      </c>
      <c r="AO741" s="14">
        <f t="shared" ref="AO741:AO747" ca="1" si="2062">AI741/AB741</f>
        <v>0.97075989753377367</v>
      </c>
      <c r="AP741" s="13">
        <f t="shared" ref="AP741:AQ741" ca="1" si="2063">SUM(T736)</f>
        <v>200.3096093471855</v>
      </c>
      <c r="AQ741" s="13">
        <f t="shared" ca="1" si="2063"/>
        <v>6.0699881620359246</v>
      </c>
      <c r="AR741" s="9">
        <f t="shared" ref="AR741:AR747" ca="1" si="2064">AI741/AA741</f>
        <v>182.06060606060606</v>
      </c>
      <c r="AS741" s="76"/>
      <c r="AT741" s="76"/>
    </row>
    <row r="742" spans="1:46" ht="15.75" customHeight="1" x14ac:dyDescent="0.25">
      <c r="A742" s="70"/>
      <c r="B742" s="16">
        <v>8</v>
      </c>
      <c r="C742" s="16" t="s">
        <v>25</v>
      </c>
      <c r="D742" s="45">
        <v>32</v>
      </c>
      <c r="E742" s="18">
        <f ca="1">IFERROR(__xludf.DUMMYFUNCTION("COUNT(IMPORTRANGE(""https://docs.google.com/spreadsheets/d/1vLOLpiE-XsbnCnwWPcoi87PlUSXfqIAAQn3kvqHfO6s/edit"",""28!d2:D33""))"),32)</f>
        <v>32</v>
      </c>
      <c r="F742" s="23">
        <f ca="1">IFERROR(__xludf.DUMMYFUNCTION("SUM(IMPORTRANGE(""https://docs.google.com/spreadsheets/d/1vLOLpiE-XsbnCnwWPcoi87PlUSXfqIAAQn3kvqHfO6s/edit"",""28!Q2:Q33""))"),6196.632)</f>
        <v>6196.6319999999996</v>
      </c>
      <c r="G742" s="18">
        <f ca="1">IFERROR(__xludf.DUMMYFUNCTION("IMPORTRANGE(""https://docs.google.com/spreadsheets/d/1vLOLpiE-XsbnCnwWPcoi87PlUSXfqIAAQn3kvqHfO6s/edit"",""28!e40"")"),2405)</f>
        <v>2405</v>
      </c>
      <c r="H742" s="18">
        <f ca="1">IFERROR(__xludf.DUMMYFUNCTION("IMPORTRANGE(""https://docs.google.com/spreadsheets/d/1vLOLpiE-XsbnCnwWPcoi87PlUSXfqIAAQn3kvqHfO6s/edit"",""28!e41"")"),405)</f>
        <v>405</v>
      </c>
      <c r="I742" s="18">
        <f t="shared" ca="1" si="2037"/>
        <v>2810</v>
      </c>
      <c r="J742" s="18">
        <f ca="1">IFERROR(__xludf.DUMMYFUNCTION("IMPORTRANGE(""https://docs.google.com/spreadsheets/d/1vLOLpiE-XsbnCnwWPcoi87PlUSXfqIAAQn3kvqHfO6s/edit"",""28!e44"")"),3336)</f>
        <v>3336</v>
      </c>
      <c r="K742" s="18">
        <f ca="1">IFERROR(__xludf.DUMMYFUNCTION("IMPORTRANGE(""https://docs.google.com/spreadsheets/d/1vLOLpiE-XsbnCnwWPcoi87PlUSXfqIAAQn3kvqHfO6s/edit"",""28!e45"")"),469)</f>
        <v>469</v>
      </c>
      <c r="L742" s="18">
        <f ca="1">J742+K742</f>
        <v>3805</v>
      </c>
      <c r="M742" s="18">
        <f t="shared" ca="1" si="2039"/>
        <v>6615</v>
      </c>
      <c r="N742" s="19">
        <f t="shared" ca="1" si="2040"/>
        <v>193.64474999999999</v>
      </c>
      <c r="O742" s="16">
        <v>6622</v>
      </c>
      <c r="P742" s="20">
        <f t="shared" ca="1" si="2041"/>
        <v>0.9989429175475687</v>
      </c>
      <c r="Q742" s="21">
        <v>1.5</v>
      </c>
      <c r="R742" s="20">
        <f t="shared" ca="1" si="2042"/>
        <v>0.71167692385153736</v>
      </c>
      <c r="S742" s="22">
        <f t="shared" ca="1" si="2043"/>
        <v>1.0675153857773061</v>
      </c>
      <c r="T742" s="21">
        <f ca="1">F742/23.84</f>
        <v>259.92583892617449</v>
      </c>
      <c r="U742" s="21">
        <f t="shared" ca="1" si="2044"/>
        <v>8.1226824664429529</v>
      </c>
      <c r="V742" s="18">
        <f t="shared" ca="1" si="2045"/>
        <v>206.71875</v>
      </c>
      <c r="W742" s="76"/>
      <c r="X742" s="8">
        <v>2</v>
      </c>
      <c r="Y742" s="8" t="s">
        <v>30</v>
      </c>
      <c r="Z742" s="8">
        <f t="shared" ref="Z742:AI742" si="2065">SUM(D737)</f>
        <v>60</v>
      </c>
      <c r="AA742" s="9">
        <f t="shared" ca="1" si="2065"/>
        <v>59</v>
      </c>
      <c r="AB742" s="10">
        <f t="shared" ca="1" si="2065"/>
        <v>11765.005999999899</v>
      </c>
      <c r="AC742" s="9">
        <f t="shared" ca="1" si="2065"/>
        <v>3840</v>
      </c>
      <c r="AD742" s="9">
        <f t="shared" ca="1" si="2065"/>
        <v>51</v>
      </c>
      <c r="AE742" s="9">
        <f t="shared" ca="1" si="2065"/>
        <v>3891</v>
      </c>
      <c r="AF742" s="9">
        <f t="shared" ca="1" si="2065"/>
        <v>5361</v>
      </c>
      <c r="AG742" s="9">
        <f t="shared" ca="1" si="2065"/>
        <v>0</v>
      </c>
      <c r="AH742" s="9">
        <f t="shared" ca="1" si="2065"/>
        <v>5361</v>
      </c>
      <c r="AI742" s="9">
        <f t="shared" ca="1" si="2065"/>
        <v>9252</v>
      </c>
      <c r="AJ742" s="11">
        <f t="shared" ca="1" si="2057"/>
        <v>199.40688135593049</v>
      </c>
      <c r="AK742" s="8">
        <f t="shared" si="2058"/>
        <v>11164</v>
      </c>
      <c r="AL742" s="12">
        <f t="shared" ca="1" si="2059"/>
        <v>0.82873522035112868</v>
      </c>
      <c r="AM742" s="13">
        <f t="shared" si="2060"/>
        <v>1.5</v>
      </c>
      <c r="AN742" s="12">
        <f t="shared" ca="1" si="2061"/>
        <v>0.52426662595837625</v>
      </c>
      <c r="AO742" s="14">
        <f t="shared" ca="1" si="2062"/>
        <v>0.78639993893756444</v>
      </c>
      <c r="AP742" s="13">
        <f t="shared" ref="AP742:AQ742" ca="1" si="2066">SUM(T737)</f>
        <v>397.42613924264089</v>
      </c>
      <c r="AQ742" s="13">
        <f t="shared" ca="1" si="2066"/>
        <v>6.7360362583498459</v>
      </c>
      <c r="AR742" s="9">
        <f t="shared" ca="1" si="2064"/>
        <v>156.81355932203391</v>
      </c>
      <c r="AS742" s="76"/>
      <c r="AT742" s="76"/>
    </row>
    <row r="743" spans="1:46" ht="15.75" customHeight="1" x14ac:dyDescent="0.25">
      <c r="A743" s="70"/>
      <c r="B743" s="16">
        <v>9</v>
      </c>
      <c r="C743" s="16" t="s">
        <v>36</v>
      </c>
      <c r="D743" s="45">
        <v>29</v>
      </c>
      <c r="E743" s="18">
        <f ca="1">IFERROR(__xludf.DUMMYFUNCTION("COUNT(IMPORTRANGE(""https://docs.google.com/spreadsheets/d/1WJJVq25XDtGjt-J2JPxeKs3jIvDZtkIREC0lFPXwf74/edit"",""28!d2:d31""))"),29)</f>
        <v>29</v>
      </c>
      <c r="F743" s="23">
        <f ca="1">IFERROR(__xludf.DUMMYFUNCTION("SUM(IMPORTRANGE(""https://docs.google.com/spreadsheets/d/1WJJVq25XDtGjt-J2JPxeKs3jIvDZtkIREC0lFPXwf74/edit"",""28!Q2:Q31""))"),5791.19)</f>
        <v>5791.19</v>
      </c>
      <c r="G743" s="18">
        <f ca="1">IFERROR(__xludf.DUMMYFUNCTION("IMPORTRANGE(""https://docs.google.com/spreadsheets/d/1WJJVq25XDtGjt-J2JPxeKs3jIvDZtkIREC0lFPXwf74/edit"",""28!e38"")"),2334)</f>
        <v>2334</v>
      </c>
      <c r="H743" s="18">
        <f ca="1">IFERROR(__xludf.DUMMYFUNCTION("IMPORTRANGE(""https://docs.google.com/spreadsheets/d/1WJJVq25XDtGjt-J2JPxeKs3jIvDZtkIREC0lFPXwf74/edit"",""28!e39"")"),0)</f>
        <v>0</v>
      </c>
      <c r="I743" s="18">
        <f t="shared" ca="1" si="2037"/>
        <v>2334</v>
      </c>
      <c r="J743" s="18">
        <f ca="1">IFERROR(__xludf.DUMMYFUNCTION("IMPORTRANGE(""https://docs.google.com/spreadsheets/d/1WJJVq25XDtGjt-J2JPxeKs3jIvDZtkIREC0lFPXwf74/edit"",""28!e42"")"),1670)</f>
        <v>1670</v>
      </c>
      <c r="K743" s="18">
        <f ca="1">IFERROR(__xludf.DUMMYFUNCTION("IMPORTRANGE(""https://docs.google.com/spreadsheets/d/1WJJVq25XDtGjt-J2JPxeKs3jIvDZtkIREC0lFPXwf74/edit"",""28!e43"")"),0)</f>
        <v>0</v>
      </c>
      <c r="L743" s="18">
        <f t="shared" ref="L743:L752" ca="1" si="2067">SUM(J743:K743)</f>
        <v>1670</v>
      </c>
      <c r="M743" s="18">
        <f t="shared" ca="1" si="2039"/>
        <v>4004</v>
      </c>
      <c r="N743" s="19">
        <f t="shared" ca="1" si="2040"/>
        <v>199.6962068965517</v>
      </c>
      <c r="O743" s="16">
        <v>4796</v>
      </c>
      <c r="P743" s="20">
        <f t="shared" ca="1" si="2041"/>
        <v>0.83486238532110091</v>
      </c>
      <c r="Q743" s="21">
        <v>1.5</v>
      </c>
      <c r="R743" s="20">
        <f t="shared" ca="1" si="2042"/>
        <v>0.46093002186654791</v>
      </c>
      <c r="S743" s="22">
        <f t="shared" ca="1" si="2043"/>
        <v>0.69139503279982184</v>
      </c>
      <c r="T743" s="21">
        <f ca="1">F743/37.414</f>
        <v>154.78671085689848</v>
      </c>
      <c r="U743" s="21">
        <f t="shared" ca="1" si="2044"/>
        <v>5.3374727881689132</v>
      </c>
      <c r="V743" s="18">
        <f t="shared" ca="1" si="2045"/>
        <v>138.06896551724137</v>
      </c>
      <c r="W743" s="76"/>
      <c r="X743" s="8">
        <v>3</v>
      </c>
      <c r="Y743" s="8" t="s">
        <v>34</v>
      </c>
      <c r="Z743" s="8">
        <f t="shared" ref="Z743:AI743" si="2068">SUM(D739)</f>
        <v>40</v>
      </c>
      <c r="AA743" s="9">
        <f t="shared" ca="1" si="2068"/>
        <v>40</v>
      </c>
      <c r="AB743" s="10">
        <f t="shared" ca="1" si="2068"/>
        <v>8022.201</v>
      </c>
      <c r="AC743" s="9">
        <f t="shared" ca="1" si="2068"/>
        <v>3277</v>
      </c>
      <c r="AD743" s="9">
        <f t="shared" ca="1" si="2068"/>
        <v>0</v>
      </c>
      <c r="AE743" s="9">
        <f t="shared" ca="1" si="2068"/>
        <v>3277</v>
      </c>
      <c r="AF743" s="9">
        <f t="shared" ca="1" si="2068"/>
        <v>3380</v>
      </c>
      <c r="AG743" s="9">
        <f t="shared" ca="1" si="2068"/>
        <v>88</v>
      </c>
      <c r="AH743" s="9">
        <f t="shared" ca="1" si="2068"/>
        <v>3468</v>
      </c>
      <c r="AI743" s="9">
        <f t="shared" ca="1" si="2068"/>
        <v>6745</v>
      </c>
      <c r="AJ743" s="11">
        <f t="shared" ca="1" si="2057"/>
        <v>200.555025</v>
      </c>
      <c r="AK743" s="8">
        <f>SUM(O739)</f>
        <v>9354</v>
      </c>
      <c r="AL743" s="12">
        <f t="shared" ca="1" si="2059"/>
        <v>0.72108189010049173</v>
      </c>
      <c r="AM743" s="13">
        <f>SUM(Q739)</f>
        <v>1.5</v>
      </c>
      <c r="AN743" s="12">
        <f t="shared" ca="1" si="2061"/>
        <v>0.56052779862617086</v>
      </c>
      <c r="AO743" s="14">
        <f t="shared" ca="1" si="2062"/>
        <v>0.84079169793925634</v>
      </c>
      <c r="AP743" s="13">
        <f t="shared" ref="AP743:AQ743" ca="1" si="2069">SUM(T739)</f>
        <v>261.19887344121383</v>
      </c>
      <c r="AQ743" s="13">
        <f t="shared" ca="1" si="2069"/>
        <v>6.529971836030346</v>
      </c>
      <c r="AR743" s="9">
        <f t="shared" ca="1" si="2064"/>
        <v>168.625</v>
      </c>
      <c r="AS743" s="76"/>
      <c r="AT743" s="76"/>
    </row>
    <row r="744" spans="1:46" ht="15.75" customHeight="1" x14ac:dyDescent="0.25">
      <c r="A744" s="70"/>
      <c r="B744" s="16">
        <v>10</v>
      </c>
      <c r="C744" s="16" t="s">
        <v>37</v>
      </c>
      <c r="D744" s="44">
        <v>30</v>
      </c>
      <c r="E744" s="18">
        <f ca="1">IFERROR(__xludf.DUMMYFUNCTION("COUNT(IMPORTRANGE(""https://docs.google.com/spreadsheets/d/1rJyYfywRpWJW0zvDJHLOJtqUQqffoCGaqTVxxTDgV0k/edit"",""28!d2:d31""))"),28)</f>
        <v>28</v>
      </c>
      <c r="F744" s="23">
        <f ca="1">IFERROR(__xludf.DUMMYFUNCTION("SUM(IMPORTRANGE(""https://docs.google.com/spreadsheets/d/1rJyYfywRpWJW0zvDJHLOJtqUQqffoCGaqTVxxTDgV0k/edit"",""28!Q2:Q31""))"),5537.304)</f>
        <v>5537.3040000000001</v>
      </c>
      <c r="G744" s="18">
        <f ca="1">IFERROR(__xludf.DUMMYFUNCTION("(IMPORTRANGE(""https://docs.google.com/spreadsheets/d/1rJyYfywRpWJW0zvDJHLOJtqUQqffoCGaqTVxxTDgV0k/edit"",""28!e38""))"),2005)</f>
        <v>2005</v>
      </c>
      <c r="H744" s="18">
        <f ca="1">IFERROR(__xludf.DUMMYFUNCTION("(IMPORTRANGE(""https://docs.google.com/spreadsheets/d/1rJyYfywRpWJW0zvDJHLOJtqUQqffoCGaqTVxxTDgV0k/edit"",""28!e39""))"),0)</f>
        <v>0</v>
      </c>
      <c r="I744" s="18">
        <f t="shared" ca="1" si="2037"/>
        <v>2005</v>
      </c>
      <c r="J744" s="18">
        <f ca="1">IFERROR(__xludf.DUMMYFUNCTION("(IMPORTRANGE(""https://docs.google.com/spreadsheets/d/1rJyYfywRpWJW0zvDJHLOJtqUQqffoCGaqTVxxTDgV0k/edit"",""28!e42""))"),3202)</f>
        <v>3202</v>
      </c>
      <c r="K744" s="18">
        <f ca="1">IFERROR(__xludf.DUMMYFUNCTION("(IMPORTRANGE(""https://docs.google.com/spreadsheets/d/1rJyYfywRpWJW0zvDJHLOJtqUQqffoCGaqTVxxTDgV0k/edit"",""28!e43""))"),0)</f>
        <v>0</v>
      </c>
      <c r="L744" s="18">
        <f t="shared" ca="1" si="2067"/>
        <v>3202</v>
      </c>
      <c r="M744" s="18">
        <f t="shared" ca="1" si="2039"/>
        <v>5207</v>
      </c>
      <c r="N744" s="19">
        <f t="shared" ca="1" si="2040"/>
        <v>197.76085714285713</v>
      </c>
      <c r="O744" s="16">
        <v>5887</v>
      </c>
      <c r="P744" s="20">
        <f t="shared" ca="1" si="2041"/>
        <v>0.88449125191099032</v>
      </c>
      <c r="Q744" s="21">
        <v>1.5</v>
      </c>
      <c r="R744" s="20">
        <f t="shared" ca="1" si="2042"/>
        <v>0.62689954052248764</v>
      </c>
      <c r="S744" s="22">
        <f t="shared" ca="1" si="2043"/>
        <v>0.94034931078373152</v>
      </c>
      <c r="T744" s="21">
        <f ca="1">F744/24.792</f>
        <v>223.35043562439495</v>
      </c>
      <c r="U744" s="21">
        <f t="shared" ca="1" si="2044"/>
        <v>7.9768012722998192</v>
      </c>
      <c r="V744" s="18">
        <f t="shared" ca="1" si="2045"/>
        <v>185.96428571428572</v>
      </c>
      <c r="W744" s="76"/>
      <c r="X744" s="8">
        <v>4</v>
      </c>
      <c r="Y744" s="8" t="s">
        <v>38</v>
      </c>
      <c r="Z744" s="8">
        <f t="shared" ref="Z744:AI744" si="2070">SUM(D747)</f>
        <v>30</v>
      </c>
      <c r="AA744" s="9">
        <f t="shared" ca="1" si="2070"/>
        <v>30</v>
      </c>
      <c r="AB744" s="10">
        <f t="shared" ca="1" si="2070"/>
        <v>6470.2160000000003</v>
      </c>
      <c r="AC744" s="9">
        <f t="shared" ca="1" si="2070"/>
        <v>2321</v>
      </c>
      <c r="AD744" s="9">
        <f t="shared" ca="1" si="2070"/>
        <v>55</v>
      </c>
      <c r="AE744" s="9">
        <f t="shared" ca="1" si="2070"/>
        <v>2376</v>
      </c>
      <c r="AF744" s="9">
        <f t="shared" ca="1" si="2070"/>
        <v>3109</v>
      </c>
      <c r="AG744" s="9">
        <f t="shared" ca="1" si="2070"/>
        <v>492</v>
      </c>
      <c r="AH744" s="9">
        <f t="shared" ca="1" si="2070"/>
        <v>3601</v>
      </c>
      <c r="AI744" s="9">
        <f t="shared" ca="1" si="2070"/>
        <v>5977</v>
      </c>
      <c r="AJ744" s="11">
        <f t="shared" ca="1" si="2057"/>
        <v>215.67386666666667</v>
      </c>
      <c r="AK744" s="8">
        <v>7324</v>
      </c>
      <c r="AL744" s="12">
        <f t="shared" ca="1" si="2059"/>
        <v>0.81608410704533041</v>
      </c>
      <c r="AM744" s="13">
        <f>SUM(Q747)</f>
        <v>1.5</v>
      </c>
      <c r="AN744" s="12">
        <f t="shared" ca="1" si="2061"/>
        <v>0.61584754924204488</v>
      </c>
      <c r="AO744" s="14">
        <f t="shared" ca="1" si="2062"/>
        <v>0.92377132386306726</v>
      </c>
      <c r="AP744" s="13">
        <f t="shared" ref="AP744:AQ744" ca="1" si="2071">SUM(T747)</f>
        <v>157.025021235287</v>
      </c>
      <c r="AQ744" s="13">
        <f t="shared" ca="1" si="2071"/>
        <v>5.2341673745095667</v>
      </c>
      <c r="AR744" s="9">
        <f t="shared" ca="1" si="2064"/>
        <v>199.23333333333332</v>
      </c>
      <c r="AS744" s="76"/>
      <c r="AT744" s="76"/>
    </row>
    <row r="745" spans="1:46" ht="15.75" customHeight="1" x14ac:dyDescent="0.25">
      <c r="A745" s="70"/>
      <c r="B745" s="16">
        <v>12</v>
      </c>
      <c r="C745" s="16" t="s">
        <v>39</v>
      </c>
      <c r="D745" s="44">
        <v>28</v>
      </c>
      <c r="E745" s="18">
        <f ca="1">IFERROR(__xludf.DUMMYFUNCTION("COUNT(IMPORTRANGE(""https://docs.google.com/spreadsheets/d/1uaTn2DZCfr7O1PvovOd0wElzVz8kpl_iPfnrkNPp0Is/edit"",""28!d2:d29""))"),28)</f>
        <v>28</v>
      </c>
      <c r="F745" s="23">
        <f ca="1">IFERROR(__xludf.DUMMYFUNCTION("SUM(IMPORTRANGE(""https://docs.google.com/spreadsheets/d/1uaTn2DZCfr7O1PvovOd0wElzVz8kpl_iPfnrkNPp0Is/edit"",""28!Q2:Q29""))"),5415.952)</f>
        <v>5415.9520000000002</v>
      </c>
      <c r="G745" s="18">
        <f ca="1">IFERROR(__xludf.DUMMYFUNCTION("IMPORTRANGE(""https://docs.google.com/spreadsheets/d/1uaTn2DZCfr7O1PvovOd0wElzVz8kpl_iPfnrkNPp0Is/edit"",""28!e36"")"),1188)</f>
        <v>1188</v>
      </c>
      <c r="H745" s="18">
        <f ca="1">IFERROR(__xludf.DUMMYFUNCTION("(IMPORTRANGE(""https://docs.google.com/spreadsheets/d/1uaTn2DZCfr7O1PvovOd0wElzVz8kpl_iPfnrkNPp0Is/edit"",""28!e37""))"),0)</f>
        <v>0</v>
      </c>
      <c r="I745" s="18">
        <f t="shared" ca="1" si="2037"/>
        <v>1188</v>
      </c>
      <c r="J745" s="18">
        <f ca="1">IFERROR(__xludf.DUMMYFUNCTION("IMPORTRANGE(""https://docs.google.com/spreadsheets/d/1uaTn2DZCfr7O1PvovOd0wElzVz8kpl_iPfnrkNPp0Is/edit"",""28!e40"")"),1542)</f>
        <v>1542</v>
      </c>
      <c r="K745" s="18">
        <f ca="1">IFERROR(__xludf.DUMMYFUNCTION("IMPORTRANGE(""https://docs.google.com/spreadsheets/d/1uaTn2DZCfr7O1PvovOd0wElzVz8kpl_iPfnrkNPp0Is/edit"",""28!e41"")"),323)</f>
        <v>323</v>
      </c>
      <c r="L745" s="18">
        <f t="shared" ca="1" si="2067"/>
        <v>1865</v>
      </c>
      <c r="M745" s="18">
        <f t="shared" ca="1" si="2039"/>
        <v>3053</v>
      </c>
      <c r="N745" s="19">
        <f t="shared" ca="1" si="2040"/>
        <v>193.42685714285716</v>
      </c>
      <c r="O745" s="16">
        <v>3569</v>
      </c>
      <c r="P745" s="20">
        <f t="shared" ca="1" si="2041"/>
        <v>0.85542168674698793</v>
      </c>
      <c r="Q745" s="21">
        <v>1.5</v>
      </c>
      <c r="R745" s="20">
        <f t="shared" ca="1" si="2042"/>
        <v>0.37580342908011982</v>
      </c>
      <c r="S745" s="22">
        <f t="shared" ca="1" si="2043"/>
        <v>0.56370514362017976</v>
      </c>
      <c r="T745" s="21">
        <f ca="1">F745/21.463</f>
        <v>252.3390020034478</v>
      </c>
      <c r="U745" s="21">
        <f t="shared" ca="1" si="2044"/>
        <v>9.0121072144088501</v>
      </c>
      <c r="V745" s="18">
        <f t="shared" ca="1" si="2045"/>
        <v>109.03571428571429</v>
      </c>
      <c r="W745" s="76"/>
      <c r="X745" s="8">
        <v>5</v>
      </c>
      <c r="Y745" s="8" t="s">
        <v>40</v>
      </c>
      <c r="Z745" s="8">
        <f t="shared" ref="Z745:AI745" si="2072">SUM(D749)</f>
        <v>30</v>
      </c>
      <c r="AA745" s="9">
        <f t="shared" ca="1" si="2072"/>
        <v>30</v>
      </c>
      <c r="AB745" s="10">
        <f t="shared" ca="1" si="2072"/>
        <v>5973.0299999999897</v>
      </c>
      <c r="AC745" s="9">
        <f t="shared" ca="1" si="2072"/>
        <v>3390</v>
      </c>
      <c r="AD745" s="9">
        <f t="shared" ca="1" si="2072"/>
        <v>35</v>
      </c>
      <c r="AE745" s="9">
        <f t="shared" ca="1" si="2072"/>
        <v>3425</v>
      </c>
      <c r="AF745" s="9">
        <f t="shared" ca="1" si="2072"/>
        <v>4016</v>
      </c>
      <c r="AG745" s="9">
        <f t="shared" ca="1" si="2072"/>
        <v>77</v>
      </c>
      <c r="AH745" s="9">
        <f t="shared" ca="1" si="2072"/>
        <v>4093</v>
      </c>
      <c r="AI745" s="9">
        <f t="shared" ca="1" si="2072"/>
        <v>7518</v>
      </c>
      <c r="AJ745" s="11">
        <f t="shared" ca="1" si="2057"/>
        <v>199.10099999999966</v>
      </c>
      <c r="AK745" s="8">
        <f t="shared" ref="AK745:AK746" si="2073">SUM(O749)</f>
        <v>8239</v>
      </c>
      <c r="AL745" s="12">
        <f t="shared" ca="1" si="2059"/>
        <v>0.91248937977909939</v>
      </c>
      <c r="AM745" s="13">
        <f t="shared" ref="AM745:AM746" si="2074">SUM(Q749)</f>
        <v>1.5</v>
      </c>
      <c r="AN745" s="12">
        <f t="shared" ca="1" si="2061"/>
        <v>0.83910511080640948</v>
      </c>
      <c r="AO745" s="14">
        <f t="shared" ca="1" si="2062"/>
        <v>1.2586576662096143</v>
      </c>
      <c r="AP745" s="13">
        <f t="shared" ref="AP745:AQ745" ca="1" si="2075">SUM(T749)</f>
        <v>209.99999999999963</v>
      </c>
      <c r="AQ745" s="13">
        <f t="shared" ca="1" si="2075"/>
        <v>6.9999999999999876</v>
      </c>
      <c r="AR745" s="9">
        <f t="shared" ca="1" si="2064"/>
        <v>250.6</v>
      </c>
      <c r="AS745" s="76"/>
      <c r="AT745" s="76"/>
    </row>
    <row r="746" spans="1:46" ht="15.75" customHeight="1" x14ac:dyDescent="0.25">
      <c r="A746" s="70"/>
      <c r="B746" s="16">
        <v>12</v>
      </c>
      <c r="C746" s="16" t="s">
        <v>41</v>
      </c>
      <c r="D746" s="44">
        <v>24</v>
      </c>
      <c r="E746" s="18">
        <f ca="1">IFERROR(__xludf.DUMMYFUNCTION("COUNT(IMPORTRANGE(""https://docs.google.com/spreadsheets/d/1oYscvfOJW7GMkxt8QcupWuzb3ohaYePd3Mt2V2ufHok/edit"",""28!d2:d25""))"),24)</f>
        <v>24</v>
      </c>
      <c r="F746" s="23">
        <f ca="1">IFERROR(__xludf.DUMMYFUNCTION("SUM(IMPORTRANGE(""https://docs.google.com/spreadsheets/d/1oYscvfOJW7GMkxt8QcupWuzb3ohaYePd3Mt2V2ufHok/edit"",""28!Q2:Q25""))"),4674.64)</f>
        <v>4674.6400000000003</v>
      </c>
      <c r="G746" s="18">
        <f ca="1">IFERROR(__xludf.DUMMYFUNCTION("IMPORTRANGE(""https://docs.google.com/spreadsheets/d/1oYscvfOJW7GMkxt8QcupWuzb3ohaYePd3Mt2V2ufHok/edit"",""28!e32"")"),1293)</f>
        <v>1293</v>
      </c>
      <c r="H746" s="18">
        <f ca="1">IFERROR(__xludf.DUMMYFUNCTION("IMPORTRANGE(""https://docs.google.com/spreadsheets/d/1oYscvfOJW7GMkxt8QcupWuzb3ohaYePd3Mt2V2ufHok/edit"",""28!e33"")"),0)</f>
        <v>0</v>
      </c>
      <c r="I746" s="18">
        <f t="shared" ca="1" si="2037"/>
        <v>1293</v>
      </c>
      <c r="J746" s="18">
        <f ca="1">IFERROR(__xludf.DUMMYFUNCTION("IMPORTRANGE(""https://docs.google.com/spreadsheets/d/1oYscvfOJW7GMkxt8QcupWuzb3ohaYePd3Mt2V2ufHok/edit"",""28!e36"")"),1629)</f>
        <v>1629</v>
      </c>
      <c r="K746" s="18">
        <f ca="1">IFERROR(__xludf.DUMMYFUNCTION("IMPORTRANGE(""https://docs.google.com/spreadsheets/d/1oYscvfOJW7GMkxt8QcupWuzb3ohaYePd3Mt2V2ufHok/edit"",""28!e37"")"),97)</f>
        <v>97</v>
      </c>
      <c r="L746" s="18">
        <f t="shared" ca="1" si="2067"/>
        <v>1726</v>
      </c>
      <c r="M746" s="18">
        <f t="shared" ca="1" si="2039"/>
        <v>3019</v>
      </c>
      <c r="N746" s="19">
        <f t="shared" ca="1" si="2040"/>
        <v>194.77666666666667</v>
      </c>
      <c r="O746" s="16">
        <v>3801</v>
      </c>
      <c r="P746" s="20">
        <f t="shared" ca="1" si="2041"/>
        <v>0.79426466719284394</v>
      </c>
      <c r="Q746" s="21">
        <v>1.5</v>
      </c>
      <c r="R746" s="20">
        <f t="shared" ca="1" si="2042"/>
        <v>0.43055008870558303</v>
      </c>
      <c r="S746" s="22">
        <f t="shared" ca="1" si="2043"/>
        <v>0.64582513305837452</v>
      </c>
      <c r="T746" s="21">
        <f ca="1">F746/29.628</f>
        <v>157.7777777777778</v>
      </c>
      <c r="U746" s="21">
        <f t="shared" ca="1" si="2044"/>
        <v>6.5740740740740753</v>
      </c>
      <c r="V746" s="18">
        <f t="shared" ca="1" si="2045"/>
        <v>125.79166666666667</v>
      </c>
      <c r="W746" s="76"/>
      <c r="X746" s="8">
        <v>6</v>
      </c>
      <c r="Y746" s="8" t="s">
        <v>42</v>
      </c>
      <c r="Z746" s="8">
        <f t="shared" ref="Z746:AI746" si="2076">SUM(D750)</f>
        <v>33</v>
      </c>
      <c r="AA746" s="9">
        <f t="shared" ca="1" si="2076"/>
        <v>32</v>
      </c>
      <c r="AB746" s="10">
        <f t="shared" ca="1" si="2076"/>
        <v>6397.2059999999901</v>
      </c>
      <c r="AC746" s="9">
        <f t="shared" ca="1" si="2076"/>
        <v>3573</v>
      </c>
      <c r="AD746" s="9">
        <f t="shared" ca="1" si="2076"/>
        <v>0</v>
      </c>
      <c r="AE746" s="9">
        <f t="shared" ca="1" si="2076"/>
        <v>3573</v>
      </c>
      <c r="AF746" s="9">
        <f t="shared" ca="1" si="2076"/>
        <v>4152</v>
      </c>
      <c r="AG746" s="9">
        <f t="shared" ca="1" si="2076"/>
        <v>14</v>
      </c>
      <c r="AH746" s="9">
        <f t="shared" ca="1" si="2076"/>
        <v>4166</v>
      </c>
      <c r="AI746" s="9">
        <f t="shared" ca="1" si="2076"/>
        <v>7739</v>
      </c>
      <c r="AJ746" s="11">
        <f t="shared" ca="1" si="2057"/>
        <v>199.91268749999969</v>
      </c>
      <c r="AK746" s="8">
        <f t="shared" si="2073"/>
        <v>9877</v>
      </c>
      <c r="AL746" s="12">
        <f t="shared" ca="1" si="2059"/>
        <v>0.7835375113900982</v>
      </c>
      <c r="AM746" s="13">
        <f t="shared" si="2074"/>
        <v>1.5</v>
      </c>
      <c r="AN746" s="12">
        <f t="shared" ca="1" si="2061"/>
        <v>0.80649792008157017</v>
      </c>
      <c r="AO746" s="14">
        <f t="shared" ca="1" si="2062"/>
        <v>1.2097468801223552</v>
      </c>
      <c r="AP746" s="13">
        <f t="shared" ref="AP746:AQ746" ca="1" si="2077">SUM(T750)</f>
        <v>244.58826228254597</v>
      </c>
      <c r="AQ746" s="13">
        <f t="shared" ca="1" si="2077"/>
        <v>7.6433831963295615</v>
      </c>
      <c r="AR746" s="9">
        <f t="shared" ca="1" si="2064"/>
        <v>241.84375</v>
      </c>
      <c r="AS746" s="76"/>
      <c r="AT746" s="76"/>
    </row>
    <row r="747" spans="1:46" ht="15.75" customHeight="1" x14ac:dyDescent="0.25">
      <c r="A747" s="70"/>
      <c r="B747" s="16">
        <v>13</v>
      </c>
      <c r="C747" s="16" t="s">
        <v>43</v>
      </c>
      <c r="D747" s="44">
        <v>30</v>
      </c>
      <c r="E747" s="18">
        <f ca="1">IFERROR(__xludf.DUMMYFUNCTION("COUNT(IMPORTRANGE(""https://docs.google.com/spreadsheets/d/1AxBmuQEdOYAeRnZ4C8vO6kuTNp7X_SGhpLXuY0n4ln4/edit"",""28!d2:d31""))"),30)</f>
        <v>30</v>
      </c>
      <c r="F747" s="23">
        <f ca="1">IFERROR(__xludf.DUMMYFUNCTION("SUM(IMPORTRANGE(""https://docs.google.com/spreadsheets/d/1AxBmuQEdOYAeRnZ4C8vO6kuTNp7X_SGhpLXuY0n4ln4/edit"",""28!Q2:Q31""))"),6470.216)</f>
        <v>6470.2160000000003</v>
      </c>
      <c r="G747" s="18">
        <f ca="1">IFERROR(__xludf.DUMMYFUNCTION("IMPORTRANGE(""https://docs.google.com/spreadsheets/d/1AxBmuQEdOYAeRnZ4C8vO6kuTNp7X_SGhpLXuY0n4ln4/edit"",""28!e38"")"),2321)</f>
        <v>2321</v>
      </c>
      <c r="H747" s="18">
        <f ca="1">IFERROR(__xludf.DUMMYFUNCTION("IMPORTRANGE(""https://docs.google.com/spreadsheets/d/1AxBmuQEdOYAeRnZ4C8vO6kuTNp7X_SGhpLXuY0n4ln4/edit"",""28!e39"")"),55)</f>
        <v>55</v>
      </c>
      <c r="I747" s="18">
        <f t="shared" ca="1" si="2037"/>
        <v>2376</v>
      </c>
      <c r="J747" s="18">
        <f ca="1">IFERROR(__xludf.DUMMYFUNCTION("IMPORTRANGE(""https://docs.google.com/spreadsheets/d/1AxBmuQEdOYAeRnZ4C8vO6kuTNp7X_SGhpLXuY0n4ln4/edit"",""28!e42"")"),3109)</f>
        <v>3109</v>
      </c>
      <c r="K747" s="18">
        <f ca="1">IFERROR(__xludf.DUMMYFUNCTION("IMPORTRANGE(""https://docs.google.com/spreadsheets/d/1AxBmuQEdOYAeRnZ4C8vO6kuTNp7X_SGhpLXuY0n4ln4/edit"",""28!e43"")"),492)</f>
        <v>492</v>
      </c>
      <c r="L747" s="18">
        <f t="shared" ca="1" si="2067"/>
        <v>3601</v>
      </c>
      <c r="M747" s="18">
        <f t="shared" ca="1" si="2039"/>
        <v>5977</v>
      </c>
      <c r="N747" s="19">
        <f t="shared" ca="1" si="2040"/>
        <v>215.67386666666667</v>
      </c>
      <c r="O747" s="16">
        <v>8345</v>
      </c>
      <c r="P747" s="20">
        <f t="shared" ca="1" si="2041"/>
        <v>0.71623726782504493</v>
      </c>
      <c r="Q747" s="21">
        <v>1.5</v>
      </c>
      <c r="R747" s="20">
        <f t="shared" ca="1" si="2042"/>
        <v>0.61584754924204488</v>
      </c>
      <c r="S747" s="22">
        <f t="shared" ca="1" si="2043"/>
        <v>0.92377132386306726</v>
      </c>
      <c r="T747" s="21">
        <f ca="1">F747/41.205</f>
        <v>157.025021235287</v>
      </c>
      <c r="U747" s="21">
        <f t="shared" ca="1" si="2044"/>
        <v>5.2341673745095667</v>
      </c>
      <c r="V747" s="18">
        <f t="shared" ca="1" si="2045"/>
        <v>199.23333333333332</v>
      </c>
      <c r="W747" s="76"/>
      <c r="X747" s="24" t="s">
        <v>33</v>
      </c>
      <c r="Y747" s="24">
        <v>6</v>
      </c>
      <c r="Z747" s="24">
        <f t="shared" ref="Z747:AI747" si="2078">SUM(Z741:Z746)</f>
        <v>226</v>
      </c>
      <c r="AA747" s="25">
        <f t="shared" ca="1" si="2078"/>
        <v>224</v>
      </c>
      <c r="AB747" s="27">
        <f t="shared" ca="1" si="2078"/>
        <v>44816.624999999869</v>
      </c>
      <c r="AC747" s="25">
        <f t="shared" ca="1" si="2078"/>
        <v>18960</v>
      </c>
      <c r="AD747" s="25">
        <f t="shared" ca="1" si="2078"/>
        <v>381</v>
      </c>
      <c r="AE747" s="25">
        <f t="shared" ca="1" si="2078"/>
        <v>19341</v>
      </c>
      <c r="AF747" s="25">
        <f t="shared" ca="1" si="2078"/>
        <v>23091</v>
      </c>
      <c r="AG747" s="25">
        <f t="shared" ca="1" si="2078"/>
        <v>807</v>
      </c>
      <c r="AH747" s="25">
        <f t="shared" ca="1" si="2078"/>
        <v>23898</v>
      </c>
      <c r="AI747" s="25">
        <f t="shared" ca="1" si="2078"/>
        <v>43239</v>
      </c>
      <c r="AJ747" s="27">
        <f t="shared" ca="1" si="2057"/>
        <v>200.0742187499994</v>
      </c>
      <c r="AK747" s="24">
        <f>SUM(AK741:AK746)</f>
        <v>53273</v>
      </c>
      <c r="AL747" s="28">
        <f t="shared" ca="1" si="2059"/>
        <v>0.81164942841589549</v>
      </c>
      <c r="AM747" s="29">
        <v>1.5</v>
      </c>
      <c r="AN747" s="28">
        <f t="shared" ca="1" si="2061"/>
        <v>0.64319881294051229</v>
      </c>
      <c r="AO747" s="30">
        <f t="shared" ca="1" si="2062"/>
        <v>0.96479821941076838</v>
      </c>
      <c r="AP747" s="29">
        <f ca="1">SUM(AP741:AP746)</f>
        <v>1470.5479055488727</v>
      </c>
      <c r="AQ747" s="29">
        <f ca="1">AP747/AA747</f>
        <v>6.5649460069146102</v>
      </c>
      <c r="AR747" s="25">
        <f t="shared" ca="1" si="2064"/>
        <v>193.03125</v>
      </c>
      <c r="AS747" s="76"/>
      <c r="AT747" s="76"/>
    </row>
    <row r="748" spans="1:46" ht="15.75" customHeight="1" x14ac:dyDescent="0.25">
      <c r="A748" s="70"/>
      <c r="B748" s="16">
        <v>14</v>
      </c>
      <c r="C748" s="16" t="s">
        <v>27</v>
      </c>
      <c r="D748" s="44">
        <v>30</v>
      </c>
      <c r="E748" s="18">
        <f ca="1">IFERROR(__xludf.DUMMYFUNCTION("COUNT(IMPORTRANGE(""https://docs.google.com/spreadsheets/d/1LsL4JuXvBtfJ-TVi4NFml9lV_pmd61b789A_nbO-QrA/edit"",""28!d2:d31""))"),29)</f>
        <v>29</v>
      </c>
      <c r="F748" s="23">
        <f ca="1">IFERROR(__xludf.DUMMYFUNCTION("SUM(IMPORTRANGE(""https://docs.google.com/spreadsheets/d/1LsL4JuXvBtfJ-TVi4NFml9lV_pmd61b789A_nbO-QrA/edit"",""28!Q2:Q31""))"),5645.625)</f>
        <v>5645.625</v>
      </c>
      <c r="G748" s="18">
        <f ca="1">IFERROR(__xludf.DUMMYFUNCTION("IMPORTRANGE(""https://docs.google.com/spreadsheets/d/1LsL4JuXvBtfJ-TVi4NFml9lV_pmd61b789A_nbO-QrA/edit"",""28!e38"")"),2956)</f>
        <v>2956</v>
      </c>
      <c r="H748" s="18">
        <f ca="1">IFERROR(__xludf.DUMMYFUNCTION("IMPORTRANGE(""https://docs.google.com/spreadsheets/d/1LsL4JuXvBtfJ-TVi4NFml9lV_pmd61b789A_nbO-QrA/edit"",""28!e39"")"),0)</f>
        <v>0</v>
      </c>
      <c r="I748" s="18">
        <f t="shared" ca="1" si="2037"/>
        <v>2956</v>
      </c>
      <c r="J748" s="18">
        <f ca="1">IFERROR(__xludf.DUMMYFUNCTION("IMPORTRANGE(""https://docs.google.com/spreadsheets/d/1LsL4JuXvBtfJ-TVi4NFml9lV_pmd61b789A_nbO-QrA/edit"",""28!e42"")"),2968)</f>
        <v>2968</v>
      </c>
      <c r="K748" s="18">
        <f ca="1">IFERROR(__xludf.DUMMYFUNCTION("IMPORTRANGE(""https://docs.google.com/spreadsheets/d/1LsL4JuXvBtfJ-TVi4NFml9lV_pmd61b789A_nbO-QrA/edit"",""28!e43"")"),0)</f>
        <v>0</v>
      </c>
      <c r="L748" s="18">
        <f t="shared" ca="1" si="2067"/>
        <v>2968</v>
      </c>
      <c r="M748" s="18">
        <f t="shared" ca="1" si="2039"/>
        <v>5924</v>
      </c>
      <c r="N748" s="19">
        <f t="shared" ca="1" si="2040"/>
        <v>194.67672413793105</v>
      </c>
      <c r="O748" s="16">
        <v>8101</v>
      </c>
      <c r="P748" s="20">
        <f t="shared" ca="1" si="2041"/>
        <v>0.7312677447228737</v>
      </c>
      <c r="Q748" s="21">
        <v>1.5</v>
      </c>
      <c r="R748" s="20">
        <f t="shared" ca="1" si="2042"/>
        <v>0.69953872836636044</v>
      </c>
      <c r="S748" s="22">
        <f t="shared" ca="1" si="2043"/>
        <v>1.0493080925495406</v>
      </c>
      <c r="T748" s="21">
        <f ca="1">F748/19.985</f>
        <v>282.49311983987991</v>
      </c>
      <c r="U748" s="21">
        <f t="shared" ca="1" si="2044"/>
        <v>9.7411420634441352</v>
      </c>
      <c r="V748" s="18">
        <f t="shared" ca="1" si="2045"/>
        <v>204.27586206896552</v>
      </c>
      <c r="W748" s="76"/>
      <c r="X748" s="97" t="s">
        <v>44</v>
      </c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9"/>
      <c r="AS748" s="76"/>
      <c r="AT748" s="76"/>
    </row>
    <row r="749" spans="1:46" ht="15.75" customHeight="1" x14ac:dyDescent="0.25">
      <c r="A749" s="70"/>
      <c r="B749" s="16">
        <v>15</v>
      </c>
      <c r="C749" s="16" t="s">
        <v>40</v>
      </c>
      <c r="D749" s="44">
        <v>30</v>
      </c>
      <c r="E749" s="18">
        <f ca="1">IFERROR(__xludf.DUMMYFUNCTION("COUNT(IMPORTRANGE(""https://docs.google.com/spreadsheets/d/1Krav0MVlY0vbUNsFRDnb_kR72_tyuGnWBYbGjNZrl18/edit"",""28!d2:d31""))"),30)</f>
        <v>30</v>
      </c>
      <c r="F749" s="23">
        <f ca="1">IFERROR(__xludf.DUMMYFUNCTION("SUM(IMPORTRANGE(""https://docs.google.com/spreadsheets/d/1Krav0MVlY0vbUNsFRDnb_kR72_tyuGnWBYbGjNZrl18/edit"",""28!Q2:Q31""))"),5973.02999999999)</f>
        <v>5973.0299999999897</v>
      </c>
      <c r="G749" s="18">
        <f ca="1">IFERROR(__xludf.DUMMYFUNCTION("IMPORTRANGE(""https://docs.google.com/spreadsheets/d/1Krav0MVlY0vbUNsFRDnb_kR72_tyuGnWBYbGjNZrl18/edit"",""28!e38"")"),3390)</f>
        <v>3390</v>
      </c>
      <c r="H749" s="18">
        <f ca="1">IFERROR(__xludf.DUMMYFUNCTION("IMPORTRANGE(""https://docs.google.com/spreadsheets/d/1Krav0MVlY0vbUNsFRDnb_kR72_tyuGnWBYbGjNZrl18/edit"",""28!e39"")"),35)</f>
        <v>35</v>
      </c>
      <c r="I749" s="18">
        <f t="shared" ca="1" si="2037"/>
        <v>3425</v>
      </c>
      <c r="J749" s="18">
        <f ca="1">IFERROR(__xludf.DUMMYFUNCTION("IMPORTRANGE(""https://docs.google.com/spreadsheets/d/1Krav0MVlY0vbUNsFRDnb_kR72_tyuGnWBYbGjNZrl18/edit"",""28!e42"")"),4016)</f>
        <v>4016</v>
      </c>
      <c r="K749" s="18">
        <f ca="1">IFERROR(__xludf.DUMMYFUNCTION("IMPORTRANGE(""https://docs.google.com/spreadsheets/d/1Krav0MVlY0vbUNsFRDnb_kR72_tyuGnWBYbGjNZrl18/edit"",""28!e43"")"),77)</f>
        <v>77</v>
      </c>
      <c r="L749" s="18">
        <f t="shared" ca="1" si="2067"/>
        <v>4093</v>
      </c>
      <c r="M749" s="18">
        <f t="shared" ca="1" si="2039"/>
        <v>7518</v>
      </c>
      <c r="N749" s="19">
        <f t="shared" ca="1" si="2040"/>
        <v>199.10099999999966</v>
      </c>
      <c r="O749" s="16">
        <v>8239</v>
      </c>
      <c r="P749" s="20">
        <f t="shared" ca="1" si="2041"/>
        <v>0.91248937977909939</v>
      </c>
      <c r="Q749" s="21">
        <v>1.5</v>
      </c>
      <c r="R749" s="20">
        <f t="shared" ca="1" si="2042"/>
        <v>0.83910511080640948</v>
      </c>
      <c r="S749" s="22">
        <f t="shared" ca="1" si="2043"/>
        <v>1.2586576662096143</v>
      </c>
      <c r="T749" s="21">
        <f ca="1">F749/28.443</f>
        <v>209.99999999999963</v>
      </c>
      <c r="U749" s="21">
        <f t="shared" ca="1" si="2044"/>
        <v>6.9999999999999876</v>
      </c>
      <c r="V749" s="18">
        <f t="shared" ca="1" si="2045"/>
        <v>250.6</v>
      </c>
      <c r="W749" s="76"/>
      <c r="X749" s="1" t="s">
        <v>2</v>
      </c>
      <c r="Y749" s="1" t="s">
        <v>3</v>
      </c>
      <c r="Z749" s="1" t="s">
        <v>4</v>
      </c>
      <c r="AA749" s="1" t="s">
        <v>5</v>
      </c>
      <c r="AB749" s="2" t="s">
        <v>6</v>
      </c>
      <c r="AC749" s="1" t="s">
        <v>7</v>
      </c>
      <c r="AD749" s="1" t="s">
        <v>8</v>
      </c>
      <c r="AE749" s="1" t="s">
        <v>9</v>
      </c>
      <c r="AF749" s="1" t="s">
        <v>10</v>
      </c>
      <c r="AG749" s="1" t="s">
        <v>11</v>
      </c>
      <c r="AH749" s="1" t="s">
        <v>12</v>
      </c>
      <c r="AI749" s="1" t="s">
        <v>13</v>
      </c>
      <c r="AJ749" s="2" t="s">
        <v>14</v>
      </c>
      <c r="AK749" s="1" t="s">
        <v>15</v>
      </c>
      <c r="AL749" s="1" t="s">
        <v>16</v>
      </c>
      <c r="AM749" s="3" t="s">
        <v>17</v>
      </c>
      <c r="AN749" s="4" t="s">
        <v>18</v>
      </c>
      <c r="AO749" s="5" t="s">
        <v>19</v>
      </c>
      <c r="AP749" s="6" t="s">
        <v>20</v>
      </c>
      <c r="AQ749" s="6" t="s">
        <v>21</v>
      </c>
      <c r="AR749" s="7" t="s">
        <v>22</v>
      </c>
      <c r="AS749" s="76"/>
      <c r="AT749" s="76"/>
    </row>
    <row r="750" spans="1:46" ht="15.75" customHeight="1" x14ac:dyDescent="0.25">
      <c r="A750" s="70"/>
      <c r="B750" s="16">
        <v>16</v>
      </c>
      <c r="C750" s="16" t="s">
        <v>42</v>
      </c>
      <c r="D750" s="44">
        <v>33</v>
      </c>
      <c r="E750" s="18">
        <f ca="1">IFERROR(__xludf.DUMMYFUNCTION("COUNT(IMPORTRANGE(""https://docs.google.com/spreadsheets/d/1uXtm-E8PG0CetlFmSpTX3RK0LNEMnpR-mxbET9AGD6w/edit"",""28!d2:d34""))"),32)</f>
        <v>32</v>
      </c>
      <c r="F750" s="23">
        <f ca="1">IFERROR(__xludf.DUMMYFUNCTION("SUM(IMPORTRANGE(""https://docs.google.com/spreadsheets/d/1uXtm-E8PG0CetlFmSpTX3RK0LNEMnpR-mxbET9AGD6w/edit"",""28!Q2:Q34""))"),6397.20599999999)</f>
        <v>6397.2059999999901</v>
      </c>
      <c r="G750" s="18">
        <f ca="1">IFERROR(__xludf.DUMMYFUNCTION("IMPORTRANGE(""https://docs.google.com/spreadsheets/d/1uXtm-E8PG0CetlFmSpTX3RK0LNEMnpR-mxbET9AGD6w/edit"",""28!e41"")"),3573)</f>
        <v>3573</v>
      </c>
      <c r="H750" s="18">
        <f ca="1">IFERROR(__xludf.DUMMYFUNCTION("IMPORTRANGE(""https://docs.google.com/spreadsheets/d/1uXtm-E8PG0CetlFmSpTX3RK0LNEMnpR-mxbET9AGD6w/edit"",""28!e42"")"),0)</f>
        <v>0</v>
      </c>
      <c r="I750" s="18">
        <f t="shared" ca="1" si="2037"/>
        <v>3573</v>
      </c>
      <c r="J750" s="18">
        <f ca="1">IFERROR(__xludf.DUMMYFUNCTION("IMPORTRANGE(""https://docs.google.com/spreadsheets/d/1uXtm-E8PG0CetlFmSpTX3RK0LNEMnpR-mxbET9AGD6w/edit"",""28!e45"")"),4152)</f>
        <v>4152</v>
      </c>
      <c r="K750" s="18">
        <f ca="1">IFERROR(__xludf.DUMMYFUNCTION("IMPORTRANGE(""https://docs.google.com/spreadsheets/d/1uXtm-E8PG0CetlFmSpTX3RK0LNEMnpR-mxbET9AGD6w/edit"",""28!e46"")"),14)</f>
        <v>14</v>
      </c>
      <c r="L750" s="18">
        <f t="shared" ca="1" si="2067"/>
        <v>4166</v>
      </c>
      <c r="M750" s="18">
        <f t="shared" ca="1" si="2039"/>
        <v>7739</v>
      </c>
      <c r="N750" s="19">
        <f t="shared" ca="1" si="2040"/>
        <v>199.91268749999969</v>
      </c>
      <c r="O750" s="16">
        <v>9877</v>
      </c>
      <c r="P750" s="20">
        <f t="shared" ca="1" si="2041"/>
        <v>0.7835375113900982</v>
      </c>
      <c r="Q750" s="21">
        <v>1.5</v>
      </c>
      <c r="R750" s="20">
        <f t="shared" ca="1" si="2042"/>
        <v>0.80649792008157017</v>
      </c>
      <c r="S750" s="22">
        <f t="shared" ca="1" si="2043"/>
        <v>1.2097468801223552</v>
      </c>
      <c r="T750" s="21">
        <f ca="1">F750/26.155</f>
        <v>244.58826228254597</v>
      </c>
      <c r="U750" s="21">
        <f t="shared" ca="1" si="2044"/>
        <v>7.6433831963295615</v>
      </c>
      <c r="V750" s="18">
        <f t="shared" ca="1" si="2045"/>
        <v>241.84375</v>
      </c>
      <c r="W750" s="76"/>
      <c r="X750" s="8">
        <v>1</v>
      </c>
      <c r="Y750" s="8" t="s">
        <v>26</v>
      </c>
      <c r="Z750" s="8">
        <f t="shared" ref="Z750:AI750" si="2079">SUM(D735)</f>
        <v>20</v>
      </c>
      <c r="AA750" s="9">
        <f t="shared" ca="1" si="2079"/>
        <v>20</v>
      </c>
      <c r="AB750" s="11">
        <f t="shared" ca="1" si="2079"/>
        <v>3762.9269999999901</v>
      </c>
      <c r="AC750" s="9">
        <f t="shared" ca="1" si="2079"/>
        <v>2021</v>
      </c>
      <c r="AD750" s="9">
        <f t="shared" ca="1" si="2079"/>
        <v>0</v>
      </c>
      <c r="AE750" s="9">
        <f t="shared" ca="1" si="2079"/>
        <v>2021</v>
      </c>
      <c r="AF750" s="9">
        <f t="shared" ca="1" si="2079"/>
        <v>2848</v>
      </c>
      <c r="AG750" s="9">
        <f t="shared" ca="1" si="2079"/>
        <v>0</v>
      </c>
      <c r="AH750" s="9">
        <f t="shared" ca="1" si="2079"/>
        <v>2848</v>
      </c>
      <c r="AI750" s="9">
        <f t="shared" ca="1" si="2079"/>
        <v>4869</v>
      </c>
      <c r="AJ750" s="11">
        <f t="shared" ref="AJ750:AJ756" ca="1" si="2080">AB750/AA750</f>
        <v>188.1463499999995</v>
      </c>
      <c r="AK750" s="8">
        <f>SUM(O735)</f>
        <v>5161</v>
      </c>
      <c r="AL750" s="12">
        <f t="shared" ref="AL750:AL756" ca="1" si="2081">AI750/AK750</f>
        <v>0.94342181747723308</v>
      </c>
      <c r="AM750" s="13">
        <f>SUM(Q735)</f>
        <v>1.5</v>
      </c>
      <c r="AN750" s="12">
        <f t="shared" ref="AN750:AN756" ca="1" si="2082">AO750/AM750</f>
        <v>0.86262635443100777</v>
      </c>
      <c r="AO750" s="14">
        <f t="shared" ref="AO750:AO756" ca="1" si="2083">AI750/AB750</f>
        <v>1.2939395316465117</v>
      </c>
      <c r="AP750" s="13">
        <f t="shared" ref="AP750:AQ750" ca="1" si="2084">SUM(T735)</f>
        <v>261.04245577523346</v>
      </c>
      <c r="AQ750" s="13">
        <f t="shared" ca="1" si="2084"/>
        <v>13.052122788761674</v>
      </c>
      <c r="AR750" s="9">
        <f t="shared" ref="AR750:AR756" ca="1" si="2085">AI750/AA750</f>
        <v>243.45</v>
      </c>
      <c r="AS750" s="76"/>
      <c r="AT750" s="76"/>
    </row>
    <row r="751" spans="1:46" ht="15.75" customHeight="1" x14ac:dyDescent="0.25">
      <c r="A751" s="70"/>
      <c r="B751" s="16">
        <v>17</v>
      </c>
      <c r="C751" s="16" t="s">
        <v>29</v>
      </c>
      <c r="D751" s="44">
        <v>30</v>
      </c>
      <c r="E751" s="18">
        <f ca="1">IFERROR(__xludf.DUMMYFUNCTION("COUNT(IMPORTRANGE(""https://docs.google.com/spreadsheets/d/12xcKI0lSnAsjEsxfm9K8Qx0B_89Gzsh816mowItkQao/edit"",""28!d2:d31""))"),30)</f>
        <v>30</v>
      </c>
      <c r="F751" s="23">
        <f ca="1">IFERROR(__xludf.DUMMYFUNCTION("SUM(IMPORTRANGE(""https://docs.google.com/spreadsheets/d/12xcKI0lSnAsjEsxfm9K8Qx0B_89Gzsh816mowItkQao/edit"",""28!Q2:Q31""))"),6040.816)</f>
        <v>6040.8159999999998</v>
      </c>
      <c r="G751" s="18">
        <f ca="1">IFERROR(__xludf.DUMMYFUNCTION("IMPORTRANGE(""https://docs.google.com/spreadsheets/d/12xcKI0lSnAsjEsxfm9K8Qx0B_89Gzsh816mowItkQao/edit"",""28!e38"")"),2814)</f>
        <v>2814</v>
      </c>
      <c r="H751" s="18">
        <f ca="1">IFERROR(__xludf.DUMMYFUNCTION("IMPORTRANGE(""https://docs.google.com/spreadsheets/d/12xcKI0lSnAsjEsxfm9K8Qx0B_89Gzsh816mowItkQao/edit"",""28!e39"")"),0)</f>
        <v>0</v>
      </c>
      <c r="I751" s="18">
        <f t="shared" ca="1" si="2037"/>
        <v>2814</v>
      </c>
      <c r="J751" s="18">
        <f ca="1">IFERROR(__xludf.DUMMYFUNCTION("IMPORTRANGE(""https://docs.google.com/spreadsheets/d/12xcKI0lSnAsjEsxfm9K8Qx0B_89Gzsh816mowItkQao/edit"",""28!e42"")"),4452)</f>
        <v>4452</v>
      </c>
      <c r="K751" s="18">
        <f ca="1">IFERROR(__xludf.DUMMYFUNCTION("IMPORTRANGE(""https://docs.google.com/spreadsheets/d/12xcKI0lSnAsjEsxfm9K8Qx0B_89Gzsh816mowItkQao/edit"",""28!e43"")"),0)</f>
        <v>0</v>
      </c>
      <c r="L751" s="18">
        <f t="shared" ca="1" si="2067"/>
        <v>4452</v>
      </c>
      <c r="M751" s="18">
        <f t="shared" ca="1" si="2039"/>
        <v>7266</v>
      </c>
      <c r="N751" s="19">
        <f t="shared" ca="1" si="2040"/>
        <v>201.36053333333334</v>
      </c>
      <c r="O751" s="16">
        <v>9201</v>
      </c>
      <c r="P751" s="20">
        <f t="shared" ca="1" si="2041"/>
        <v>0.78969677208999023</v>
      </c>
      <c r="Q751" s="21">
        <v>1.5</v>
      </c>
      <c r="R751" s="20">
        <f t="shared" ca="1" si="2042"/>
        <v>0.80187842172315793</v>
      </c>
      <c r="S751" s="22">
        <f t="shared" ca="1" si="2043"/>
        <v>1.2028176325847368</v>
      </c>
      <c r="T751" s="21">
        <f ca="1">F751/26.038</f>
        <v>232</v>
      </c>
      <c r="U751" s="21">
        <f t="shared" ca="1" si="2044"/>
        <v>7.7333333333333334</v>
      </c>
      <c r="V751" s="18">
        <f t="shared" ca="1" si="2045"/>
        <v>242.2</v>
      </c>
      <c r="W751" s="76"/>
      <c r="X751" s="8">
        <v>2</v>
      </c>
      <c r="Y751" s="8" t="s">
        <v>32</v>
      </c>
      <c r="Z751" s="8">
        <f t="shared" ref="Z751:AI751" si="2086">SUM(D738)</f>
        <v>42</v>
      </c>
      <c r="AA751" s="9">
        <f t="shared" ca="1" si="2086"/>
        <v>42</v>
      </c>
      <c r="AB751" s="10">
        <f t="shared" ca="1" si="2086"/>
        <v>8144.6039999999903</v>
      </c>
      <c r="AC751" s="8">
        <f t="shared" ca="1" si="2086"/>
        <v>4689</v>
      </c>
      <c r="AD751" s="8">
        <f t="shared" ca="1" si="2086"/>
        <v>0</v>
      </c>
      <c r="AE751" s="9">
        <f t="shared" ca="1" si="2086"/>
        <v>4689</v>
      </c>
      <c r="AF751" s="8">
        <f t="shared" ca="1" si="2086"/>
        <v>5889</v>
      </c>
      <c r="AG751" s="8">
        <f t="shared" ca="1" si="2086"/>
        <v>0</v>
      </c>
      <c r="AH751" s="9">
        <f t="shared" ca="1" si="2086"/>
        <v>5889</v>
      </c>
      <c r="AI751" s="9">
        <f t="shared" ca="1" si="2086"/>
        <v>10578</v>
      </c>
      <c r="AJ751" s="11">
        <f t="shared" ca="1" si="2080"/>
        <v>193.91914285714262</v>
      </c>
      <c r="AK751" s="8">
        <f>SUM(O738)</f>
        <v>13817</v>
      </c>
      <c r="AL751" s="12">
        <f t="shared" ca="1" si="2081"/>
        <v>0.76557863501483681</v>
      </c>
      <c r="AM751" s="13">
        <f>SUM(Q738)</f>
        <v>1.5</v>
      </c>
      <c r="AN751" s="12">
        <f t="shared" ca="1" si="2082"/>
        <v>0.86584934025030658</v>
      </c>
      <c r="AO751" s="14">
        <f t="shared" ca="1" si="2083"/>
        <v>1.2987740103754599</v>
      </c>
      <c r="AP751" s="13">
        <f t="shared" ref="AP751:AQ751" ca="1" si="2087">SUM(T738)</f>
        <v>324.62848260193675</v>
      </c>
      <c r="AQ751" s="13">
        <f t="shared" ca="1" si="2087"/>
        <v>7.7292495857603987</v>
      </c>
      <c r="AR751" s="9">
        <f t="shared" ca="1" si="2085"/>
        <v>251.85714285714286</v>
      </c>
      <c r="AS751" s="76"/>
      <c r="AT751" s="76"/>
    </row>
    <row r="752" spans="1:46" ht="15.75" customHeight="1" x14ac:dyDescent="0.25">
      <c r="A752" s="70"/>
      <c r="B752" s="16">
        <v>18</v>
      </c>
      <c r="C752" s="16" t="s">
        <v>31</v>
      </c>
      <c r="D752" s="44">
        <v>15</v>
      </c>
      <c r="E752" s="18">
        <f ca="1">IFERROR(__xludf.DUMMYFUNCTION("COUNT(IMPORTRANGE(""https://docs.google.com/spreadsheets/d/1fgCFOFzOla4Qim6_-zG-lbYhLCItqv_kZiAHoErRgcM/edit"",""28!d2:d16""))"),14)</f>
        <v>14</v>
      </c>
      <c r="F752" s="19">
        <f ca="1">IFERROR(__xludf.DUMMYFUNCTION("SUM(IMPORTRANGE(""https://docs.google.com/spreadsheets/d/1fgCFOFzOla4Qim6_-zG-lbYhLCItqv_kZiAHoErRgcM/edit"",""28!Q2:Q16""))"),2868.69)</f>
        <v>2868.69</v>
      </c>
      <c r="G752" s="18">
        <f ca="1">IFERROR(__xludf.DUMMYFUNCTION("IMPORTRANGE(""https://docs.google.com/spreadsheets/d/1fgCFOFzOla4Qim6_-zG-lbYhLCItqv_kZiAHoErRgcM/edit"",""28!e23"")"),928)</f>
        <v>928</v>
      </c>
      <c r="H752" s="18">
        <f ca="1">IFERROR(__xludf.DUMMYFUNCTION("IMPORTRANGE(""https://docs.google.com/spreadsheets/d/1fgCFOFzOla4Qim6_-zG-lbYhLCItqv_kZiAHoErRgcM/edit"",""28!e24"")"),0)</f>
        <v>0</v>
      </c>
      <c r="I752" s="18">
        <f t="shared" ca="1" si="2037"/>
        <v>928</v>
      </c>
      <c r="J752" s="18">
        <f ca="1">IFERROR(__xludf.DUMMYFUNCTION("IMPORTRANGE(""https://docs.google.com/spreadsheets/d/1fgCFOFzOla4Qim6_-zG-lbYhLCItqv_kZiAHoErRgcM/edit"",""28!e27"")"),1063)</f>
        <v>1063</v>
      </c>
      <c r="K752" s="18">
        <f ca="1">IFERROR(__xludf.DUMMYFUNCTION("IMPORTRANGE(""https://docs.google.com/spreadsheets/d/1fgCFOFzOla4Qim6_-zG-lbYhLCItqv_kZiAHoErRgcM/edit"",""28!e28"")"),0)</f>
        <v>0</v>
      </c>
      <c r="L752" s="18">
        <f t="shared" ca="1" si="2067"/>
        <v>1063</v>
      </c>
      <c r="M752" s="18">
        <f t="shared" ca="1" si="2039"/>
        <v>1991</v>
      </c>
      <c r="N752" s="19">
        <f t="shared" ca="1" si="2040"/>
        <v>204.90642857142856</v>
      </c>
      <c r="O752" s="16">
        <v>2717</v>
      </c>
      <c r="P752" s="20">
        <f t="shared" ca="1" si="2041"/>
        <v>0.73279352226720651</v>
      </c>
      <c r="Q752" s="21">
        <v>1.5</v>
      </c>
      <c r="R752" s="20">
        <f t="shared" ca="1" si="2042"/>
        <v>0.46269667804235848</v>
      </c>
      <c r="S752" s="22">
        <f t="shared" ca="1" si="2043"/>
        <v>0.69404501706353772</v>
      </c>
      <c r="T752" s="21">
        <f ca="1">F752/43.465</f>
        <v>66</v>
      </c>
      <c r="U752" s="21">
        <f t="shared" ca="1" si="2044"/>
        <v>4.7142857142857144</v>
      </c>
      <c r="V752" s="18">
        <f t="shared" ca="1" si="2045"/>
        <v>142.21428571428572</v>
      </c>
      <c r="W752" s="76"/>
      <c r="X752" s="8">
        <v>3</v>
      </c>
      <c r="Y752" s="8" t="s">
        <v>36</v>
      </c>
      <c r="Z752" s="8">
        <f t="shared" ref="Z752:AI752" si="2088">SUM(D743)</f>
        <v>29</v>
      </c>
      <c r="AA752" s="9">
        <f t="shared" ca="1" si="2088"/>
        <v>29</v>
      </c>
      <c r="AB752" s="10">
        <f t="shared" ca="1" si="2088"/>
        <v>5791.19</v>
      </c>
      <c r="AC752" s="9">
        <f t="shared" ca="1" si="2088"/>
        <v>2334</v>
      </c>
      <c r="AD752" s="9">
        <f t="shared" ca="1" si="2088"/>
        <v>0</v>
      </c>
      <c r="AE752" s="9">
        <f t="shared" ca="1" si="2088"/>
        <v>2334</v>
      </c>
      <c r="AF752" s="9">
        <f t="shared" ca="1" si="2088"/>
        <v>1670</v>
      </c>
      <c r="AG752" s="9">
        <f t="shared" ca="1" si="2088"/>
        <v>0</v>
      </c>
      <c r="AH752" s="9">
        <f t="shared" ca="1" si="2088"/>
        <v>1670</v>
      </c>
      <c r="AI752" s="9">
        <f t="shared" ca="1" si="2088"/>
        <v>4004</v>
      </c>
      <c r="AJ752" s="11">
        <f t="shared" ca="1" si="2080"/>
        <v>199.6962068965517</v>
      </c>
      <c r="AK752" s="8">
        <f t="shared" ref="AK752:AK755" si="2089">SUM(O743)</f>
        <v>4796</v>
      </c>
      <c r="AL752" s="12">
        <f t="shared" ca="1" si="2081"/>
        <v>0.83486238532110091</v>
      </c>
      <c r="AM752" s="13">
        <f t="shared" ref="AM752:AM755" si="2090">SUM(Q743)</f>
        <v>1.5</v>
      </c>
      <c r="AN752" s="12">
        <f t="shared" ca="1" si="2082"/>
        <v>0.46093002186654791</v>
      </c>
      <c r="AO752" s="14">
        <f t="shared" ca="1" si="2083"/>
        <v>0.69139503279982184</v>
      </c>
      <c r="AP752" s="13">
        <f t="shared" ref="AP752:AQ752" ca="1" si="2091">SUM(T743)</f>
        <v>154.78671085689848</v>
      </c>
      <c r="AQ752" s="13">
        <f t="shared" ca="1" si="2091"/>
        <v>5.3374727881689132</v>
      </c>
      <c r="AR752" s="9">
        <f t="shared" ca="1" si="2085"/>
        <v>138.06896551724137</v>
      </c>
      <c r="AS752" s="76"/>
      <c r="AT752" s="76"/>
    </row>
    <row r="753" spans="1:46" ht="15.75" customHeight="1" x14ac:dyDescent="0.2">
      <c r="A753" s="70"/>
      <c r="B753" s="98" t="s">
        <v>33</v>
      </c>
      <c r="C753" s="98">
        <v>18</v>
      </c>
      <c r="D753" s="98">
        <f t="shared" ref="D753:M753" si="2092">SUM(D735:D752)</f>
        <v>585</v>
      </c>
      <c r="E753" s="74">
        <f t="shared" ca="1" si="2092"/>
        <v>577</v>
      </c>
      <c r="F753" s="99">
        <f t="shared" ca="1" si="2092"/>
        <v>113888.36599999985</v>
      </c>
      <c r="G753" s="74">
        <f t="shared" ca="1" si="2092"/>
        <v>44428</v>
      </c>
      <c r="H753" s="74">
        <f t="shared" ca="1" si="2092"/>
        <v>786</v>
      </c>
      <c r="I753" s="74">
        <f t="shared" ca="1" si="2092"/>
        <v>45214</v>
      </c>
      <c r="J753" s="74">
        <f t="shared" ca="1" si="2092"/>
        <v>56447</v>
      </c>
      <c r="K753" s="74">
        <f t="shared" ca="1" si="2092"/>
        <v>1696</v>
      </c>
      <c r="L753" s="74">
        <f t="shared" ca="1" si="2092"/>
        <v>58143</v>
      </c>
      <c r="M753" s="74">
        <f t="shared" ca="1" si="2092"/>
        <v>103357</v>
      </c>
      <c r="N753" s="99">
        <f t="shared" ca="1" si="2040"/>
        <v>197.38018370883856</v>
      </c>
      <c r="O753" s="98">
        <f>SUM(O735:O752)</f>
        <v>126399</v>
      </c>
      <c r="P753" s="69">
        <f t="shared" ca="1" si="2041"/>
        <v>0.8177042539893512</v>
      </c>
      <c r="Q753" s="72">
        <v>1.5</v>
      </c>
      <c r="R753" s="69">
        <f t="shared" ca="1" si="2042"/>
        <v>0.60501936314255977</v>
      </c>
      <c r="S753" s="73">
        <f t="shared" ca="1" si="2043"/>
        <v>0.90752904471383966</v>
      </c>
      <c r="T753" s="72">
        <f ca="1">SUM(T735:T752)</f>
        <v>4192.2383433922205</v>
      </c>
      <c r="U753" s="72">
        <f t="shared" ca="1" si="2044"/>
        <v>7.2655777181840913</v>
      </c>
      <c r="V753" s="74">
        <f t="shared" ca="1" si="2045"/>
        <v>179.12824956672443</v>
      </c>
      <c r="W753" s="76"/>
      <c r="X753" s="8">
        <v>4</v>
      </c>
      <c r="Y753" s="8" t="s">
        <v>37</v>
      </c>
      <c r="Z753" s="8">
        <f t="shared" ref="Z753:AI753" si="2093">SUM(D744)</f>
        <v>30</v>
      </c>
      <c r="AA753" s="9">
        <f t="shared" ca="1" si="2093"/>
        <v>28</v>
      </c>
      <c r="AB753" s="10">
        <f t="shared" ca="1" si="2093"/>
        <v>5537.3040000000001</v>
      </c>
      <c r="AC753" s="9">
        <f t="shared" ca="1" si="2093"/>
        <v>2005</v>
      </c>
      <c r="AD753" s="9">
        <f t="shared" ca="1" si="2093"/>
        <v>0</v>
      </c>
      <c r="AE753" s="9">
        <f t="shared" ca="1" si="2093"/>
        <v>2005</v>
      </c>
      <c r="AF753" s="9">
        <f t="shared" ca="1" si="2093"/>
        <v>3202</v>
      </c>
      <c r="AG753" s="9">
        <f t="shared" ca="1" si="2093"/>
        <v>0</v>
      </c>
      <c r="AH753" s="9">
        <f t="shared" ca="1" si="2093"/>
        <v>3202</v>
      </c>
      <c r="AI753" s="9">
        <f t="shared" ca="1" si="2093"/>
        <v>5207</v>
      </c>
      <c r="AJ753" s="11">
        <f t="shared" ca="1" si="2080"/>
        <v>197.76085714285713</v>
      </c>
      <c r="AK753" s="8">
        <f t="shared" si="2089"/>
        <v>5887</v>
      </c>
      <c r="AL753" s="12">
        <f t="shared" ca="1" si="2081"/>
        <v>0.88449125191099032</v>
      </c>
      <c r="AM753" s="13">
        <f t="shared" si="2090"/>
        <v>1.5</v>
      </c>
      <c r="AN753" s="12">
        <f t="shared" ca="1" si="2082"/>
        <v>0.62689954052248764</v>
      </c>
      <c r="AO753" s="14">
        <f t="shared" ca="1" si="2083"/>
        <v>0.94034931078373152</v>
      </c>
      <c r="AP753" s="13">
        <f t="shared" ref="AP753:AQ753" ca="1" si="2094">SUM(T744)</f>
        <v>223.35043562439495</v>
      </c>
      <c r="AQ753" s="13">
        <f t="shared" ca="1" si="2094"/>
        <v>7.9768012722998192</v>
      </c>
      <c r="AR753" s="9">
        <f t="shared" ca="1" si="2085"/>
        <v>185.96428571428572</v>
      </c>
      <c r="AS753" s="76"/>
      <c r="AT753" s="76"/>
    </row>
    <row r="754" spans="1:46" ht="15.75" customHeight="1" x14ac:dyDescent="0.2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6"/>
      <c r="X754" s="8">
        <v>5</v>
      </c>
      <c r="Y754" s="8" t="s">
        <v>39</v>
      </c>
      <c r="Z754" s="8">
        <f t="shared" ref="Z754:AI754" si="2095">SUM(D745)</f>
        <v>28</v>
      </c>
      <c r="AA754" s="9">
        <f t="shared" ca="1" si="2095"/>
        <v>28</v>
      </c>
      <c r="AB754" s="10">
        <f t="shared" ca="1" si="2095"/>
        <v>5415.9520000000002</v>
      </c>
      <c r="AC754" s="9">
        <f t="shared" ca="1" si="2095"/>
        <v>1188</v>
      </c>
      <c r="AD754" s="9">
        <f t="shared" ca="1" si="2095"/>
        <v>0</v>
      </c>
      <c r="AE754" s="9">
        <f t="shared" ca="1" si="2095"/>
        <v>1188</v>
      </c>
      <c r="AF754" s="9">
        <f t="shared" ca="1" si="2095"/>
        <v>1542</v>
      </c>
      <c r="AG754" s="9">
        <f t="shared" ca="1" si="2095"/>
        <v>323</v>
      </c>
      <c r="AH754" s="9">
        <f t="shared" ca="1" si="2095"/>
        <v>1865</v>
      </c>
      <c r="AI754" s="9">
        <f t="shared" ca="1" si="2095"/>
        <v>3053</v>
      </c>
      <c r="AJ754" s="11">
        <f t="shared" ca="1" si="2080"/>
        <v>193.42685714285716</v>
      </c>
      <c r="AK754" s="8">
        <f t="shared" si="2089"/>
        <v>3569</v>
      </c>
      <c r="AL754" s="12">
        <f t="shared" ca="1" si="2081"/>
        <v>0.85542168674698793</v>
      </c>
      <c r="AM754" s="13">
        <f t="shared" si="2090"/>
        <v>1.5</v>
      </c>
      <c r="AN754" s="12">
        <f t="shared" ca="1" si="2082"/>
        <v>0.37580342908011982</v>
      </c>
      <c r="AO754" s="14">
        <f t="shared" ca="1" si="2083"/>
        <v>0.56370514362017976</v>
      </c>
      <c r="AP754" s="13">
        <f t="shared" ref="AP754:AQ754" ca="1" si="2096">SUM(T745)</f>
        <v>252.3390020034478</v>
      </c>
      <c r="AQ754" s="13">
        <f t="shared" ca="1" si="2096"/>
        <v>9.0121072144088501</v>
      </c>
      <c r="AR754" s="9">
        <f t="shared" ca="1" si="2085"/>
        <v>109.03571428571429</v>
      </c>
      <c r="AS754" s="76"/>
      <c r="AT754" s="76"/>
    </row>
    <row r="755" spans="1:46" ht="15.75" customHeight="1" x14ac:dyDescent="0.2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6"/>
      <c r="X755" s="8">
        <v>6</v>
      </c>
      <c r="Y755" s="8" t="s">
        <v>41</v>
      </c>
      <c r="Z755" s="8">
        <f t="shared" ref="Z755:AI755" si="2097">SUM(D746)</f>
        <v>24</v>
      </c>
      <c r="AA755" s="9">
        <f t="shared" ca="1" si="2097"/>
        <v>24</v>
      </c>
      <c r="AB755" s="10">
        <f t="shared" ca="1" si="2097"/>
        <v>4674.6400000000003</v>
      </c>
      <c r="AC755" s="9">
        <f t="shared" ca="1" si="2097"/>
        <v>1293</v>
      </c>
      <c r="AD755" s="9">
        <f t="shared" ca="1" si="2097"/>
        <v>0</v>
      </c>
      <c r="AE755" s="9">
        <f t="shared" ca="1" si="2097"/>
        <v>1293</v>
      </c>
      <c r="AF755" s="9">
        <f t="shared" ca="1" si="2097"/>
        <v>1629</v>
      </c>
      <c r="AG755" s="9">
        <f t="shared" ca="1" si="2097"/>
        <v>97</v>
      </c>
      <c r="AH755" s="9">
        <f t="shared" ca="1" si="2097"/>
        <v>1726</v>
      </c>
      <c r="AI755" s="9">
        <f t="shared" ca="1" si="2097"/>
        <v>3019</v>
      </c>
      <c r="AJ755" s="11">
        <f t="shared" ca="1" si="2080"/>
        <v>194.77666666666667</v>
      </c>
      <c r="AK755" s="8">
        <f t="shared" si="2089"/>
        <v>3801</v>
      </c>
      <c r="AL755" s="12">
        <f t="shared" ca="1" si="2081"/>
        <v>0.79426466719284394</v>
      </c>
      <c r="AM755" s="13">
        <f t="shared" si="2090"/>
        <v>1.5</v>
      </c>
      <c r="AN755" s="12">
        <f t="shared" ca="1" si="2082"/>
        <v>0.43055008870558303</v>
      </c>
      <c r="AO755" s="14">
        <f t="shared" ca="1" si="2083"/>
        <v>0.64582513305837452</v>
      </c>
      <c r="AP755" s="13">
        <f t="shared" ref="AP755:AQ755" ca="1" si="2098">SUM(T746)</f>
        <v>157.7777777777778</v>
      </c>
      <c r="AQ755" s="13">
        <f t="shared" ca="1" si="2098"/>
        <v>6.5740740740740753</v>
      </c>
      <c r="AR755" s="9">
        <f t="shared" ca="1" si="2085"/>
        <v>125.79166666666667</v>
      </c>
      <c r="AS755" s="76"/>
      <c r="AT755" s="76"/>
    </row>
    <row r="756" spans="1:46" ht="15.75" customHeight="1" x14ac:dyDescent="0.25">
      <c r="A756" s="110" t="s">
        <v>45</v>
      </c>
      <c r="B756" s="76"/>
      <c r="C756" s="76"/>
      <c r="D756" s="75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24" t="s">
        <v>33</v>
      </c>
      <c r="Y756" s="24">
        <v>6</v>
      </c>
      <c r="Z756" s="24">
        <f t="shared" ref="Z756:AI756" si="2099">SUM(Z750:Z755)</f>
        <v>173</v>
      </c>
      <c r="AA756" s="25">
        <f t="shared" ca="1" si="2099"/>
        <v>171</v>
      </c>
      <c r="AB756" s="27">
        <f t="shared" ca="1" si="2099"/>
        <v>33326.616999999984</v>
      </c>
      <c r="AC756" s="25">
        <f t="shared" ca="1" si="2099"/>
        <v>13530</v>
      </c>
      <c r="AD756" s="25">
        <f t="shared" ca="1" si="2099"/>
        <v>0</v>
      </c>
      <c r="AE756" s="25">
        <f t="shared" ca="1" si="2099"/>
        <v>13530</v>
      </c>
      <c r="AF756" s="25">
        <f t="shared" ca="1" si="2099"/>
        <v>16780</v>
      </c>
      <c r="AG756" s="25">
        <f t="shared" ca="1" si="2099"/>
        <v>420</v>
      </c>
      <c r="AH756" s="25">
        <f t="shared" ca="1" si="2099"/>
        <v>17200</v>
      </c>
      <c r="AI756" s="25">
        <f t="shared" ca="1" si="2099"/>
        <v>30730</v>
      </c>
      <c r="AJ756" s="27">
        <f t="shared" ca="1" si="2080"/>
        <v>194.89249707602329</v>
      </c>
      <c r="AK756" s="24">
        <f>SUM(AK750:AK755)</f>
        <v>37031</v>
      </c>
      <c r="AL756" s="28">
        <f t="shared" ca="1" si="2081"/>
        <v>0.82984526477815879</v>
      </c>
      <c r="AM756" s="29">
        <v>1.5</v>
      </c>
      <c r="AN756" s="28">
        <f t="shared" ca="1" si="2082"/>
        <v>0.61472386071069496</v>
      </c>
      <c r="AO756" s="30">
        <f t="shared" ca="1" si="2083"/>
        <v>0.92208579106604238</v>
      </c>
      <c r="AP756" s="29">
        <f ca="1">SUM(AP750:AP755)</f>
        <v>1373.9248646396893</v>
      </c>
      <c r="AQ756" s="29">
        <f ca="1">AP756/AA756</f>
        <v>8.0346483312262524</v>
      </c>
      <c r="AR756" s="25">
        <f t="shared" ca="1" si="2085"/>
        <v>179.70760233918128</v>
      </c>
      <c r="AS756" s="76"/>
      <c r="AT756" s="76"/>
    </row>
    <row r="757" spans="1:46" ht="15.75" customHeight="1" x14ac:dyDescent="0.2">
      <c r="A757" s="110" t="s">
        <v>45</v>
      </c>
      <c r="B757" s="76"/>
      <c r="C757" s="76"/>
      <c r="D757" s="75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7" t="s">
        <v>1</v>
      </c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9"/>
      <c r="AS757" s="76"/>
      <c r="AT757" s="76"/>
    </row>
    <row r="758" spans="1:46" ht="15.75" customHeight="1" x14ac:dyDescent="0.2">
      <c r="A758" s="109">
        <v>46232</v>
      </c>
      <c r="B758" s="80" t="s">
        <v>2</v>
      </c>
      <c r="C758" s="80" t="s">
        <v>3</v>
      </c>
      <c r="D758" s="80" t="s">
        <v>4</v>
      </c>
      <c r="E758" s="80" t="s">
        <v>5</v>
      </c>
      <c r="F758" s="81" t="s">
        <v>6</v>
      </c>
      <c r="G758" s="80" t="s">
        <v>7</v>
      </c>
      <c r="H758" s="80" t="s">
        <v>8</v>
      </c>
      <c r="I758" s="80" t="s">
        <v>9</v>
      </c>
      <c r="J758" s="80" t="s">
        <v>10</v>
      </c>
      <c r="K758" s="80" t="s">
        <v>11</v>
      </c>
      <c r="L758" s="80" t="s">
        <v>12</v>
      </c>
      <c r="M758" s="80" t="s">
        <v>13</v>
      </c>
      <c r="N758" s="81" t="s">
        <v>14</v>
      </c>
      <c r="O758" s="80" t="s">
        <v>15</v>
      </c>
      <c r="P758" s="80" t="s">
        <v>16</v>
      </c>
      <c r="Q758" s="80" t="s">
        <v>17</v>
      </c>
      <c r="R758" s="80" t="s">
        <v>18</v>
      </c>
      <c r="S758" s="106" t="s">
        <v>19</v>
      </c>
      <c r="T758" s="107" t="s">
        <v>20</v>
      </c>
      <c r="U758" s="107" t="s">
        <v>21</v>
      </c>
      <c r="V758" s="105" t="s">
        <v>22</v>
      </c>
      <c r="W758" s="76"/>
      <c r="X758" s="1" t="s">
        <v>2</v>
      </c>
      <c r="Y758" s="1" t="s">
        <v>3</v>
      </c>
      <c r="Z758" s="1" t="s">
        <v>4</v>
      </c>
      <c r="AA758" s="1" t="s">
        <v>5</v>
      </c>
      <c r="AB758" s="2" t="s">
        <v>6</v>
      </c>
      <c r="AC758" s="1" t="s">
        <v>7</v>
      </c>
      <c r="AD758" s="1" t="s">
        <v>8</v>
      </c>
      <c r="AE758" s="1" t="s">
        <v>9</v>
      </c>
      <c r="AF758" s="1" t="s">
        <v>10</v>
      </c>
      <c r="AG758" s="1" t="s">
        <v>11</v>
      </c>
      <c r="AH758" s="1" t="s">
        <v>12</v>
      </c>
      <c r="AI758" s="1" t="s">
        <v>13</v>
      </c>
      <c r="AJ758" s="2" t="s">
        <v>14</v>
      </c>
      <c r="AK758" s="1" t="s">
        <v>15</v>
      </c>
      <c r="AL758" s="1" t="s">
        <v>16</v>
      </c>
      <c r="AM758" s="3" t="s">
        <v>17</v>
      </c>
      <c r="AN758" s="4" t="s">
        <v>18</v>
      </c>
      <c r="AO758" s="5" t="s">
        <v>19</v>
      </c>
      <c r="AP758" s="6" t="s">
        <v>20</v>
      </c>
      <c r="AQ758" s="6" t="s">
        <v>21</v>
      </c>
      <c r="AR758" s="7" t="s">
        <v>22</v>
      </c>
      <c r="AS758" s="76"/>
      <c r="AT758" s="76"/>
    </row>
    <row r="759" spans="1:46" ht="15.75" customHeight="1" x14ac:dyDescent="0.2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6"/>
      <c r="X759" s="8">
        <v>1</v>
      </c>
      <c r="Y759" s="8" t="s">
        <v>23</v>
      </c>
      <c r="Z759" s="8">
        <f t="shared" ref="Z759:AI759" si="2100">SUM(D767)</f>
        <v>35</v>
      </c>
      <c r="AA759" s="9">
        <f t="shared" ca="1" si="2100"/>
        <v>35</v>
      </c>
      <c r="AB759" s="10">
        <f t="shared" ca="1" si="2100"/>
        <v>6882.95999999999</v>
      </c>
      <c r="AC759" s="9">
        <f t="shared" ca="1" si="2100"/>
        <v>1758</v>
      </c>
      <c r="AD759" s="9">
        <f t="shared" ca="1" si="2100"/>
        <v>0</v>
      </c>
      <c r="AE759" s="9">
        <f t="shared" ca="1" si="2100"/>
        <v>1758</v>
      </c>
      <c r="AF759" s="9">
        <f t="shared" ca="1" si="2100"/>
        <v>3293</v>
      </c>
      <c r="AG759" s="9">
        <f t="shared" ca="1" si="2100"/>
        <v>0</v>
      </c>
      <c r="AH759" s="9">
        <f t="shared" ca="1" si="2100"/>
        <v>3293</v>
      </c>
      <c r="AI759" s="9">
        <f t="shared" ca="1" si="2100"/>
        <v>5051</v>
      </c>
      <c r="AJ759" s="11">
        <f t="shared" ref="AJ759:AJ761" ca="1" si="2101">AB759/AA759</f>
        <v>196.65599999999972</v>
      </c>
      <c r="AK759" s="8">
        <f>SUM(O767)</f>
        <v>6853</v>
      </c>
      <c r="AL759" s="12">
        <f t="shared" ref="AL759:AL765" ca="1" si="2102">AI759/AK759</f>
        <v>0.73704946738654609</v>
      </c>
      <c r="AM759" s="13">
        <f t="shared" ref="AM759:AM761" si="2103">SUM(Q767)</f>
        <v>1.5</v>
      </c>
      <c r="AN759" s="12">
        <f t="shared" ref="AN759:AN765" ca="1" si="2104">AO759/AM759</f>
        <v>0.48922750289604156</v>
      </c>
      <c r="AO759" s="14">
        <f t="shared" ref="AO759:AO765" ca="1" si="2105">AI759/AB759</f>
        <v>0.73384125434406233</v>
      </c>
      <c r="AP759" s="13">
        <f t="shared" ref="AP759:AQ759" ca="1" si="2106">SUM(T767)</f>
        <v>203.99999999999969</v>
      </c>
      <c r="AQ759" s="13">
        <f t="shared" ca="1" si="2106"/>
        <v>5.8285714285714194</v>
      </c>
      <c r="AR759" s="9">
        <f t="shared" ref="AR759:AR765" ca="1" si="2107">AI759/AA759</f>
        <v>144.31428571428572</v>
      </c>
      <c r="AS759" s="76"/>
      <c r="AT759" s="76"/>
    </row>
    <row r="760" spans="1:46" ht="15.75" customHeight="1" x14ac:dyDescent="0.2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6"/>
      <c r="X760" s="8">
        <v>2</v>
      </c>
      <c r="Y760" s="8" t="s">
        <v>24</v>
      </c>
      <c r="Z760" s="8">
        <f t="shared" ref="Z760:AI760" si="2108">SUM(D768)</f>
        <v>44</v>
      </c>
      <c r="AA760" s="9">
        <f t="shared" ca="1" si="2108"/>
        <v>43</v>
      </c>
      <c r="AB760" s="10">
        <f t="shared" ca="1" si="2108"/>
        <v>8590.1009999999897</v>
      </c>
      <c r="AC760" s="9">
        <f t="shared" ca="1" si="2108"/>
        <v>1148</v>
      </c>
      <c r="AD760" s="9">
        <f t="shared" ca="1" si="2108"/>
        <v>0</v>
      </c>
      <c r="AE760" s="9">
        <f t="shared" ca="1" si="2108"/>
        <v>1148</v>
      </c>
      <c r="AF760" s="9">
        <f t="shared" ca="1" si="2108"/>
        <v>1387</v>
      </c>
      <c r="AG760" s="9">
        <f t="shared" ca="1" si="2108"/>
        <v>48</v>
      </c>
      <c r="AH760" s="9">
        <f t="shared" ca="1" si="2108"/>
        <v>1435</v>
      </c>
      <c r="AI760" s="9">
        <f t="shared" ca="1" si="2108"/>
        <v>2583</v>
      </c>
      <c r="AJ760" s="11">
        <f t="shared" ca="1" si="2101"/>
        <v>199.76979069767418</v>
      </c>
      <c r="AK760" s="8">
        <v>1580</v>
      </c>
      <c r="AL760" s="15">
        <f t="shared" ca="1" si="2102"/>
        <v>1.6348101265822785</v>
      </c>
      <c r="AM760" s="13">
        <f t="shared" si="2103"/>
        <v>1.5</v>
      </c>
      <c r="AN760" s="12">
        <f t="shared" ca="1" si="2104"/>
        <v>0.20046330072254123</v>
      </c>
      <c r="AO760" s="14">
        <f t="shared" ca="1" si="2105"/>
        <v>0.30069495108381183</v>
      </c>
      <c r="AP760" s="13">
        <f t="shared" ref="AP760:AQ760" ca="1" si="2109">SUM(T768)</f>
        <v>320.46636821488488</v>
      </c>
      <c r="AQ760" s="13">
        <f t="shared" ca="1" si="2109"/>
        <v>7.4527062375554625</v>
      </c>
      <c r="AR760" s="9">
        <f t="shared" ca="1" si="2107"/>
        <v>60.069767441860463</v>
      </c>
      <c r="AS760" s="76"/>
      <c r="AT760" s="76"/>
    </row>
    <row r="761" spans="1:46" ht="15.75" customHeight="1" x14ac:dyDescent="0.2">
      <c r="A761" s="70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6"/>
      <c r="X761" s="8">
        <v>3</v>
      </c>
      <c r="Y761" s="8" t="s">
        <v>25</v>
      </c>
      <c r="Z761" s="8">
        <f t="shared" ref="Z761:AI761" si="2110">SUM(D769)</f>
        <v>32</v>
      </c>
      <c r="AA761" s="9">
        <f t="shared" ca="1" si="2110"/>
        <v>32</v>
      </c>
      <c r="AB761" s="10">
        <f t="shared" ca="1" si="2110"/>
        <v>6029.7520000000004</v>
      </c>
      <c r="AC761" s="9">
        <f t="shared" ca="1" si="2110"/>
        <v>2347</v>
      </c>
      <c r="AD761" s="9">
        <f t="shared" ca="1" si="2110"/>
        <v>386</v>
      </c>
      <c r="AE761" s="9">
        <f t="shared" ca="1" si="2110"/>
        <v>2733</v>
      </c>
      <c r="AF761" s="9">
        <f t="shared" ca="1" si="2110"/>
        <v>3822</v>
      </c>
      <c r="AG761" s="9">
        <f t="shared" ca="1" si="2110"/>
        <v>501</v>
      </c>
      <c r="AH761" s="9">
        <f t="shared" ca="1" si="2110"/>
        <v>4323</v>
      </c>
      <c r="AI761" s="9">
        <f t="shared" ca="1" si="2110"/>
        <v>7056</v>
      </c>
      <c r="AJ761" s="11">
        <f t="shared" ca="1" si="2101"/>
        <v>188.42975000000001</v>
      </c>
      <c r="AK761" s="8">
        <f>SUM(O769)</f>
        <v>6622</v>
      </c>
      <c r="AL761" s="15">
        <f t="shared" ca="1" si="2102"/>
        <v>1.06553911205074</v>
      </c>
      <c r="AM761" s="13">
        <f t="shared" si="2103"/>
        <v>1.5</v>
      </c>
      <c r="AN761" s="12">
        <f t="shared" ca="1" si="2104"/>
        <v>0.78013158750144285</v>
      </c>
      <c r="AO761" s="14">
        <f t="shared" ca="1" si="2105"/>
        <v>1.1701973812521642</v>
      </c>
      <c r="AP761" s="13">
        <f t="shared" ref="AP761:AQ761" ca="1" si="2111">SUM(T769)</f>
        <v>252.92583892617452</v>
      </c>
      <c r="AQ761" s="13">
        <f t="shared" ca="1" si="2111"/>
        <v>7.9039324664429538</v>
      </c>
      <c r="AR761" s="9">
        <f t="shared" ca="1" si="2107"/>
        <v>220.5</v>
      </c>
      <c r="AS761" s="76"/>
      <c r="AT761" s="76"/>
    </row>
    <row r="762" spans="1:46" ht="15.75" customHeight="1" x14ac:dyDescent="0.25">
      <c r="A762" s="70"/>
      <c r="B762" s="16">
        <v>1</v>
      </c>
      <c r="C762" s="16" t="s">
        <v>26</v>
      </c>
      <c r="D762" s="17">
        <v>20</v>
      </c>
      <c r="E762" s="18">
        <f ca="1">IFERROR(__xludf.DUMMYFUNCTION("COUNT(IMPORTRANGE(""https://docs.google.com/spreadsheets/d/1z0o91thOT38lgejTE_Bd2p3v_9VCDdQRkUsMIVqpQCk/edit"",""29!d2:d21""))"),20)</f>
        <v>20</v>
      </c>
      <c r="F762" s="19">
        <f ca="1">IFERROR(__xludf.DUMMYFUNCTION("SUM(IMPORTRANGE(""https://docs.google.com/spreadsheets/d/1z0o91thOT38lgejTE_Bd2p3v_9VCDdQRkUsMIVqpQCk/edit"",""29!Q2:Q21""))"),3755.64299999999)</f>
        <v>3755.64299999999</v>
      </c>
      <c r="G762" s="18">
        <f ca="1">IFERROR(__xludf.DUMMYFUNCTION("IMPORTRANGE(""https://docs.google.com/spreadsheets/d/1z0o91thOT38lgejTE_Bd2p3v_9VCDdQRkUsMIVqpQCk/edit"",""29!e28"")"),2241)</f>
        <v>2241</v>
      </c>
      <c r="H762" s="18">
        <f ca="1">IFERROR(__xludf.DUMMYFUNCTION("IMPORTRANGE(""https://docs.google.com/spreadsheets/d/1z0o91thOT38lgejTE_Bd2p3v_9VCDdQRkUsMIVqpQCk/edit"",""29!e29"")"),0)</f>
        <v>0</v>
      </c>
      <c r="I762" s="18">
        <f t="shared" ref="I762:I779" ca="1" si="2112">SUM(G762:H762)</f>
        <v>2241</v>
      </c>
      <c r="J762" s="18">
        <f ca="1">IFERROR(__xludf.DUMMYFUNCTION("IMPORTRANGE(""https://docs.google.com/spreadsheets/d/1z0o91thOT38lgejTE_Bd2p3v_9VCDdQRkUsMIVqpQCk/edit"",""29!e32"")"),2899)</f>
        <v>2899</v>
      </c>
      <c r="K762" s="18">
        <f ca="1">IFERROR(__xludf.DUMMYFUNCTION("IMPORTRANGE(""https://docs.google.com/spreadsheets/d/1z0o91thOT38lgejTE_Bd2p3v_9VCDdQRkUsMIVqpQCk/edit"",""29!e33"")"),0)</f>
        <v>0</v>
      </c>
      <c r="L762" s="18">
        <f t="shared" ref="L762:L768" ca="1" si="2113">SUM(J762:K762)</f>
        <v>2899</v>
      </c>
      <c r="M762" s="18">
        <f t="shared" ref="M762:M779" ca="1" si="2114">SUM(I762+L762)</f>
        <v>5140</v>
      </c>
      <c r="N762" s="19">
        <f t="shared" ref="N762:N780" ca="1" si="2115">F762/E762</f>
        <v>187.78214999999949</v>
      </c>
      <c r="O762" s="16">
        <v>5161</v>
      </c>
      <c r="P762" s="20">
        <f t="shared" ref="P762:P780" ca="1" si="2116">M762/O762</f>
        <v>0.99593102111993803</v>
      </c>
      <c r="Q762" s="21">
        <v>1.5</v>
      </c>
      <c r="R762" s="20">
        <f t="shared" ref="R762:R780" ca="1" si="2117">S762/Q762</f>
        <v>0.91240479104821093</v>
      </c>
      <c r="S762" s="22">
        <f t="shared" ref="S762:S780" ca="1" si="2118">M762/F762</f>
        <v>1.3686071865723164</v>
      </c>
      <c r="T762" s="21">
        <f ca="1">F762/14.415</f>
        <v>260.53714880332916</v>
      </c>
      <c r="U762" s="21">
        <f t="shared" ref="U762:U780" ca="1" si="2119">T762/E762</f>
        <v>13.026857440166458</v>
      </c>
      <c r="V762" s="18">
        <f t="shared" ref="V762:V780" ca="1" si="2120">M762/E762</f>
        <v>257</v>
      </c>
      <c r="W762" s="76"/>
      <c r="X762" s="8">
        <v>4</v>
      </c>
      <c r="Y762" s="8" t="s">
        <v>27</v>
      </c>
      <c r="Z762" s="8">
        <f t="shared" ref="Z762:AK762" si="2121">SUM(D775)</f>
        <v>30</v>
      </c>
      <c r="AA762" s="9">
        <f t="shared" ca="1" si="2121"/>
        <v>28</v>
      </c>
      <c r="AB762" s="10">
        <f t="shared" ca="1" si="2121"/>
        <v>5231.9629999999997</v>
      </c>
      <c r="AC762" s="9">
        <f t="shared" ca="1" si="2121"/>
        <v>2609</v>
      </c>
      <c r="AD762" s="9">
        <f t="shared" ca="1" si="2121"/>
        <v>0</v>
      </c>
      <c r="AE762" s="9">
        <f t="shared" ca="1" si="2121"/>
        <v>2609</v>
      </c>
      <c r="AF762" s="9">
        <f t="shared" ca="1" si="2121"/>
        <v>3255</v>
      </c>
      <c r="AG762" s="9">
        <f t="shared" ca="1" si="2121"/>
        <v>0</v>
      </c>
      <c r="AH762" s="9">
        <f t="shared" ca="1" si="2121"/>
        <v>3255</v>
      </c>
      <c r="AI762" s="9">
        <f t="shared" ca="1" si="2121"/>
        <v>5864</v>
      </c>
      <c r="AJ762" s="11">
        <f t="shared" ca="1" si="2121"/>
        <v>186.85582142857143</v>
      </c>
      <c r="AK762" s="8">
        <f t="shared" si="2121"/>
        <v>8101</v>
      </c>
      <c r="AL762" s="12">
        <f t="shared" ca="1" si="2102"/>
        <v>0.7238612516973213</v>
      </c>
      <c r="AM762" s="13">
        <f>SUM(Q775)</f>
        <v>1.5</v>
      </c>
      <c r="AN762" s="12">
        <f t="shared" ca="1" si="2104"/>
        <v>0.74720202213458575</v>
      </c>
      <c r="AO762" s="14">
        <f t="shared" ca="1" si="2105"/>
        <v>1.1208030332018786</v>
      </c>
      <c r="AP762" s="13">
        <f t="shared" ref="AP762:AQ762" ca="1" si="2122">SUM(T775)</f>
        <v>261.79449587190391</v>
      </c>
      <c r="AQ762" s="13">
        <f t="shared" ca="1" si="2122"/>
        <v>9.3498034239965673</v>
      </c>
      <c r="AR762" s="9">
        <f t="shared" ca="1" si="2107"/>
        <v>209.42857142857142</v>
      </c>
      <c r="AS762" s="76"/>
      <c r="AT762" s="76"/>
    </row>
    <row r="763" spans="1:46" ht="15.75" customHeight="1" x14ac:dyDescent="0.25">
      <c r="A763" s="70"/>
      <c r="B763" s="16">
        <v>2</v>
      </c>
      <c r="C763" s="16" t="s">
        <v>28</v>
      </c>
      <c r="D763" s="44">
        <v>33</v>
      </c>
      <c r="E763" s="18">
        <f ca="1">IFERROR(__xludf.DUMMYFUNCTION("COUNT(IMPORTRANGE(""https://docs.google.com/spreadsheets/d/10a85iNN0y9GF6ngQfF1JXGAzFk-T7ywH4-TZtQcOTaE/edit"",""29!d2:d34""))"),33)</f>
        <v>33</v>
      </c>
      <c r="F763" s="19">
        <f ca="1">IFERROR(__xludf.DUMMYFUNCTION("SUM(IMPORTRANGE(""https://docs.google.com/spreadsheets/d/10a85iNN0y9GF6ngQfF1JXGAzFk-T7ywH4-TZtQcOTaE/edit"",""29!Q2:Q34""))"),6374.348)</f>
        <v>6374.348</v>
      </c>
      <c r="G763" s="18">
        <f ca="1">IFERROR(__xludf.DUMMYFUNCTION("IMPORTRANGE(""https://docs.google.com/spreadsheets/d/10a85iNN0y9GF6ngQfF1JXGAzFk-T7ywH4-TZtQcOTaE/edit"",""29!e41"")"),2752)</f>
        <v>2752</v>
      </c>
      <c r="H763" s="18">
        <f ca="1">IFERROR(__xludf.DUMMYFUNCTION("IMPORTRANGE(""https://docs.google.com/spreadsheets/d/10a85iNN0y9GF6ngQfF1JXGAzFk-T7ywH4-TZtQcOTaE/edit"",""29!e42"")"),148)</f>
        <v>148</v>
      </c>
      <c r="I763" s="18">
        <f t="shared" ca="1" si="2112"/>
        <v>2900</v>
      </c>
      <c r="J763" s="18">
        <f ca="1">IFERROR(__xludf.DUMMYFUNCTION("IMPORTRANGE(""https://docs.google.com/spreadsheets/d/10a85iNN0y9GF6ngQfF1JXGAzFk-T7ywH4-TZtQcOTaE/edit"",""29!e45"")"),3025)</f>
        <v>3025</v>
      </c>
      <c r="K763" s="18">
        <f ca="1">IFERROR(__xludf.DUMMYFUNCTION("IMPORTRANGE(""https://docs.google.com/spreadsheets/d/10a85iNN0y9GF6ngQfF1JXGAzFk-T7ywH4-TZtQcOTaE/edit"",""29!e46"")"),173)</f>
        <v>173</v>
      </c>
      <c r="L763" s="18">
        <f t="shared" ca="1" si="2113"/>
        <v>3198</v>
      </c>
      <c r="M763" s="18">
        <f t="shared" ca="1" si="2114"/>
        <v>6098</v>
      </c>
      <c r="N763" s="19">
        <f t="shared" ca="1" si="2115"/>
        <v>193.16206060606061</v>
      </c>
      <c r="O763" s="16">
        <v>7315</v>
      </c>
      <c r="P763" s="20">
        <f t="shared" ca="1" si="2116"/>
        <v>0.8336295283663705</v>
      </c>
      <c r="Q763" s="21">
        <v>1.5</v>
      </c>
      <c r="R763" s="20">
        <f t="shared" ca="1" si="2117"/>
        <v>0.63776457346435012</v>
      </c>
      <c r="S763" s="22">
        <f t="shared" ca="1" si="2118"/>
        <v>0.95664686019652523</v>
      </c>
      <c r="T763" s="21">
        <f ca="1">F763/30.897</f>
        <v>206.30960934718581</v>
      </c>
      <c r="U763" s="21">
        <f t="shared" ca="1" si="2119"/>
        <v>6.2518063438541152</v>
      </c>
      <c r="V763" s="18">
        <f t="shared" ca="1" si="2120"/>
        <v>184.78787878787878</v>
      </c>
      <c r="W763" s="76"/>
      <c r="X763" s="8">
        <v>5</v>
      </c>
      <c r="Y763" s="8" t="s">
        <v>29</v>
      </c>
      <c r="Z763" s="8">
        <f t="shared" ref="Z763:AI763" si="2123">SUM(D778)</f>
        <v>30</v>
      </c>
      <c r="AA763" s="9">
        <f t="shared" ca="1" si="2123"/>
        <v>30</v>
      </c>
      <c r="AB763" s="10">
        <f t="shared" ca="1" si="2123"/>
        <v>6066.8540000000003</v>
      </c>
      <c r="AC763" s="9">
        <f t="shared" ca="1" si="2123"/>
        <v>2439</v>
      </c>
      <c r="AD763" s="9">
        <f t="shared" ca="1" si="2123"/>
        <v>0</v>
      </c>
      <c r="AE763" s="9">
        <f t="shared" ca="1" si="2123"/>
        <v>2439</v>
      </c>
      <c r="AF763" s="9">
        <f t="shared" ca="1" si="2123"/>
        <v>5031</v>
      </c>
      <c r="AG763" s="9">
        <f t="shared" ca="1" si="2123"/>
        <v>0</v>
      </c>
      <c r="AH763" s="9">
        <f t="shared" ca="1" si="2123"/>
        <v>5031</v>
      </c>
      <c r="AI763" s="9">
        <f t="shared" ca="1" si="2123"/>
        <v>7470</v>
      </c>
      <c r="AJ763" s="11">
        <f t="shared" ref="AJ763:AJ765" ca="1" si="2124">AB763/AA763</f>
        <v>202.22846666666666</v>
      </c>
      <c r="AK763" s="8">
        <f t="shared" ref="AK763:AK764" si="2125">SUM(O778)</f>
        <v>9201</v>
      </c>
      <c r="AL763" s="12">
        <f t="shared" ca="1" si="2102"/>
        <v>0.81186827518747962</v>
      </c>
      <c r="AM763" s="13">
        <f t="shared" ref="AM763:AM764" si="2126">SUM(Q778)</f>
        <v>1.5</v>
      </c>
      <c r="AN763" s="12">
        <f t="shared" ca="1" si="2104"/>
        <v>0.82085377363622058</v>
      </c>
      <c r="AO763" s="14">
        <f t="shared" ca="1" si="2105"/>
        <v>1.2312806604543309</v>
      </c>
      <c r="AP763" s="13">
        <f t="shared" ref="AP763:AQ763" ca="1" si="2127">SUM(T778)</f>
        <v>233</v>
      </c>
      <c r="AQ763" s="13">
        <f t="shared" ca="1" si="2127"/>
        <v>7.7666666666666666</v>
      </c>
      <c r="AR763" s="9">
        <f t="shared" ca="1" si="2107"/>
        <v>249</v>
      </c>
      <c r="AS763" s="76"/>
      <c r="AT763" s="76"/>
    </row>
    <row r="764" spans="1:46" ht="15.75" customHeight="1" x14ac:dyDescent="0.25">
      <c r="A764" s="70"/>
      <c r="B764" s="16">
        <v>3</v>
      </c>
      <c r="C764" s="16" t="s">
        <v>30</v>
      </c>
      <c r="D764" s="44">
        <v>60</v>
      </c>
      <c r="E764" s="18">
        <f ca="1">IFERROR(__xludf.DUMMYFUNCTION("COUNT(IMPORTRANGE(""https://docs.google.com/spreadsheets/d/1WojVzHhpzodJL1e5UDHeu3A3u5MTSZwvxHu0BrwvL9w/edit"",""29!d2:d61""))"),58)</f>
        <v>58</v>
      </c>
      <c r="F764" s="23">
        <f ca="1">IFERROR(__xludf.DUMMYFUNCTION("SUM(IMPORTRANGE(""https://docs.google.com/spreadsheets/d/1WojVzHhpzodJL1e5UDHeu3A3u5MTSZwvxHu0BrwvL9w/edit"",""29!Q2:Q61""))"),11397.1549999999)</f>
        <v>11397.154999999901</v>
      </c>
      <c r="G764" s="18">
        <f ca="1">IFERROR(__xludf.DUMMYFUNCTION("IMPORTRANGE(""https://docs.google.com/spreadsheets/d/1WojVzHhpzodJL1e5UDHeu3A3u5MTSZwvxHu0BrwvL9w/edit"",""29!e68"")"),3586)</f>
        <v>3586</v>
      </c>
      <c r="H764" s="18">
        <f ca="1">IFERROR(__xludf.DUMMYFUNCTION("IMPORTRANGE(""https://docs.google.com/spreadsheets/d/1WojVzHhpzodJL1e5UDHeu3A3u5MTSZwvxHu0BrwvL9w/edit"",""29!e69"")"),10)</f>
        <v>10</v>
      </c>
      <c r="I764" s="18">
        <f t="shared" ca="1" si="2112"/>
        <v>3596</v>
      </c>
      <c r="J764" s="18">
        <f ca="1">IFERROR(__xludf.DUMMYFUNCTION("IMPORTRANGE(""https://docs.google.com/spreadsheets/d/1WojVzHhpzodJL1e5UDHeu3A3u5MTSZwvxHu0BrwvL9w/edit"",""29!e72"")"),5651)</f>
        <v>5651</v>
      </c>
      <c r="K764" s="18">
        <f ca="1">IFERROR(__xludf.DUMMYFUNCTION("IMPORTRANGE(""https://docs.google.com/spreadsheets/d/1WojVzHhpzodJL1e5UDHeu3A3u5MTSZwvxHu0BrwvL9w/edit"",""29!e73"")"),0)</f>
        <v>0</v>
      </c>
      <c r="L764" s="18">
        <f t="shared" ca="1" si="2113"/>
        <v>5651</v>
      </c>
      <c r="M764" s="18">
        <f t="shared" ca="1" si="2114"/>
        <v>9247</v>
      </c>
      <c r="N764" s="19">
        <f t="shared" ca="1" si="2115"/>
        <v>196.5026724137914</v>
      </c>
      <c r="O764" s="16">
        <v>11164</v>
      </c>
      <c r="P764" s="20">
        <f t="shared" ca="1" si="2116"/>
        <v>0.82828735220351124</v>
      </c>
      <c r="Q764" s="21">
        <v>1.5</v>
      </c>
      <c r="R764" s="20">
        <f t="shared" ca="1" si="2117"/>
        <v>0.54089522048850969</v>
      </c>
      <c r="S764" s="22">
        <f t="shared" ca="1" si="2118"/>
        <v>0.81134283073276448</v>
      </c>
      <c r="T764" s="21">
        <f ca="1">F764/29.603</f>
        <v>384.99999999999665</v>
      </c>
      <c r="U764" s="21">
        <f t="shared" ca="1" si="2119"/>
        <v>6.6379310344827012</v>
      </c>
      <c r="V764" s="18">
        <f t="shared" ca="1" si="2120"/>
        <v>159.43103448275863</v>
      </c>
      <c r="W764" s="76"/>
      <c r="X764" s="8">
        <v>6</v>
      </c>
      <c r="Y764" s="8" t="s">
        <v>31</v>
      </c>
      <c r="Z764" s="8">
        <f t="shared" ref="Z764:AI764" si="2128">SUM(D779)</f>
        <v>15</v>
      </c>
      <c r="AA764" s="9">
        <f t="shared" ca="1" si="2128"/>
        <v>13</v>
      </c>
      <c r="AB764" s="11">
        <f t="shared" ca="1" si="2128"/>
        <v>2651.3649999999998</v>
      </c>
      <c r="AC764" s="9">
        <f t="shared" ca="1" si="2128"/>
        <v>920</v>
      </c>
      <c r="AD764" s="9">
        <f t="shared" ca="1" si="2128"/>
        <v>9</v>
      </c>
      <c r="AE764" s="9">
        <f t="shared" ca="1" si="2128"/>
        <v>929</v>
      </c>
      <c r="AF764" s="9">
        <f t="shared" ca="1" si="2128"/>
        <v>1187</v>
      </c>
      <c r="AG764" s="9">
        <f t="shared" ca="1" si="2128"/>
        <v>0</v>
      </c>
      <c r="AH764" s="9">
        <f t="shared" ca="1" si="2128"/>
        <v>1187</v>
      </c>
      <c r="AI764" s="9">
        <f t="shared" ca="1" si="2128"/>
        <v>2116</v>
      </c>
      <c r="AJ764" s="11">
        <f t="shared" ca="1" si="2124"/>
        <v>203.95115384615383</v>
      </c>
      <c r="AK764" s="8">
        <f t="shared" si="2125"/>
        <v>2717</v>
      </c>
      <c r="AL764" s="12">
        <f t="shared" ca="1" si="2102"/>
        <v>0.77880014722119983</v>
      </c>
      <c r="AM764" s="13">
        <f t="shared" si="2126"/>
        <v>1.5</v>
      </c>
      <c r="AN764" s="12">
        <f t="shared" ca="1" si="2104"/>
        <v>0.53205298654340949</v>
      </c>
      <c r="AO764" s="14">
        <f t="shared" ca="1" si="2105"/>
        <v>0.79807947981511418</v>
      </c>
      <c r="AP764" s="13">
        <f t="shared" ref="AP764:AQ764" ca="1" si="2129">SUM(T779)</f>
        <v>60.999999999999993</v>
      </c>
      <c r="AQ764" s="13">
        <f t="shared" ca="1" si="2129"/>
        <v>4.6923076923076916</v>
      </c>
      <c r="AR764" s="9">
        <f t="shared" ca="1" si="2107"/>
        <v>162.76923076923077</v>
      </c>
      <c r="AS764" s="76"/>
      <c r="AT764" s="76"/>
    </row>
    <row r="765" spans="1:46" ht="15.75" customHeight="1" x14ac:dyDescent="0.25">
      <c r="A765" s="70"/>
      <c r="B765" s="16">
        <v>4</v>
      </c>
      <c r="C765" s="16" t="s">
        <v>32</v>
      </c>
      <c r="D765" s="44">
        <v>42</v>
      </c>
      <c r="E765" s="18">
        <f ca="1">IFERROR(__xludf.DUMMYFUNCTION("COUNT(IMPORTRANGE(""https://docs.google.com/spreadsheets/d/1vmCj5YcMSPHj1m64syDndQ6cqVL3yolcU03Y8KHmvdc/edit"",""29!d2:d43""))"),40)</f>
        <v>40</v>
      </c>
      <c r="F765" s="23">
        <f ca="1">IFERROR(__xludf.DUMMYFUNCTION("SUM(IMPORTRANGE(""https://docs.google.com/spreadsheets/d/1vmCj5YcMSPHj1m64syDndQ6cqVL3yolcU03Y8KHmvdc/edit"",""29!Q2:Q43""))"),7766.11999999999)</f>
        <v>7766.1199999999899</v>
      </c>
      <c r="G765" s="16">
        <f ca="1">IFERROR(__xludf.DUMMYFUNCTION("IMPORTRANGE(""https://docs.google.com/spreadsheets/d/1vmCj5YcMSPHj1m64syDndQ6cqVL3yolcU03Y8KHmvdc/edit"",""29!e50"")"),4690)</f>
        <v>4690</v>
      </c>
      <c r="H765" s="16">
        <f ca="1">IFERROR(__xludf.DUMMYFUNCTION("IMPORTRANGE(""https://docs.google.com/spreadsheets/d/1vmCj5YcMSPHj1m64syDndQ6cqVL3yolcU03Y8KHmvdc/edit"",""29!e51"")"),40)</f>
        <v>40</v>
      </c>
      <c r="I765" s="18">
        <f t="shared" ca="1" si="2112"/>
        <v>4730</v>
      </c>
      <c r="J765" s="16">
        <f ca="1">IFERROR(__xludf.DUMMYFUNCTION("IMPORTRANGE(""https://docs.google.com/spreadsheets/d/1vmCj5YcMSPHj1m64syDndQ6cqVL3yolcU03Y8KHmvdc/edit"",""29!e54"")"),5751)</f>
        <v>5751</v>
      </c>
      <c r="K765" s="16">
        <f ca="1">IFERROR(__xludf.DUMMYFUNCTION("IMPORTRANGE(""https://docs.google.com/spreadsheets/d/1vmCj5YcMSPHj1m64syDndQ6cqVL3yolcU03Y8KHmvdc/edit"",""29!e55"")"),0)</f>
        <v>0</v>
      </c>
      <c r="L765" s="18">
        <f t="shared" ca="1" si="2113"/>
        <v>5751</v>
      </c>
      <c r="M765" s="18">
        <f t="shared" ca="1" si="2114"/>
        <v>10481</v>
      </c>
      <c r="N765" s="19">
        <f t="shared" ca="1" si="2115"/>
        <v>194.15299999999974</v>
      </c>
      <c r="O765" s="16">
        <v>13817</v>
      </c>
      <c r="P765" s="20">
        <f t="shared" ca="1" si="2116"/>
        <v>0.75855829774914962</v>
      </c>
      <c r="Q765" s="21">
        <v>1.5</v>
      </c>
      <c r="R765" s="20">
        <f t="shared" ca="1" si="2117"/>
        <v>0.8997199802904593</v>
      </c>
      <c r="S765" s="22">
        <f t="shared" ca="1" si="2118"/>
        <v>1.349579970435689</v>
      </c>
      <c r="T765" s="21">
        <f ca="1">F765/25.089</f>
        <v>309.54282753397865</v>
      </c>
      <c r="U765" s="21">
        <f t="shared" ca="1" si="2119"/>
        <v>7.7385706883494665</v>
      </c>
      <c r="V765" s="18">
        <f t="shared" ca="1" si="2120"/>
        <v>262.02499999999998</v>
      </c>
      <c r="W765" s="76"/>
      <c r="X765" s="24" t="s">
        <v>33</v>
      </c>
      <c r="Y765" s="24">
        <v>6</v>
      </c>
      <c r="Z765" s="24">
        <f t="shared" ref="Z765:AI765" si="2130">SUM(Z759:Z764)</f>
        <v>186</v>
      </c>
      <c r="AA765" s="25">
        <f t="shared" ca="1" si="2130"/>
        <v>181</v>
      </c>
      <c r="AB765" s="26">
        <f t="shared" ca="1" si="2130"/>
        <v>35452.994999999981</v>
      </c>
      <c r="AC765" s="25">
        <f t="shared" ca="1" si="2130"/>
        <v>11221</v>
      </c>
      <c r="AD765" s="25">
        <f t="shared" ca="1" si="2130"/>
        <v>395</v>
      </c>
      <c r="AE765" s="25">
        <f t="shared" ca="1" si="2130"/>
        <v>11616</v>
      </c>
      <c r="AF765" s="25">
        <f t="shared" ca="1" si="2130"/>
        <v>17975</v>
      </c>
      <c r="AG765" s="25">
        <f t="shared" ca="1" si="2130"/>
        <v>549</v>
      </c>
      <c r="AH765" s="25">
        <f t="shared" ca="1" si="2130"/>
        <v>18524</v>
      </c>
      <c r="AI765" s="25">
        <f t="shared" ca="1" si="2130"/>
        <v>30140</v>
      </c>
      <c r="AJ765" s="27">
        <f t="shared" ca="1" si="2124"/>
        <v>195.87290055248607</v>
      </c>
      <c r="AK765" s="24">
        <f>SUM(AK759:AK764)</f>
        <v>35074</v>
      </c>
      <c r="AL765" s="28">
        <f t="shared" ca="1" si="2102"/>
        <v>0.85932599646461771</v>
      </c>
      <c r="AM765" s="29">
        <v>1.5</v>
      </c>
      <c r="AN765" s="28">
        <f t="shared" ca="1" si="2104"/>
        <v>0.56675982757827215</v>
      </c>
      <c r="AO765" s="30">
        <f t="shared" ca="1" si="2105"/>
        <v>0.85013974136740822</v>
      </c>
      <c r="AP765" s="29">
        <f ca="1">SUM(AP759:AP764)</f>
        <v>1333.1867030129629</v>
      </c>
      <c r="AQ765" s="29">
        <f ca="1">AP765/AA765</f>
        <v>7.3656723923368119</v>
      </c>
      <c r="AR765" s="25">
        <f t="shared" ca="1" si="2107"/>
        <v>166.51933701657458</v>
      </c>
      <c r="AS765" s="76"/>
      <c r="AT765" s="76"/>
    </row>
    <row r="766" spans="1:46" ht="15.75" customHeight="1" x14ac:dyDescent="0.25">
      <c r="A766" s="70"/>
      <c r="B766" s="16">
        <v>5</v>
      </c>
      <c r="C766" s="16" t="s">
        <v>34</v>
      </c>
      <c r="D766" s="44">
        <v>40</v>
      </c>
      <c r="E766" s="18">
        <f ca="1">IFERROR(__xludf.DUMMYFUNCTION("COUNT(IMPORTRANGE(""https://docs.google.com/spreadsheets/d/14_Y-fpuq1wcec3DlT_1PBYekOC0YblQMrWVfO12YO3k/edit"",""29!d2:d41""))"),39)</f>
        <v>39</v>
      </c>
      <c r="F766" s="23">
        <f ca="1">IFERROR(__xludf.DUMMYFUNCTION("SUM(IMPORTRANGE(""https://docs.google.com/spreadsheets/d/14_Y-fpuq1wcec3DlT_1PBYekOC0YblQMrWVfO12YO3k/edit"",""29!Q2:Q41""))"),7810.302)</f>
        <v>7810.3019999999997</v>
      </c>
      <c r="G766" s="18">
        <f ca="1">IFERROR(__xludf.DUMMYFUNCTION("IMPORTRANGE(""https://docs.google.com/spreadsheets/d/14_Y-fpuq1wcec3DlT_1PBYekOC0YblQMrWVfO12YO3k/edit"",""29!e48"")"),2977)</f>
        <v>2977</v>
      </c>
      <c r="H766" s="18">
        <f ca="1">IFERROR(__xludf.DUMMYFUNCTION("IMPORTRANGE(""https://docs.google.com/spreadsheets/d/14_Y-fpuq1wcec3DlT_1PBYekOC0YblQMrWVfO12YO3k/edit"",""29!e49"")"),0)</f>
        <v>0</v>
      </c>
      <c r="I766" s="18">
        <f t="shared" ca="1" si="2112"/>
        <v>2977</v>
      </c>
      <c r="J766" s="18">
        <f ca="1">IFERROR(__xludf.DUMMYFUNCTION("IMPORTRANGE(""https://docs.google.com/spreadsheets/d/14_Y-fpuq1wcec3DlT_1PBYekOC0YblQMrWVfO12YO3k/edit"",""29!e52"")"),3575)</f>
        <v>3575</v>
      </c>
      <c r="K766" s="18">
        <f ca="1">IFERROR(__xludf.DUMMYFUNCTION("IMPORTRANGE(""https://docs.google.com/spreadsheets/d/14_Y-fpuq1wcec3DlT_1PBYekOC0YblQMrWVfO12YO3k/edit"",""29!e53"")"),67)</f>
        <v>67</v>
      </c>
      <c r="L766" s="18">
        <f t="shared" ca="1" si="2113"/>
        <v>3642</v>
      </c>
      <c r="M766" s="18">
        <f t="shared" ca="1" si="2114"/>
        <v>6619</v>
      </c>
      <c r="N766" s="19">
        <f t="shared" ca="1" si="2115"/>
        <v>200.26415384615385</v>
      </c>
      <c r="O766" s="16">
        <v>9354</v>
      </c>
      <c r="P766" s="20">
        <f t="shared" ca="1" si="2116"/>
        <v>0.70761171691255076</v>
      </c>
      <c r="Q766" s="21">
        <v>1.5</v>
      </c>
      <c r="R766" s="20">
        <f t="shared" ca="1" si="2117"/>
        <v>0.56498028714724058</v>
      </c>
      <c r="S766" s="22">
        <f t="shared" ca="1" si="2118"/>
        <v>0.84747043072086081</v>
      </c>
      <c r="T766" s="21">
        <f ca="1">F766/30.713</f>
        <v>254.29954742291537</v>
      </c>
      <c r="U766" s="21">
        <f t="shared" ca="1" si="2119"/>
        <v>6.5205012159721889</v>
      </c>
      <c r="V766" s="18">
        <f t="shared" ca="1" si="2120"/>
        <v>169.71794871794873</v>
      </c>
      <c r="W766" s="76"/>
      <c r="X766" s="100" t="s">
        <v>35</v>
      </c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9"/>
      <c r="AS766" s="76"/>
      <c r="AT766" s="76"/>
    </row>
    <row r="767" spans="1:46" ht="15.75" customHeight="1" x14ac:dyDescent="0.25">
      <c r="A767" s="70"/>
      <c r="B767" s="16">
        <v>6</v>
      </c>
      <c r="C767" s="16" t="s">
        <v>23</v>
      </c>
      <c r="D767" s="44">
        <v>35</v>
      </c>
      <c r="E767" s="18">
        <f ca="1">IFERROR(__xludf.DUMMYFUNCTION("COUNT(IMPORTRANGE(""https://docs.google.com/spreadsheets/d/1lJqjdj05V4LOXuBOiTdE65GV4ZITyx1cMLcDdcuoUnE/edit"",""29!d2:d36""))"),35)</f>
        <v>35</v>
      </c>
      <c r="F767" s="23">
        <f ca="1">IFERROR(__xludf.DUMMYFUNCTION("SUM(IMPORTRANGE(""https://docs.google.com/spreadsheets/d/1lJqjdj05V4LOXuBOiTdE65GV4ZITyx1cMLcDdcuoUnE/edit"",""29!Q2:Q36""))"),6882.95999999999)</f>
        <v>6882.95999999999</v>
      </c>
      <c r="G767" s="18">
        <f ca="1">IFERROR(__xludf.DUMMYFUNCTION("IMPORTRANGE(""https://docs.google.com/spreadsheets/d/1lJqjdj05V4LOXuBOiTdE65GV4ZITyx1cMLcDdcuoUnE/edit"",""29!e43"")"),1758)</f>
        <v>1758</v>
      </c>
      <c r="H767" s="18">
        <f ca="1">IFERROR(__xludf.DUMMYFUNCTION("IMPORTRANGE(""https://docs.google.com/spreadsheets/d/1lJqjdj05V4LOXuBOiTdE65GV4ZITyx1cMLcDdcuoUnE/edit"",""29!e44"")"),0)</f>
        <v>0</v>
      </c>
      <c r="I767" s="18">
        <f t="shared" ca="1" si="2112"/>
        <v>1758</v>
      </c>
      <c r="J767" s="18">
        <f ca="1">IFERROR(__xludf.DUMMYFUNCTION("IMPORTRANGE(""https://docs.google.com/spreadsheets/d/1lJqjdj05V4LOXuBOiTdE65GV4ZITyx1cMLcDdcuoUnE/edit"",""29!e47"")"),3293)</f>
        <v>3293</v>
      </c>
      <c r="K767" s="18">
        <f ca="1">IFERROR(__xludf.DUMMYFUNCTION("IMPORTRANGE(""https://docs.google.com/spreadsheets/d/1lJqjdj05V4LOXuBOiTdE65GV4ZITyx1cMLcDdcuoUnE/edit"",""29!e48"")"),0)</f>
        <v>0</v>
      </c>
      <c r="L767" s="18">
        <f t="shared" ca="1" si="2113"/>
        <v>3293</v>
      </c>
      <c r="M767" s="18">
        <f t="shared" ca="1" si="2114"/>
        <v>5051</v>
      </c>
      <c r="N767" s="19">
        <f t="shared" ca="1" si="2115"/>
        <v>196.65599999999972</v>
      </c>
      <c r="O767" s="16">
        <v>6853</v>
      </c>
      <c r="P767" s="20">
        <f t="shared" ca="1" si="2116"/>
        <v>0.73704946738654609</v>
      </c>
      <c r="Q767" s="21">
        <v>1.5</v>
      </c>
      <c r="R767" s="20">
        <f t="shared" ca="1" si="2117"/>
        <v>0.48922750289604156</v>
      </c>
      <c r="S767" s="22">
        <f t="shared" ca="1" si="2118"/>
        <v>0.73384125434406233</v>
      </c>
      <c r="T767" s="21">
        <f ca="1">F767/33.74</f>
        <v>203.99999999999969</v>
      </c>
      <c r="U767" s="21">
        <f t="shared" ca="1" si="2119"/>
        <v>5.8285714285714194</v>
      </c>
      <c r="V767" s="18">
        <f t="shared" ca="1" si="2120"/>
        <v>144.31428571428572</v>
      </c>
      <c r="W767" s="76"/>
      <c r="X767" s="1" t="s">
        <v>2</v>
      </c>
      <c r="Y767" s="1" t="s">
        <v>3</v>
      </c>
      <c r="Z767" s="1" t="s">
        <v>4</v>
      </c>
      <c r="AA767" s="1" t="s">
        <v>5</v>
      </c>
      <c r="AB767" s="2" t="s">
        <v>6</v>
      </c>
      <c r="AC767" s="1" t="s">
        <v>7</v>
      </c>
      <c r="AD767" s="1" t="s">
        <v>8</v>
      </c>
      <c r="AE767" s="1" t="s">
        <v>9</v>
      </c>
      <c r="AF767" s="1" t="s">
        <v>10</v>
      </c>
      <c r="AG767" s="1" t="s">
        <v>11</v>
      </c>
      <c r="AH767" s="1" t="s">
        <v>12</v>
      </c>
      <c r="AI767" s="1" t="s">
        <v>13</v>
      </c>
      <c r="AJ767" s="2" t="s">
        <v>14</v>
      </c>
      <c r="AK767" s="1" t="s">
        <v>15</v>
      </c>
      <c r="AL767" s="1" t="s">
        <v>16</v>
      </c>
      <c r="AM767" s="3" t="s">
        <v>17</v>
      </c>
      <c r="AN767" s="4" t="s">
        <v>18</v>
      </c>
      <c r="AO767" s="5" t="s">
        <v>19</v>
      </c>
      <c r="AP767" s="6" t="s">
        <v>20</v>
      </c>
      <c r="AQ767" s="6" t="s">
        <v>21</v>
      </c>
      <c r="AR767" s="7" t="s">
        <v>22</v>
      </c>
      <c r="AS767" s="76"/>
      <c r="AT767" s="76"/>
    </row>
    <row r="768" spans="1:46" ht="15.75" customHeight="1" x14ac:dyDescent="0.25">
      <c r="A768" s="70"/>
      <c r="B768" s="16">
        <v>7</v>
      </c>
      <c r="C768" s="16" t="s">
        <v>24</v>
      </c>
      <c r="D768" s="44">
        <v>44</v>
      </c>
      <c r="E768" s="31">
        <f ca="1">IFERROR(__xludf.DUMMYFUNCTION("COUNT(IMPORTRANGE(""https://docs.google.com/spreadsheets/d/1_7EEO26q9Yq-XhNFiy7I6Zh4Yg6uGjTs9y0UqNvPKcQ/edit"",""29!d2:d45""))"),43)</f>
        <v>43</v>
      </c>
      <c r="F768" s="32">
        <f ca="1">IFERROR(__xludf.DUMMYFUNCTION("SUM(IMPORTRANGE(""https://docs.google.com/spreadsheets/d/1_7EEO26q9Yq-XhNFiy7I6Zh4Yg6uGjTs9y0UqNvPKcQ/edit"",""29!Q2:Q45""))"),8590.10099999999)</f>
        <v>8590.1009999999897</v>
      </c>
      <c r="G768" s="31">
        <f ca="1">IFERROR(__xludf.DUMMYFUNCTION("IMPORTRANGE(""https://docs.google.com/spreadsheets/d/1_7EEO26q9Yq-XhNFiy7I6Zh4Yg6uGjTs9y0UqNvPKcQ/edit"",""29!e53"")"),1148)</f>
        <v>1148</v>
      </c>
      <c r="H768" s="31">
        <f ca="1">IFERROR(__xludf.DUMMYFUNCTION("IMPORTRANGE(""https://docs.google.com/spreadsheets/d/1_7EEO26q9Yq-XhNFiy7I6Zh4Yg6uGjTs9y0UqNvPKcQ/edit"",""29!e54"")"),0)</f>
        <v>0</v>
      </c>
      <c r="I768" s="31">
        <f t="shared" ca="1" si="2112"/>
        <v>1148</v>
      </c>
      <c r="J768" s="31">
        <f ca="1">IFERROR(__xludf.DUMMYFUNCTION("IMPORTRANGE(""https://docs.google.com/spreadsheets/d/1_7EEO26q9Yq-XhNFiy7I6Zh4Yg6uGjTs9y0UqNvPKcQ/edit"",""29!e57"")"),1387)</f>
        <v>1387</v>
      </c>
      <c r="K768" s="31">
        <f ca="1">IFERROR(__xludf.DUMMYFUNCTION("IMPORTRANGE(""https://docs.google.com/spreadsheets/d/1_7EEO26q9Yq-XhNFiy7I6Zh4Yg6uGjTs9y0UqNvPKcQ/edit"",""29!e58"")"),48)</f>
        <v>48</v>
      </c>
      <c r="L768" s="18">
        <f t="shared" ca="1" si="2113"/>
        <v>1435</v>
      </c>
      <c r="M768" s="18">
        <f t="shared" ca="1" si="2114"/>
        <v>2583</v>
      </c>
      <c r="N768" s="19">
        <f t="shared" ca="1" si="2115"/>
        <v>199.76979069767418</v>
      </c>
      <c r="O768" s="16">
        <v>1580</v>
      </c>
      <c r="P768" s="33">
        <f t="shared" ca="1" si="2116"/>
        <v>1.6348101265822785</v>
      </c>
      <c r="Q768" s="21">
        <v>1.5</v>
      </c>
      <c r="R768" s="20">
        <f t="shared" ca="1" si="2117"/>
        <v>0.20046330072254123</v>
      </c>
      <c r="S768" s="22">
        <f t="shared" ca="1" si="2118"/>
        <v>0.30069495108381183</v>
      </c>
      <c r="T768" s="21">
        <f ca="1">F768/26.805</f>
        <v>320.46636821488488</v>
      </c>
      <c r="U768" s="21">
        <f t="shared" ca="1" si="2119"/>
        <v>7.4527062375554625</v>
      </c>
      <c r="V768" s="18">
        <f t="shared" ca="1" si="2120"/>
        <v>60.069767441860463</v>
      </c>
      <c r="W768" s="76"/>
      <c r="X768" s="8">
        <v>1</v>
      </c>
      <c r="Y768" s="8" t="s">
        <v>28</v>
      </c>
      <c r="Z768" s="8">
        <f t="shared" ref="Z768:AI768" si="2131">SUM(D763)</f>
        <v>33</v>
      </c>
      <c r="AA768" s="9">
        <f t="shared" ca="1" si="2131"/>
        <v>33</v>
      </c>
      <c r="AB768" s="11">
        <f t="shared" ca="1" si="2131"/>
        <v>6374.348</v>
      </c>
      <c r="AC768" s="9">
        <f t="shared" ca="1" si="2131"/>
        <v>2752</v>
      </c>
      <c r="AD768" s="9">
        <f t="shared" ca="1" si="2131"/>
        <v>148</v>
      </c>
      <c r="AE768" s="9">
        <f t="shared" ca="1" si="2131"/>
        <v>2900</v>
      </c>
      <c r="AF768" s="9">
        <f t="shared" ca="1" si="2131"/>
        <v>3025</v>
      </c>
      <c r="AG768" s="9">
        <f t="shared" ca="1" si="2131"/>
        <v>173</v>
      </c>
      <c r="AH768" s="9">
        <f t="shared" ca="1" si="2131"/>
        <v>3198</v>
      </c>
      <c r="AI768" s="9">
        <f t="shared" ca="1" si="2131"/>
        <v>6098</v>
      </c>
      <c r="AJ768" s="11">
        <f t="shared" ref="AJ768:AJ774" ca="1" si="2132">AB768/AA768</f>
        <v>193.16206060606061</v>
      </c>
      <c r="AK768" s="8">
        <f t="shared" ref="AK768:AK769" si="2133">SUM(O763)</f>
        <v>7315</v>
      </c>
      <c r="AL768" s="12">
        <f t="shared" ref="AL768:AL774" ca="1" si="2134">AI768/AK768</f>
        <v>0.8336295283663705</v>
      </c>
      <c r="AM768" s="13">
        <f t="shared" ref="AM768:AM769" si="2135">SUM(Q763)</f>
        <v>1.5</v>
      </c>
      <c r="AN768" s="12">
        <f t="shared" ref="AN768:AN774" ca="1" si="2136">AO768/AM768</f>
        <v>0.63776457346435012</v>
      </c>
      <c r="AO768" s="14">
        <f t="shared" ref="AO768:AO774" ca="1" si="2137">AI768/AB768</f>
        <v>0.95664686019652523</v>
      </c>
      <c r="AP768" s="13">
        <f t="shared" ref="AP768:AQ768" ca="1" si="2138">SUM(T763)</f>
        <v>206.30960934718581</v>
      </c>
      <c r="AQ768" s="13">
        <f t="shared" ca="1" si="2138"/>
        <v>6.2518063438541152</v>
      </c>
      <c r="AR768" s="9">
        <f t="shared" ref="AR768:AR774" ca="1" si="2139">AI768/AA768</f>
        <v>184.78787878787878</v>
      </c>
      <c r="AS768" s="76"/>
      <c r="AT768" s="76"/>
    </row>
    <row r="769" spans="1:46" ht="15.75" customHeight="1" x14ac:dyDescent="0.25">
      <c r="A769" s="70"/>
      <c r="B769" s="16">
        <v>8</v>
      </c>
      <c r="C769" s="16" t="s">
        <v>25</v>
      </c>
      <c r="D769" s="45">
        <v>32</v>
      </c>
      <c r="E769" s="18">
        <f ca="1">IFERROR(__xludf.DUMMYFUNCTION("COUNT(IMPORTRANGE(""https://docs.google.com/spreadsheets/d/1vLOLpiE-XsbnCnwWPcoi87PlUSXfqIAAQn3kvqHfO6s/edit"",""29!d2:D33""))"),32)</f>
        <v>32</v>
      </c>
      <c r="F769" s="23">
        <f ca="1">IFERROR(__xludf.DUMMYFUNCTION("SUM(IMPORTRANGE(""https://docs.google.com/spreadsheets/d/1vLOLpiE-XsbnCnwWPcoi87PlUSXfqIAAQn3kvqHfO6s/edit"",""29!Q2:Q33""))"),6029.752)</f>
        <v>6029.7520000000004</v>
      </c>
      <c r="G769" s="18">
        <f ca="1">IFERROR(__xludf.DUMMYFUNCTION("IMPORTRANGE(""https://docs.google.com/spreadsheets/d/1vLOLpiE-XsbnCnwWPcoi87PlUSXfqIAAQn3kvqHfO6s/edit"",""29!e40"")"),2347)</f>
        <v>2347</v>
      </c>
      <c r="H769" s="18">
        <f ca="1">IFERROR(__xludf.DUMMYFUNCTION("IMPORTRANGE(""https://docs.google.com/spreadsheets/d/1vLOLpiE-XsbnCnwWPcoi87PlUSXfqIAAQn3kvqHfO6s/edit"",""29!e41"")"),386)</f>
        <v>386</v>
      </c>
      <c r="I769" s="18">
        <f t="shared" ca="1" si="2112"/>
        <v>2733</v>
      </c>
      <c r="J769" s="18">
        <f ca="1">IFERROR(__xludf.DUMMYFUNCTION("IMPORTRANGE(""https://docs.google.com/spreadsheets/d/1vLOLpiE-XsbnCnwWPcoi87PlUSXfqIAAQn3kvqHfO6s/edit"",""29!e44"")"),3822)</f>
        <v>3822</v>
      </c>
      <c r="K769" s="18">
        <f ca="1">IFERROR(__xludf.DUMMYFUNCTION("IMPORTRANGE(""https://docs.google.com/spreadsheets/d/1vLOLpiE-XsbnCnwWPcoi87PlUSXfqIAAQn3kvqHfO6s/edit"",""29!e45"")"),501)</f>
        <v>501</v>
      </c>
      <c r="L769" s="18">
        <f ca="1">J769+K769</f>
        <v>4323</v>
      </c>
      <c r="M769" s="18">
        <f t="shared" ca="1" si="2114"/>
        <v>7056</v>
      </c>
      <c r="N769" s="19">
        <f t="shared" ca="1" si="2115"/>
        <v>188.42975000000001</v>
      </c>
      <c r="O769" s="16">
        <v>6622</v>
      </c>
      <c r="P769" s="33">
        <f t="shared" ca="1" si="2116"/>
        <v>1.06553911205074</v>
      </c>
      <c r="Q769" s="21">
        <v>1.5</v>
      </c>
      <c r="R769" s="20">
        <f t="shared" ca="1" si="2117"/>
        <v>0.78013158750144285</v>
      </c>
      <c r="S769" s="22">
        <f t="shared" ca="1" si="2118"/>
        <v>1.1701973812521642</v>
      </c>
      <c r="T769" s="21">
        <f ca="1">F769/23.84</f>
        <v>252.92583892617452</v>
      </c>
      <c r="U769" s="21">
        <f t="shared" ca="1" si="2119"/>
        <v>7.9039324664429538</v>
      </c>
      <c r="V769" s="18">
        <f t="shared" ca="1" si="2120"/>
        <v>220.5</v>
      </c>
      <c r="W769" s="76"/>
      <c r="X769" s="8">
        <v>2</v>
      </c>
      <c r="Y769" s="8" t="s">
        <v>30</v>
      </c>
      <c r="Z769" s="8">
        <f t="shared" ref="Z769:AI769" si="2140">SUM(D764)</f>
        <v>60</v>
      </c>
      <c r="AA769" s="9">
        <f t="shared" ca="1" si="2140"/>
        <v>58</v>
      </c>
      <c r="AB769" s="10">
        <f t="shared" ca="1" si="2140"/>
        <v>11397.154999999901</v>
      </c>
      <c r="AC769" s="9">
        <f t="shared" ca="1" si="2140"/>
        <v>3586</v>
      </c>
      <c r="AD769" s="9">
        <f t="shared" ca="1" si="2140"/>
        <v>10</v>
      </c>
      <c r="AE769" s="9">
        <f t="shared" ca="1" si="2140"/>
        <v>3596</v>
      </c>
      <c r="AF769" s="9">
        <f t="shared" ca="1" si="2140"/>
        <v>5651</v>
      </c>
      <c r="AG769" s="9">
        <f t="shared" ca="1" si="2140"/>
        <v>0</v>
      </c>
      <c r="AH769" s="9">
        <f t="shared" ca="1" si="2140"/>
        <v>5651</v>
      </c>
      <c r="AI769" s="9">
        <f t="shared" ca="1" si="2140"/>
        <v>9247</v>
      </c>
      <c r="AJ769" s="11">
        <f t="shared" ca="1" si="2132"/>
        <v>196.5026724137914</v>
      </c>
      <c r="AK769" s="8">
        <f t="shared" si="2133"/>
        <v>11164</v>
      </c>
      <c r="AL769" s="12">
        <f t="shared" ca="1" si="2134"/>
        <v>0.82828735220351124</v>
      </c>
      <c r="AM769" s="13">
        <f t="shared" si="2135"/>
        <v>1.5</v>
      </c>
      <c r="AN769" s="12">
        <f t="shared" ca="1" si="2136"/>
        <v>0.54089522048850969</v>
      </c>
      <c r="AO769" s="14">
        <f t="shared" ca="1" si="2137"/>
        <v>0.81134283073276448</v>
      </c>
      <c r="AP769" s="13">
        <f t="shared" ref="AP769:AQ769" ca="1" si="2141">SUM(T764)</f>
        <v>384.99999999999665</v>
      </c>
      <c r="AQ769" s="13">
        <f t="shared" ca="1" si="2141"/>
        <v>6.6379310344827012</v>
      </c>
      <c r="AR769" s="9">
        <f t="shared" ca="1" si="2139"/>
        <v>159.43103448275863</v>
      </c>
      <c r="AS769" s="76"/>
      <c r="AT769" s="76"/>
    </row>
    <row r="770" spans="1:46" ht="15.75" customHeight="1" x14ac:dyDescent="0.25">
      <c r="A770" s="70"/>
      <c r="B770" s="16">
        <v>9</v>
      </c>
      <c r="C770" s="16" t="s">
        <v>36</v>
      </c>
      <c r="D770" s="45">
        <v>29</v>
      </c>
      <c r="E770" s="18">
        <f ca="1">IFERROR(__xludf.DUMMYFUNCTION("COUNT(IMPORTRANGE(""https://docs.google.com/spreadsheets/d/1WJJVq25XDtGjt-J2JPxeKs3jIvDZtkIREC0lFPXwf74/edit"",""29!d2:d31""))"),29)</f>
        <v>29</v>
      </c>
      <c r="F770" s="23">
        <f ca="1">IFERROR(__xludf.DUMMYFUNCTION("SUM(IMPORTRANGE(""https://docs.google.com/spreadsheets/d/1WJJVq25XDtGjt-J2JPxeKs3jIvDZtkIREC0lFPXwf74/edit"",""29!Q2:Q31""))"),5678.948)</f>
        <v>5678.9480000000003</v>
      </c>
      <c r="G770" s="18">
        <f ca="1">IFERROR(__xludf.DUMMYFUNCTION("IMPORTRANGE(""https://docs.google.com/spreadsheets/d/1WJJVq25XDtGjt-J2JPxeKs3jIvDZtkIREC0lFPXwf74/edit"",""29!e38"")"),1659)</f>
        <v>1659</v>
      </c>
      <c r="H770" s="18">
        <f ca="1">IFERROR(__xludf.DUMMYFUNCTION("IMPORTRANGE(""https://docs.google.com/spreadsheets/d/1WJJVq25XDtGjt-J2JPxeKs3jIvDZtkIREC0lFPXwf74/edit"",""29!e39"")"),0)</f>
        <v>0</v>
      </c>
      <c r="I770" s="18">
        <f t="shared" ca="1" si="2112"/>
        <v>1659</v>
      </c>
      <c r="J770" s="18">
        <f ca="1">IFERROR(__xludf.DUMMYFUNCTION("IMPORTRANGE(""https://docs.google.com/spreadsheets/d/1WJJVq25XDtGjt-J2JPxeKs3jIvDZtkIREC0lFPXwf74/edit"",""29!e42"")"),2213)</f>
        <v>2213</v>
      </c>
      <c r="K770" s="18">
        <f ca="1">IFERROR(__xludf.DUMMYFUNCTION("IMPORTRANGE(""https://docs.google.com/spreadsheets/d/1WJJVq25XDtGjt-J2JPxeKs3jIvDZtkIREC0lFPXwf74/edit"",""29!e43"")"),0)</f>
        <v>0</v>
      </c>
      <c r="L770" s="18">
        <f t="shared" ref="L770:L779" ca="1" si="2142">SUM(J770:K770)</f>
        <v>2213</v>
      </c>
      <c r="M770" s="18">
        <f t="shared" ca="1" si="2114"/>
        <v>3872</v>
      </c>
      <c r="N770" s="19">
        <f t="shared" ca="1" si="2115"/>
        <v>195.82579310344829</v>
      </c>
      <c r="O770" s="16">
        <v>4796</v>
      </c>
      <c r="P770" s="20">
        <f t="shared" ca="1" si="2116"/>
        <v>0.80733944954128445</v>
      </c>
      <c r="Q770" s="21">
        <v>1.5</v>
      </c>
      <c r="R770" s="20">
        <f t="shared" ca="1" si="2117"/>
        <v>0.45454428061910995</v>
      </c>
      <c r="S770" s="22">
        <f t="shared" ca="1" si="2118"/>
        <v>0.6818164209286649</v>
      </c>
      <c r="T770" s="21">
        <f ca="1">F770/37.414</f>
        <v>151.78671085689848</v>
      </c>
      <c r="U770" s="21">
        <f t="shared" ca="1" si="2119"/>
        <v>5.2340245123068438</v>
      </c>
      <c r="V770" s="18">
        <f t="shared" ca="1" si="2120"/>
        <v>133.51724137931035</v>
      </c>
      <c r="W770" s="76"/>
      <c r="X770" s="8">
        <v>3</v>
      </c>
      <c r="Y770" s="8" t="s">
        <v>34</v>
      </c>
      <c r="Z770" s="8">
        <f t="shared" ref="Z770:AI770" si="2143">SUM(D766)</f>
        <v>40</v>
      </c>
      <c r="AA770" s="9">
        <f t="shared" ca="1" si="2143"/>
        <v>39</v>
      </c>
      <c r="AB770" s="10">
        <f t="shared" ca="1" si="2143"/>
        <v>7810.3019999999997</v>
      </c>
      <c r="AC770" s="9">
        <f t="shared" ca="1" si="2143"/>
        <v>2977</v>
      </c>
      <c r="AD770" s="9">
        <f t="shared" ca="1" si="2143"/>
        <v>0</v>
      </c>
      <c r="AE770" s="9">
        <f t="shared" ca="1" si="2143"/>
        <v>2977</v>
      </c>
      <c r="AF770" s="9">
        <f t="shared" ca="1" si="2143"/>
        <v>3575</v>
      </c>
      <c r="AG770" s="9">
        <f t="shared" ca="1" si="2143"/>
        <v>67</v>
      </c>
      <c r="AH770" s="9">
        <f t="shared" ca="1" si="2143"/>
        <v>3642</v>
      </c>
      <c r="AI770" s="9">
        <f t="shared" ca="1" si="2143"/>
        <v>6619</v>
      </c>
      <c r="AJ770" s="11">
        <f t="shared" ca="1" si="2132"/>
        <v>200.26415384615385</v>
      </c>
      <c r="AK770" s="8">
        <f>SUM(O766)</f>
        <v>9354</v>
      </c>
      <c r="AL770" s="12">
        <f t="shared" ca="1" si="2134"/>
        <v>0.70761171691255076</v>
      </c>
      <c r="AM770" s="13">
        <f>SUM(Q766)</f>
        <v>1.5</v>
      </c>
      <c r="AN770" s="12">
        <f t="shared" ca="1" si="2136"/>
        <v>0.56498028714724058</v>
      </c>
      <c r="AO770" s="14">
        <f t="shared" ca="1" si="2137"/>
        <v>0.84747043072086081</v>
      </c>
      <c r="AP770" s="13">
        <f t="shared" ref="AP770:AQ770" ca="1" si="2144">SUM(T766)</f>
        <v>254.29954742291537</v>
      </c>
      <c r="AQ770" s="13">
        <f t="shared" ca="1" si="2144"/>
        <v>6.5205012159721889</v>
      </c>
      <c r="AR770" s="9">
        <f t="shared" ca="1" si="2139"/>
        <v>169.71794871794873</v>
      </c>
      <c r="AS770" s="76"/>
      <c r="AT770" s="76"/>
    </row>
    <row r="771" spans="1:46" ht="15.75" customHeight="1" x14ac:dyDescent="0.25">
      <c r="A771" s="70"/>
      <c r="B771" s="16">
        <v>10</v>
      </c>
      <c r="C771" s="16" t="s">
        <v>37</v>
      </c>
      <c r="D771" s="44">
        <v>30</v>
      </c>
      <c r="E771" s="18">
        <f ca="1">IFERROR(__xludf.DUMMYFUNCTION("COUNT(IMPORTRANGE(""https://docs.google.com/spreadsheets/d/1rJyYfywRpWJW0zvDJHLOJtqUQqffoCGaqTVxxTDgV0k/edit"",""29!d2:d31""))"),29)</f>
        <v>29</v>
      </c>
      <c r="F771" s="23">
        <f ca="1">IFERROR(__xludf.DUMMYFUNCTION("SUM(IMPORTRANGE(""https://docs.google.com/spreadsheets/d/1rJyYfywRpWJW0zvDJHLOJtqUQqffoCGaqTVxxTDgV0k/edit"",""29!Q2:Q31""))"),5798.706)</f>
        <v>5798.7060000000001</v>
      </c>
      <c r="G771" s="18">
        <f ca="1">IFERROR(__xludf.DUMMYFUNCTION("(IMPORTRANGE(""https://docs.google.com/spreadsheets/d/1rJyYfywRpWJW0zvDJHLOJtqUQqffoCGaqTVxxTDgV0k/edit"",""29!e38""))"),2191)</f>
        <v>2191</v>
      </c>
      <c r="H771" s="18">
        <f ca="1">IFERROR(__xludf.DUMMYFUNCTION("(IMPORTRANGE(""https://docs.google.com/spreadsheets/d/1rJyYfywRpWJW0zvDJHLOJtqUQqffoCGaqTVxxTDgV0k/edit"",""29!e39""))"),53)</f>
        <v>53</v>
      </c>
      <c r="I771" s="18">
        <f t="shared" ca="1" si="2112"/>
        <v>2244</v>
      </c>
      <c r="J771" s="18">
        <f ca="1">IFERROR(__xludf.DUMMYFUNCTION("(IMPORTRANGE(""https://docs.google.com/spreadsheets/d/1rJyYfywRpWJW0zvDJHLOJtqUQqffoCGaqTVxxTDgV0k/edit"",""29!e42""))"),2940)</f>
        <v>2940</v>
      </c>
      <c r="K771" s="18">
        <f ca="1">IFERROR(__xludf.DUMMYFUNCTION("(IMPORTRANGE(""https://docs.google.com/spreadsheets/d/1rJyYfywRpWJW0zvDJHLOJtqUQqffoCGaqTVxxTDgV0k/edit"",""29!e43""))"),0)</f>
        <v>0</v>
      </c>
      <c r="L771" s="18">
        <f t="shared" ca="1" si="2142"/>
        <v>2940</v>
      </c>
      <c r="M771" s="18">
        <f t="shared" ca="1" si="2114"/>
        <v>5184</v>
      </c>
      <c r="N771" s="19">
        <f t="shared" ca="1" si="2115"/>
        <v>199.95537931034482</v>
      </c>
      <c r="O771" s="16">
        <v>5887</v>
      </c>
      <c r="P771" s="20">
        <f t="shared" ca="1" si="2116"/>
        <v>0.88058433837268557</v>
      </c>
      <c r="Q771" s="21">
        <v>1.5</v>
      </c>
      <c r="R771" s="20">
        <f t="shared" ca="1" si="2117"/>
        <v>0.59599503751354177</v>
      </c>
      <c r="S771" s="22">
        <f t="shared" ca="1" si="2118"/>
        <v>0.89399255627031271</v>
      </c>
      <c r="T771" s="21">
        <f ca="1">F771/24.792</f>
        <v>233.89424007744432</v>
      </c>
      <c r="U771" s="21">
        <f t="shared" ca="1" si="2119"/>
        <v>8.0653186233601488</v>
      </c>
      <c r="V771" s="18">
        <f t="shared" ca="1" si="2120"/>
        <v>178.75862068965517</v>
      </c>
      <c r="W771" s="76"/>
      <c r="X771" s="8">
        <v>4</v>
      </c>
      <c r="Y771" s="8" t="s">
        <v>38</v>
      </c>
      <c r="Z771" s="8">
        <f t="shared" ref="Z771:AI771" si="2145">SUM(D774)</f>
        <v>30</v>
      </c>
      <c r="AA771" s="9">
        <f t="shared" ca="1" si="2145"/>
        <v>30</v>
      </c>
      <c r="AB771" s="10">
        <f t="shared" ca="1" si="2145"/>
        <v>6284.2780000000002</v>
      </c>
      <c r="AC771" s="9">
        <f t="shared" ca="1" si="2145"/>
        <v>2141</v>
      </c>
      <c r="AD771" s="9">
        <f t="shared" ca="1" si="2145"/>
        <v>0</v>
      </c>
      <c r="AE771" s="9">
        <f t="shared" ca="1" si="2145"/>
        <v>2141</v>
      </c>
      <c r="AF771" s="9">
        <f t="shared" ca="1" si="2145"/>
        <v>2709</v>
      </c>
      <c r="AG771" s="9">
        <f t="shared" ca="1" si="2145"/>
        <v>0</v>
      </c>
      <c r="AH771" s="9">
        <f t="shared" ca="1" si="2145"/>
        <v>2709</v>
      </c>
      <c r="AI771" s="9">
        <f t="shared" ca="1" si="2145"/>
        <v>4850</v>
      </c>
      <c r="AJ771" s="11">
        <f t="shared" ca="1" si="2132"/>
        <v>209.47593333333333</v>
      </c>
      <c r="AK771" s="8">
        <v>7324</v>
      </c>
      <c r="AL771" s="12">
        <f t="shared" ca="1" si="2134"/>
        <v>0.66220644456581101</v>
      </c>
      <c r="AM771" s="13">
        <f>SUM(Q774)</f>
        <v>1.5</v>
      </c>
      <c r="AN771" s="12">
        <f t="shared" ca="1" si="2136"/>
        <v>0.51451150527289424</v>
      </c>
      <c r="AO771" s="14">
        <f t="shared" ca="1" si="2137"/>
        <v>0.77176725790934131</v>
      </c>
      <c r="AP771" s="13">
        <f t="shared" ref="AP771:AQ771" ca="1" si="2146">SUM(T774)</f>
        <v>152.5125106176435</v>
      </c>
      <c r="AQ771" s="13">
        <f t="shared" ca="1" si="2146"/>
        <v>5.0837503539214497</v>
      </c>
      <c r="AR771" s="9">
        <f t="shared" ca="1" si="2139"/>
        <v>161.66666666666666</v>
      </c>
      <c r="AS771" s="76"/>
      <c r="AT771" s="76"/>
    </row>
    <row r="772" spans="1:46" ht="15.75" customHeight="1" x14ac:dyDescent="0.25">
      <c r="A772" s="70"/>
      <c r="B772" s="16">
        <v>12</v>
      </c>
      <c r="C772" s="16" t="s">
        <v>39</v>
      </c>
      <c r="D772" s="44">
        <v>28</v>
      </c>
      <c r="E772" s="18">
        <f ca="1">IFERROR(__xludf.DUMMYFUNCTION("COUNT(IMPORTRANGE(""https://docs.google.com/spreadsheets/d/1uaTn2DZCfr7O1PvovOd0wElzVz8kpl_iPfnrkNPp0Is/edit"",""29!d2:d29""))"),28)</f>
        <v>28</v>
      </c>
      <c r="F772" s="23">
        <f ca="1">IFERROR(__xludf.DUMMYFUNCTION("SUM(IMPORTRANGE(""https://docs.google.com/spreadsheets/d/1uaTn2DZCfr7O1PvovOd0wElzVz8kpl_iPfnrkNPp0Is/edit"",""29!Q2:Q29""))"),5415.952)</f>
        <v>5415.9520000000002</v>
      </c>
      <c r="G772" s="18">
        <f ca="1">IFERROR(__xludf.DUMMYFUNCTION("IMPORTRANGE(""https://docs.google.com/spreadsheets/d/1uaTn2DZCfr7O1PvovOd0wElzVz8kpl_iPfnrkNPp0Is/edit"",""29!e36"")"),1221)</f>
        <v>1221</v>
      </c>
      <c r="H772" s="18">
        <f ca="1">IFERROR(__xludf.DUMMYFUNCTION("(IMPORTRANGE(""https://docs.google.com/spreadsheets/d/1uaTn2DZCfr7O1PvovOd0wElzVz8kpl_iPfnrkNPp0Is/edit"",""29!e37""))"),51)</f>
        <v>51</v>
      </c>
      <c r="I772" s="18">
        <f t="shared" ca="1" si="2112"/>
        <v>1272</v>
      </c>
      <c r="J772" s="18">
        <f ca="1">IFERROR(__xludf.DUMMYFUNCTION("IMPORTRANGE(""https://docs.google.com/spreadsheets/d/1uaTn2DZCfr7O1PvovOd0wElzVz8kpl_iPfnrkNPp0Is/edit"",""29!e40"")"),1454)</f>
        <v>1454</v>
      </c>
      <c r="K772" s="18">
        <f ca="1">IFERROR(__xludf.DUMMYFUNCTION("IMPORTRANGE(""https://docs.google.com/spreadsheets/d/1uaTn2DZCfr7O1PvovOd0wElzVz8kpl_iPfnrkNPp0Is/edit"",""29!e41"")"),417)</f>
        <v>417</v>
      </c>
      <c r="L772" s="18">
        <f t="shared" ca="1" si="2142"/>
        <v>1871</v>
      </c>
      <c r="M772" s="18">
        <f t="shared" ca="1" si="2114"/>
        <v>3143</v>
      </c>
      <c r="N772" s="19">
        <f t="shared" ca="1" si="2115"/>
        <v>193.42685714285716</v>
      </c>
      <c r="O772" s="16">
        <v>3569</v>
      </c>
      <c r="P772" s="20">
        <f t="shared" ca="1" si="2116"/>
        <v>0.88063883440739699</v>
      </c>
      <c r="Q772" s="21">
        <v>1.5</v>
      </c>
      <c r="R772" s="20">
        <f t="shared" ca="1" si="2117"/>
        <v>0.38688181382208214</v>
      </c>
      <c r="S772" s="22">
        <f t="shared" ca="1" si="2118"/>
        <v>0.58032272073312319</v>
      </c>
      <c r="T772" s="21">
        <f ca="1">F772/21.463</f>
        <v>252.3390020034478</v>
      </c>
      <c r="U772" s="21">
        <f t="shared" ca="1" si="2119"/>
        <v>9.0121072144088501</v>
      </c>
      <c r="V772" s="18">
        <f t="shared" ca="1" si="2120"/>
        <v>112.25</v>
      </c>
      <c r="W772" s="76"/>
      <c r="X772" s="8">
        <v>5</v>
      </c>
      <c r="Y772" s="8" t="s">
        <v>40</v>
      </c>
      <c r="Z772" s="8">
        <f t="shared" ref="Z772:AI772" si="2147">SUM(D776)</f>
        <v>30</v>
      </c>
      <c r="AA772" s="9">
        <f t="shared" ca="1" si="2147"/>
        <v>30</v>
      </c>
      <c r="AB772" s="10">
        <f t="shared" ca="1" si="2147"/>
        <v>5958.1419999999898</v>
      </c>
      <c r="AC772" s="9">
        <f t="shared" ca="1" si="2147"/>
        <v>3481</v>
      </c>
      <c r="AD772" s="9">
        <f t="shared" ca="1" si="2147"/>
        <v>0</v>
      </c>
      <c r="AE772" s="9">
        <f t="shared" ca="1" si="2147"/>
        <v>3481</v>
      </c>
      <c r="AF772" s="9">
        <f t="shared" ca="1" si="2147"/>
        <v>3974</v>
      </c>
      <c r="AG772" s="9">
        <f t="shared" ca="1" si="2147"/>
        <v>0</v>
      </c>
      <c r="AH772" s="9">
        <f t="shared" ca="1" si="2147"/>
        <v>3974</v>
      </c>
      <c r="AI772" s="9">
        <f t="shared" ca="1" si="2147"/>
        <v>7455</v>
      </c>
      <c r="AJ772" s="11">
        <f t="shared" ca="1" si="2132"/>
        <v>198.604733333333</v>
      </c>
      <c r="AK772" s="8">
        <f t="shared" ref="AK772:AK773" si="2148">SUM(O776)</f>
        <v>8239</v>
      </c>
      <c r="AL772" s="12">
        <f t="shared" ca="1" si="2134"/>
        <v>0.90484282073067124</v>
      </c>
      <c r="AM772" s="13">
        <f t="shared" ref="AM772:AM773" si="2149">SUM(Q776)</f>
        <v>1.5</v>
      </c>
      <c r="AN772" s="12">
        <f t="shared" ca="1" si="2136"/>
        <v>0.8341526603427728</v>
      </c>
      <c r="AO772" s="14">
        <f t="shared" ca="1" si="2137"/>
        <v>1.2512289905141591</v>
      </c>
      <c r="AP772" s="13">
        <f t="shared" ref="AP772:AQ772" ca="1" si="2150">SUM(T776)</f>
        <v>209.4765671694262</v>
      </c>
      <c r="AQ772" s="13">
        <f t="shared" ca="1" si="2150"/>
        <v>6.9825522389808734</v>
      </c>
      <c r="AR772" s="9">
        <f t="shared" ca="1" si="2139"/>
        <v>248.5</v>
      </c>
      <c r="AS772" s="76"/>
      <c r="AT772" s="76"/>
    </row>
    <row r="773" spans="1:46" ht="15.75" customHeight="1" x14ac:dyDescent="0.25">
      <c r="A773" s="70"/>
      <c r="B773" s="16">
        <v>12</v>
      </c>
      <c r="C773" s="16" t="s">
        <v>41</v>
      </c>
      <c r="D773" s="44">
        <v>24</v>
      </c>
      <c r="E773" s="18">
        <f ca="1">IFERROR(__xludf.DUMMYFUNCTION("COUNT(IMPORTRANGE(""https://docs.google.com/spreadsheets/d/1oYscvfOJW7GMkxt8QcupWuzb3ohaYePd3Mt2V2ufHok/edit"",""29!d2:d25""))"),24)</f>
        <v>24</v>
      </c>
      <c r="F773" s="23">
        <f ca="1">IFERROR(__xludf.DUMMYFUNCTION("SUM(IMPORTRANGE(""https://docs.google.com/spreadsheets/d/1oYscvfOJW7GMkxt8QcupWuzb3ohaYePd3Mt2V2ufHok/edit"",""29!Q2:Q25""))"),4658.18)</f>
        <v>4658.18</v>
      </c>
      <c r="G773" s="18">
        <f ca="1">IFERROR(__xludf.DUMMYFUNCTION("IMPORTRANGE(""https://docs.google.com/spreadsheets/d/1oYscvfOJW7GMkxt8QcupWuzb3ohaYePd3Mt2V2ufHok/edit"",""29!e32"")"),1233)</f>
        <v>1233</v>
      </c>
      <c r="H773" s="18">
        <f ca="1">IFERROR(__xludf.DUMMYFUNCTION("IMPORTRANGE(""https://docs.google.com/spreadsheets/d/1oYscvfOJW7GMkxt8QcupWuzb3ohaYePd3Mt2V2ufHok/edit"",""29!e33"")"),0)</f>
        <v>0</v>
      </c>
      <c r="I773" s="18">
        <f t="shared" ca="1" si="2112"/>
        <v>1233</v>
      </c>
      <c r="J773" s="18">
        <f ca="1">IFERROR(__xludf.DUMMYFUNCTION("IMPORTRANGE(""https://docs.google.com/spreadsheets/d/1oYscvfOJW7GMkxt8QcupWuzb3ohaYePd3Mt2V2ufHok/edit"",""29!e36"")"),1580)</f>
        <v>1580</v>
      </c>
      <c r="K773" s="18">
        <f ca="1">IFERROR(__xludf.DUMMYFUNCTION("IMPORTRANGE(""https://docs.google.com/spreadsheets/d/1oYscvfOJW7GMkxt8QcupWuzb3ohaYePd3Mt2V2ufHok/edit"",""29!e37"")"),263)</f>
        <v>263</v>
      </c>
      <c r="L773" s="18">
        <f t="shared" ca="1" si="2142"/>
        <v>1843</v>
      </c>
      <c r="M773" s="18">
        <f t="shared" ca="1" si="2114"/>
        <v>3076</v>
      </c>
      <c r="N773" s="19">
        <f t="shared" ca="1" si="2115"/>
        <v>194.09083333333334</v>
      </c>
      <c r="O773" s="16">
        <v>3801</v>
      </c>
      <c r="P773" s="20">
        <f t="shared" ca="1" si="2116"/>
        <v>0.80926072086293077</v>
      </c>
      <c r="Q773" s="21">
        <v>1.5</v>
      </c>
      <c r="R773" s="20">
        <f t="shared" ca="1" si="2117"/>
        <v>0.44022915960024439</v>
      </c>
      <c r="S773" s="22">
        <f t="shared" ca="1" si="2118"/>
        <v>0.66034373940036661</v>
      </c>
      <c r="T773" s="21">
        <f ca="1">F773/29.628</f>
        <v>157.22222222222223</v>
      </c>
      <c r="U773" s="21">
        <f t="shared" ca="1" si="2119"/>
        <v>6.5509259259259265</v>
      </c>
      <c r="V773" s="18">
        <f t="shared" ca="1" si="2120"/>
        <v>128.16666666666666</v>
      </c>
      <c r="W773" s="76"/>
      <c r="X773" s="8">
        <v>6</v>
      </c>
      <c r="Y773" s="8" t="s">
        <v>42</v>
      </c>
      <c r="Z773" s="8">
        <f t="shared" ref="Z773:AI773" si="2151">SUM(D777)</f>
        <v>33</v>
      </c>
      <c r="AA773" s="9">
        <f t="shared" ca="1" si="2151"/>
        <v>32</v>
      </c>
      <c r="AB773" s="10">
        <f t="shared" ca="1" si="2151"/>
        <v>6309.5099999999902</v>
      </c>
      <c r="AC773" s="9">
        <f t="shared" ca="1" si="2151"/>
        <v>3491</v>
      </c>
      <c r="AD773" s="9">
        <f t="shared" ca="1" si="2151"/>
        <v>0</v>
      </c>
      <c r="AE773" s="9">
        <f t="shared" ca="1" si="2151"/>
        <v>3491</v>
      </c>
      <c r="AF773" s="9">
        <f t="shared" ca="1" si="2151"/>
        <v>4319</v>
      </c>
      <c r="AG773" s="9">
        <f t="shared" ca="1" si="2151"/>
        <v>0</v>
      </c>
      <c r="AH773" s="9">
        <f t="shared" ca="1" si="2151"/>
        <v>4319</v>
      </c>
      <c r="AI773" s="9">
        <f t="shared" ca="1" si="2151"/>
        <v>7810</v>
      </c>
      <c r="AJ773" s="11">
        <f t="shared" ca="1" si="2132"/>
        <v>197.17218749999969</v>
      </c>
      <c r="AK773" s="8">
        <f t="shared" si="2148"/>
        <v>9877</v>
      </c>
      <c r="AL773" s="12">
        <f t="shared" ca="1" si="2134"/>
        <v>0.79072592892578719</v>
      </c>
      <c r="AM773" s="13">
        <f t="shared" si="2149"/>
        <v>1.5</v>
      </c>
      <c r="AN773" s="12">
        <f t="shared" ca="1" si="2136"/>
        <v>0.82520935328839717</v>
      </c>
      <c r="AO773" s="14">
        <f t="shared" ca="1" si="2137"/>
        <v>1.2378140299325957</v>
      </c>
      <c r="AP773" s="13">
        <f t="shared" ref="AP773:AQ773" ca="1" si="2152">SUM(T777)</f>
        <v>241.23532785318255</v>
      </c>
      <c r="AQ773" s="13">
        <f t="shared" ca="1" si="2152"/>
        <v>7.5386039954119548</v>
      </c>
      <c r="AR773" s="9">
        <f t="shared" ca="1" si="2139"/>
        <v>244.0625</v>
      </c>
      <c r="AS773" s="76"/>
      <c r="AT773" s="76"/>
    </row>
    <row r="774" spans="1:46" ht="15.75" customHeight="1" x14ac:dyDescent="0.25">
      <c r="A774" s="70"/>
      <c r="B774" s="16">
        <v>13</v>
      </c>
      <c r="C774" s="16" t="s">
        <v>43</v>
      </c>
      <c r="D774" s="44">
        <v>30</v>
      </c>
      <c r="E774" s="18">
        <f ca="1">IFERROR(__xludf.DUMMYFUNCTION("COUNT(IMPORTRANGE(""https://docs.google.com/spreadsheets/d/1AxBmuQEdOYAeRnZ4C8vO6kuTNp7X_SGhpLXuY0n4ln4/edit"",""29!d2:d31""))"),30)</f>
        <v>30</v>
      </c>
      <c r="F774" s="23">
        <f ca="1">IFERROR(__xludf.DUMMYFUNCTION("SUM(IMPORTRANGE(""https://docs.google.com/spreadsheets/d/1AxBmuQEdOYAeRnZ4C8vO6kuTNp7X_SGhpLXuY0n4ln4/edit"",""29!Q2:Q31""))"),6284.278)</f>
        <v>6284.2780000000002</v>
      </c>
      <c r="G774" s="18">
        <f ca="1">IFERROR(__xludf.DUMMYFUNCTION("IMPORTRANGE(""https://docs.google.com/spreadsheets/d/1AxBmuQEdOYAeRnZ4C8vO6kuTNp7X_SGhpLXuY0n4ln4/edit"",""29!e38"")"),2141)</f>
        <v>2141</v>
      </c>
      <c r="H774" s="18">
        <f ca="1">IFERROR(__xludf.DUMMYFUNCTION("IMPORTRANGE(""https://docs.google.com/spreadsheets/d/1AxBmuQEdOYAeRnZ4C8vO6kuTNp7X_SGhpLXuY0n4ln4/edit"",""29!e39"")"),0)</f>
        <v>0</v>
      </c>
      <c r="I774" s="18">
        <f t="shared" ca="1" si="2112"/>
        <v>2141</v>
      </c>
      <c r="J774" s="18">
        <f ca="1">IFERROR(__xludf.DUMMYFUNCTION("IMPORTRANGE(""https://docs.google.com/spreadsheets/d/1AxBmuQEdOYAeRnZ4C8vO6kuTNp7X_SGhpLXuY0n4ln4/edit"",""29!e42"")"),2709)</f>
        <v>2709</v>
      </c>
      <c r="K774" s="18">
        <f ca="1">IFERROR(__xludf.DUMMYFUNCTION("IMPORTRANGE(""https://docs.google.com/spreadsheets/d/1AxBmuQEdOYAeRnZ4C8vO6kuTNp7X_SGhpLXuY0n4ln4/edit"",""29!e43"")"),0)</f>
        <v>0</v>
      </c>
      <c r="L774" s="18">
        <f t="shared" ca="1" si="2142"/>
        <v>2709</v>
      </c>
      <c r="M774" s="18">
        <f t="shared" ca="1" si="2114"/>
        <v>4850</v>
      </c>
      <c r="N774" s="19">
        <f t="shared" ca="1" si="2115"/>
        <v>209.47593333333333</v>
      </c>
      <c r="O774" s="16">
        <v>8345</v>
      </c>
      <c r="P774" s="20">
        <f t="shared" ca="1" si="2116"/>
        <v>0.58118633912522466</v>
      </c>
      <c r="Q774" s="21">
        <v>1.5</v>
      </c>
      <c r="R774" s="20">
        <f t="shared" ca="1" si="2117"/>
        <v>0.51451150527289424</v>
      </c>
      <c r="S774" s="22">
        <f t="shared" ca="1" si="2118"/>
        <v>0.77176725790934131</v>
      </c>
      <c r="T774" s="21">
        <f ca="1">F774/41.205</f>
        <v>152.5125106176435</v>
      </c>
      <c r="U774" s="21">
        <f t="shared" ca="1" si="2119"/>
        <v>5.0837503539214497</v>
      </c>
      <c r="V774" s="18">
        <f t="shared" ca="1" si="2120"/>
        <v>161.66666666666666</v>
      </c>
      <c r="W774" s="76"/>
      <c r="X774" s="24" t="s">
        <v>33</v>
      </c>
      <c r="Y774" s="24">
        <v>6</v>
      </c>
      <c r="Z774" s="24">
        <f t="shared" ref="Z774:AI774" si="2153">SUM(Z768:Z773)</f>
        <v>226</v>
      </c>
      <c r="AA774" s="25">
        <f t="shared" ca="1" si="2153"/>
        <v>222</v>
      </c>
      <c r="AB774" s="27">
        <f t="shared" ca="1" si="2153"/>
        <v>44133.734999999884</v>
      </c>
      <c r="AC774" s="25">
        <f t="shared" ca="1" si="2153"/>
        <v>18428</v>
      </c>
      <c r="AD774" s="25">
        <f t="shared" ca="1" si="2153"/>
        <v>158</v>
      </c>
      <c r="AE774" s="25">
        <f t="shared" ca="1" si="2153"/>
        <v>18586</v>
      </c>
      <c r="AF774" s="25">
        <f t="shared" ca="1" si="2153"/>
        <v>23253</v>
      </c>
      <c r="AG774" s="25">
        <f t="shared" ca="1" si="2153"/>
        <v>240</v>
      </c>
      <c r="AH774" s="25">
        <f t="shared" ca="1" si="2153"/>
        <v>23493</v>
      </c>
      <c r="AI774" s="25">
        <f t="shared" ca="1" si="2153"/>
        <v>42079</v>
      </c>
      <c r="AJ774" s="27">
        <f t="shared" ca="1" si="2132"/>
        <v>198.80060810810758</v>
      </c>
      <c r="AK774" s="24">
        <f>SUM(AK768:AK773)</f>
        <v>53273</v>
      </c>
      <c r="AL774" s="28">
        <f t="shared" ca="1" si="2134"/>
        <v>0.78987479586281983</v>
      </c>
      <c r="AM774" s="29">
        <v>1.5</v>
      </c>
      <c r="AN774" s="28">
        <f t="shared" ca="1" si="2136"/>
        <v>0.63562865609871311</v>
      </c>
      <c r="AO774" s="30">
        <f t="shared" ca="1" si="2137"/>
        <v>0.95344298414806972</v>
      </c>
      <c r="AP774" s="29">
        <f ca="1">SUM(AP768:AP773)</f>
        <v>1448.8335624103502</v>
      </c>
      <c r="AQ774" s="29">
        <f ca="1">AP774/AA774</f>
        <v>6.5262773081547305</v>
      </c>
      <c r="AR774" s="25">
        <f t="shared" ca="1" si="2139"/>
        <v>189.54504504504504</v>
      </c>
      <c r="AS774" s="76"/>
      <c r="AT774" s="76"/>
    </row>
    <row r="775" spans="1:46" ht="15.75" customHeight="1" x14ac:dyDescent="0.25">
      <c r="A775" s="70"/>
      <c r="B775" s="16">
        <v>14</v>
      </c>
      <c r="C775" s="16" t="s">
        <v>27</v>
      </c>
      <c r="D775" s="44">
        <v>30</v>
      </c>
      <c r="E775" s="18">
        <f ca="1">IFERROR(__xludf.DUMMYFUNCTION("COUNT(IMPORTRANGE(""https://docs.google.com/spreadsheets/d/1LsL4JuXvBtfJ-TVi4NFml9lV_pmd61b789A_nbO-QrA/edit"",""29!d2:d31""))"),28)</f>
        <v>28</v>
      </c>
      <c r="F775" s="23">
        <f ca="1">IFERROR(__xludf.DUMMYFUNCTION("SUM(IMPORTRANGE(""https://docs.google.com/spreadsheets/d/1LsL4JuXvBtfJ-TVi4NFml9lV_pmd61b789A_nbO-QrA/edit"",""29!Q2:Q31""))"),5231.963)</f>
        <v>5231.9629999999997</v>
      </c>
      <c r="G775" s="18">
        <f ca="1">IFERROR(__xludf.DUMMYFUNCTION("IMPORTRANGE(""https://docs.google.com/spreadsheets/d/1LsL4JuXvBtfJ-TVi4NFml9lV_pmd61b789A_nbO-QrA/edit"",""29!e38"")"),2609)</f>
        <v>2609</v>
      </c>
      <c r="H775" s="18">
        <f ca="1">IFERROR(__xludf.DUMMYFUNCTION("IMPORTRANGE(""https://docs.google.com/spreadsheets/d/1LsL4JuXvBtfJ-TVi4NFml9lV_pmd61b789A_nbO-QrA/edit"",""29!e39"")"),0)</f>
        <v>0</v>
      </c>
      <c r="I775" s="18">
        <f t="shared" ca="1" si="2112"/>
        <v>2609</v>
      </c>
      <c r="J775" s="18">
        <f ca="1">IFERROR(__xludf.DUMMYFUNCTION("IMPORTRANGE(""https://docs.google.com/spreadsheets/d/1LsL4JuXvBtfJ-TVi4NFml9lV_pmd61b789A_nbO-QrA/edit"",""29!e42"")"),3255)</f>
        <v>3255</v>
      </c>
      <c r="K775" s="18">
        <f ca="1">IFERROR(__xludf.DUMMYFUNCTION("IMPORTRANGE(""https://docs.google.com/spreadsheets/d/1LsL4JuXvBtfJ-TVi4NFml9lV_pmd61b789A_nbO-QrA/edit"",""29!e43"")"),0)</f>
        <v>0</v>
      </c>
      <c r="L775" s="18">
        <f t="shared" ca="1" si="2142"/>
        <v>3255</v>
      </c>
      <c r="M775" s="18">
        <f t="shared" ca="1" si="2114"/>
        <v>5864</v>
      </c>
      <c r="N775" s="19">
        <f t="shared" ca="1" si="2115"/>
        <v>186.85582142857143</v>
      </c>
      <c r="O775" s="16">
        <v>8101</v>
      </c>
      <c r="P775" s="20">
        <f t="shared" ca="1" si="2116"/>
        <v>0.7238612516973213</v>
      </c>
      <c r="Q775" s="21">
        <v>1.5</v>
      </c>
      <c r="R775" s="20">
        <f t="shared" ca="1" si="2117"/>
        <v>0.74720202213458575</v>
      </c>
      <c r="S775" s="22">
        <f t="shared" ca="1" si="2118"/>
        <v>1.1208030332018786</v>
      </c>
      <c r="T775" s="21">
        <f ca="1">F775/19.985</f>
        <v>261.79449587190391</v>
      </c>
      <c r="U775" s="21">
        <f t="shared" ca="1" si="2119"/>
        <v>9.3498034239965673</v>
      </c>
      <c r="V775" s="18">
        <f t="shared" ca="1" si="2120"/>
        <v>209.42857142857142</v>
      </c>
      <c r="W775" s="76"/>
      <c r="X775" s="97" t="s">
        <v>44</v>
      </c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9"/>
      <c r="AS775" s="76"/>
      <c r="AT775" s="76"/>
    </row>
    <row r="776" spans="1:46" ht="15.75" customHeight="1" x14ac:dyDescent="0.25">
      <c r="A776" s="70"/>
      <c r="B776" s="16">
        <v>15</v>
      </c>
      <c r="C776" s="16" t="s">
        <v>40</v>
      </c>
      <c r="D776" s="44">
        <v>30</v>
      </c>
      <c r="E776" s="18">
        <f ca="1">IFERROR(__xludf.DUMMYFUNCTION("COUNT(IMPORTRANGE(""https://docs.google.com/spreadsheets/d/1Krav0MVlY0vbUNsFRDnb_kR72_tyuGnWBYbGjNZrl18/edit"",""29!d2:d31""))"),30)</f>
        <v>30</v>
      </c>
      <c r="F776" s="23">
        <f ca="1">IFERROR(__xludf.DUMMYFUNCTION("SUM(IMPORTRANGE(""https://docs.google.com/spreadsheets/d/1Krav0MVlY0vbUNsFRDnb_kR72_tyuGnWBYbGjNZrl18/edit"",""29!Q2:Q31""))"),5958.14199999999)</f>
        <v>5958.1419999999898</v>
      </c>
      <c r="G776" s="18">
        <f ca="1">IFERROR(__xludf.DUMMYFUNCTION("IMPORTRANGE(""https://docs.google.com/spreadsheets/d/1Krav0MVlY0vbUNsFRDnb_kR72_tyuGnWBYbGjNZrl18/edit"",""29!e38"")"),3481)</f>
        <v>3481</v>
      </c>
      <c r="H776" s="18">
        <f ca="1">IFERROR(__xludf.DUMMYFUNCTION("IMPORTRANGE(""https://docs.google.com/spreadsheets/d/1Krav0MVlY0vbUNsFRDnb_kR72_tyuGnWBYbGjNZrl18/edit"",""29!e39"")"),0)</f>
        <v>0</v>
      </c>
      <c r="I776" s="18">
        <f t="shared" ca="1" si="2112"/>
        <v>3481</v>
      </c>
      <c r="J776" s="18">
        <f ca="1">IFERROR(__xludf.DUMMYFUNCTION("IMPORTRANGE(""https://docs.google.com/spreadsheets/d/1Krav0MVlY0vbUNsFRDnb_kR72_tyuGnWBYbGjNZrl18/edit"",""29!e42"")"),3974)</f>
        <v>3974</v>
      </c>
      <c r="K776" s="18">
        <f ca="1">IFERROR(__xludf.DUMMYFUNCTION("IMPORTRANGE(""https://docs.google.com/spreadsheets/d/1Krav0MVlY0vbUNsFRDnb_kR72_tyuGnWBYbGjNZrl18/edit"",""29!e43"")"),0)</f>
        <v>0</v>
      </c>
      <c r="L776" s="18">
        <f t="shared" ca="1" si="2142"/>
        <v>3974</v>
      </c>
      <c r="M776" s="18">
        <f t="shared" ca="1" si="2114"/>
        <v>7455</v>
      </c>
      <c r="N776" s="19">
        <f t="shared" ca="1" si="2115"/>
        <v>198.604733333333</v>
      </c>
      <c r="O776" s="16">
        <v>8239</v>
      </c>
      <c r="P776" s="20">
        <f t="shared" ca="1" si="2116"/>
        <v>0.90484282073067124</v>
      </c>
      <c r="Q776" s="21">
        <v>1.5</v>
      </c>
      <c r="R776" s="20">
        <f t="shared" ca="1" si="2117"/>
        <v>0.8341526603427728</v>
      </c>
      <c r="S776" s="22">
        <f t="shared" ca="1" si="2118"/>
        <v>1.2512289905141591</v>
      </c>
      <c r="T776" s="21">
        <f ca="1">F776/28.443</f>
        <v>209.4765671694262</v>
      </c>
      <c r="U776" s="21">
        <f t="shared" ca="1" si="2119"/>
        <v>6.9825522389808734</v>
      </c>
      <c r="V776" s="18">
        <f t="shared" ca="1" si="2120"/>
        <v>248.5</v>
      </c>
      <c r="W776" s="76"/>
      <c r="X776" s="1" t="s">
        <v>2</v>
      </c>
      <c r="Y776" s="1" t="s">
        <v>3</v>
      </c>
      <c r="Z776" s="1" t="s">
        <v>4</v>
      </c>
      <c r="AA776" s="1" t="s">
        <v>5</v>
      </c>
      <c r="AB776" s="2" t="s">
        <v>6</v>
      </c>
      <c r="AC776" s="1" t="s">
        <v>7</v>
      </c>
      <c r="AD776" s="1" t="s">
        <v>8</v>
      </c>
      <c r="AE776" s="1" t="s">
        <v>9</v>
      </c>
      <c r="AF776" s="1" t="s">
        <v>10</v>
      </c>
      <c r="AG776" s="1" t="s">
        <v>11</v>
      </c>
      <c r="AH776" s="1" t="s">
        <v>12</v>
      </c>
      <c r="AI776" s="1" t="s">
        <v>13</v>
      </c>
      <c r="AJ776" s="2" t="s">
        <v>14</v>
      </c>
      <c r="AK776" s="1" t="s">
        <v>15</v>
      </c>
      <c r="AL776" s="1" t="s">
        <v>16</v>
      </c>
      <c r="AM776" s="3" t="s">
        <v>17</v>
      </c>
      <c r="AN776" s="4" t="s">
        <v>18</v>
      </c>
      <c r="AO776" s="5" t="s">
        <v>19</v>
      </c>
      <c r="AP776" s="6" t="s">
        <v>20</v>
      </c>
      <c r="AQ776" s="6" t="s">
        <v>21</v>
      </c>
      <c r="AR776" s="7" t="s">
        <v>22</v>
      </c>
      <c r="AS776" s="76"/>
      <c r="AT776" s="76"/>
    </row>
    <row r="777" spans="1:46" ht="15.75" customHeight="1" x14ac:dyDescent="0.25">
      <c r="A777" s="70"/>
      <c r="B777" s="16">
        <v>16</v>
      </c>
      <c r="C777" s="16" t="s">
        <v>42</v>
      </c>
      <c r="D777" s="44">
        <v>33</v>
      </c>
      <c r="E777" s="18">
        <f ca="1">IFERROR(__xludf.DUMMYFUNCTION("COUNT(IMPORTRANGE(""https://docs.google.com/spreadsheets/d/1uXtm-E8PG0CetlFmSpTX3RK0LNEMnpR-mxbET9AGD6w/edit"",""29!d2:d34""))"),32)</f>
        <v>32</v>
      </c>
      <c r="F777" s="23">
        <f ca="1">IFERROR(__xludf.DUMMYFUNCTION("SUM(IMPORTRANGE(""https://docs.google.com/spreadsheets/d/1uXtm-E8PG0CetlFmSpTX3RK0LNEMnpR-mxbET9AGD6w/edit"",""29!Q2:Q34""))"),6309.50999999999)</f>
        <v>6309.5099999999902</v>
      </c>
      <c r="G777" s="18">
        <f ca="1">IFERROR(__xludf.DUMMYFUNCTION("IMPORTRANGE(""https://docs.google.com/spreadsheets/d/1uXtm-E8PG0CetlFmSpTX3RK0LNEMnpR-mxbET9AGD6w/edit"",""29!e41"")"),3491)</f>
        <v>3491</v>
      </c>
      <c r="H777" s="18">
        <f ca="1">IFERROR(__xludf.DUMMYFUNCTION("IMPORTRANGE(""https://docs.google.com/spreadsheets/d/1uXtm-E8PG0CetlFmSpTX3RK0LNEMnpR-mxbET9AGD6w/edit"",""29!e42"")"),0)</f>
        <v>0</v>
      </c>
      <c r="I777" s="18">
        <f t="shared" ca="1" si="2112"/>
        <v>3491</v>
      </c>
      <c r="J777" s="18">
        <f ca="1">IFERROR(__xludf.DUMMYFUNCTION("IMPORTRANGE(""https://docs.google.com/spreadsheets/d/1uXtm-E8PG0CetlFmSpTX3RK0LNEMnpR-mxbET9AGD6w/edit"",""29!e45"")"),4319)</f>
        <v>4319</v>
      </c>
      <c r="K777" s="18">
        <f ca="1">IFERROR(__xludf.DUMMYFUNCTION("IMPORTRANGE(""https://docs.google.com/spreadsheets/d/1uXtm-E8PG0CetlFmSpTX3RK0LNEMnpR-mxbET9AGD6w/edit"",""29!e46"")"),0)</f>
        <v>0</v>
      </c>
      <c r="L777" s="18">
        <f t="shared" ca="1" si="2142"/>
        <v>4319</v>
      </c>
      <c r="M777" s="18">
        <f t="shared" ca="1" si="2114"/>
        <v>7810</v>
      </c>
      <c r="N777" s="19">
        <f t="shared" ca="1" si="2115"/>
        <v>197.17218749999969</v>
      </c>
      <c r="O777" s="16">
        <v>9877</v>
      </c>
      <c r="P777" s="20">
        <f t="shared" ca="1" si="2116"/>
        <v>0.79072592892578719</v>
      </c>
      <c r="Q777" s="21">
        <v>1.5</v>
      </c>
      <c r="R777" s="20">
        <f t="shared" ca="1" si="2117"/>
        <v>0.82520935328839717</v>
      </c>
      <c r="S777" s="22">
        <f t="shared" ca="1" si="2118"/>
        <v>1.2378140299325957</v>
      </c>
      <c r="T777" s="21">
        <f ca="1">F777/26.155</f>
        <v>241.23532785318255</v>
      </c>
      <c r="U777" s="21">
        <f t="shared" ca="1" si="2119"/>
        <v>7.5386039954119548</v>
      </c>
      <c r="V777" s="18">
        <f t="shared" ca="1" si="2120"/>
        <v>244.0625</v>
      </c>
      <c r="W777" s="76"/>
      <c r="X777" s="8">
        <v>1</v>
      </c>
      <c r="Y777" s="8" t="s">
        <v>26</v>
      </c>
      <c r="Z777" s="8">
        <f t="shared" ref="Z777:AI777" si="2154">SUM(D762)</f>
        <v>20</v>
      </c>
      <c r="AA777" s="9">
        <f t="shared" ca="1" si="2154"/>
        <v>20</v>
      </c>
      <c r="AB777" s="11">
        <f t="shared" ca="1" si="2154"/>
        <v>3755.64299999999</v>
      </c>
      <c r="AC777" s="9">
        <f t="shared" ca="1" si="2154"/>
        <v>2241</v>
      </c>
      <c r="AD777" s="9">
        <f t="shared" ca="1" si="2154"/>
        <v>0</v>
      </c>
      <c r="AE777" s="9">
        <f t="shared" ca="1" si="2154"/>
        <v>2241</v>
      </c>
      <c r="AF777" s="9">
        <f t="shared" ca="1" si="2154"/>
        <v>2899</v>
      </c>
      <c r="AG777" s="9">
        <f t="shared" ca="1" si="2154"/>
        <v>0</v>
      </c>
      <c r="AH777" s="9">
        <f t="shared" ca="1" si="2154"/>
        <v>2899</v>
      </c>
      <c r="AI777" s="9">
        <f t="shared" ca="1" si="2154"/>
        <v>5140</v>
      </c>
      <c r="AJ777" s="11">
        <f t="shared" ref="AJ777:AJ783" ca="1" si="2155">AB777/AA777</f>
        <v>187.78214999999949</v>
      </c>
      <c r="AK777" s="8">
        <f>SUM(O762)</f>
        <v>5161</v>
      </c>
      <c r="AL777" s="12">
        <f t="shared" ref="AL777:AL783" ca="1" si="2156">AI777/AK777</f>
        <v>0.99593102111993803</v>
      </c>
      <c r="AM777" s="13">
        <f>SUM(Q762)</f>
        <v>1.5</v>
      </c>
      <c r="AN777" s="12">
        <f t="shared" ref="AN777:AN783" ca="1" si="2157">AO777/AM777</f>
        <v>0.91240479104821093</v>
      </c>
      <c r="AO777" s="14">
        <f t="shared" ref="AO777:AO783" ca="1" si="2158">AI777/AB777</f>
        <v>1.3686071865723164</v>
      </c>
      <c r="AP777" s="13">
        <f t="shared" ref="AP777:AQ777" ca="1" si="2159">SUM(T762)</f>
        <v>260.53714880332916</v>
      </c>
      <c r="AQ777" s="13">
        <f t="shared" ca="1" si="2159"/>
        <v>13.026857440166458</v>
      </c>
      <c r="AR777" s="9">
        <f t="shared" ref="AR777:AR783" ca="1" si="2160">AI777/AA777</f>
        <v>257</v>
      </c>
      <c r="AS777" s="76"/>
      <c r="AT777" s="76"/>
    </row>
    <row r="778" spans="1:46" ht="15.75" customHeight="1" x14ac:dyDescent="0.25">
      <c r="A778" s="70"/>
      <c r="B778" s="16">
        <v>17</v>
      </c>
      <c r="C778" s="16" t="s">
        <v>29</v>
      </c>
      <c r="D778" s="44">
        <v>30</v>
      </c>
      <c r="E778" s="18">
        <f ca="1">IFERROR(__xludf.DUMMYFUNCTION("COUNT(IMPORTRANGE(""https://docs.google.com/spreadsheets/d/12xcKI0lSnAsjEsxfm9K8Qx0B_89Gzsh816mowItkQao/edit"",""29!d2:d31""))"),30)</f>
        <v>30</v>
      </c>
      <c r="F778" s="23">
        <f ca="1">IFERROR(__xludf.DUMMYFUNCTION("SUM(IMPORTRANGE(""https://docs.google.com/spreadsheets/d/12xcKI0lSnAsjEsxfm9K8Qx0B_89Gzsh816mowItkQao/edit"",""29!Q2:Q31""))"),6066.854)</f>
        <v>6066.8540000000003</v>
      </c>
      <c r="G778" s="18">
        <f ca="1">IFERROR(__xludf.DUMMYFUNCTION("IMPORTRANGE(""https://docs.google.com/spreadsheets/d/12xcKI0lSnAsjEsxfm9K8Qx0B_89Gzsh816mowItkQao/edit"",""29!e38"")"),2439)</f>
        <v>2439</v>
      </c>
      <c r="H778" s="18">
        <f ca="1">IFERROR(__xludf.DUMMYFUNCTION("IMPORTRANGE(""https://docs.google.com/spreadsheets/d/12xcKI0lSnAsjEsxfm9K8Qx0B_89Gzsh816mowItkQao/edit"",""29!e39"")"),0)</f>
        <v>0</v>
      </c>
      <c r="I778" s="18">
        <f t="shared" ca="1" si="2112"/>
        <v>2439</v>
      </c>
      <c r="J778" s="18">
        <f ca="1">IFERROR(__xludf.DUMMYFUNCTION("IMPORTRANGE(""https://docs.google.com/spreadsheets/d/12xcKI0lSnAsjEsxfm9K8Qx0B_89Gzsh816mowItkQao/edit"",""29!e42"")"),5031)</f>
        <v>5031</v>
      </c>
      <c r="K778" s="18">
        <f ca="1">IFERROR(__xludf.DUMMYFUNCTION("IMPORTRANGE(""https://docs.google.com/spreadsheets/d/12xcKI0lSnAsjEsxfm9K8Qx0B_89Gzsh816mowItkQao/edit"",""29!e43"")"),0)</f>
        <v>0</v>
      </c>
      <c r="L778" s="18">
        <f t="shared" ca="1" si="2142"/>
        <v>5031</v>
      </c>
      <c r="M778" s="18">
        <f t="shared" ca="1" si="2114"/>
        <v>7470</v>
      </c>
      <c r="N778" s="19">
        <f t="shared" ca="1" si="2115"/>
        <v>202.22846666666666</v>
      </c>
      <c r="O778" s="16">
        <v>9201</v>
      </c>
      <c r="P778" s="20">
        <f t="shared" ca="1" si="2116"/>
        <v>0.81186827518747962</v>
      </c>
      <c r="Q778" s="21">
        <v>1.5</v>
      </c>
      <c r="R778" s="20">
        <f t="shared" ca="1" si="2117"/>
        <v>0.82085377363622058</v>
      </c>
      <c r="S778" s="22">
        <f t="shared" ca="1" si="2118"/>
        <v>1.2312806604543309</v>
      </c>
      <c r="T778" s="21">
        <f ca="1">F778/26.038</f>
        <v>233</v>
      </c>
      <c r="U778" s="21">
        <f t="shared" ca="1" si="2119"/>
        <v>7.7666666666666666</v>
      </c>
      <c r="V778" s="18">
        <f t="shared" ca="1" si="2120"/>
        <v>249</v>
      </c>
      <c r="W778" s="76"/>
      <c r="X778" s="8">
        <v>2</v>
      </c>
      <c r="Y778" s="8" t="s">
        <v>32</v>
      </c>
      <c r="Z778" s="8">
        <f t="shared" ref="Z778:AI778" si="2161">SUM(D765)</f>
        <v>42</v>
      </c>
      <c r="AA778" s="9">
        <f t="shared" ca="1" si="2161"/>
        <v>40</v>
      </c>
      <c r="AB778" s="10">
        <f t="shared" ca="1" si="2161"/>
        <v>7766.1199999999899</v>
      </c>
      <c r="AC778" s="8">
        <f t="shared" ca="1" si="2161"/>
        <v>4690</v>
      </c>
      <c r="AD778" s="8">
        <f t="shared" ca="1" si="2161"/>
        <v>40</v>
      </c>
      <c r="AE778" s="9">
        <f t="shared" ca="1" si="2161"/>
        <v>4730</v>
      </c>
      <c r="AF778" s="8">
        <f t="shared" ca="1" si="2161"/>
        <v>5751</v>
      </c>
      <c r="AG778" s="8">
        <f t="shared" ca="1" si="2161"/>
        <v>0</v>
      </c>
      <c r="AH778" s="9">
        <f t="shared" ca="1" si="2161"/>
        <v>5751</v>
      </c>
      <c r="AI778" s="9">
        <f t="shared" ca="1" si="2161"/>
        <v>10481</v>
      </c>
      <c r="AJ778" s="11">
        <f t="shared" ca="1" si="2155"/>
        <v>194.15299999999974</v>
      </c>
      <c r="AK778" s="8">
        <f>SUM(O765)</f>
        <v>13817</v>
      </c>
      <c r="AL778" s="12">
        <f t="shared" ca="1" si="2156"/>
        <v>0.75855829774914962</v>
      </c>
      <c r="AM778" s="13">
        <f>SUM(Q765)</f>
        <v>1.5</v>
      </c>
      <c r="AN778" s="12">
        <f t="shared" ca="1" si="2157"/>
        <v>0.8997199802904593</v>
      </c>
      <c r="AO778" s="14">
        <f t="shared" ca="1" si="2158"/>
        <v>1.349579970435689</v>
      </c>
      <c r="AP778" s="13">
        <f t="shared" ref="AP778:AQ778" ca="1" si="2162">SUM(T765)</f>
        <v>309.54282753397865</v>
      </c>
      <c r="AQ778" s="13">
        <f t="shared" ca="1" si="2162"/>
        <v>7.7385706883494665</v>
      </c>
      <c r="AR778" s="9">
        <f t="shared" ca="1" si="2160"/>
        <v>262.02499999999998</v>
      </c>
      <c r="AS778" s="76"/>
      <c r="AT778" s="76"/>
    </row>
    <row r="779" spans="1:46" ht="15.75" customHeight="1" x14ac:dyDescent="0.25">
      <c r="A779" s="70"/>
      <c r="B779" s="16">
        <v>18</v>
      </c>
      <c r="C779" s="16" t="s">
        <v>31</v>
      </c>
      <c r="D779" s="44">
        <v>15</v>
      </c>
      <c r="E779" s="18">
        <f ca="1">IFERROR(__xludf.DUMMYFUNCTION("COUNT(IMPORTRANGE(""https://docs.google.com/spreadsheets/d/1fgCFOFzOla4Qim6_-zG-lbYhLCItqv_kZiAHoErRgcM/edit"",""29!d2:d16""))"),13)</f>
        <v>13</v>
      </c>
      <c r="F779" s="19">
        <f ca="1">IFERROR(__xludf.DUMMYFUNCTION("SUM(IMPORTRANGE(""https://docs.google.com/spreadsheets/d/1fgCFOFzOla4Qim6_-zG-lbYhLCItqv_kZiAHoErRgcM/edit"",""29!Q2:Q16""))"),2651.365)</f>
        <v>2651.3649999999998</v>
      </c>
      <c r="G779" s="18">
        <f ca="1">IFERROR(__xludf.DUMMYFUNCTION("IMPORTRANGE(""https://docs.google.com/spreadsheets/d/1fgCFOFzOla4Qim6_-zG-lbYhLCItqv_kZiAHoErRgcM/edit"",""29!e23"")"),920)</f>
        <v>920</v>
      </c>
      <c r="H779" s="18">
        <f ca="1">IFERROR(__xludf.DUMMYFUNCTION("IMPORTRANGE(""https://docs.google.com/spreadsheets/d/1fgCFOFzOla4Qim6_-zG-lbYhLCItqv_kZiAHoErRgcM/edit"",""29!e24"")"),9)</f>
        <v>9</v>
      </c>
      <c r="I779" s="18">
        <f t="shared" ca="1" si="2112"/>
        <v>929</v>
      </c>
      <c r="J779" s="18">
        <f ca="1">IFERROR(__xludf.DUMMYFUNCTION("IMPORTRANGE(""https://docs.google.com/spreadsheets/d/1fgCFOFzOla4Qim6_-zG-lbYhLCItqv_kZiAHoErRgcM/edit"",""29!e27"")"),1187)</f>
        <v>1187</v>
      </c>
      <c r="K779" s="18">
        <f ca="1">IFERROR(__xludf.DUMMYFUNCTION("IMPORTRANGE(""https://docs.google.com/spreadsheets/d/1fgCFOFzOla4Qim6_-zG-lbYhLCItqv_kZiAHoErRgcM/edit"",""29!e28"")"),0)</f>
        <v>0</v>
      </c>
      <c r="L779" s="18">
        <f t="shared" ca="1" si="2142"/>
        <v>1187</v>
      </c>
      <c r="M779" s="18">
        <f t="shared" ca="1" si="2114"/>
        <v>2116</v>
      </c>
      <c r="N779" s="19">
        <f t="shared" ca="1" si="2115"/>
        <v>203.95115384615383</v>
      </c>
      <c r="O779" s="16">
        <v>2717</v>
      </c>
      <c r="P779" s="20">
        <f t="shared" ca="1" si="2116"/>
        <v>0.77880014722119983</v>
      </c>
      <c r="Q779" s="21">
        <v>1.5</v>
      </c>
      <c r="R779" s="20">
        <f t="shared" ca="1" si="2117"/>
        <v>0.53205298654340949</v>
      </c>
      <c r="S779" s="22">
        <f t="shared" ca="1" si="2118"/>
        <v>0.79807947981511418</v>
      </c>
      <c r="T779" s="21">
        <f ca="1">F779/43.465</f>
        <v>60.999999999999993</v>
      </c>
      <c r="U779" s="21">
        <f t="shared" ca="1" si="2119"/>
        <v>4.6923076923076916</v>
      </c>
      <c r="V779" s="18">
        <f t="shared" ca="1" si="2120"/>
        <v>162.76923076923077</v>
      </c>
      <c r="W779" s="76"/>
      <c r="X779" s="8">
        <v>3</v>
      </c>
      <c r="Y779" s="8" t="s">
        <v>36</v>
      </c>
      <c r="Z779" s="8">
        <f t="shared" ref="Z779:AI779" si="2163">SUM(D770)</f>
        <v>29</v>
      </c>
      <c r="AA779" s="9">
        <f t="shared" ca="1" si="2163"/>
        <v>29</v>
      </c>
      <c r="AB779" s="10">
        <f t="shared" ca="1" si="2163"/>
        <v>5678.9480000000003</v>
      </c>
      <c r="AC779" s="9">
        <f t="shared" ca="1" si="2163"/>
        <v>1659</v>
      </c>
      <c r="AD779" s="9">
        <f t="shared" ca="1" si="2163"/>
        <v>0</v>
      </c>
      <c r="AE779" s="9">
        <f t="shared" ca="1" si="2163"/>
        <v>1659</v>
      </c>
      <c r="AF779" s="9">
        <f t="shared" ca="1" si="2163"/>
        <v>2213</v>
      </c>
      <c r="AG779" s="9">
        <f t="shared" ca="1" si="2163"/>
        <v>0</v>
      </c>
      <c r="AH779" s="9">
        <f t="shared" ca="1" si="2163"/>
        <v>2213</v>
      </c>
      <c r="AI779" s="9">
        <f t="shared" ca="1" si="2163"/>
        <v>3872</v>
      </c>
      <c r="AJ779" s="11">
        <f t="shared" ca="1" si="2155"/>
        <v>195.82579310344829</v>
      </c>
      <c r="AK779" s="8">
        <f t="shared" ref="AK779:AK782" si="2164">SUM(O770)</f>
        <v>4796</v>
      </c>
      <c r="AL779" s="12">
        <f t="shared" ca="1" si="2156"/>
        <v>0.80733944954128445</v>
      </c>
      <c r="AM779" s="13">
        <f t="shared" ref="AM779:AM782" si="2165">SUM(Q770)</f>
        <v>1.5</v>
      </c>
      <c r="AN779" s="12">
        <f t="shared" ca="1" si="2157"/>
        <v>0.45454428061910995</v>
      </c>
      <c r="AO779" s="14">
        <f t="shared" ca="1" si="2158"/>
        <v>0.6818164209286649</v>
      </c>
      <c r="AP779" s="13">
        <f t="shared" ref="AP779:AQ779" ca="1" si="2166">SUM(T770)</f>
        <v>151.78671085689848</v>
      </c>
      <c r="AQ779" s="13">
        <f t="shared" ca="1" si="2166"/>
        <v>5.2340245123068438</v>
      </c>
      <c r="AR779" s="9">
        <f t="shared" ca="1" si="2160"/>
        <v>133.51724137931035</v>
      </c>
      <c r="AS779" s="76"/>
      <c r="AT779" s="76"/>
    </row>
    <row r="780" spans="1:46" ht="15.75" customHeight="1" x14ac:dyDescent="0.2">
      <c r="A780" s="70"/>
      <c r="B780" s="98" t="s">
        <v>33</v>
      </c>
      <c r="C780" s="98">
        <v>18</v>
      </c>
      <c r="D780" s="98">
        <f t="shared" ref="D780:M780" si="2167">SUM(D762:D779)</f>
        <v>585</v>
      </c>
      <c r="E780" s="74">
        <f t="shared" ca="1" si="2167"/>
        <v>573</v>
      </c>
      <c r="F780" s="99">
        <f t="shared" ca="1" si="2167"/>
        <v>112660.27899999988</v>
      </c>
      <c r="G780" s="74">
        <f t="shared" ca="1" si="2167"/>
        <v>42884</v>
      </c>
      <c r="H780" s="74">
        <f t="shared" ca="1" si="2167"/>
        <v>697</v>
      </c>
      <c r="I780" s="74">
        <f t="shared" ca="1" si="2167"/>
        <v>43581</v>
      </c>
      <c r="J780" s="74">
        <f t="shared" ca="1" si="2167"/>
        <v>58065</v>
      </c>
      <c r="K780" s="74">
        <f t="shared" ca="1" si="2167"/>
        <v>1469</v>
      </c>
      <c r="L780" s="74">
        <f t="shared" ca="1" si="2167"/>
        <v>59534</v>
      </c>
      <c r="M780" s="74">
        <f t="shared" ca="1" si="2167"/>
        <v>103115</v>
      </c>
      <c r="N780" s="99">
        <f t="shared" ca="1" si="2115"/>
        <v>196.6147975567188</v>
      </c>
      <c r="O780" s="98">
        <f>SUM(O762:O779)</f>
        <v>126399</v>
      </c>
      <c r="P780" s="69">
        <f t="shared" ca="1" si="2116"/>
        <v>0.81578968188039458</v>
      </c>
      <c r="Q780" s="72">
        <v>1.5</v>
      </c>
      <c r="R780" s="69">
        <f t="shared" ca="1" si="2117"/>
        <v>0.61018252345472546</v>
      </c>
      <c r="S780" s="73">
        <f t="shared" ca="1" si="2118"/>
        <v>0.91527378518208813</v>
      </c>
      <c r="T780" s="72">
        <f ca="1">SUM(T762:T779)</f>
        <v>4147.3424169206337</v>
      </c>
      <c r="U780" s="72">
        <f t="shared" ca="1" si="2119"/>
        <v>7.2379448811878424</v>
      </c>
      <c r="V780" s="74">
        <f t="shared" ca="1" si="2120"/>
        <v>179.95636998254798</v>
      </c>
      <c r="W780" s="76"/>
      <c r="X780" s="8">
        <v>4</v>
      </c>
      <c r="Y780" s="8" t="s">
        <v>37</v>
      </c>
      <c r="Z780" s="8">
        <f t="shared" ref="Z780:AI780" si="2168">SUM(D771)</f>
        <v>30</v>
      </c>
      <c r="AA780" s="9">
        <f t="shared" ca="1" si="2168"/>
        <v>29</v>
      </c>
      <c r="AB780" s="10">
        <f t="shared" ca="1" si="2168"/>
        <v>5798.7060000000001</v>
      </c>
      <c r="AC780" s="9">
        <f t="shared" ca="1" si="2168"/>
        <v>2191</v>
      </c>
      <c r="AD780" s="9">
        <f t="shared" ca="1" si="2168"/>
        <v>53</v>
      </c>
      <c r="AE780" s="9">
        <f t="shared" ca="1" si="2168"/>
        <v>2244</v>
      </c>
      <c r="AF780" s="9">
        <f t="shared" ca="1" si="2168"/>
        <v>2940</v>
      </c>
      <c r="AG780" s="9">
        <f t="shared" ca="1" si="2168"/>
        <v>0</v>
      </c>
      <c r="AH780" s="9">
        <f t="shared" ca="1" si="2168"/>
        <v>2940</v>
      </c>
      <c r="AI780" s="9">
        <f t="shared" ca="1" si="2168"/>
        <v>5184</v>
      </c>
      <c r="AJ780" s="11">
        <f t="shared" ca="1" si="2155"/>
        <v>199.95537931034482</v>
      </c>
      <c r="AK780" s="8">
        <f t="shared" si="2164"/>
        <v>5887</v>
      </c>
      <c r="AL780" s="12">
        <f t="shared" ca="1" si="2156"/>
        <v>0.88058433837268557</v>
      </c>
      <c r="AM780" s="13">
        <f t="shared" si="2165"/>
        <v>1.5</v>
      </c>
      <c r="AN780" s="12">
        <f t="shared" ca="1" si="2157"/>
        <v>0.59599503751354177</v>
      </c>
      <c r="AO780" s="14">
        <f t="shared" ca="1" si="2158"/>
        <v>0.89399255627031271</v>
      </c>
      <c r="AP780" s="13">
        <f t="shared" ref="AP780:AQ780" ca="1" si="2169">SUM(T771)</f>
        <v>233.89424007744432</v>
      </c>
      <c r="AQ780" s="13">
        <f t="shared" ca="1" si="2169"/>
        <v>8.0653186233601488</v>
      </c>
      <c r="AR780" s="9">
        <f t="shared" ca="1" si="2160"/>
        <v>178.75862068965517</v>
      </c>
      <c r="AS780" s="76"/>
      <c r="AT780" s="76"/>
    </row>
    <row r="781" spans="1:46" ht="15.75" customHeight="1" x14ac:dyDescent="0.2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6"/>
      <c r="X781" s="8">
        <v>5</v>
      </c>
      <c r="Y781" s="8" t="s">
        <v>39</v>
      </c>
      <c r="Z781" s="8">
        <f t="shared" ref="Z781:AI781" si="2170">SUM(D772)</f>
        <v>28</v>
      </c>
      <c r="AA781" s="9">
        <f t="shared" ca="1" si="2170"/>
        <v>28</v>
      </c>
      <c r="AB781" s="10">
        <f t="shared" ca="1" si="2170"/>
        <v>5415.9520000000002</v>
      </c>
      <c r="AC781" s="9">
        <f t="shared" ca="1" si="2170"/>
        <v>1221</v>
      </c>
      <c r="AD781" s="9">
        <f t="shared" ca="1" si="2170"/>
        <v>51</v>
      </c>
      <c r="AE781" s="9">
        <f t="shared" ca="1" si="2170"/>
        <v>1272</v>
      </c>
      <c r="AF781" s="9">
        <f t="shared" ca="1" si="2170"/>
        <v>1454</v>
      </c>
      <c r="AG781" s="9">
        <f t="shared" ca="1" si="2170"/>
        <v>417</v>
      </c>
      <c r="AH781" s="9">
        <f t="shared" ca="1" si="2170"/>
        <v>1871</v>
      </c>
      <c r="AI781" s="9">
        <f t="shared" ca="1" si="2170"/>
        <v>3143</v>
      </c>
      <c r="AJ781" s="11">
        <f t="shared" ca="1" si="2155"/>
        <v>193.42685714285716</v>
      </c>
      <c r="AK781" s="8">
        <f t="shared" si="2164"/>
        <v>3569</v>
      </c>
      <c r="AL781" s="12">
        <f t="shared" ca="1" si="2156"/>
        <v>0.88063883440739699</v>
      </c>
      <c r="AM781" s="13">
        <f t="shared" si="2165"/>
        <v>1.5</v>
      </c>
      <c r="AN781" s="12">
        <f t="shared" ca="1" si="2157"/>
        <v>0.38688181382208214</v>
      </c>
      <c r="AO781" s="14">
        <f t="shared" ca="1" si="2158"/>
        <v>0.58032272073312319</v>
      </c>
      <c r="AP781" s="13">
        <f t="shared" ref="AP781:AQ781" ca="1" si="2171">SUM(T772)</f>
        <v>252.3390020034478</v>
      </c>
      <c r="AQ781" s="13">
        <f t="shared" ca="1" si="2171"/>
        <v>9.0121072144088501</v>
      </c>
      <c r="AR781" s="9">
        <f t="shared" ca="1" si="2160"/>
        <v>112.25</v>
      </c>
      <c r="AS781" s="76"/>
      <c r="AT781" s="76"/>
    </row>
    <row r="782" spans="1:46" ht="15.75" customHeight="1" x14ac:dyDescent="0.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6"/>
      <c r="X782" s="8">
        <v>6</v>
      </c>
      <c r="Y782" s="8" t="s">
        <v>41</v>
      </c>
      <c r="Z782" s="8">
        <f t="shared" ref="Z782:AI782" si="2172">SUM(D773)</f>
        <v>24</v>
      </c>
      <c r="AA782" s="9">
        <f t="shared" ca="1" si="2172"/>
        <v>24</v>
      </c>
      <c r="AB782" s="10">
        <f t="shared" ca="1" si="2172"/>
        <v>4658.18</v>
      </c>
      <c r="AC782" s="9">
        <f t="shared" ca="1" si="2172"/>
        <v>1233</v>
      </c>
      <c r="AD782" s="9">
        <f t="shared" ca="1" si="2172"/>
        <v>0</v>
      </c>
      <c r="AE782" s="9">
        <f t="shared" ca="1" si="2172"/>
        <v>1233</v>
      </c>
      <c r="AF782" s="9">
        <f t="shared" ca="1" si="2172"/>
        <v>1580</v>
      </c>
      <c r="AG782" s="9">
        <f t="shared" ca="1" si="2172"/>
        <v>263</v>
      </c>
      <c r="AH782" s="9">
        <f t="shared" ca="1" si="2172"/>
        <v>1843</v>
      </c>
      <c r="AI782" s="9">
        <f t="shared" ca="1" si="2172"/>
        <v>3076</v>
      </c>
      <c r="AJ782" s="11">
        <f t="shared" ca="1" si="2155"/>
        <v>194.09083333333334</v>
      </c>
      <c r="AK782" s="8">
        <f t="shared" si="2164"/>
        <v>3801</v>
      </c>
      <c r="AL782" s="12">
        <f t="shared" ca="1" si="2156"/>
        <v>0.80926072086293077</v>
      </c>
      <c r="AM782" s="13">
        <f t="shared" si="2165"/>
        <v>1.5</v>
      </c>
      <c r="AN782" s="12">
        <f t="shared" ca="1" si="2157"/>
        <v>0.44022915960024439</v>
      </c>
      <c r="AO782" s="14">
        <f t="shared" ca="1" si="2158"/>
        <v>0.66034373940036661</v>
      </c>
      <c r="AP782" s="13">
        <f t="shared" ref="AP782:AQ782" ca="1" si="2173">SUM(T773)</f>
        <v>157.22222222222223</v>
      </c>
      <c r="AQ782" s="13">
        <f t="shared" ca="1" si="2173"/>
        <v>6.5509259259259265</v>
      </c>
      <c r="AR782" s="9">
        <f t="shared" ca="1" si="2160"/>
        <v>128.16666666666666</v>
      </c>
      <c r="AS782" s="76"/>
      <c r="AT782" s="76"/>
    </row>
    <row r="783" spans="1:46" ht="15.75" customHeight="1" x14ac:dyDescent="0.25">
      <c r="A783" s="110" t="s">
        <v>45</v>
      </c>
      <c r="B783" s="76"/>
      <c r="C783" s="76"/>
      <c r="D783" s="75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24" t="s">
        <v>33</v>
      </c>
      <c r="Y783" s="24">
        <v>6</v>
      </c>
      <c r="Z783" s="24">
        <f t="shared" ref="Z783:AI783" si="2174">SUM(Z777:Z782)</f>
        <v>173</v>
      </c>
      <c r="AA783" s="25">
        <f t="shared" ca="1" si="2174"/>
        <v>170</v>
      </c>
      <c r="AB783" s="27">
        <f t="shared" ca="1" si="2174"/>
        <v>33073.548999999985</v>
      </c>
      <c r="AC783" s="25">
        <f t="shared" ca="1" si="2174"/>
        <v>13235</v>
      </c>
      <c r="AD783" s="25">
        <f t="shared" ca="1" si="2174"/>
        <v>144</v>
      </c>
      <c r="AE783" s="25">
        <f t="shared" ca="1" si="2174"/>
        <v>13379</v>
      </c>
      <c r="AF783" s="25">
        <f t="shared" ca="1" si="2174"/>
        <v>16837</v>
      </c>
      <c r="AG783" s="25">
        <f t="shared" ca="1" si="2174"/>
        <v>680</v>
      </c>
      <c r="AH783" s="25">
        <f t="shared" ca="1" si="2174"/>
        <v>17517</v>
      </c>
      <c r="AI783" s="25">
        <f t="shared" ca="1" si="2174"/>
        <v>30896</v>
      </c>
      <c r="AJ783" s="27">
        <f t="shared" ca="1" si="2155"/>
        <v>194.55028823529403</v>
      </c>
      <c r="AK783" s="24">
        <f>SUM(AK777:AK782)</f>
        <v>37031</v>
      </c>
      <c r="AL783" s="28">
        <f t="shared" ca="1" si="2156"/>
        <v>0.83432799546326053</v>
      </c>
      <c r="AM783" s="29">
        <v>1.5</v>
      </c>
      <c r="AN783" s="28">
        <f t="shared" ca="1" si="2157"/>
        <v>0.62277360477199906</v>
      </c>
      <c r="AO783" s="30">
        <f t="shared" ca="1" si="2158"/>
        <v>0.93416040715799853</v>
      </c>
      <c r="AP783" s="29">
        <f ca="1">SUM(AP777:AP782)</f>
        <v>1365.3221514973206</v>
      </c>
      <c r="AQ783" s="29">
        <f ca="1">AP783/AA783</f>
        <v>8.0313067735136503</v>
      </c>
      <c r="AR783" s="25">
        <f t="shared" ca="1" si="2160"/>
        <v>181.74117647058824</v>
      </c>
      <c r="AS783" s="76"/>
      <c r="AT783" s="76"/>
    </row>
    <row r="784" spans="1:46" ht="15.75" customHeight="1" x14ac:dyDescent="0.2">
      <c r="A784" s="110" t="s">
        <v>45</v>
      </c>
      <c r="B784" s="76"/>
      <c r="C784" s="76"/>
      <c r="D784" s="75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7" t="s">
        <v>1</v>
      </c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9"/>
      <c r="AS784" s="76"/>
      <c r="AT784" s="76"/>
    </row>
    <row r="785" spans="1:46" ht="15.75" customHeight="1" x14ac:dyDescent="0.2">
      <c r="A785" s="109">
        <v>46233</v>
      </c>
      <c r="B785" s="80" t="s">
        <v>2</v>
      </c>
      <c r="C785" s="80" t="s">
        <v>3</v>
      </c>
      <c r="D785" s="80" t="s">
        <v>4</v>
      </c>
      <c r="E785" s="80" t="s">
        <v>5</v>
      </c>
      <c r="F785" s="81" t="s">
        <v>6</v>
      </c>
      <c r="G785" s="80" t="s">
        <v>7</v>
      </c>
      <c r="H785" s="80" t="s">
        <v>8</v>
      </c>
      <c r="I785" s="80" t="s">
        <v>9</v>
      </c>
      <c r="J785" s="80" t="s">
        <v>10</v>
      </c>
      <c r="K785" s="80" t="s">
        <v>11</v>
      </c>
      <c r="L785" s="80" t="s">
        <v>12</v>
      </c>
      <c r="M785" s="80" t="s">
        <v>13</v>
      </c>
      <c r="N785" s="81" t="s">
        <v>14</v>
      </c>
      <c r="O785" s="80" t="s">
        <v>15</v>
      </c>
      <c r="P785" s="80" t="s">
        <v>16</v>
      </c>
      <c r="Q785" s="80" t="s">
        <v>17</v>
      </c>
      <c r="R785" s="80" t="s">
        <v>18</v>
      </c>
      <c r="S785" s="106" t="s">
        <v>19</v>
      </c>
      <c r="T785" s="107" t="s">
        <v>20</v>
      </c>
      <c r="U785" s="107" t="s">
        <v>21</v>
      </c>
      <c r="V785" s="105" t="s">
        <v>22</v>
      </c>
      <c r="W785" s="76"/>
      <c r="X785" s="1" t="s">
        <v>2</v>
      </c>
      <c r="Y785" s="1" t="s">
        <v>3</v>
      </c>
      <c r="Z785" s="1" t="s">
        <v>4</v>
      </c>
      <c r="AA785" s="1" t="s">
        <v>5</v>
      </c>
      <c r="AB785" s="2" t="s">
        <v>6</v>
      </c>
      <c r="AC785" s="1" t="s">
        <v>7</v>
      </c>
      <c r="AD785" s="1" t="s">
        <v>8</v>
      </c>
      <c r="AE785" s="1" t="s">
        <v>9</v>
      </c>
      <c r="AF785" s="1" t="s">
        <v>10</v>
      </c>
      <c r="AG785" s="1" t="s">
        <v>11</v>
      </c>
      <c r="AH785" s="1" t="s">
        <v>12</v>
      </c>
      <c r="AI785" s="1" t="s">
        <v>13</v>
      </c>
      <c r="AJ785" s="2" t="s">
        <v>14</v>
      </c>
      <c r="AK785" s="1" t="s">
        <v>15</v>
      </c>
      <c r="AL785" s="1" t="s">
        <v>16</v>
      </c>
      <c r="AM785" s="3" t="s">
        <v>17</v>
      </c>
      <c r="AN785" s="4" t="s">
        <v>18</v>
      </c>
      <c r="AO785" s="5" t="s">
        <v>19</v>
      </c>
      <c r="AP785" s="6" t="s">
        <v>20</v>
      </c>
      <c r="AQ785" s="6" t="s">
        <v>21</v>
      </c>
      <c r="AR785" s="7" t="s">
        <v>22</v>
      </c>
      <c r="AS785" s="76"/>
      <c r="AT785" s="76"/>
    </row>
    <row r="786" spans="1:46" ht="15.75" customHeight="1" x14ac:dyDescent="0.2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6"/>
      <c r="X786" s="8">
        <v>1</v>
      </c>
      <c r="Y786" s="8" t="s">
        <v>23</v>
      </c>
      <c r="Z786" s="8">
        <f t="shared" ref="Z786:AI786" si="2175">SUM(D794)</f>
        <v>35</v>
      </c>
      <c r="AA786" s="9">
        <f t="shared" ca="1" si="2175"/>
        <v>35</v>
      </c>
      <c r="AB786" s="10">
        <f t="shared" ca="1" si="2175"/>
        <v>6984.1799999999903</v>
      </c>
      <c r="AC786" s="9">
        <f t="shared" ca="1" si="2175"/>
        <v>1697</v>
      </c>
      <c r="AD786" s="9">
        <f t="shared" ca="1" si="2175"/>
        <v>20</v>
      </c>
      <c r="AE786" s="9">
        <f t="shared" ca="1" si="2175"/>
        <v>1717</v>
      </c>
      <c r="AF786" s="9">
        <f t="shared" ca="1" si="2175"/>
        <v>3294</v>
      </c>
      <c r="AG786" s="9">
        <f t="shared" ca="1" si="2175"/>
        <v>0</v>
      </c>
      <c r="AH786" s="9">
        <f t="shared" ca="1" si="2175"/>
        <v>3294</v>
      </c>
      <c r="AI786" s="9">
        <f t="shared" ca="1" si="2175"/>
        <v>5011</v>
      </c>
      <c r="AJ786" s="11">
        <f t="shared" ref="AJ786:AJ788" ca="1" si="2176">AB786/AA786</f>
        <v>199.54799999999972</v>
      </c>
      <c r="AK786" s="8">
        <f>SUM(O794)</f>
        <v>6853</v>
      </c>
      <c r="AL786" s="12">
        <f t="shared" ref="AL786:AL792" ca="1" si="2177">AI786/AK786</f>
        <v>0.73121260761710205</v>
      </c>
      <c r="AM786" s="13">
        <f t="shared" ref="AM786:AM788" si="2178">SUM(Q794)</f>
        <v>1.5</v>
      </c>
      <c r="AN786" s="12">
        <f t="shared" ref="AN786:AN792" ca="1" si="2179">AO786/AM786</f>
        <v>0.47831909639595072</v>
      </c>
      <c r="AO786" s="14">
        <f t="shared" ref="AO786:AO792" ca="1" si="2180">AI786/AB786</f>
        <v>0.71747864459392607</v>
      </c>
      <c r="AP786" s="13">
        <f t="shared" ref="AP786:AQ786" ca="1" si="2181">SUM(T794)</f>
        <v>206.99999999999969</v>
      </c>
      <c r="AQ786" s="13">
        <f t="shared" ca="1" si="2181"/>
        <v>5.9142857142857057</v>
      </c>
      <c r="AR786" s="9">
        <f t="shared" ref="AR786:AR792" ca="1" si="2182">AI786/AA786</f>
        <v>143.17142857142858</v>
      </c>
      <c r="AS786" s="76"/>
      <c r="AT786" s="76"/>
    </row>
    <row r="787" spans="1:46" ht="15.75" customHeight="1" x14ac:dyDescent="0.2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6"/>
      <c r="X787" s="8">
        <v>2</v>
      </c>
      <c r="Y787" s="8" t="s">
        <v>24</v>
      </c>
      <c r="Z787" s="8">
        <f t="shared" ref="Z787:AI787" si="2183">SUM(D795)</f>
        <v>44</v>
      </c>
      <c r="AA787" s="9">
        <f t="shared" ca="1" si="2183"/>
        <v>43</v>
      </c>
      <c r="AB787" s="10">
        <f t="shared" ca="1" si="2183"/>
        <v>8503.1839999999902</v>
      </c>
      <c r="AC787" s="9">
        <f t="shared" ca="1" si="2183"/>
        <v>1211</v>
      </c>
      <c r="AD787" s="9">
        <f t="shared" ca="1" si="2183"/>
        <v>0</v>
      </c>
      <c r="AE787" s="9">
        <f t="shared" ca="1" si="2183"/>
        <v>1211</v>
      </c>
      <c r="AF787" s="9">
        <f t="shared" ca="1" si="2183"/>
        <v>1209</v>
      </c>
      <c r="AG787" s="9">
        <f t="shared" ca="1" si="2183"/>
        <v>14</v>
      </c>
      <c r="AH787" s="9">
        <f t="shared" ca="1" si="2183"/>
        <v>1223</v>
      </c>
      <c r="AI787" s="9">
        <f t="shared" ca="1" si="2183"/>
        <v>2434</v>
      </c>
      <c r="AJ787" s="11">
        <f t="shared" ca="1" si="2176"/>
        <v>197.74846511627885</v>
      </c>
      <c r="AK787" s="8">
        <v>1580</v>
      </c>
      <c r="AL787" s="15">
        <f t="shared" ca="1" si="2177"/>
        <v>1.540506329113924</v>
      </c>
      <c r="AM787" s="13">
        <f t="shared" si="2178"/>
        <v>1.5</v>
      </c>
      <c r="AN787" s="12">
        <f t="shared" ca="1" si="2179"/>
        <v>0.19083047793234495</v>
      </c>
      <c r="AO787" s="14">
        <f t="shared" ca="1" si="2180"/>
        <v>0.28624571689851741</v>
      </c>
      <c r="AP787" s="13">
        <f t="shared" ref="AP787:AQ787" ca="1" si="2184">SUM(T795)</f>
        <v>317.22380152956504</v>
      </c>
      <c r="AQ787" s="13">
        <f t="shared" ca="1" si="2184"/>
        <v>7.3772977099898842</v>
      </c>
      <c r="AR787" s="9">
        <f t="shared" ca="1" si="2182"/>
        <v>56.604651162790695</v>
      </c>
      <c r="AS787" s="76"/>
      <c r="AT787" s="76"/>
    </row>
    <row r="788" spans="1:46" ht="15.75" customHeight="1" x14ac:dyDescent="0.2">
      <c r="A788" s="70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6"/>
      <c r="X788" s="8">
        <v>3</v>
      </c>
      <c r="Y788" s="8" t="s">
        <v>25</v>
      </c>
      <c r="Z788" s="8">
        <f t="shared" ref="Z788:AI788" si="2185">SUM(D796)</f>
        <v>32</v>
      </c>
      <c r="AA788" s="9">
        <f t="shared" ca="1" si="2185"/>
        <v>31</v>
      </c>
      <c r="AB788" s="10">
        <f t="shared" ca="1" si="2185"/>
        <v>6058.8959999999997</v>
      </c>
      <c r="AC788" s="9">
        <f t="shared" ca="1" si="2185"/>
        <v>2345</v>
      </c>
      <c r="AD788" s="9">
        <f t="shared" ca="1" si="2185"/>
        <v>526</v>
      </c>
      <c r="AE788" s="9">
        <f t="shared" ca="1" si="2185"/>
        <v>2871</v>
      </c>
      <c r="AF788" s="9">
        <f t="shared" ca="1" si="2185"/>
        <v>3448</v>
      </c>
      <c r="AG788" s="9">
        <f t="shared" ca="1" si="2185"/>
        <v>336</v>
      </c>
      <c r="AH788" s="9">
        <f t="shared" ca="1" si="2185"/>
        <v>3784</v>
      </c>
      <c r="AI788" s="9">
        <f t="shared" ca="1" si="2185"/>
        <v>6655</v>
      </c>
      <c r="AJ788" s="11">
        <f t="shared" ca="1" si="2176"/>
        <v>195.44825806451612</v>
      </c>
      <c r="AK788" s="8">
        <f>SUM(O796)</f>
        <v>6622</v>
      </c>
      <c r="AL788" s="15">
        <f t="shared" ca="1" si="2177"/>
        <v>1.0049833887043189</v>
      </c>
      <c r="AM788" s="13">
        <f t="shared" si="2178"/>
        <v>1.5</v>
      </c>
      <c r="AN788" s="12">
        <f t="shared" ca="1" si="2179"/>
        <v>0.73225661352607252</v>
      </c>
      <c r="AO788" s="14">
        <f t="shared" ca="1" si="2180"/>
        <v>1.0983849202891087</v>
      </c>
      <c r="AP788" s="13">
        <f t="shared" ref="AP788:AQ788" ca="1" si="2186">SUM(T796)</f>
        <v>254.14832214765099</v>
      </c>
      <c r="AQ788" s="13">
        <f t="shared" ca="1" si="2186"/>
        <v>8.1983329725048701</v>
      </c>
      <c r="AR788" s="9">
        <f t="shared" ca="1" si="2182"/>
        <v>214.67741935483872</v>
      </c>
      <c r="AS788" s="76"/>
      <c r="AT788" s="76"/>
    </row>
    <row r="789" spans="1:46" ht="15.75" customHeight="1" x14ac:dyDescent="0.25">
      <c r="A789" s="70"/>
      <c r="B789" s="16">
        <v>1</v>
      </c>
      <c r="C789" s="16" t="s">
        <v>26</v>
      </c>
      <c r="D789" s="17">
        <v>20</v>
      </c>
      <c r="E789" s="18">
        <f ca="1">IFERROR(__xludf.DUMMYFUNCTION("COUNT(IMPORTRANGE(""https://docs.google.com/spreadsheets/d/1z0o91thOT38lgejTE_Bd2p3v_9VCDdQRkUsMIVqpQCk/edit"",""30!d2:d21""))"),20)</f>
        <v>20</v>
      </c>
      <c r="F789" s="19">
        <f ca="1">IFERROR(__xludf.DUMMYFUNCTION("SUM(IMPORTRANGE(""https://docs.google.com/spreadsheets/d/1z0o91thOT38lgejTE_Bd2p3v_9VCDdQRkUsMIVqpQCk/edit"",""30!Q2:Q21""))"),3820.587)</f>
        <v>3820.587</v>
      </c>
      <c r="G789" s="18">
        <f ca="1">IFERROR(__xludf.DUMMYFUNCTION("IMPORTRANGE(""https://docs.google.com/spreadsheets/d/1z0o91thOT38lgejTE_Bd2p3v_9VCDdQRkUsMIVqpQCk/edit"",""30!e28"")"),2260)</f>
        <v>2260</v>
      </c>
      <c r="H789" s="18">
        <f ca="1">IFERROR(__xludf.DUMMYFUNCTION("IMPORTRANGE(""https://docs.google.com/spreadsheets/d/1z0o91thOT38lgejTE_Bd2p3v_9VCDdQRkUsMIVqpQCk/edit"",""30!e29"")"),0)</f>
        <v>0</v>
      </c>
      <c r="I789" s="18">
        <f t="shared" ref="I789:I806" ca="1" si="2187">SUM(G789:H789)</f>
        <v>2260</v>
      </c>
      <c r="J789" s="18">
        <f ca="1">IFERROR(__xludf.DUMMYFUNCTION("IMPORTRANGE(""https://docs.google.com/spreadsheets/d/1z0o91thOT38lgejTE_Bd2p3v_9VCDdQRkUsMIVqpQCk/edit"",""30!e32"")"),2463)</f>
        <v>2463</v>
      </c>
      <c r="K789" s="18">
        <f ca="1">IFERROR(__xludf.DUMMYFUNCTION("IMPORTRANGE(""https://docs.google.com/spreadsheets/d/1z0o91thOT38lgejTE_Bd2p3v_9VCDdQRkUsMIVqpQCk/edit"",""30!e33"")"),0)</f>
        <v>0</v>
      </c>
      <c r="L789" s="18">
        <f t="shared" ref="L789:L795" ca="1" si="2188">SUM(J789:K789)</f>
        <v>2463</v>
      </c>
      <c r="M789" s="18">
        <f t="shared" ref="M789:M806" ca="1" si="2189">SUM(I789+L789)</f>
        <v>4723</v>
      </c>
      <c r="N789" s="19">
        <f t="shared" ref="N789:N807" ca="1" si="2190">F789/E789</f>
        <v>191.02934999999999</v>
      </c>
      <c r="O789" s="16">
        <v>5161</v>
      </c>
      <c r="P789" s="20">
        <f t="shared" ref="P789:P807" ca="1" si="2191">M789/O789</f>
        <v>0.91513272621584962</v>
      </c>
      <c r="Q789" s="21">
        <v>1.5</v>
      </c>
      <c r="R789" s="20">
        <f t="shared" ref="R789:R807" ca="1" si="2192">S789/Q789</f>
        <v>0.82413164957810592</v>
      </c>
      <c r="S789" s="22">
        <f t="shared" ref="S789:S807" ca="1" si="2193">M789/F789</f>
        <v>1.2361974743671589</v>
      </c>
      <c r="T789" s="21">
        <f ca="1">F789/14.415</f>
        <v>265.04245577523415</v>
      </c>
      <c r="U789" s="21">
        <f t="shared" ref="U789:U807" ca="1" si="2194">T789/E789</f>
        <v>13.252122788761707</v>
      </c>
      <c r="V789" s="18">
        <f t="shared" ref="V789:V807" ca="1" si="2195">M789/E789</f>
        <v>236.15</v>
      </c>
      <c r="W789" s="76"/>
      <c r="X789" s="8">
        <v>4</v>
      </c>
      <c r="Y789" s="8" t="s">
        <v>27</v>
      </c>
      <c r="Z789" s="8">
        <f t="shared" ref="Z789:AK789" si="2196">SUM(D802)</f>
        <v>30</v>
      </c>
      <c r="AA789" s="9">
        <f t="shared" ca="1" si="2196"/>
        <v>28</v>
      </c>
      <c r="AB789" s="10">
        <f t="shared" ca="1" si="2196"/>
        <v>5291.9179999999997</v>
      </c>
      <c r="AC789" s="9">
        <f t="shared" ca="1" si="2196"/>
        <v>2756</v>
      </c>
      <c r="AD789" s="9">
        <f t="shared" ca="1" si="2196"/>
        <v>0</v>
      </c>
      <c r="AE789" s="9">
        <f t="shared" ca="1" si="2196"/>
        <v>2756</v>
      </c>
      <c r="AF789" s="9">
        <f t="shared" ca="1" si="2196"/>
        <v>3105</v>
      </c>
      <c r="AG789" s="9">
        <f t="shared" ca="1" si="2196"/>
        <v>0</v>
      </c>
      <c r="AH789" s="9">
        <f t="shared" ca="1" si="2196"/>
        <v>3105</v>
      </c>
      <c r="AI789" s="9">
        <f t="shared" ca="1" si="2196"/>
        <v>5861</v>
      </c>
      <c r="AJ789" s="11">
        <f t="shared" ca="1" si="2196"/>
        <v>188.99707142857142</v>
      </c>
      <c r="AK789" s="8">
        <f t="shared" si="2196"/>
        <v>8101</v>
      </c>
      <c r="AL789" s="12">
        <f t="shared" ca="1" si="2177"/>
        <v>0.72349092704604367</v>
      </c>
      <c r="AM789" s="13">
        <f>SUM(Q802)</f>
        <v>1.5</v>
      </c>
      <c r="AN789" s="12">
        <f t="shared" ca="1" si="2179"/>
        <v>0.73835863165932158</v>
      </c>
      <c r="AO789" s="14">
        <f t="shared" ca="1" si="2180"/>
        <v>1.1075379474889824</v>
      </c>
      <c r="AP789" s="13">
        <f t="shared" ref="AP789:AQ789" ca="1" si="2197">SUM(T802)</f>
        <v>264.79449587190391</v>
      </c>
      <c r="AQ789" s="13">
        <f t="shared" ca="1" si="2197"/>
        <v>9.4569462811394249</v>
      </c>
      <c r="AR789" s="9">
        <f t="shared" ca="1" si="2182"/>
        <v>209.32142857142858</v>
      </c>
      <c r="AS789" s="76"/>
      <c r="AT789" s="76"/>
    </row>
    <row r="790" spans="1:46" ht="15.75" customHeight="1" x14ac:dyDescent="0.25">
      <c r="A790" s="70"/>
      <c r="B790" s="16">
        <v>2</v>
      </c>
      <c r="C790" s="16" t="s">
        <v>28</v>
      </c>
      <c r="D790" s="44">
        <v>33</v>
      </c>
      <c r="E790" s="18">
        <f ca="1">IFERROR(__xludf.DUMMYFUNCTION("COUNT(IMPORTRANGE(""https://docs.google.com/spreadsheets/d/10a85iNN0y9GF6ngQfF1JXGAzFk-T7ywH4-TZtQcOTaE/edit"",""30!d2:d34""))"),33)</f>
        <v>33</v>
      </c>
      <c r="F790" s="19">
        <f ca="1">IFERROR(__xludf.DUMMYFUNCTION("SUM(IMPORTRANGE(""https://docs.google.com/spreadsheets/d/10a85iNN0y9GF6ngQfF1JXGAzFk-T7ywH4-TZtQcOTaE/edit"",""30!Q2:Q34""))"),6497.936)</f>
        <v>6497.9359999999997</v>
      </c>
      <c r="G790" s="18">
        <f ca="1">IFERROR(__xludf.DUMMYFUNCTION("IMPORTRANGE(""https://docs.google.com/spreadsheets/d/10a85iNN0y9GF6ngQfF1JXGAzFk-T7ywH4-TZtQcOTaE/edit"",""30!e41"")"),2757)</f>
        <v>2757</v>
      </c>
      <c r="H790" s="18">
        <f ca="1">IFERROR(__xludf.DUMMYFUNCTION("IMPORTRANGE(""https://docs.google.com/spreadsheets/d/10a85iNN0y9GF6ngQfF1JXGAzFk-T7ywH4-TZtQcOTaE/edit"",""30!e42"")"),192)</f>
        <v>192</v>
      </c>
      <c r="I790" s="18">
        <f t="shared" ca="1" si="2187"/>
        <v>2949</v>
      </c>
      <c r="J790" s="18">
        <f ca="1">IFERROR(__xludf.DUMMYFUNCTION("IMPORTRANGE(""https://docs.google.com/spreadsheets/d/10a85iNN0y9GF6ngQfF1JXGAzFk-T7ywH4-TZtQcOTaE/edit"",""30!e45"")"),2820)</f>
        <v>2820</v>
      </c>
      <c r="K790" s="18">
        <f ca="1">IFERROR(__xludf.DUMMYFUNCTION("IMPORTRANGE(""https://docs.google.com/spreadsheets/d/10a85iNN0y9GF6ngQfF1JXGAzFk-T7ywH4-TZtQcOTaE/edit"",""30!e46"")"),315)</f>
        <v>315</v>
      </c>
      <c r="L790" s="18">
        <f t="shared" ca="1" si="2188"/>
        <v>3135</v>
      </c>
      <c r="M790" s="18">
        <f t="shared" ca="1" si="2189"/>
        <v>6084</v>
      </c>
      <c r="N790" s="19">
        <f t="shared" ca="1" si="2190"/>
        <v>196.9071515151515</v>
      </c>
      <c r="O790" s="16">
        <v>7315</v>
      </c>
      <c r="P790" s="20">
        <f t="shared" ca="1" si="2191"/>
        <v>0.8317156527682843</v>
      </c>
      <c r="Q790" s="21">
        <v>1.5</v>
      </c>
      <c r="R790" s="20">
        <f t="shared" ca="1" si="2192"/>
        <v>0.62419820693832628</v>
      </c>
      <c r="S790" s="22">
        <f t="shared" ca="1" si="2193"/>
        <v>0.93629731040748942</v>
      </c>
      <c r="T790" s="21">
        <f ca="1">F790/30.897</f>
        <v>210.30960934718581</v>
      </c>
      <c r="U790" s="21">
        <f t="shared" ca="1" si="2194"/>
        <v>6.3730184650662371</v>
      </c>
      <c r="V790" s="18">
        <f t="shared" ca="1" si="2195"/>
        <v>184.36363636363637</v>
      </c>
      <c r="W790" s="76"/>
      <c r="X790" s="8">
        <v>5</v>
      </c>
      <c r="Y790" s="8" t="s">
        <v>29</v>
      </c>
      <c r="Z790" s="8">
        <f t="shared" ref="Z790:AI790" si="2198">SUM(D805)</f>
        <v>30</v>
      </c>
      <c r="AA790" s="9">
        <f t="shared" ca="1" si="2198"/>
        <v>30</v>
      </c>
      <c r="AB790" s="10">
        <f t="shared" ca="1" si="2198"/>
        <v>5988.74</v>
      </c>
      <c r="AC790" s="9">
        <f t="shared" ca="1" si="2198"/>
        <v>2721</v>
      </c>
      <c r="AD790" s="9">
        <f t="shared" ca="1" si="2198"/>
        <v>0</v>
      </c>
      <c r="AE790" s="9">
        <f t="shared" ca="1" si="2198"/>
        <v>2721</v>
      </c>
      <c r="AF790" s="9">
        <f t="shared" ca="1" si="2198"/>
        <v>4405</v>
      </c>
      <c r="AG790" s="9">
        <f t="shared" ca="1" si="2198"/>
        <v>0</v>
      </c>
      <c r="AH790" s="9">
        <f t="shared" ca="1" si="2198"/>
        <v>4405</v>
      </c>
      <c r="AI790" s="9">
        <f t="shared" ca="1" si="2198"/>
        <v>7126</v>
      </c>
      <c r="AJ790" s="11">
        <f t="shared" ref="AJ790:AJ792" ca="1" si="2199">AB790/AA790</f>
        <v>199.62466666666666</v>
      </c>
      <c r="AK790" s="8">
        <f t="shared" ref="AK790:AK791" si="2200">SUM(O805)</f>
        <v>9201</v>
      </c>
      <c r="AL790" s="12">
        <f t="shared" ca="1" si="2177"/>
        <v>0.77448103467014451</v>
      </c>
      <c r="AM790" s="13">
        <f t="shared" ref="AM790:AM791" si="2201">SUM(Q805)</f>
        <v>1.5</v>
      </c>
      <c r="AN790" s="12">
        <f t="shared" ca="1" si="2179"/>
        <v>0.79326647452830923</v>
      </c>
      <c r="AO790" s="14">
        <f t="shared" ca="1" si="2180"/>
        <v>1.1898997117924639</v>
      </c>
      <c r="AP790" s="13">
        <f t="shared" ref="AP790:AQ790" ca="1" si="2202">SUM(T805)</f>
        <v>230</v>
      </c>
      <c r="AQ790" s="13">
        <f t="shared" ca="1" si="2202"/>
        <v>7.666666666666667</v>
      </c>
      <c r="AR790" s="9">
        <f t="shared" ca="1" si="2182"/>
        <v>237.53333333333333</v>
      </c>
      <c r="AS790" s="76"/>
      <c r="AT790" s="76"/>
    </row>
    <row r="791" spans="1:46" ht="15.75" customHeight="1" x14ac:dyDescent="0.25">
      <c r="A791" s="70"/>
      <c r="B791" s="16">
        <v>3</v>
      </c>
      <c r="C791" s="16" t="s">
        <v>30</v>
      </c>
      <c r="D791" s="44">
        <v>60</v>
      </c>
      <c r="E791" s="18">
        <f ca="1">IFERROR(__xludf.DUMMYFUNCTION("COUNT(IMPORTRANGE(""https://docs.google.com/spreadsheets/d/1WojVzHhpzodJL1e5UDHeu3A3u5MTSZwvxHu0BrwvL9w/edit"",""30!d2:d61""))"),59)</f>
        <v>59</v>
      </c>
      <c r="F791" s="23">
        <f ca="1">IFERROR(__xludf.DUMMYFUNCTION("SUM(IMPORTRANGE(""https://docs.google.com/spreadsheets/d/1WojVzHhpzodJL1e5UDHeu3A3u5MTSZwvxHu0BrwvL9w/edit"",""30!Q2:Q61""))"),11739.6919999999)</f>
        <v>11739.691999999901</v>
      </c>
      <c r="G791" s="18">
        <f ca="1">IFERROR(__xludf.DUMMYFUNCTION("IMPORTRANGE(""https://docs.google.com/spreadsheets/d/1WojVzHhpzodJL1e5UDHeu3A3u5MTSZwvxHu0BrwvL9w/edit"",""30!e68"")"),3258)</f>
        <v>3258</v>
      </c>
      <c r="H791" s="18">
        <f ca="1">IFERROR(__xludf.DUMMYFUNCTION("IMPORTRANGE(""https://docs.google.com/spreadsheets/d/1WojVzHhpzodJL1e5UDHeu3A3u5MTSZwvxHu0BrwvL9w/edit"",""30!e69"")"),0)</f>
        <v>0</v>
      </c>
      <c r="I791" s="18">
        <f t="shared" ca="1" si="2187"/>
        <v>3258</v>
      </c>
      <c r="J791" s="18">
        <f ca="1">IFERROR(__xludf.DUMMYFUNCTION("IMPORTRANGE(""https://docs.google.com/spreadsheets/d/1WojVzHhpzodJL1e5UDHeu3A3u5MTSZwvxHu0BrwvL9w/edit"",""30!e72"")"),6172)</f>
        <v>6172</v>
      </c>
      <c r="K791" s="18">
        <f ca="1">IFERROR(__xludf.DUMMYFUNCTION("IMPORTRANGE(""https://docs.google.com/spreadsheets/d/1WojVzHhpzodJL1e5UDHeu3A3u5MTSZwvxHu0BrwvL9w/edit"",""30!e73"")"),13)</f>
        <v>13</v>
      </c>
      <c r="L791" s="18">
        <f t="shared" ca="1" si="2188"/>
        <v>6185</v>
      </c>
      <c r="M791" s="18">
        <f t="shared" ca="1" si="2189"/>
        <v>9443</v>
      </c>
      <c r="N791" s="19">
        <f t="shared" ca="1" si="2190"/>
        <v>198.97783050847289</v>
      </c>
      <c r="O791" s="16">
        <v>11164</v>
      </c>
      <c r="P791" s="20">
        <f t="shared" ca="1" si="2191"/>
        <v>0.84584378359011103</v>
      </c>
      <c r="Q791" s="21">
        <v>1.5</v>
      </c>
      <c r="R791" s="20">
        <f t="shared" ca="1" si="2192"/>
        <v>0.53624348350309248</v>
      </c>
      <c r="S791" s="22">
        <f t="shared" ca="1" si="2193"/>
        <v>0.80436522525463872</v>
      </c>
      <c r="T791" s="21">
        <f ca="1">F791/29.603</f>
        <v>396.57102320710402</v>
      </c>
      <c r="U791" s="21">
        <f t="shared" ca="1" si="2194"/>
        <v>6.7215427662221021</v>
      </c>
      <c r="V791" s="18">
        <f t="shared" ca="1" si="2195"/>
        <v>160.05084745762713</v>
      </c>
      <c r="W791" s="76"/>
      <c r="X791" s="8">
        <v>6</v>
      </c>
      <c r="Y791" s="8" t="s">
        <v>31</v>
      </c>
      <c r="Z791" s="8">
        <f t="shared" ref="Z791:AI791" si="2203">SUM(D806)</f>
        <v>15</v>
      </c>
      <c r="AA791" s="9">
        <f t="shared" ca="1" si="2203"/>
        <v>14</v>
      </c>
      <c r="AB791" s="11">
        <f t="shared" ca="1" si="2203"/>
        <v>2868.69</v>
      </c>
      <c r="AC791" s="9">
        <f t="shared" ca="1" si="2203"/>
        <v>870</v>
      </c>
      <c r="AD791" s="9">
        <f t="shared" ca="1" si="2203"/>
        <v>18</v>
      </c>
      <c r="AE791" s="9">
        <f t="shared" ca="1" si="2203"/>
        <v>888</v>
      </c>
      <c r="AF791" s="9">
        <f t="shared" ca="1" si="2203"/>
        <v>1199</v>
      </c>
      <c r="AG791" s="9">
        <f t="shared" ca="1" si="2203"/>
        <v>0</v>
      </c>
      <c r="AH791" s="9">
        <f t="shared" ca="1" si="2203"/>
        <v>1199</v>
      </c>
      <c r="AI791" s="9">
        <f t="shared" ca="1" si="2203"/>
        <v>2087</v>
      </c>
      <c r="AJ791" s="11">
        <f t="shared" ca="1" si="2199"/>
        <v>204.90642857142856</v>
      </c>
      <c r="AK791" s="8">
        <f t="shared" si="2200"/>
        <v>2717</v>
      </c>
      <c r="AL791" s="12">
        <f t="shared" ca="1" si="2177"/>
        <v>0.76812661023187334</v>
      </c>
      <c r="AM791" s="13">
        <f t="shared" si="2201"/>
        <v>1.5</v>
      </c>
      <c r="AN791" s="12">
        <f t="shared" ca="1" si="2179"/>
        <v>0.48500651284500357</v>
      </c>
      <c r="AO791" s="14">
        <f t="shared" ca="1" si="2180"/>
        <v>0.72750976926750532</v>
      </c>
      <c r="AP791" s="13">
        <f t="shared" ref="AP791:AQ791" ca="1" si="2204">SUM(T806)</f>
        <v>66</v>
      </c>
      <c r="AQ791" s="13">
        <f t="shared" ca="1" si="2204"/>
        <v>4.7142857142857144</v>
      </c>
      <c r="AR791" s="9">
        <f t="shared" ca="1" si="2182"/>
        <v>149.07142857142858</v>
      </c>
      <c r="AS791" s="76"/>
      <c r="AT791" s="76"/>
    </row>
    <row r="792" spans="1:46" ht="15.75" customHeight="1" x14ac:dyDescent="0.25">
      <c r="A792" s="70"/>
      <c r="B792" s="16">
        <v>4</v>
      </c>
      <c r="C792" s="16" t="s">
        <v>32</v>
      </c>
      <c r="D792" s="44">
        <v>42</v>
      </c>
      <c r="E792" s="18">
        <f ca="1">IFERROR(__xludf.DUMMYFUNCTION("COUNT(IMPORTRANGE(""https://docs.google.com/spreadsheets/d/1vmCj5YcMSPHj1m64syDndQ6cqVL3yolcU03Y8KHmvdc/edit"",""30!d2:d43""))"),42)</f>
        <v>42</v>
      </c>
      <c r="F792" s="23">
        <f ca="1">IFERROR(__xludf.DUMMYFUNCTION("SUM(IMPORTRANGE(""https://docs.google.com/spreadsheets/d/1vmCj5YcMSPHj1m64syDndQ6cqVL3yolcU03Y8KHmvdc/edit"",""30!Q2:Q43""))"),8167.54399999999)</f>
        <v>8167.5439999999899</v>
      </c>
      <c r="G792" s="16">
        <f ca="1">IFERROR(__xludf.DUMMYFUNCTION("IMPORTRANGE(""https://docs.google.com/spreadsheets/d/1vmCj5YcMSPHj1m64syDndQ6cqVL3yolcU03Y8KHmvdc/edit"",""30!e50"")"),4855)</f>
        <v>4855</v>
      </c>
      <c r="H792" s="16">
        <f ca="1">IFERROR(__xludf.DUMMYFUNCTION("IMPORTRANGE(""https://docs.google.com/spreadsheets/d/1vmCj5YcMSPHj1m64syDndQ6cqVL3yolcU03Y8KHmvdc/edit"",""30!e51"")"),0)</f>
        <v>0</v>
      </c>
      <c r="I792" s="18">
        <f t="shared" ca="1" si="2187"/>
        <v>4855</v>
      </c>
      <c r="J792" s="16">
        <f ca="1">IFERROR(__xludf.DUMMYFUNCTION("IMPORTRANGE(""https://docs.google.com/spreadsheets/d/1vmCj5YcMSPHj1m64syDndQ6cqVL3yolcU03Y8KHmvdc/edit"",""30!e54"")"),5953)</f>
        <v>5953</v>
      </c>
      <c r="K792" s="16">
        <f ca="1">IFERROR(__xludf.DUMMYFUNCTION("IMPORTRANGE(""https://docs.google.com/spreadsheets/d/1vmCj5YcMSPHj1m64syDndQ6cqVL3yolcU03Y8KHmvdc/edit"",""30!e55"")"),0)</f>
        <v>0</v>
      </c>
      <c r="L792" s="18">
        <f t="shared" ca="1" si="2188"/>
        <v>5953</v>
      </c>
      <c r="M792" s="18">
        <f t="shared" ca="1" si="2189"/>
        <v>10808</v>
      </c>
      <c r="N792" s="19">
        <f t="shared" ca="1" si="2190"/>
        <v>194.46533333333309</v>
      </c>
      <c r="O792" s="16">
        <v>13817</v>
      </c>
      <c r="P792" s="20">
        <f t="shared" ca="1" si="2191"/>
        <v>0.78222479554172397</v>
      </c>
      <c r="Q792" s="21">
        <v>1.5</v>
      </c>
      <c r="R792" s="20">
        <f t="shared" ca="1" si="2192"/>
        <v>0.88219094177311341</v>
      </c>
      <c r="S792" s="22">
        <f t="shared" ca="1" si="2193"/>
        <v>1.3232864126596702</v>
      </c>
      <c r="T792" s="21">
        <f ca="1">F792/25.089</f>
        <v>325.54282753397865</v>
      </c>
      <c r="U792" s="21">
        <f t="shared" ca="1" si="2194"/>
        <v>7.7510197031899679</v>
      </c>
      <c r="V792" s="18">
        <f t="shared" ca="1" si="2195"/>
        <v>257.33333333333331</v>
      </c>
      <c r="W792" s="76"/>
      <c r="X792" s="24" t="s">
        <v>33</v>
      </c>
      <c r="Y792" s="24">
        <v>6</v>
      </c>
      <c r="Z792" s="24">
        <f t="shared" ref="Z792:AI792" si="2205">SUM(Z786:Z791)</f>
        <v>186</v>
      </c>
      <c r="AA792" s="25">
        <f t="shared" ca="1" si="2205"/>
        <v>181</v>
      </c>
      <c r="AB792" s="26">
        <f t="shared" ca="1" si="2205"/>
        <v>35695.607999999978</v>
      </c>
      <c r="AC792" s="25">
        <f t="shared" ca="1" si="2205"/>
        <v>11600</v>
      </c>
      <c r="AD792" s="25">
        <f t="shared" ca="1" si="2205"/>
        <v>564</v>
      </c>
      <c r="AE792" s="25">
        <f t="shared" ca="1" si="2205"/>
        <v>12164</v>
      </c>
      <c r="AF792" s="25">
        <f t="shared" ca="1" si="2205"/>
        <v>16660</v>
      </c>
      <c r="AG792" s="25">
        <f t="shared" ca="1" si="2205"/>
        <v>350</v>
      </c>
      <c r="AH792" s="25">
        <f t="shared" ca="1" si="2205"/>
        <v>17010</v>
      </c>
      <c r="AI792" s="25">
        <f t="shared" ca="1" si="2205"/>
        <v>29174</v>
      </c>
      <c r="AJ792" s="27">
        <f t="shared" ca="1" si="2199"/>
        <v>197.2133038674032</v>
      </c>
      <c r="AK792" s="24">
        <f>SUM(AK786:AK791)</f>
        <v>35074</v>
      </c>
      <c r="AL792" s="28">
        <f t="shared" ca="1" si="2177"/>
        <v>0.83178422763300452</v>
      </c>
      <c r="AM792" s="29">
        <v>1.5</v>
      </c>
      <c r="AN792" s="28">
        <f t="shared" ca="1" si="2179"/>
        <v>0.54486628532376713</v>
      </c>
      <c r="AO792" s="30">
        <f t="shared" ca="1" si="2180"/>
        <v>0.81729942798565069</v>
      </c>
      <c r="AP792" s="29">
        <f ca="1">SUM(AP786:AP791)</f>
        <v>1339.1666195491198</v>
      </c>
      <c r="AQ792" s="29">
        <f ca="1">AP792/AA792</f>
        <v>7.3987106052437559</v>
      </c>
      <c r="AR792" s="25">
        <f t="shared" ca="1" si="2182"/>
        <v>161.18232044198896</v>
      </c>
      <c r="AS792" s="76"/>
      <c r="AT792" s="76"/>
    </row>
    <row r="793" spans="1:46" ht="15.75" customHeight="1" x14ac:dyDescent="0.25">
      <c r="A793" s="70"/>
      <c r="B793" s="16">
        <v>5</v>
      </c>
      <c r="C793" s="16" t="s">
        <v>34</v>
      </c>
      <c r="D793" s="44">
        <v>40</v>
      </c>
      <c r="E793" s="18">
        <f ca="1">IFERROR(__xludf.DUMMYFUNCTION("COUNT(IMPORTRANGE(""https://docs.google.com/spreadsheets/d/14_Y-fpuq1wcec3DlT_1PBYekOC0YblQMrWVfO12YO3k/edit"",""30!d2:d41""))"),38)</f>
        <v>38</v>
      </c>
      <c r="F793" s="23">
        <f ca="1">IFERROR(__xludf.DUMMYFUNCTION("SUM(IMPORTRANGE(""https://docs.google.com/spreadsheets/d/14_Y-fpuq1wcec3DlT_1PBYekOC0YblQMrWVfO12YO3k/edit"",""30!Q2:Q41""))"),7540.302)</f>
        <v>7540.3019999999997</v>
      </c>
      <c r="G793" s="18">
        <f ca="1">IFERROR(__xludf.DUMMYFUNCTION("IMPORTRANGE(""https://docs.google.com/spreadsheets/d/14_Y-fpuq1wcec3DlT_1PBYekOC0YblQMrWVfO12YO3k/edit"",""30!e48"")"),2969)</f>
        <v>2969</v>
      </c>
      <c r="H793" s="18">
        <f ca="1">IFERROR(__xludf.DUMMYFUNCTION("IMPORTRANGE(""https://docs.google.com/spreadsheets/d/14_Y-fpuq1wcec3DlT_1PBYekOC0YblQMrWVfO12YO3k/edit"",""30!e49"")"),0)</f>
        <v>0</v>
      </c>
      <c r="I793" s="18">
        <f t="shared" ca="1" si="2187"/>
        <v>2969</v>
      </c>
      <c r="J793" s="18">
        <f ca="1">IFERROR(__xludf.DUMMYFUNCTION("IMPORTRANGE(""https://docs.google.com/spreadsheets/d/14_Y-fpuq1wcec3DlT_1PBYekOC0YblQMrWVfO12YO3k/edit"",""30!e52"")"),2961)</f>
        <v>2961</v>
      </c>
      <c r="K793" s="18">
        <f ca="1">IFERROR(__xludf.DUMMYFUNCTION("IMPORTRANGE(""https://docs.google.com/spreadsheets/d/14_Y-fpuq1wcec3DlT_1PBYekOC0YblQMrWVfO12YO3k/edit"",""30!e53"")"),138)</f>
        <v>138</v>
      </c>
      <c r="L793" s="18">
        <f t="shared" ca="1" si="2188"/>
        <v>3099</v>
      </c>
      <c r="M793" s="18">
        <f t="shared" ca="1" si="2189"/>
        <v>6068</v>
      </c>
      <c r="N793" s="19">
        <f t="shared" ca="1" si="2190"/>
        <v>198.429</v>
      </c>
      <c r="O793" s="16">
        <v>9354</v>
      </c>
      <c r="P793" s="20">
        <f t="shared" ca="1" si="2191"/>
        <v>0.648706435749412</v>
      </c>
      <c r="Q793" s="21">
        <v>1.5</v>
      </c>
      <c r="R793" s="20">
        <f t="shared" ca="1" si="2192"/>
        <v>0.5364948689499881</v>
      </c>
      <c r="S793" s="22">
        <f t="shared" ca="1" si="2193"/>
        <v>0.80474230342498221</v>
      </c>
      <c r="T793" s="21">
        <f ca="1">F793/30.713</f>
        <v>245.50848175039883</v>
      </c>
      <c r="U793" s="21">
        <f t="shared" ca="1" si="2194"/>
        <v>6.4607495197473375</v>
      </c>
      <c r="V793" s="18">
        <f t="shared" ca="1" si="2195"/>
        <v>159.68421052631578</v>
      </c>
      <c r="W793" s="76"/>
      <c r="X793" s="100" t="s">
        <v>35</v>
      </c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9"/>
      <c r="AS793" s="76"/>
      <c r="AT793" s="76"/>
    </row>
    <row r="794" spans="1:46" ht="15.75" customHeight="1" x14ac:dyDescent="0.25">
      <c r="A794" s="70"/>
      <c r="B794" s="16">
        <v>6</v>
      </c>
      <c r="C794" s="16" t="s">
        <v>23</v>
      </c>
      <c r="D794" s="44">
        <v>35</v>
      </c>
      <c r="E794" s="18">
        <f ca="1">IFERROR(__xludf.DUMMYFUNCTION("COUNT(IMPORTRANGE(""https://docs.google.com/spreadsheets/d/1lJqjdj05V4LOXuBOiTdE65GV4ZITyx1cMLcDdcuoUnE/edit"",""30!d2:d36""))"),35)</f>
        <v>35</v>
      </c>
      <c r="F794" s="23">
        <f ca="1">IFERROR(__xludf.DUMMYFUNCTION("SUM(IMPORTRANGE(""https://docs.google.com/spreadsheets/d/1lJqjdj05V4LOXuBOiTdE65GV4ZITyx1cMLcDdcuoUnE/edit"",""30!Q2:Q36""))"),6984.17999999999)</f>
        <v>6984.1799999999903</v>
      </c>
      <c r="G794" s="18">
        <f ca="1">IFERROR(__xludf.DUMMYFUNCTION("IMPORTRANGE(""https://docs.google.com/spreadsheets/d/1lJqjdj05V4LOXuBOiTdE65GV4ZITyx1cMLcDdcuoUnE/edit"",""30!e43"")"),1697)</f>
        <v>1697</v>
      </c>
      <c r="H794" s="18">
        <f ca="1">IFERROR(__xludf.DUMMYFUNCTION("IMPORTRANGE(""https://docs.google.com/spreadsheets/d/1lJqjdj05V4LOXuBOiTdE65GV4ZITyx1cMLcDdcuoUnE/edit"",""30!e44"")"),20)</f>
        <v>20</v>
      </c>
      <c r="I794" s="18">
        <f t="shared" ca="1" si="2187"/>
        <v>1717</v>
      </c>
      <c r="J794" s="18">
        <f ca="1">IFERROR(__xludf.DUMMYFUNCTION("IMPORTRANGE(""https://docs.google.com/spreadsheets/d/1lJqjdj05V4LOXuBOiTdE65GV4ZITyx1cMLcDdcuoUnE/edit"",""30!e47"")"),3294)</f>
        <v>3294</v>
      </c>
      <c r="K794" s="18">
        <f ca="1">IFERROR(__xludf.DUMMYFUNCTION("IMPORTRANGE(""https://docs.google.com/spreadsheets/d/1lJqjdj05V4LOXuBOiTdE65GV4ZITyx1cMLcDdcuoUnE/edit"",""30!e48"")"),0)</f>
        <v>0</v>
      </c>
      <c r="L794" s="18">
        <f t="shared" ca="1" si="2188"/>
        <v>3294</v>
      </c>
      <c r="M794" s="18">
        <f t="shared" ca="1" si="2189"/>
        <v>5011</v>
      </c>
      <c r="N794" s="19">
        <f t="shared" ca="1" si="2190"/>
        <v>199.54799999999972</v>
      </c>
      <c r="O794" s="16">
        <v>6853</v>
      </c>
      <c r="P794" s="20">
        <f t="shared" ca="1" si="2191"/>
        <v>0.73121260761710205</v>
      </c>
      <c r="Q794" s="21">
        <v>1.5</v>
      </c>
      <c r="R794" s="20">
        <f t="shared" ca="1" si="2192"/>
        <v>0.47831909639595072</v>
      </c>
      <c r="S794" s="22">
        <f t="shared" ca="1" si="2193"/>
        <v>0.71747864459392607</v>
      </c>
      <c r="T794" s="21">
        <f ca="1">F794/33.74</f>
        <v>206.99999999999969</v>
      </c>
      <c r="U794" s="21">
        <f t="shared" ca="1" si="2194"/>
        <v>5.9142857142857057</v>
      </c>
      <c r="V794" s="18">
        <f t="shared" ca="1" si="2195"/>
        <v>143.17142857142858</v>
      </c>
      <c r="W794" s="76"/>
      <c r="X794" s="1" t="s">
        <v>2</v>
      </c>
      <c r="Y794" s="1" t="s">
        <v>3</v>
      </c>
      <c r="Z794" s="1" t="s">
        <v>4</v>
      </c>
      <c r="AA794" s="1" t="s">
        <v>5</v>
      </c>
      <c r="AB794" s="2" t="s">
        <v>6</v>
      </c>
      <c r="AC794" s="1" t="s">
        <v>7</v>
      </c>
      <c r="AD794" s="1" t="s">
        <v>8</v>
      </c>
      <c r="AE794" s="1" t="s">
        <v>9</v>
      </c>
      <c r="AF794" s="1" t="s">
        <v>10</v>
      </c>
      <c r="AG794" s="1" t="s">
        <v>11</v>
      </c>
      <c r="AH794" s="1" t="s">
        <v>12</v>
      </c>
      <c r="AI794" s="1" t="s">
        <v>13</v>
      </c>
      <c r="AJ794" s="2" t="s">
        <v>14</v>
      </c>
      <c r="AK794" s="1" t="s">
        <v>15</v>
      </c>
      <c r="AL794" s="1" t="s">
        <v>16</v>
      </c>
      <c r="AM794" s="3" t="s">
        <v>17</v>
      </c>
      <c r="AN794" s="4" t="s">
        <v>18</v>
      </c>
      <c r="AO794" s="5" t="s">
        <v>19</v>
      </c>
      <c r="AP794" s="6" t="s">
        <v>20</v>
      </c>
      <c r="AQ794" s="6" t="s">
        <v>21</v>
      </c>
      <c r="AR794" s="7" t="s">
        <v>22</v>
      </c>
      <c r="AS794" s="76"/>
      <c r="AT794" s="76"/>
    </row>
    <row r="795" spans="1:46" ht="15.75" customHeight="1" x14ac:dyDescent="0.25">
      <c r="A795" s="70"/>
      <c r="B795" s="16">
        <v>7</v>
      </c>
      <c r="C795" s="16" t="s">
        <v>24</v>
      </c>
      <c r="D795" s="44">
        <v>44</v>
      </c>
      <c r="E795" s="31">
        <f ca="1">IFERROR(__xludf.DUMMYFUNCTION("COUNT(IMPORTRANGE(""https://docs.google.com/spreadsheets/d/1_7EEO26q9Yq-XhNFiy7I6Zh4Yg6uGjTs9y0UqNvPKcQ/edit"",""30!d2:d45""))"),43)</f>
        <v>43</v>
      </c>
      <c r="F795" s="32">
        <f ca="1">IFERROR(__xludf.DUMMYFUNCTION("SUM(IMPORTRANGE(""https://docs.google.com/spreadsheets/d/1_7EEO26q9Yq-XhNFiy7I6Zh4Yg6uGjTs9y0UqNvPKcQ/edit"",""30!Q2:Q45""))"),8503.18399999999)</f>
        <v>8503.1839999999902</v>
      </c>
      <c r="G795" s="31">
        <f ca="1">IFERROR(__xludf.DUMMYFUNCTION("IMPORTRANGE(""https://docs.google.com/spreadsheets/d/1_7EEO26q9Yq-XhNFiy7I6Zh4Yg6uGjTs9y0UqNvPKcQ/edit"",""30!e53"")"),1211)</f>
        <v>1211</v>
      </c>
      <c r="H795" s="31">
        <f ca="1">IFERROR(__xludf.DUMMYFUNCTION("IMPORTRANGE(""https://docs.google.com/spreadsheets/d/1_7EEO26q9Yq-XhNFiy7I6Zh4Yg6uGjTs9y0UqNvPKcQ/edit"",""30!e54"")"),0)</f>
        <v>0</v>
      </c>
      <c r="I795" s="31">
        <f t="shared" ca="1" si="2187"/>
        <v>1211</v>
      </c>
      <c r="J795" s="31">
        <f ca="1">IFERROR(__xludf.DUMMYFUNCTION("IMPORTRANGE(""https://docs.google.com/spreadsheets/d/1_7EEO26q9Yq-XhNFiy7I6Zh4Yg6uGjTs9y0UqNvPKcQ/edit"",""30!e57"")"),1209)</f>
        <v>1209</v>
      </c>
      <c r="K795" s="31">
        <f ca="1">IFERROR(__xludf.DUMMYFUNCTION("IMPORTRANGE(""https://docs.google.com/spreadsheets/d/1_7EEO26q9Yq-XhNFiy7I6Zh4Yg6uGjTs9y0UqNvPKcQ/edit"",""30!e58"")"),14)</f>
        <v>14</v>
      </c>
      <c r="L795" s="18">
        <f t="shared" ca="1" si="2188"/>
        <v>1223</v>
      </c>
      <c r="M795" s="18">
        <f t="shared" ca="1" si="2189"/>
        <v>2434</v>
      </c>
      <c r="N795" s="19">
        <f t="shared" ca="1" si="2190"/>
        <v>197.74846511627885</v>
      </c>
      <c r="O795" s="16">
        <v>1580</v>
      </c>
      <c r="P795" s="33">
        <f t="shared" ca="1" si="2191"/>
        <v>1.540506329113924</v>
      </c>
      <c r="Q795" s="21">
        <v>1.5</v>
      </c>
      <c r="R795" s="20">
        <f t="shared" ca="1" si="2192"/>
        <v>0.19083047793234495</v>
      </c>
      <c r="S795" s="22">
        <f t="shared" ca="1" si="2193"/>
        <v>0.28624571689851741</v>
      </c>
      <c r="T795" s="21">
        <f ca="1">F795/26.805</f>
        <v>317.22380152956504</v>
      </c>
      <c r="U795" s="21">
        <f t="shared" ca="1" si="2194"/>
        <v>7.3772977099898842</v>
      </c>
      <c r="V795" s="18">
        <f t="shared" ca="1" si="2195"/>
        <v>56.604651162790695</v>
      </c>
      <c r="W795" s="76"/>
      <c r="X795" s="8">
        <v>1</v>
      </c>
      <c r="Y795" s="8" t="s">
        <v>28</v>
      </c>
      <c r="Z795" s="8">
        <f t="shared" ref="Z795:AI795" si="2206">SUM(D790)</f>
        <v>33</v>
      </c>
      <c r="AA795" s="9">
        <f t="shared" ca="1" si="2206"/>
        <v>33</v>
      </c>
      <c r="AB795" s="11">
        <f t="shared" ca="1" si="2206"/>
        <v>6497.9359999999997</v>
      </c>
      <c r="AC795" s="9">
        <f t="shared" ca="1" si="2206"/>
        <v>2757</v>
      </c>
      <c r="AD795" s="9">
        <f t="shared" ca="1" si="2206"/>
        <v>192</v>
      </c>
      <c r="AE795" s="9">
        <f t="shared" ca="1" si="2206"/>
        <v>2949</v>
      </c>
      <c r="AF795" s="9">
        <f t="shared" ca="1" si="2206"/>
        <v>2820</v>
      </c>
      <c r="AG795" s="9">
        <f t="shared" ca="1" si="2206"/>
        <v>315</v>
      </c>
      <c r="AH795" s="9">
        <f t="shared" ca="1" si="2206"/>
        <v>3135</v>
      </c>
      <c r="AI795" s="9">
        <f t="shared" ca="1" si="2206"/>
        <v>6084</v>
      </c>
      <c r="AJ795" s="11">
        <f t="shared" ref="AJ795:AJ801" ca="1" si="2207">AB795/AA795</f>
        <v>196.9071515151515</v>
      </c>
      <c r="AK795" s="8">
        <f t="shared" ref="AK795:AK796" si="2208">SUM(O790)</f>
        <v>7315</v>
      </c>
      <c r="AL795" s="12">
        <f t="shared" ref="AL795:AL801" ca="1" si="2209">AI795/AK795</f>
        <v>0.8317156527682843</v>
      </c>
      <c r="AM795" s="13">
        <f t="shared" ref="AM795:AM796" si="2210">SUM(Q790)</f>
        <v>1.5</v>
      </c>
      <c r="AN795" s="12">
        <f t="shared" ref="AN795:AN801" ca="1" si="2211">AO795/AM795</f>
        <v>0.62419820693832628</v>
      </c>
      <c r="AO795" s="14">
        <f t="shared" ref="AO795:AO801" ca="1" si="2212">AI795/AB795</f>
        <v>0.93629731040748942</v>
      </c>
      <c r="AP795" s="13">
        <f t="shared" ref="AP795:AQ795" ca="1" si="2213">SUM(T790)</f>
        <v>210.30960934718581</v>
      </c>
      <c r="AQ795" s="13">
        <f t="shared" ca="1" si="2213"/>
        <v>6.3730184650662371</v>
      </c>
      <c r="AR795" s="9">
        <f t="shared" ref="AR795:AR801" ca="1" si="2214">AI795/AA795</f>
        <v>184.36363636363637</v>
      </c>
      <c r="AS795" s="76"/>
      <c r="AT795" s="76"/>
    </row>
    <row r="796" spans="1:46" ht="15.75" customHeight="1" x14ac:dyDescent="0.25">
      <c r="A796" s="70"/>
      <c r="B796" s="16">
        <v>8</v>
      </c>
      <c r="C796" s="16" t="s">
        <v>25</v>
      </c>
      <c r="D796" s="45">
        <v>32</v>
      </c>
      <c r="E796" s="18">
        <f ca="1">IFERROR(__xludf.DUMMYFUNCTION("COUNT(IMPORTRANGE(""https://docs.google.com/spreadsheets/d/1vLOLpiE-XsbnCnwWPcoi87PlUSXfqIAAQn3kvqHfO6s/edit"",""30!d2:D33""))"),31)</f>
        <v>31</v>
      </c>
      <c r="F796" s="23">
        <f ca="1">IFERROR(__xludf.DUMMYFUNCTION("SUM(IMPORTRANGE(""https://docs.google.com/spreadsheets/d/1vLOLpiE-XsbnCnwWPcoi87PlUSXfqIAAQn3kvqHfO6s/edit"",""30!Q2:Q33""))"),6058.896)</f>
        <v>6058.8959999999997</v>
      </c>
      <c r="G796" s="18">
        <f ca="1">IFERROR(__xludf.DUMMYFUNCTION("IMPORTRANGE(""https://docs.google.com/spreadsheets/d/1vLOLpiE-XsbnCnwWPcoi87PlUSXfqIAAQn3kvqHfO6s/edit"",""30!e40"")"),2345)</f>
        <v>2345</v>
      </c>
      <c r="H796" s="18">
        <f ca="1">IFERROR(__xludf.DUMMYFUNCTION("IMPORTRANGE(""https://docs.google.com/spreadsheets/d/1vLOLpiE-XsbnCnwWPcoi87PlUSXfqIAAQn3kvqHfO6s/edit"",""30!e41"")"),526)</f>
        <v>526</v>
      </c>
      <c r="I796" s="18">
        <f t="shared" ca="1" si="2187"/>
        <v>2871</v>
      </c>
      <c r="J796" s="18">
        <f ca="1">IFERROR(__xludf.DUMMYFUNCTION("IMPORTRANGE(""https://docs.google.com/spreadsheets/d/1vLOLpiE-XsbnCnwWPcoi87PlUSXfqIAAQn3kvqHfO6s/edit"",""30!e44"")"),3448)</f>
        <v>3448</v>
      </c>
      <c r="K796" s="18">
        <f ca="1">IFERROR(__xludf.DUMMYFUNCTION("IMPORTRANGE(""https://docs.google.com/spreadsheets/d/1vLOLpiE-XsbnCnwWPcoi87PlUSXfqIAAQn3kvqHfO6s/edit"",""30!e45"")"),336)</f>
        <v>336</v>
      </c>
      <c r="L796" s="18">
        <f ca="1">J796+K796</f>
        <v>3784</v>
      </c>
      <c r="M796" s="18">
        <f t="shared" ca="1" si="2189"/>
        <v>6655</v>
      </c>
      <c r="N796" s="19">
        <f t="shared" ca="1" si="2190"/>
        <v>195.44825806451612</v>
      </c>
      <c r="O796" s="16">
        <v>6622</v>
      </c>
      <c r="P796" s="33">
        <f t="shared" ca="1" si="2191"/>
        <v>1.0049833887043189</v>
      </c>
      <c r="Q796" s="21">
        <v>1.5</v>
      </c>
      <c r="R796" s="20">
        <f t="shared" ca="1" si="2192"/>
        <v>0.73225661352607252</v>
      </c>
      <c r="S796" s="22">
        <f t="shared" ca="1" si="2193"/>
        <v>1.0983849202891087</v>
      </c>
      <c r="T796" s="21">
        <f ca="1">F796/23.84</f>
        <v>254.14832214765099</v>
      </c>
      <c r="U796" s="21">
        <f t="shared" ca="1" si="2194"/>
        <v>8.1983329725048701</v>
      </c>
      <c r="V796" s="18">
        <f t="shared" ca="1" si="2195"/>
        <v>214.67741935483872</v>
      </c>
      <c r="W796" s="76"/>
      <c r="X796" s="8">
        <v>2</v>
      </c>
      <c r="Y796" s="8" t="s">
        <v>30</v>
      </c>
      <c r="Z796" s="8">
        <f t="shared" ref="Z796:AI796" si="2215">SUM(D791)</f>
        <v>60</v>
      </c>
      <c r="AA796" s="9">
        <f t="shared" ca="1" si="2215"/>
        <v>59</v>
      </c>
      <c r="AB796" s="10">
        <f t="shared" ca="1" si="2215"/>
        <v>11739.691999999901</v>
      </c>
      <c r="AC796" s="9">
        <f t="shared" ca="1" si="2215"/>
        <v>3258</v>
      </c>
      <c r="AD796" s="9">
        <f t="shared" ca="1" si="2215"/>
        <v>0</v>
      </c>
      <c r="AE796" s="9">
        <f t="shared" ca="1" si="2215"/>
        <v>3258</v>
      </c>
      <c r="AF796" s="9">
        <f t="shared" ca="1" si="2215"/>
        <v>6172</v>
      </c>
      <c r="AG796" s="9">
        <f t="shared" ca="1" si="2215"/>
        <v>13</v>
      </c>
      <c r="AH796" s="9">
        <f t="shared" ca="1" si="2215"/>
        <v>6185</v>
      </c>
      <c r="AI796" s="9">
        <f t="shared" ca="1" si="2215"/>
        <v>9443</v>
      </c>
      <c r="AJ796" s="11">
        <f t="shared" ca="1" si="2207"/>
        <v>198.97783050847289</v>
      </c>
      <c r="AK796" s="8">
        <f t="shared" si="2208"/>
        <v>11164</v>
      </c>
      <c r="AL796" s="12">
        <f t="shared" ca="1" si="2209"/>
        <v>0.84584378359011103</v>
      </c>
      <c r="AM796" s="13">
        <f t="shared" si="2210"/>
        <v>1.5</v>
      </c>
      <c r="AN796" s="12">
        <f t="shared" ca="1" si="2211"/>
        <v>0.53624348350309248</v>
      </c>
      <c r="AO796" s="14">
        <f t="shared" ca="1" si="2212"/>
        <v>0.80436522525463872</v>
      </c>
      <c r="AP796" s="13">
        <f t="shared" ref="AP796:AQ796" ca="1" si="2216">SUM(T791)</f>
        <v>396.57102320710402</v>
      </c>
      <c r="AQ796" s="13">
        <f t="shared" ca="1" si="2216"/>
        <v>6.7215427662221021</v>
      </c>
      <c r="AR796" s="9">
        <f t="shared" ca="1" si="2214"/>
        <v>160.05084745762713</v>
      </c>
      <c r="AS796" s="76"/>
      <c r="AT796" s="76"/>
    </row>
    <row r="797" spans="1:46" ht="15.75" customHeight="1" x14ac:dyDescent="0.25">
      <c r="A797" s="70"/>
      <c r="B797" s="16">
        <v>9</v>
      </c>
      <c r="C797" s="16" t="s">
        <v>36</v>
      </c>
      <c r="D797" s="45">
        <v>29</v>
      </c>
      <c r="E797" s="18">
        <f ca="1">IFERROR(__xludf.DUMMYFUNCTION("COUNT(IMPORTRANGE(""https://docs.google.com/spreadsheets/d/1WJJVq25XDtGjt-J2JPxeKs3jIvDZtkIREC0lFPXwf74/edit"",""30!d2:d31""))"),28)</f>
        <v>28</v>
      </c>
      <c r="F797" s="23">
        <f ca="1">IFERROR(__xludf.DUMMYFUNCTION("SUM(IMPORTRANGE(""https://docs.google.com/spreadsheets/d/1WJJVq25XDtGjt-J2JPxeKs3jIvDZtkIREC0lFPXwf74/edit"",""30!Q2:Q31""))"),5548.797)</f>
        <v>5548.7969999999996</v>
      </c>
      <c r="G797" s="18">
        <f ca="1">IFERROR(__xludf.DUMMYFUNCTION("IMPORTRANGE(""https://docs.google.com/spreadsheets/d/1WJJVq25XDtGjt-J2JPxeKs3jIvDZtkIREC0lFPXwf74/edit"",""30!e38"")"),1569)</f>
        <v>1569</v>
      </c>
      <c r="H797" s="18">
        <f ca="1">IFERROR(__xludf.DUMMYFUNCTION("IMPORTRANGE(""https://docs.google.com/spreadsheets/d/1WJJVq25XDtGjt-J2JPxeKs3jIvDZtkIREC0lFPXwf74/edit"",""30!e39"")"),0)</f>
        <v>0</v>
      </c>
      <c r="I797" s="18">
        <f t="shared" ca="1" si="2187"/>
        <v>1569</v>
      </c>
      <c r="J797" s="18">
        <f ca="1">IFERROR(__xludf.DUMMYFUNCTION("IMPORTRANGE(""https://docs.google.com/spreadsheets/d/1WJJVq25XDtGjt-J2JPxeKs3jIvDZtkIREC0lFPXwf74/edit"",""30!e42"")"),2231)</f>
        <v>2231</v>
      </c>
      <c r="K797" s="18">
        <f ca="1">IFERROR(__xludf.DUMMYFUNCTION("IMPORTRANGE(""https://docs.google.com/spreadsheets/d/1WJJVq25XDtGjt-J2JPxeKs3jIvDZtkIREC0lFPXwf74/edit"",""30!e43"")"),0)</f>
        <v>0</v>
      </c>
      <c r="L797" s="18">
        <f t="shared" ref="L797:L806" ca="1" si="2217">SUM(J797:K797)</f>
        <v>2231</v>
      </c>
      <c r="M797" s="18">
        <f t="shared" ca="1" si="2189"/>
        <v>3800</v>
      </c>
      <c r="N797" s="19">
        <f t="shared" ca="1" si="2190"/>
        <v>198.17132142857142</v>
      </c>
      <c r="O797" s="16">
        <v>4796</v>
      </c>
      <c r="P797" s="20">
        <f t="shared" ca="1" si="2191"/>
        <v>0.79232693911593</v>
      </c>
      <c r="Q797" s="21">
        <v>1.5</v>
      </c>
      <c r="R797" s="20">
        <f t="shared" ca="1" si="2192"/>
        <v>0.45655541792812632</v>
      </c>
      <c r="S797" s="22">
        <f t="shared" ca="1" si="2193"/>
        <v>0.68483312689218945</v>
      </c>
      <c r="T797" s="21">
        <f ca="1">F797/37.414</f>
        <v>148.30803977120863</v>
      </c>
      <c r="U797" s="21">
        <f t="shared" ca="1" si="2194"/>
        <v>5.2967157061145942</v>
      </c>
      <c r="V797" s="18">
        <f t="shared" ca="1" si="2195"/>
        <v>135.71428571428572</v>
      </c>
      <c r="W797" s="76"/>
      <c r="X797" s="8">
        <v>3</v>
      </c>
      <c r="Y797" s="8" t="s">
        <v>34</v>
      </c>
      <c r="Z797" s="8">
        <f t="shared" ref="Z797:AI797" si="2218">SUM(D793)</f>
        <v>40</v>
      </c>
      <c r="AA797" s="9">
        <f t="shared" ca="1" si="2218"/>
        <v>38</v>
      </c>
      <c r="AB797" s="10">
        <f t="shared" ca="1" si="2218"/>
        <v>7540.3019999999997</v>
      </c>
      <c r="AC797" s="9">
        <f t="shared" ca="1" si="2218"/>
        <v>2969</v>
      </c>
      <c r="AD797" s="9">
        <f t="shared" ca="1" si="2218"/>
        <v>0</v>
      </c>
      <c r="AE797" s="9">
        <f t="shared" ca="1" si="2218"/>
        <v>2969</v>
      </c>
      <c r="AF797" s="9">
        <f t="shared" ca="1" si="2218"/>
        <v>2961</v>
      </c>
      <c r="AG797" s="9">
        <f t="shared" ca="1" si="2218"/>
        <v>138</v>
      </c>
      <c r="AH797" s="9">
        <f t="shared" ca="1" si="2218"/>
        <v>3099</v>
      </c>
      <c r="AI797" s="9">
        <f t="shared" ca="1" si="2218"/>
        <v>6068</v>
      </c>
      <c r="AJ797" s="11">
        <f t="shared" ca="1" si="2207"/>
        <v>198.429</v>
      </c>
      <c r="AK797" s="8">
        <f>SUM(O793)</f>
        <v>9354</v>
      </c>
      <c r="AL797" s="12">
        <f t="shared" ca="1" si="2209"/>
        <v>0.648706435749412</v>
      </c>
      <c r="AM797" s="13">
        <f>SUM(Q793)</f>
        <v>1.5</v>
      </c>
      <c r="AN797" s="12">
        <f t="shared" ca="1" si="2211"/>
        <v>0.5364948689499881</v>
      </c>
      <c r="AO797" s="14">
        <f t="shared" ca="1" si="2212"/>
        <v>0.80474230342498221</v>
      </c>
      <c r="AP797" s="13">
        <f t="shared" ref="AP797:AQ797" ca="1" si="2219">SUM(T793)</f>
        <v>245.50848175039883</v>
      </c>
      <c r="AQ797" s="13">
        <f t="shared" ca="1" si="2219"/>
        <v>6.4607495197473375</v>
      </c>
      <c r="AR797" s="9">
        <f t="shared" ca="1" si="2214"/>
        <v>159.68421052631578</v>
      </c>
      <c r="AS797" s="76"/>
      <c r="AT797" s="76"/>
    </row>
    <row r="798" spans="1:46" ht="15.75" customHeight="1" x14ac:dyDescent="0.25">
      <c r="A798" s="70"/>
      <c r="B798" s="16">
        <v>10</v>
      </c>
      <c r="C798" s="16" t="s">
        <v>37</v>
      </c>
      <c r="D798" s="44">
        <v>30</v>
      </c>
      <c r="E798" s="18">
        <f ca="1">IFERROR(__xludf.DUMMYFUNCTION("COUNT(IMPORTRANGE(""https://docs.google.com/spreadsheets/d/1rJyYfywRpWJW0zvDJHLOJtqUQqffoCGaqTVxxTDgV0k/edit"",""30!d2:d31""))"),30)</f>
        <v>30</v>
      </c>
      <c r="F798" s="23">
        <f ca="1">IFERROR(__xludf.DUMMYFUNCTION("SUM(IMPORTRANGE(""https://docs.google.com/spreadsheets/d/1rJyYfywRpWJW0zvDJHLOJtqUQqffoCGaqTVxxTDgV0k/edit"",""30!Q2:Q31""))"),5773.914)</f>
        <v>5773.9139999999998</v>
      </c>
      <c r="G798" s="18">
        <f ca="1">IFERROR(__xludf.DUMMYFUNCTION("(IMPORTRANGE(""https://docs.google.com/spreadsheets/d/1rJyYfywRpWJW0zvDJHLOJtqUQqffoCGaqTVxxTDgV0k/edit"",""30!e38""))"),2212)</f>
        <v>2212</v>
      </c>
      <c r="H798" s="18">
        <f ca="1">IFERROR(__xludf.DUMMYFUNCTION("(IMPORTRANGE(""https://docs.google.com/spreadsheets/d/1rJyYfywRpWJW0zvDJHLOJtqUQqffoCGaqTVxxTDgV0k/edit"",""30!e39""))"),0)</f>
        <v>0</v>
      </c>
      <c r="I798" s="18">
        <f t="shared" ca="1" si="2187"/>
        <v>2212</v>
      </c>
      <c r="J798" s="18">
        <f ca="1">IFERROR(__xludf.DUMMYFUNCTION("(IMPORTRANGE(""https://docs.google.com/spreadsheets/d/1rJyYfywRpWJW0zvDJHLOJtqUQqffoCGaqTVxxTDgV0k/edit"",""30!e42""))"),2860)</f>
        <v>2860</v>
      </c>
      <c r="K798" s="18">
        <f ca="1">IFERROR(__xludf.DUMMYFUNCTION("(IMPORTRANGE(""https://docs.google.com/spreadsheets/d/1rJyYfywRpWJW0zvDJHLOJtqUQqffoCGaqTVxxTDgV0k/edit"",""30!e43""))"),0)</f>
        <v>0</v>
      </c>
      <c r="L798" s="18">
        <f t="shared" ca="1" si="2217"/>
        <v>2860</v>
      </c>
      <c r="M798" s="18">
        <f t="shared" ca="1" si="2189"/>
        <v>5072</v>
      </c>
      <c r="N798" s="19">
        <f t="shared" ca="1" si="2190"/>
        <v>192.46379999999999</v>
      </c>
      <c r="O798" s="16">
        <v>5887</v>
      </c>
      <c r="P798" s="20">
        <f t="shared" ca="1" si="2191"/>
        <v>0.86155936809920164</v>
      </c>
      <c r="Q798" s="21">
        <v>1.5</v>
      </c>
      <c r="R798" s="20">
        <f t="shared" ca="1" si="2192"/>
        <v>0.58562239294408147</v>
      </c>
      <c r="S798" s="22">
        <f t="shared" ca="1" si="2193"/>
        <v>0.87843358941612226</v>
      </c>
      <c r="T798" s="21">
        <f ca="1">F798/24.792</f>
        <v>232.89424007744432</v>
      </c>
      <c r="U798" s="21">
        <f t="shared" ca="1" si="2194"/>
        <v>7.7631413359148107</v>
      </c>
      <c r="V798" s="18">
        <f t="shared" ca="1" si="2195"/>
        <v>169.06666666666666</v>
      </c>
      <c r="W798" s="76"/>
      <c r="X798" s="8">
        <v>4</v>
      </c>
      <c r="Y798" s="8" t="s">
        <v>38</v>
      </c>
      <c r="Z798" s="8">
        <f t="shared" ref="Z798:AI798" si="2220">SUM(D801)</f>
        <v>30</v>
      </c>
      <c r="AA798" s="9">
        <f t="shared" ca="1" si="2220"/>
        <v>30</v>
      </c>
      <c r="AB798" s="10">
        <f t="shared" ca="1" si="2220"/>
        <v>6243.0730000000003</v>
      </c>
      <c r="AC798" s="9">
        <f t="shared" ca="1" si="2220"/>
        <v>2320</v>
      </c>
      <c r="AD798" s="9">
        <f t="shared" ca="1" si="2220"/>
        <v>0</v>
      </c>
      <c r="AE798" s="9">
        <f t="shared" ca="1" si="2220"/>
        <v>2320</v>
      </c>
      <c r="AF798" s="9">
        <f t="shared" ca="1" si="2220"/>
        <v>2881</v>
      </c>
      <c r="AG798" s="9">
        <f t="shared" ca="1" si="2220"/>
        <v>129</v>
      </c>
      <c r="AH798" s="9">
        <f t="shared" ca="1" si="2220"/>
        <v>3010</v>
      </c>
      <c r="AI798" s="9">
        <f t="shared" ca="1" si="2220"/>
        <v>5330</v>
      </c>
      <c r="AJ798" s="11">
        <f t="shared" ca="1" si="2207"/>
        <v>208.10243333333335</v>
      </c>
      <c r="AK798" s="8">
        <v>7324</v>
      </c>
      <c r="AL798" s="12">
        <f t="shared" ca="1" si="2209"/>
        <v>0.72774440196613877</v>
      </c>
      <c r="AM798" s="13">
        <f>SUM(Q801)</f>
        <v>1.5</v>
      </c>
      <c r="AN798" s="12">
        <f t="shared" ca="1" si="2211"/>
        <v>0.56916414934333348</v>
      </c>
      <c r="AO798" s="14">
        <f t="shared" ca="1" si="2212"/>
        <v>0.85374622401500022</v>
      </c>
      <c r="AP798" s="13">
        <f t="shared" ref="AP798:AQ798" ca="1" si="2221">SUM(T801)</f>
        <v>151.5125106176435</v>
      </c>
      <c r="AQ798" s="13">
        <f t="shared" ca="1" si="2221"/>
        <v>5.0504170205881165</v>
      </c>
      <c r="AR798" s="9">
        <f t="shared" ca="1" si="2214"/>
        <v>177.66666666666666</v>
      </c>
      <c r="AS798" s="76"/>
      <c r="AT798" s="76"/>
    </row>
    <row r="799" spans="1:46" ht="15.75" customHeight="1" x14ac:dyDescent="0.25">
      <c r="A799" s="70"/>
      <c r="B799" s="16">
        <v>12</v>
      </c>
      <c r="C799" s="16" t="s">
        <v>39</v>
      </c>
      <c r="D799" s="44">
        <v>28</v>
      </c>
      <c r="E799" s="18">
        <f ca="1">IFERROR(__xludf.DUMMYFUNCTION("COUNT(IMPORTRANGE(""https://docs.google.com/spreadsheets/d/1uaTn2DZCfr7O1PvovOd0wElzVz8kpl_iPfnrkNPp0Is/edit"",""30!d2:d29""))"),27)</f>
        <v>27</v>
      </c>
      <c r="F799" s="23">
        <f ca="1">IFERROR(__xludf.DUMMYFUNCTION("SUM(IMPORTRANGE(""https://docs.google.com/spreadsheets/d/1uaTn2DZCfr7O1PvovOd0wElzVz8kpl_iPfnrkNPp0Is/edit"",""30!Q2:Q29""))"),5232.607)</f>
        <v>5232.607</v>
      </c>
      <c r="G799" s="18">
        <f ca="1">IFERROR(__xludf.DUMMYFUNCTION("IMPORTRANGE(""https://docs.google.com/spreadsheets/d/1uaTn2DZCfr7O1PvovOd0wElzVz8kpl_iPfnrkNPp0Is/edit"",""30!e36"")"),1238)</f>
        <v>1238</v>
      </c>
      <c r="H799" s="18">
        <f ca="1">IFERROR(__xludf.DUMMYFUNCTION("(IMPORTRANGE(""https://docs.google.com/spreadsheets/d/1uaTn2DZCfr7O1PvovOd0wElzVz8kpl_iPfnrkNPp0Is/edit"",""30!e37""))"),0)</f>
        <v>0</v>
      </c>
      <c r="I799" s="18">
        <f t="shared" ca="1" si="2187"/>
        <v>1238</v>
      </c>
      <c r="J799" s="18">
        <f ca="1">IFERROR(__xludf.DUMMYFUNCTION("IMPORTRANGE(""https://docs.google.com/spreadsheets/d/1uaTn2DZCfr7O1PvovOd0wElzVz8kpl_iPfnrkNPp0Is/edit"",""30!e40"")"),1433)</f>
        <v>1433</v>
      </c>
      <c r="K799" s="18">
        <f ca="1">IFERROR(__xludf.DUMMYFUNCTION("IMPORTRANGE(""https://docs.google.com/spreadsheets/d/1uaTn2DZCfr7O1PvovOd0wElzVz8kpl_iPfnrkNPp0Is/edit"",""30!e41"")"),153)</f>
        <v>153</v>
      </c>
      <c r="L799" s="18">
        <f t="shared" ca="1" si="2217"/>
        <v>1586</v>
      </c>
      <c r="M799" s="18">
        <f t="shared" ca="1" si="2189"/>
        <v>2824</v>
      </c>
      <c r="N799" s="19">
        <f t="shared" ca="1" si="2190"/>
        <v>193.80025925925926</v>
      </c>
      <c r="O799" s="16">
        <v>3569</v>
      </c>
      <c r="P799" s="20">
        <f t="shared" ca="1" si="2191"/>
        <v>0.79125805547772488</v>
      </c>
      <c r="Q799" s="21">
        <v>1.5</v>
      </c>
      <c r="R799" s="20">
        <f t="shared" ca="1" si="2192"/>
        <v>0.35979515883127983</v>
      </c>
      <c r="S799" s="22">
        <f t="shared" ca="1" si="2193"/>
        <v>0.53969273824691977</v>
      </c>
      <c r="T799" s="21">
        <f ca="1">F799/21.463</f>
        <v>243.7966267530168</v>
      </c>
      <c r="U799" s="21">
        <f t="shared" ca="1" si="2194"/>
        <v>9.0295046945561772</v>
      </c>
      <c r="V799" s="18">
        <f t="shared" ca="1" si="2195"/>
        <v>104.5925925925926</v>
      </c>
      <c r="W799" s="76"/>
      <c r="X799" s="8">
        <v>5</v>
      </c>
      <c r="Y799" s="8" t="s">
        <v>40</v>
      </c>
      <c r="Z799" s="8">
        <f t="shared" ref="Z799:AI799" si="2222">SUM(D803)</f>
        <v>30</v>
      </c>
      <c r="AA799" s="9">
        <f t="shared" ca="1" si="2222"/>
        <v>29</v>
      </c>
      <c r="AB799" s="10">
        <f t="shared" ca="1" si="2222"/>
        <v>5688.5999999999904</v>
      </c>
      <c r="AC799" s="9">
        <f t="shared" ca="1" si="2222"/>
        <v>3404</v>
      </c>
      <c r="AD799" s="9">
        <f t="shared" ca="1" si="2222"/>
        <v>35</v>
      </c>
      <c r="AE799" s="9">
        <f t="shared" ca="1" si="2222"/>
        <v>3439</v>
      </c>
      <c r="AF799" s="9">
        <f t="shared" ca="1" si="2222"/>
        <v>3994</v>
      </c>
      <c r="AG799" s="9">
        <f t="shared" ca="1" si="2222"/>
        <v>0</v>
      </c>
      <c r="AH799" s="9">
        <f t="shared" ca="1" si="2222"/>
        <v>3994</v>
      </c>
      <c r="AI799" s="9">
        <f t="shared" ca="1" si="2222"/>
        <v>7433</v>
      </c>
      <c r="AJ799" s="11">
        <f t="shared" ca="1" si="2207"/>
        <v>196.15862068965484</v>
      </c>
      <c r="AK799" s="8">
        <f t="shared" ref="AK799:AK800" si="2223">SUM(O803)</f>
        <v>8239</v>
      </c>
      <c r="AL799" s="12">
        <f t="shared" ca="1" si="2209"/>
        <v>0.90217259376137882</v>
      </c>
      <c r="AM799" s="13">
        <f t="shared" ref="AM799:AM800" si="2224">SUM(Q803)</f>
        <v>1.5</v>
      </c>
      <c r="AN799" s="12">
        <f t="shared" ca="1" si="2211"/>
        <v>0.87109892299218472</v>
      </c>
      <c r="AO799" s="14">
        <f t="shared" ca="1" si="2212"/>
        <v>1.306648384488277</v>
      </c>
      <c r="AP799" s="13">
        <f t="shared" ref="AP799:AQ799" ca="1" si="2225">SUM(T803)</f>
        <v>199.99999999999966</v>
      </c>
      <c r="AQ799" s="13">
        <f t="shared" ca="1" si="2225"/>
        <v>6.8965517241379191</v>
      </c>
      <c r="AR799" s="9">
        <f t="shared" ca="1" si="2214"/>
        <v>256.31034482758622</v>
      </c>
      <c r="AS799" s="76"/>
      <c r="AT799" s="76"/>
    </row>
    <row r="800" spans="1:46" ht="15.75" customHeight="1" x14ac:dyDescent="0.25">
      <c r="A800" s="70"/>
      <c r="B800" s="16">
        <v>12</v>
      </c>
      <c r="C800" s="16" t="s">
        <v>41</v>
      </c>
      <c r="D800" s="44">
        <v>24</v>
      </c>
      <c r="E800" s="18">
        <f ca="1">IFERROR(__xludf.DUMMYFUNCTION("COUNT(IMPORTRANGE(""https://docs.google.com/spreadsheets/d/1oYscvfOJW7GMkxt8QcupWuzb3ohaYePd3Mt2V2ufHok/edit"",""30!d2:d25""))"),23)</f>
        <v>23</v>
      </c>
      <c r="F800" s="23">
        <f ca="1">IFERROR(__xludf.DUMMYFUNCTION("SUM(IMPORTRANGE(""https://docs.google.com/spreadsheets/d/1oYscvfOJW7GMkxt8QcupWuzb3ohaYePd3Mt2V2ufHok/edit"",""30!Q2:Q25""))"),4569.296)</f>
        <v>4569.2960000000003</v>
      </c>
      <c r="G800" s="18">
        <f ca="1">IFERROR(__xludf.DUMMYFUNCTION("IMPORTRANGE(""https://docs.google.com/spreadsheets/d/1oYscvfOJW7GMkxt8QcupWuzb3ohaYePd3Mt2V2ufHok/edit"",""30!e32"")"),1202)</f>
        <v>1202</v>
      </c>
      <c r="H800" s="18">
        <f ca="1">IFERROR(__xludf.DUMMYFUNCTION("IMPORTRANGE(""https://docs.google.com/spreadsheets/d/1oYscvfOJW7GMkxt8QcupWuzb3ohaYePd3Mt2V2ufHok/edit"",""30!e33"")"),0)</f>
        <v>0</v>
      </c>
      <c r="I800" s="18">
        <f t="shared" ca="1" si="2187"/>
        <v>1202</v>
      </c>
      <c r="J800" s="18">
        <f ca="1">IFERROR(__xludf.DUMMYFUNCTION("IMPORTRANGE(""https://docs.google.com/spreadsheets/d/1oYscvfOJW7GMkxt8QcupWuzb3ohaYePd3Mt2V2ufHok/edit"",""30!e36"")"),1401)</f>
        <v>1401</v>
      </c>
      <c r="K800" s="18">
        <f ca="1">IFERROR(__xludf.DUMMYFUNCTION("IMPORTRANGE(""https://docs.google.com/spreadsheets/d/1oYscvfOJW7GMkxt8QcupWuzb3ohaYePd3Mt2V2ufHok/edit"",""30!e37"")"),295)</f>
        <v>295</v>
      </c>
      <c r="L800" s="18">
        <f t="shared" ca="1" si="2217"/>
        <v>1696</v>
      </c>
      <c r="M800" s="18">
        <f t="shared" ca="1" si="2189"/>
        <v>2898</v>
      </c>
      <c r="N800" s="19">
        <f t="shared" ca="1" si="2190"/>
        <v>198.66504347826088</v>
      </c>
      <c r="O800" s="16">
        <v>3801</v>
      </c>
      <c r="P800" s="20">
        <f t="shared" ca="1" si="2191"/>
        <v>0.76243093922651939</v>
      </c>
      <c r="Q800" s="21">
        <v>1.5</v>
      </c>
      <c r="R800" s="20">
        <f t="shared" ca="1" si="2192"/>
        <v>0.42282224657802864</v>
      </c>
      <c r="S800" s="22">
        <f t="shared" ca="1" si="2193"/>
        <v>0.63423336986704293</v>
      </c>
      <c r="T800" s="21">
        <f ca="1">F800/29.628</f>
        <v>154.22222222222223</v>
      </c>
      <c r="U800" s="21">
        <f t="shared" ca="1" si="2194"/>
        <v>6.7053140096618362</v>
      </c>
      <c r="V800" s="18">
        <f t="shared" ca="1" si="2195"/>
        <v>126</v>
      </c>
      <c r="W800" s="76"/>
      <c r="X800" s="8">
        <v>6</v>
      </c>
      <c r="Y800" s="8" t="s">
        <v>42</v>
      </c>
      <c r="Z800" s="8">
        <f t="shared" ref="Z800:AI800" si="2226">SUM(D804)</f>
        <v>33</v>
      </c>
      <c r="AA800" s="9">
        <f t="shared" ca="1" si="2226"/>
        <v>33</v>
      </c>
      <c r="AB800" s="10">
        <f t="shared" ca="1" si="2226"/>
        <v>6387.9749999999904</v>
      </c>
      <c r="AC800" s="9">
        <f t="shared" ca="1" si="2226"/>
        <v>3646</v>
      </c>
      <c r="AD800" s="9">
        <f t="shared" ca="1" si="2226"/>
        <v>0</v>
      </c>
      <c r="AE800" s="9">
        <f t="shared" ca="1" si="2226"/>
        <v>3646</v>
      </c>
      <c r="AF800" s="9">
        <f t="shared" ca="1" si="2226"/>
        <v>4369</v>
      </c>
      <c r="AG800" s="9">
        <f t="shared" ca="1" si="2226"/>
        <v>172</v>
      </c>
      <c r="AH800" s="9">
        <f t="shared" ca="1" si="2226"/>
        <v>4541</v>
      </c>
      <c r="AI800" s="9">
        <f t="shared" ca="1" si="2226"/>
        <v>8187</v>
      </c>
      <c r="AJ800" s="11">
        <f t="shared" ca="1" si="2207"/>
        <v>193.5749999999997</v>
      </c>
      <c r="AK800" s="8">
        <f t="shared" si="2223"/>
        <v>9877</v>
      </c>
      <c r="AL800" s="12">
        <f t="shared" ca="1" si="2209"/>
        <v>0.8288954135871216</v>
      </c>
      <c r="AM800" s="13">
        <f t="shared" si="2224"/>
        <v>1.5</v>
      </c>
      <c r="AN800" s="12">
        <f t="shared" ca="1" si="2211"/>
        <v>0.85441787107808154</v>
      </c>
      <c r="AO800" s="14">
        <f t="shared" ca="1" si="2212"/>
        <v>1.2816268066171224</v>
      </c>
      <c r="AP800" s="13">
        <f t="shared" ref="AP800:AQ800" ca="1" si="2227">SUM(T804)</f>
        <v>244.23532785318258</v>
      </c>
      <c r="AQ800" s="13">
        <f t="shared" ca="1" si="2227"/>
        <v>7.4010705410055326</v>
      </c>
      <c r="AR800" s="9">
        <f t="shared" ca="1" si="2214"/>
        <v>248.09090909090909</v>
      </c>
      <c r="AS800" s="76"/>
      <c r="AT800" s="76"/>
    </row>
    <row r="801" spans="1:46" ht="15.75" customHeight="1" x14ac:dyDescent="0.25">
      <c r="A801" s="70"/>
      <c r="B801" s="16">
        <v>13</v>
      </c>
      <c r="C801" s="16" t="s">
        <v>43</v>
      </c>
      <c r="D801" s="44">
        <v>30</v>
      </c>
      <c r="E801" s="18">
        <f ca="1">IFERROR(__xludf.DUMMYFUNCTION("COUNT(IMPORTRANGE(""https://docs.google.com/spreadsheets/d/1AxBmuQEdOYAeRnZ4C8vO6kuTNp7X_SGhpLXuY0n4ln4/edit"",""30!d2:d31""))"),30)</f>
        <v>30</v>
      </c>
      <c r="F801" s="23">
        <f ca="1">IFERROR(__xludf.DUMMYFUNCTION("SUM(IMPORTRANGE(""https://docs.google.com/spreadsheets/d/1AxBmuQEdOYAeRnZ4C8vO6kuTNp7X_SGhpLXuY0n4ln4/edit"",""30!Q2:Q31""))"),6243.073)</f>
        <v>6243.0730000000003</v>
      </c>
      <c r="G801" s="18">
        <f ca="1">IFERROR(__xludf.DUMMYFUNCTION("IMPORTRANGE(""https://docs.google.com/spreadsheets/d/1AxBmuQEdOYAeRnZ4C8vO6kuTNp7X_SGhpLXuY0n4ln4/edit"",""30!e38"")"),2320)</f>
        <v>2320</v>
      </c>
      <c r="H801" s="18">
        <f ca="1">IFERROR(__xludf.DUMMYFUNCTION("IMPORTRANGE(""https://docs.google.com/spreadsheets/d/1AxBmuQEdOYAeRnZ4C8vO6kuTNp7X_SGhpLXuY0n4ln4/edit"",""30!e39"")"),0)</f>
        <v>0</v>
      </c>
      <c r="I801" s="18">
        <f t="shared" ca="1" si="2187"/>
        <v>2320</v>
      </c>
      <c r="J801" s="18">
        <f ca="1">IFERROR(__xludf.DUMMYFUNCTION("IMPORTRANGE(""https://docs.google.com/spreadsheets/d/1AxBmuQEdOYAeRnZ4C8vO6kuTNp7X_SGhpLXuY0n4ln4/edit"",""30!e42"")"),2881)</f>
        <v>2881</v>
      </c>
      <c r="K801" s="18">
        <f ca="1">IFERROR(__xludf.DUMMYFUNCTION("IMPORTRANGE(""https://docs.google.com/spreadsheets/d/1AxBmuQEdOYAeRnZ4C8vO6kuTNp7X_SGhpLXuY0n4ln4/edit"",""30!e43"")"),129)</f>
        <v>129</v>
      </c>
      <c r="L801" s="18">
        <f t="shared" ca="1" si="2217"/>
        <v>3010</v>
      </c>
      <c r="M801" s="18">
        <f t="shared" ca="1" si="2189"/>
        <v>5330</v>
      </c>
      <c r="N801" s="19">
        <f t="shared" ca="1" si="2190"/>
        <v>208.10243333333335</v>
      </c>
      <c r="O801" s="16">
        <v>8345</v>
      </c>
      <c r="P801" s="20">
        <f t="shared" ca="1" si="2191"/>
        <v>0.63870581186339126</v>
      </c>
      <c r="Q801" s="21">
        <v>1.5</v>
      </c>
      <c r="R801" s="20">
        <f t="shared" ca="1" si="2192"/>
        <v>0.56916414934333348</v>
      </c>
      <c r="S801" s="22">
        <f t="shared" ca="1" si="2193"/>
        <v>0.85374622401500022</v>
      </c>
      <c r="T801" s="21">
        <f ca="1">F801/41.205</f>
        <v>151.5125106176435</v>
      </c>
      <c r="U801" s="21">
        <f t="shared" ca="1" si="2194"/>
        <v>5.0504170205881165</v>
      </c>
      <c r="V801" s="18">
        <f t="shared" ca="1" si="2195"/>
        <v>177.66666666666666</v>
      </c>
      <c r="W801" s="76"/>
      <c r="X801" s="24" t="s">
        <v>33</v>
      </c>
      <c r="Y801" s="24">
        <v>6</v>
      </c>
      <c r="Z801" s="24">
        <f t="shared" ref="Z801:AI801" si="2228">SUM(Z795:Z800)</f>
        <v>226</v>
      </c>
      <c r="AA801" s="25">
        <f t="shared" ca="1" si="2228"/>
        <v>222</v>
      </c>
      <c r="AB801" s="27">
        <f t="shared" ca="1" si="2228"/>
        <v>44097.577999999885</v>
      </c>
      <c r="AC801" s="25">
        <f t="shared" ca="1" si="2228"/>
        <v>18354</v>
      </c>
      <c r="AD801" s="25">
        <f t="shared" ca="1" si="2228"/>
        <v>227</v>
      </c>
      <c r="AE801" s="25">
        <f t="shared" ca="1" si="2228"/>
        <v>18581</v>
      </c>
      <c r="AF801" s="25">
        <f t="shared" ca="1" si="2228"/>
        <v>23197</v>
      </c>
      <c r="AG801" s="25">
        <f t="shared" ca="1" si="2228"/>
        <v>767</v>
      </c>
      <c r="AH801" s="25">
        <f t="shared" ca="1" si="2228"/>
        <v>23964</v>
      </c>
      <c r="AI801" s="25">
        <f t="shared" ca="1" si="2228"/>
        <v>42545</v>
      </c>
      <c r="AJ801" s="27">
        <f t="shared" ca="1" si="2207"/>
        <v>198.63773873873822</v>
      </c>
      <c r="AK801" s="24">
        <f>SUM(AK795:AK800)</f>
        <v>53273</v>
      </c>
      <c r="AL801" s="28">
        <f t="shared" ca="1" si="2209"/>
        <v>0.79862219135396917</v>
      </c>
      <c r="AM801" s="29">
        <v>1.5</v>
      </c>
      <c r="AN801" s="28">
        <f t="shared" ca="1" si="2211"/>
        <v>0.64319481068401096</v>
      </c>
      <c r="AO801" s="30">
        <f t="shared" ca="1" si="2212"/>
        <v>0.9647922160260165</v>
      </c>
      <c r="AP801" s="29">
        <f ca="1">SUM(AP795:AP800)</f>
        <v>1448.1369527755144</v>
      </c>
      <c r="AQ801" s="29">
        <f ca="1">AP801/AA801</f>
        <v>6.5231394269167318</v>
      </c>
      <c r="AR801" s="25">
        <f t="shared" ca="1" si="2214"/>
        <v>191.64414414414415</v>
      </c>
      <c r="AS801" s="76"/>
      <c r="AT801" s="76"/>
    </row>
    <row r="802" spans="1:46" ht="15.75" customHeight="1" x14ac:dyDescent="0.25">
      <c r="A802" s="70"/>
      <c r="B802" s="16">
        <v>14</v>
      </c>
      <c r="C802" s="16" t="s">
        <v>27</v>
      </c>
      <c r="D802" s="44">
        <v>30</v>
      </c>
      <c r="E802" s="18">
        <f ca="1">IFERROR(__xludf.DUMMYFUNCTION("COUNT(IMPORTRANGE(""https://docs.google.com/spreadsheets/d/1LsL4JuXvBtfJ-TVi4NFml9lV_pmd61b789A_nbO-QrA/edit"",""30!d2:d31""))"),28)</f>
        <v>28</v>
      </c>
      <c r="F802" s="23">
        <f ca="1">IFERROR(__xludf.DUMMYFUNCTION("SUM(IMPORTRANGE(""https://docs.google.com/spreadsheets/d/1LsL4JuXvBtfJ-TVi4NFml9lV_pmd61b789A_nbO-QrA/edit"",""30!Q2:Q31""))"),5291.918)</f>
        <v>5291.9179999999997</v>
      </c>
      <c r="G802" s="18">
        <f ca="1">IFERROR(__xludf.DUMMYFUNCTION("IMPORTRANGE(""https://docs.google.com/spreadsheets/d/1LsL4JuXvBtfJ-TVi4NFml9lV_pmd61b789A_nbO-QrA/edit"",""30!e38"")"),2756)</f>
        <v>2756</v>
      </c>
      <c r="H802" s="18">
        <f ca="1">IFERROR(__xludf.DUMMYFUNCTION("IMPORTRANGE(""https://docs.google.com/spreadsheets/d/1LsL4JuXvBtfJ-TVi4NFml9lV_pmd61b789A_nbO-QrA/edit"",""30!e39"")"),0)</f>
        <v>0</v>
      </c>
      <c r="I802" s="18">
        <f t="shared" ca="1" si="2187"/>
        <v>2756</v>
      </c>
      <c r="J802" s="18">
        <f ca="1">IFERROR(__xludf.DUMMYFUNCTION("IMPORTRANGE(""https://docs.google.com/spreadsheets/d/1LsL4JuXvBtfJ-TVi4NFml9lV_pmd61b789A_nbO-QrA/edit"",""30!e42"")"),3105)</f>
        <v>3105</v>
      </c>
      <c r="K802" s="18">
        <f ca="1">IFERROR(__xludf.DUMMYFUNCTION("IMPORTRANGE(""https://docs.google.com/spreadsheets/d/1LsL4JuXvBtfJ-TVi4NFml9lV_pmd61b789A_nbO-QrA/edit"",""30!e43"")"),0)</f>
        <v>0</v>
      </c>
      <c r="L802" s="18">
        <f t="shared" ca="1" si="2217"/>
        <v>3105</v>
      </c>
      <c r="M802" s="18">
        <f t="shared" ca="1" si="2189"/>
        <v>5861</v>
      </c>
      <c r="N802" s="19">
        <f t="shared" ca="1" si="2190"/>
        <v>188.99707142857142</v>
      </c>
      <c r="O802" s="16">
        <v>8101</v>
      </c>
      <c r="P802" s="20">
        <f t="shared" ca="1" si="2191"/>
        <v>0.72349092704604367</v>
      </c>
      <c r="Q802" s="21">
        <v>1.5</v>
      </c>
      <c r="R802" s="20">
        <f t="shared" ca="1" si="2192"/>
        <v>0.73835863165932158</v>
      </c>
      <c r="S802" s="22">
        <f t="shared" ca="1" si="2193"/>
        <v>1.1075379474889824</v>
      </c>
      <c r="T802" s="21">
        <f ca="1">F802/19.985</f>
        <v>264.79449587190391</v>
      </c>
      <c r="U802" s="21">
        <f t="shared" ca="1" si="2194"/>
        <v>9.4569462811394249</v>
      </c>
      <c r="V802" s="18">
        <f t="shared" ca="1" si="2195"/>
        <v>209.32142857142858</v>
      </c>
      <c r="W802" s="76"/>
      <c r="X802" s="97" t="s">
        <v>44</v>
      </c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9"/>
      <c r="AS802" s="76"/>
      <c r="AT802" s="76"/>
    </row>
    <row r="803" spans="1:46" ht="15.75" customHeight="1" x14ac:dyDescent="0.25">
      <c r="A803" s="70"/>
      <c r="B803" s="16">
        <v>15</v>
      </c>
      <c r="C803" s="16" t="s">
        <v>40</v>
      </c>
      <c r="D803" s="44">
        <v>30</v>
      </c>
      <c r="E803" s="18">
        <f ca="1">IFERROR(__xludf.DUMMYFUNCTION("COUNT(IMPORTRANGE(""https://docs.google.com/spreadsheets/d/1Krav0MVlY0vbUNsFRDnb_kR72_tyuGnWBYbGjNZrl18/edit"",""30!d2:d31""))"),29)</f>
        <v>29</v>
      </c>
      <c r="F803" s="23">
        <f ca="1">IFERROR(__xludf.DUMMYFUNCTION("SUM(IMPORTRANGE(""https://docs.google.com/spreadsheets/d/1Krav0MVlY0vbUNsFRDnb_kR72_tyuGnWBYbGjNZrl18/edit"",""30!Q2:Q31""))"),5688.59999999999)</f>
        <v>5688.5999999999904</v>
      </c>
      <c r="G803" s="18">
        <f ca="1">IFERROR(__xludf.DUMMYFUNCTION("IMPORTRANGE(""https://docs.google.com/spreadsheets/d/1Krav0MVlY0vbUNsFRDnb_kR72_tyuGnWBYbGjNZrl18/edit"",""30!e38"")"),3404)</f>
        <v>3404</v>
      </c>
      <c r="H803" s="18">
        <f ca="1">IFERROR(__xludf.DUMMYFUNCTION("IMPORTRANGE(""https://docs.google.com/spreadsheets/d/1Krav0MVlY0vbUNsFRDnb_kR72_tyuGnWBYbGjNZrl18/edit"",""30!e39"")"),35)</f>
        <v>35</v>
      </c>
      <c r="I803" s="18">
        <f t="shared" ca="1" si="2187"/>
        <v>3439</v>
      </c>
      <c r="J803" s="18">
        <f ca="1">IFERROR(__xludf.DUMMYFUNCTION("IMPORTRANGE(""https://docs.google.com/spreadsheets/d/1Krav0MVlY0vbUNsFRDnb_kR72_tyuGnWBYbGjNZrl18/edit"",""30!e42"")"),3994)</f>
        <v>3994</v>
      </c>
      <c r="K803" s="18">
        <f ca="1">IFERROR(__xludf.DUMMYFUNCTION("IMPORTRANGE(""https://docs.google.com/spreadsheets/d/1Krav0MVlY0vbUNsFRDnb_kR72_tyuGnWBYbGjNZrl18/edit"",""30!e43"")"),0)</f>
        <v>0</v>
      </c>
      <c r="L803" s="18">
        <f t="shared" ca="1" si="2217"/>
        <v>3994</v>
      </c>
      <c r="M803" s="18">
        <f t="shared" ca="1" si="2189"/>
        <v>7433</v>
      </c>
      <c r="N803" s="19">
        <f t="shared" ca="1" si="2190"/>
        <v>196.15862068965484</v>
      </c>
      <c r="O803" s="16">
        <v>8239</v>
      </c>
      <c r="P803" s="20">
        <f t="shared" ca="1" si="2191"/>
        <v>0.90217259376137882</v>
      </c>
      <c r="Q803" s="21">
        <v>1.5</v>
      </c>
      <c r="R803" s="20">
        <f t="shared" ca="1" si="2192"/>
        <v>0.87109892299218472</v>
      </c>
      <c r="S803" s="22">
        <f t="shared" ca="1" si="2193"/>
        <v>1.306648384488277</v>
      </c>
      <c r="T803" s="21">
        <f ca="1">F803/28.443</f>
        <v>199.99999999999966</v>
      </c>
      <c r="U803" s="21">
        <f t="shared" ca="1" si="2194"/>
        <v>6.8965517241379191</v>
      </c>
      <c r="V803" s="18">
        <f t="shared" ca="1" si="2195"/>
        <v>256.31034482758622</v>
      </c>
      <c r="W803" s="76"/>
      <c r="X803" s="1" t="s">
        <v>2</v>
      </c>
      <c r="Y803" s="1" t="s">
        <v>3</v>
      </c>
      <c r="Z803" s="1" t="s">
        <v>4</v>
      </c>
      <c r="AA803" s="1" t="s">
        <v>5</v>
      </c>
      <c r="AB803" s="2" t="s">
        <v>6</v>
      </c>
      <c r="AC803" s="1" t="s">
        <v>7</v>
      </c>
      <c r="AD803" s="1" t="s">
        <v>8</v>
      </c>
      <c r="AE803" s="1" t="s">
        <v>9</v>
      </c>
      <c r="AF803" s="1" t="s">
        <v>10</v>
      </c>
      <c r="AG803" s="1" t="s">
        <v>11</v>
      </c>
      <c r="AH803" s="1" t="s">
        <v>12</v>
      </c>
      <c r="AI803" s="1" t="s">
        <v>13</v>
      </c>
      <c r="AJ803" s="2" t="s">
        <v>14</v>
      </c>
      <c r="AK803" s="1" t="s">
        <v>15</v>
      </c>
      <c r="AL803" s="1" t="s">
        <v>16</v>
      </c>
      <c r="AM803" s="3" t="s">
        <v>17</v>
      </c>
      <c r="AN803" s="4" t="s">
        <v>18</v>
      </c>
      <c r="AO803" s="5" t="s">
        <v>19</v>
      </c>
      <c r="AP803" s="6" t="s">
        <v>20</v>
      </c>
      <c r="AQ803" s="6" t="s">
        <v>21</v>
      </c>
      <c r="AR803" s="7" t="s">
        <v>22</v>
      </c>
      <c r="AS803" s="76"/>
      <c r="AT803" s="76"/>
    </row>
    <row r="804" spans="1:46" ht="15.75" customHeight="1" x14ac:dyDescent="0.25">
      <c r="A804" s="70"/>
      <c r="B804" s="16">
        <v>16</v>
      </c>
      <c r="C804" s="16" t="s">
        <v>42</v>
      </c>
      <c r="D804" s="44">
        <v>33</v>
      </c>
      <c r="E804" s="18">
        <f ca="1">IFERROR(__xludf.DUMMYFUNCTION("COUNT(IMPORTRANGE(""https://docs.google.com/spreadsheets/d/1uXtm-E8PG0CetlFmSpTX3RK0LNEMnpR-mxbET9AGD6w/edit"",""30!d2:d34""))"),33)</f>
        <v>33</v>
      </c>
      <c r="F804" s="23">
        <f ca="1">IFERROR(__xludf.DUMMYFUNCTION("SUM(IMPORTRANGE(""https://docs.google.com/spreadsheets/d/1uXtm-E8PG0CetlFmSpTX3RK0LNEMnpR-mxbET9AGD6w/edit"",""30!Q2:Q34""))"),6387.97499999999)</f>
        <v>6387.9749999999904</v>
      </c>
      <c r="G804" s="18">
        <f ca="1">IFERROR(__xludf.DUMMYFUNCTION("IMPORTRANGE(""https://docs.google.com/spreadsheets/d/1uXtm-E8PG0CetlFmSpTX3RK0LNEMnpR-mxbET9AGD6w/edit"",""30!e41"")"),3646)</f>
        <v>3646</v>
      </c>
      <c r="H804" s="18">
        <f ca="1">IFERROR(__xludf.DUMMYFUNCTION("IMPORTRANGE(""https://docs.google.com/spreadsheets/d/1uXtm-E8PG0CetlFmSpTX3RK0LNEMnpR-mxbET9AGD6w/edit"",""30!e42"")"),0)</f>
        <v>0</v>
      </c>
      <c r="I804" s="18">
        <f t="shared" ca="1" si="2187"/>
        <v>3646</v>
      </c>
      <c r="J804" s="18">
        <f ca="1">IFERROR(__xludf.DUMMYFUNCTION("IMPORTRANGE(""https://docs.google.com/spreadsheets/d/1uXtm-E8PG0CetlFmSpTX3RK0LNEMnpR-mxbET9AGD6w/edit"",""30!e45"")"),4369)</f>
        <v>4369</v>
      </c>
      <c r="K804" s="18">
        <f ca="1">IFERROR(__xludf.DUMMYFUNCTION("IMPORTRANGE(""https://docs.google.com/spreadsheets/d/1uXtm-E8PG0CetlFmSpTX3RK0LNEMnpR-mxbET9AGD6w/edit"",""30!e46"")"),172)</f>
        <v>172</v>
      </c>
      <c r="L804" s="18">
        <f t="shared" ca="1" si="2217"/>
        <v>4541</v>
      </c>
      <c r="M804" s="18">
        <f t="shared" ca="1" si="2189"/>
        <v>8187</v>
      </c>
      <c r="N804" s="19">
        <f t="shared" ca="1" si="2190"/>
        <v>193.5749999999997</v>
      </c>
      <c r="O804" s="16">
        <v>9877</v>
      </c>
      <c r="P804" s="20">
        <f t="shared" ca="1" si="2191"/>
        <v>0.8288954135871216</v>
      </c>
      <c r="Q804" s="21">
        <v>1.5</v>
      </c>
      <c r="R804" s="20">
        <f t="shared" ca="1" si="2192"/>
        <v>0.85441787107808154</v>
      </c>
      <c r="S804" s="22">
        <f t="shared" ca="1" si="2193"/>
        <v>1.2816268066171224</v>
      </c>
      <c r="T804" s="21">
        <f ca="1">F804/26.155</f>
        <v>244.23532785318258</v>
      </c>
      <c r="U804" s="21">
        <f t="shared" ca="1" si="2194"/>
        <v>7.4010705410055326</v>
      </c>
      <c r="V804" s="18">
        <f t="shared" ca="1" si="2195"/>
        <v>248.09090909090909</v>
      </c>
      <c r="W804" s="76"/>
      <c r="X804" s="8">
        <v>1</v>
      </c>
      <c r="Y804" s="8" t="s">
        <v>26</v>
      </c>
      <c r="Z804" s="8">
        <f t="shared" ref="Z804:AI804" si="2229">SUM(D789)</f>
        <v>20</v>
      </c>
      <c r="AA804" s="9">
        <f t="shared" ca="1" si="2229"/>
        <v>20</v>
      </c>
      <c r="AB804" s="11">
        <f t="shared" ca="1" si="2229"/>
        <v>3820.587</v>
      </c>
      <c r="AC804" s="9">
        <f t="shared" ca="1" si="2229"/>
        <v>2260</v>
      </c>
      <c r="AD804" s="9">
        <f t="shared" ca="1" si="2229"/>
        <v>0</v>
      </c>
      <c r="AE804" s="9">
        <f t="shared" ca="1" si="2229"/>
        <v>2260</v>
      </c>
      <c r="AF804" s="9">
        <f t="shared" ca="1" si="2229"/>
        <v>2463</v>
      </c>
      <c r="AG804" s="9">
        <f t="shared" ca="1" si="2229"/>
        <v>0</v>
      </c>
      <c r="AH804" s="9">
        <f t="shared" ca="1" si="2229"/>
        <v>2463</v>
      </c>
      <c r="AI804" s="9">
        <f t="shared" ca="1" si="2229"/>
        <v>4723</v>
      </c>
      <c r="AJ804" s="11">
        <f t="shared" ref="AJ804:AJ810" ca="1" si="2230">AB804/AA804</f>
        <v>191.02934999999999</v>
      </c>
      <c r="AK804" s="8">
        <f>SUM(O789)</f>
        <v>5161</v>
      </c>
      <c r="AL804" s="12">
        <f t="shared" ref="AL804:AL810" ca="1" si="2231">AI804/AK804</f>
        <v>0.91513272621584962</v>
      </c>
      <c r="AM804" s="13">
        <f>SUM(Q789)</f>
        <v>1.5</v>
      </c>
      <c r="AN804" s="12">
        <f t="shared" ref="AN804:AN810" ca="1" si="2232">AO804/AM804</f>
        <v>0.82413164957810592</v>
      </c>
      <c r="AO804" s="14">
        <f t="shared" ref="AO804:AO810" ca="1" si="2233">AI804/AB804</f>
        <v>1.2361974743671589</v>
      </c>
      <c r="AP804" s="13">
        <f t="shared" ref="AP804:AQ804" ca="1" si="2234">SUM(T789)</f>
        <v>265.04245577523415</v>
      </c>
      <c r="AQ804" s="13">
        <f t="shared" ca="1" si="2234"/>
        <v>13.252122788761707</v>
      </c>
      <c r="AR804" s="9">
        <f t="shared" ref="AR804:AR810" ca="1" si="2235">AI804/AA804</f>
        <v>236.15</v>
      </c>
      <c r="AS804" s="76"/>
      <c r="AT804" s="76"/>
    </row>
    <row r="805" spans="1:46" ht="15.75" customHeight="1" x14ac:dyDescent="0.25">
      <c r="A805" s="70"/>
      <c r="B805" s="16">
        <v>17</v>
      </c>
      <c r="C805" s="16" t="s">
        <v>29</v>
      </c>
      <c r="D805" s="44">
        <v>30</v>
      </c>
      <c r="E805" s="18">
        <f ca="1">IFERROR(__xludf.DUMMYFUNCTION("COUNT(IMPORTRANGE(""https://docs.google.com/spreadsheets/d/12xcKI0lSnAsjEsxfm9K8Qx0B_89Gzsh816mowItkQao/edit"",""30!d2:d31""))"),30)</f>
        <v>30</v>
      </c>
      <c r="F805" s="23">
        <f ca="1">IFERROR(__xludf.DUMMYFUNCTION("SUM(IMPORTRANGE(""https://docs.google.com/spreadsheets/d/12xcKI0lSnAsjEsxfm9K8Qx0B_89Gzsh816mowItkQao/edit"",""30!Q2:Q31""))"),5988.74)</f>
        <v>5988.74</v>
      </c>
      <c r="G805" s="18">
        <f ca="1">IFERROR(__xludf.DUMMYFUNCTION("IMPORTRANGE(""https://docs.google.com/spreadsheets/d/12xcKI0lSnAsjEsxfm9K8Qx0B_89Gzsh816mowItkQao/edit"",""30!e38"")"),2721)</f>
        <v>2721</v>
      </c>
      <c r="H805" s="18">
        <f ca="1">IFERROR(__xludf.DUMMYFUNCTION("IMPORTRANGE(""https://docs.google.com/spreadsheets/d/12xcKI0lSnAsjEsxfm9K8Qx0B_89Gzsh816mowItkQao/edit"",""30!e39"")"),0)</f>
        <v>0</v>
      </c>
      <c r="I805" s="18">
        <f t="shared" ca="1" si="2187"/>
        <v>2721</v>
      </c>
      <c r="J805" s="18">
        <f ca="1">IFERROR(__xludf.DUMMYFUNCTION("IMPORTRANGE(""https://docs.google.com/spreadsheets/d/12xcKI0lSnAsjEsxfm9K8Qx0B_89Gzsh816mowItkQao/edit"",""30!e42"")"),4405)</f>
        <v>4405</v>
      </c>
      <c r="K805" s="18">
        <f ca="1">IFERROR(__xludf.DUMMYFUNCTION("IMPORTRANGE(""https://docs.google.com/spreadsheets/d/12xcKI0lSnAsjEsxfm9K8Qx0B_89Gzsh816mowItkQao/edit"",""30!e43"")"),0)</f>
        <v>0</v>
      </c>
      <c r="L805" s="18">
        <f t="shared" ca="1" si="2217"/>
        <v>4405</v>
      </c>
      <c r="M805" s="18">
        <f t="shared" ca="1" si="2189"/>
        <v>7126</v>
      </c>
      <c r="N805" s="19">
        <f t="shared" ca="1" si="2190"/>
        <v>199.62466666666666</v>
      </c>
      <c r="O805" s="16">
        <v>9201</v>
      </c>
      <c r="P805" s="20">
        <f t="shared" ca="1" si="2191"/>
        <v>0.77448103467014451</v>
      </c>
      <c r="Q805" s="21">
        <v>1.5</v>
      </c>
      <c r="R805" s="20">
        <f t="shared" ca="1" si="2192"/>
        <v>0.79326647452830923</v>
      </c>
      <c r="S805" s="22">
        <f t="shared" ca="1" si="2193"/>
        <v>1.1898997117924639</v>
      </c>
      <c r="T805" s="21">
        <f ca="1">F805/26.038</f>
        <v>230</v>
      </c>
      <c r="U805" s="21">
        <f t="shared" ca="1" si="2194"/>
        <v>7.666666666666667</v>
      </c>
      <c r="V805" s="18">
        <f t="shared" ca="1" si="2195"/>
        <v>237.53333333333333</v>
      </c>
      <c r="W805" s="76"/>
      <c r="X805" s="8">
        <v>2</v>
      </c>
      <c r="Y805" s="8" t="s">
        <v>32</v>
      </c>
      <c r="Z805" s="8">
        <f t="shared" ref="Z805:AI805" si="2236">SUM(D792)</f>
        <v>42</v>
      </c>
      <c r="AA805" s="9">
        <f t="shared" ca="1" si="2236"/>
        <v>42</v>
      </c>
      <c r="AB805" s="10">
        <f t="shared" ca="1" si="2236"/>
        <v>8167.5439999999899</v>
      </c>
      <c r="AC805" s="8">
        <f t="shared" ca="1" si="2236"/>
        <v>4855</v>
      </c>
      <c r="AD805" s="8">
        <f t="shared" ca="1" si="2236"/>
        <v>0</v>
      </c>
      <c r="AE805" s="9">
        <f t="shared" ca="1" si="2236"/>
        <v>4855</v>
      </c>
      <c r="AF805" s="8">
        <f t="shared" ca="1" si="2236"/>
        <v>5953</v>
      </c>
      <c r="AG805" s="8">
        <f t="shared" ca="1" si="2236"/>
        <v>0</v>
      </c>
      <c r="AH805" s="9">
        <f t="shared" ca="1" si="2236"/>
        <v>5953</v>
      </c>
      <c r="AI805" s="9">
        <f t="shared" ca="1" si="2236"/>
        <v>10808</v>
      </c>
      <c r="AJ805" s="11">
        <f t="shared" ca="1" si="2230"/>
        <v>194.46533333333309</v>
      </c>
      <c r="AK805" s="8">
        <f>SUM(O792)</f>
        <v>13817</v>
      </c>
      <c r="AL805" s="12">
        <f t="shared" ca="1" si="2231"/>
        <v>0.78222479554172397</v>
      </c>
      <c r="AM805" s="13">
        <f>SUM(Q792)</f>
        <v>1.5</v>
      </c>
      <c r="AN805" s="12">
        <f t="shared" ca="1" si="2232"/>
        <v>0.88219094177311341</v>
      </c>
      <c r="AO805" s="14">
        <f t="shared" ca="1" si="2233"/>
        <v>1.3232864126596702</v>
      </c>
      <c r="AP805" s="13">
        <f t="shared" ref="AP805:AQ805" ca="1" si="2237">SUM(T792)</f>
        <v>325.54282753397865</v>
      </c>
      <c r="AQ805" s="13">
        <f t="shared" ca="1" si="2237"/>
        <v>7.7510197031899679</v>
      </c>
      <c r="AR805" s="9">
        <f t="shared" ca="1" si="2235"/>
        <v>257.33333333333331</v>
      </c>
      <c r="AS805" s="76"/>
      <c r="AT805" s="76"/>
    </row>
    <row r="806" spans="1:46" ht="15.75" customHeight="1" x14ac:dyDescent="0.25">
      <c r="A806" s="70"/>
      <c r="B806" s="16">
        <v>18</v>
      </c>
      <c r="C806" s="16" t="s">
        <v>31</v>
      </c>
      <c r="D806" s="44">
        <v>15</v>
      </c>
      <c r="E806" s="18">
        <f ca="1">IFERROR(__xludf.DUMMYFUNCTION("COUNT(IMPORTRANGE(""https://docs.google.com/spreadsheets/d/1fgCFOFzOla4Qim6_-zG-lbYhLCItqv_kZiAHoErRgcM/edit"",""30!d2:d16""))"),14)</f>
        <v>14</v>
      </c>
      <c r="F806" s="19">
        <f ca="1">IFERROR(__xludf.DUMMYFUNCTION("SUM(IMPORTRANGE(""https://docs.google.com/spreadsheets/d/1fgCFOFzOla4Qim6_-zG-lbYhLCItqv_kZiAHoErRgcM/edit"",""30!Q2:Q16""))"),2868.69)</f>
        <v>2868.69</v>
      </c>
      <c r="G806" s="18">
        <f ca="1">IFERROR(__xludf.DUMMYFUNCTION("IMPORTRANGE(""https://docs.google.com/spreadsheets/d/1fgCFOFzOla4Qim6_-zG-lbYhLCItqv_kZiAHoErRgcM/edit"",""30!e23"")"),870)</f>
        <v>870</v>
      </c>
      <c r="H806" s="18">
        <f ca="1">IFERROR(__xludf.DUMMYFUNCTION("IMPORTRANGE(""https://docs.google.com/spreadsheets/d/1fgCFOFzOla4Qim6_-zG-lbYhLCItqv_kZiAHoErRgcM/edit"",""30!e24"")"),18)</f>
        <v>18</v>
      </c>
      <c r="I806" s="18">
        <f t="shared" ca="1" si="2187"/>
        <v>888</v>
      </c>
      <c r="J806" s="18">
        <f ca="1">IFERROR(__xludf.DUMMYFUNCTION("IMPORTRANGE(""https://docs.google.com/spreadsheets/d/1fgCFOFzOla4Qim6_-zG-lbYhLCItqv_kZiAHoErRgcM/edit"",""30!e27"")"),1199)</f>
        <v>1199</v>
      </c>
      <c r="K806" s="18">
        <f ca="1">IFERROR(__xludf.DUMMYFUNCTION("IMPORTRANGE(""https://docs.google.com/spreadsheets/d/1fgCFOFzOla4Qim6_-zG-lbYhLCItqv_kZiAHoErRgcM/edit"",""30!e28"")"),0)</f>
        <v>0</v>
      </c>
      <c r="L806" s="18">
        <f t="shared" ca="1" si="2217"/>
        <v>1199</v>
      </c>
      <c r="M806" s="18">
        <f t="shared" ca="1" si="2189"/>
        <v>2087</v>
      </c>
      <c r="N806" s="19">
        <f t="shared" ca="1" si="2190"/>
        <v>204.90642857142856</v>
      </c>
      <c r="O806" s="16">
        <v>2717</v>
      </c>
      <c r="P806" s="20">
        <f t="shared" ca="1" si="2191"/>
        <v>0.76812661023187334</v>
      </c>
      <c r="Q806" s="21">
        <v>1.5</v>
      </c>
      <c r="R806" s="20">
        <f t="shared" ca="1" si="2192"/>
        <v>0.48500651284500357</v>
      </c>
      <c r="S806" s="22">
        <f t="shared" ca="1" si="2193"/>
        <v>0.72750976926750532</v>
      </c>
      <c r="T806" s="21">
        <f ca="1">F806/43.465</f>
        <v>66</v>
      </c>
      <c r="U806" s="21">
        <f t="shared" ca="1" si="2194"/>
        <v>4.7142857142857144</v>
      </c>
      <c r="V806" s="18">
        <f t="shared" ca="1" si="2195"/>
        <v>149.07142857142858</v>
      </c>
      <c r="W806" s="76"/>
      <c r="X806" s="8">
        <v>3</v>
      </c>
      <c r="Y806" s="8" t="s">
        <v>36</v>
      </c>
      <c r="Z806" s="8">
        <f t="shared" ref="Z806:AI806" si="2238">SUM(D797)</f>
        <v>29</v>
      </c>
      <c r="AA806" s="9">
        <f t="shared" ca="1" si="2238"/>
        <v>28</v>
      </c>
      <c r="AB806" s="10">
        <f t="shared" ca="1" si="2238"/>
        <v>5548.7969999999996</v>
      </c>
      <c r="AC806" s="9">
        <f t="shared" ca="1" si="2238"/>
        <v>1569</v>
      </c>
      <c r="AD806" s="9">
        <f t="shared" ca="1" si="2238"/>
        <v>0</v>
      </c>
      <c r="AE806" s="9">
        <f t="shared" ca="1" si="2238"/>
        <v>1569</v>
      </c>
      <c r="AF806" s="9">
        <f t="shared" ca="1" si="2238"/>
        <v>2231</v>
      </c>
      <c r="AG806" s="9">
        <f t="shared" ca="1" si="2238"/>
        <v>0</v>
      </c>
      <c r="AH806" s="9">
        <f t="shared" ca="1" si="2238"/>
        <v>2231</v>
      </c>
      <c r="AI806" s="9">
        <f t="shared" ca="1" si="2238"/>
        <v>3800</v>
      </c>
      <c r="AJ806" s="11">
        <f t="shared" ca="1" si="2230"/>
        <v>198.17132142857142</v>
      </c>
      <c r="AK806" s="8">
        <f t="shared" ref="AK806:AK809" si="2239">SUM(O797)</f>
        <v>4796</v>
      </c>
      <c r="AL806" s="12">
        <f t="shared" ca="1" si="2231"/>
        <v>0.79232693911593</v>
      </c>
      <c r="AM806" s="13">
        <f t="shared" ref="AM806:AM809" si="2240">SUM(Q797)</f>
        <v>1.5</v>
      </c>
      <c r="AN806" s="12">
        <f t="shared" ca="1" si="2232"/>
        <v>0.45655541792812632</v>
      </c>
      <c r="AO806" s="14">
        <f t="shared" ca="1" si="2233"/>
        <v>0.68483312689218945</v>
      </c>
      <c r="AP806" s="13">
        <f t="shared" ref="AP806:AQ806" ca="1" si="2241">SUM(T797)</f>
        <v>148.30803977120863</v>
      </c>
      <c r="AQ806" s="13">
        <f t="shared" ca="1" si="2241"/>
        <v>5.2967157061145942</v>
      </c>
      <c r="AR806" s="9">
        <f t="shared" ca="1" si="2235"/>
        <v>135.71428571428572</v>
      </c>
      <c r="AS806" s="76"/>
      <c r="AT806" s="76"/>
    </row>
    <row r="807" spans="1:46" ht="15.75" customHeight="1" x14ac:dyDescent="0.2">
      <c r="A807" s="70"/>
      <c r="B807" s="98" t="s">
        <v>33</v>
      </c>
      <c r="C807" s="98">
        <v>18</v>
      </c>
      <c r="D807" s="98">
        <f t="shared" ref="D807:M807" si="2242">SUM(D789:D806)</f>
        <v>585</v>
      </c>
      <c r="E807" s="74">
        <f t="shared" ca="1" si="2242"/>
        <v>573</v>
      </c>
      <c r="F807" s="99">
        <f t="shared" ca="1" si="2242"/>
        <v>112905.93099999988</v>
      </c>
      <c r="G807" s="74">
        <f t="shared" ca="1" si="2242"/>
        <v>43290</v>
      </c>
      <c r="H807" s="74">
        <f t="shared" ca="1" si="2242"/>
        <v>791</v>
      </c>
      <c r="I807" s="74">
        <f t="shared" ca="1" si="2242"/>
        <v>44081</v>
      </c>
      <c r="J807" s="74">
        <f t="shared" ca="1" si="2242"/>
        <v>56198</v>
      </c>
      <c r="K807" s="74">
        <f t="shared" ca="1" si="2242"/>
        <v>1565</v>
      </c>
      <c r="L807" s="74">
        <f t="shared" ca="1" si="2242"/>
        <v>57763</v>
      </c>
      <c r="M807" s="74">
        <f t="shared" ca="1" si="2242"/>
        <v>101844</v>
      </c>
      <c r="N807" s="99">
        <f t="shared" ca="1" si="2190"/>
        <v>197.04350959860363</v>
      </c>
      <c r="O807" s="98">
        <f>SUM(O789:O806)</f>
        <v>126399</v>
      </c>
      <c r="P807" s="69">
        <f t="shared" ca="1" si="2191"/>
        <v>0.8057342225808749</v>
      </c>
      <c r="Q807" s="72">
        <v>1.5</v>
      </c>
      <c r="R807" s="69">
        <f t="shared" ca="1" si="2192"/>
        <v>0.6013501629068545</v>
      </c>
      <c r="S807" s="73">
        <f t="shared" ca="1" si="2193"/>
        <v>0.90202524436028175</v>
      </c>
      <c r="T807" s="72">
        <f ca="1">SUM(T789:T806)</f>
        <v>4157.1099844577393</v>
      </c>
      <c r="U807" s="72">
        <f t="shared" ca="1" si="2194"/>
        <v>7.2549912468721454</v>
      </c>
      <c r="V807" s="74">
        <f t="shared" ca="1" si="2195"/>
        <v>177.73821989528795</v>
      </c>
      <c r="W807" s="76"/>
      <c r="X807" s="8">
        <v>4</v>
      </c>
      <c r="Y807" s="8" t="s">
        <v>37</v>
      </c>
      <c r="Z807" s="8">
        <f t="shared" ref="Z807:AI807" si="2243">SUM(D798)</f>
        <v>30</v>
      </c>
      <c r="AA807" s="9">
        <f t="shared" ca="1" si="2243"/>
        <v>30</v>
      </c>
      <c r="AB807" s="10">
        <f t="shared" ca="1" si="2243"/>
        <v>5773.9139999999998</v>
      </c>
      <c r="AC807" s="9">
        <f t="shared" ca="1" si="2243"/>
        <v>2212</v>
      </c>
      <c r="AD807" s="9">
        <f t="shared" ca="1" si="2243"/>
        <v>0</v>
      </c>
      <c r="AE807" s="9">
        <f t="shared" ca="1" si="2243"/>
        <v>2212</v>
      </c>
      <c r="AF807" s="9">
        <f t="shared" ca="1" si="2243"/>
        <v>2860</v>
      </c>
      <c r="AG807" s="9">
        <f t="shared" ca="1" si="2243"/>
        <v>0</v>
      </c>
      <c r="AH807" s="9">
        <f t="shared" ca="1" si="2243"/>
        <v>2860</v>
      </c>
      <c r="AI807" s="9">
        <f t="shared" ca="1" si="2243"/>
        <v>5072</v>
      </c>
      <c r="AJ807" s="11">
        <f t="shared" ca="1" si="2230"/>
        <v>192.46379999999999</v>
      </c>
      <c r="AK807" s="8">
        <f t="shared" si="2239"/>
        <v>5887</v>
      </c>
      <c r="AL807" s="12">
        <f t="shared" ca="1" si="2231"/>
        <v>0.86155936809920164</v>
      </c>
      <c r="AM807" s="13">
        <f t="shared" si="2240"/>
        <v>1.5</v>
      </c>
      <c r="AN807" s="12">
        <f t="shared" ca="1" si="2232"/>
        <v>0.58562239294408147</v>
      </c>
      <c r="AO807" s="14">
        <f t="shared" ca="1" si="2233"/>
        <v>0.87843358941612226</v>
      </c>
      <c r="AP807" s="13">
        <f t="shared" ref="AP807:AQ807" ca="1" si="2244">SUM(T798)</f>
        <v>232.89424007744432</v>
      </c>
      <c r="AQ807" s="13">
        <f t="shared" ca="1" si="2244"/>
        <v>7.7631413359148107</v>
      </c>
      <c r="AR807" s="9">
        <f t="shared" ca="1" si="2235"/>
        <v>169.06666666666666</v>
      </c>
      <c r="AS807" s="76"/>
      <c r="AT807" s="76"/>
    </row>
    <row r="808" spans="1:46" ht="15.75" customHeight="1" x14ac:dyDescent="0.2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6"/>
      <c r="X808" s="8">
        <v>5</v>
      </c>
      <c r="Y808" s="8" t="s">
        <v>39</v>
      </c>
      <c r="Z808" s="8">
        <f t="shared" ref="Z808:AI808" si="2245">SUM(D799)</f>
        <v>28</v>
      </c>
      <c r="AA808" s="9">
        <f t="shared" ca="1" si="2245"/>
        <v>27</v>
      </c>
      <c r="AB808" s="10">
        <f t="shared" ca="1" si="2245"/>
        <v>5232.607</v>
      </c>
      <c r="AC808" s="9">
        <f t="shared" ca="1" si="2245"/>
        <v>1238</v>
      </c>
      <c r="AD808" s="9">
        <f t="shared" ca="1" si="2245"/>
        <v>0</v>
      </c>
      <c r="AE808" s="9">
        <f t="shared" ca="1" si="2245"/>
        <v>1238</v>
      </c>
      <c r="AF808" s="9">
        <f t="shared" ca="1" si="2245"/>
        <v>1433</v>
      </c>
      <c r="AG808" s="9">
        <f t="shared" ca="1" si="2245"/>
        <v>153</v>
      </c>
      <c r="AH808" s="9">
        <f t="shared" ca="1" si="2245"/>
        <v>1586</v>
      </c>
      <c r="AI808" s="9">
        <f t="shared" ca="1" si="2245"/>
        <v>2824</v>
      </c>
      <c r="AJ808" s="11">
        <f t="shared" ca="1" si="2230"/>
        <v>193.80025925925926</v>
      </c>
      <c r="AK808" s="8">
        <f t="shared" si="2239"/>
        <v>3569</v>
      </c>
      <c r="AL808" s="12">
        <f t="shared" ca="1" si="2231"/>
        <v>0.79125805547772488</v>
      </c>
      <c r="AM808" s="13">
        <f t="shared" si="2240"/>
        <v>1.5</v>
      </c>
      <c r="AN808" s="12">
        <f t="shared" ca="1" si="2232"/>
        <v>0.35979515883127983</v>
      </c>
      <c r="AO808" s="14">
        <f t="shared" ca="1" si="2233"/>
        <v>0.53969273824691977</v>
      </c>
      <c r="AP808" s="13">
        <f t="shared" ref="AP808:AQ808" ca="1" si="2246">SUM(T799)</f>
        <v>243.7966267530168</v>
      </c>
      <c r="AQ808" s="13">
        <f t="shared" ca="1" si="2246"/>
        <v>9.0295046945561772</v>
      </c>
      <c r="AR808" s="9">
        <f t="shared" ca="1" si="2235"/>
        <v>104.5925925925926</v>
      </c>
      <c r="AS808" s="76"/>
      <c r="AT808" s="76"/>
    </row>
    <row r="809" spans="1:46" ht="15.75" customHeight="1" x14ac:dyDescent="0.2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6"/>
      <c r="X809" s="8">
        <v>6</v>
      </c>
      <c r="Y809" s="8" t="s">
        <v>41</v>
      </c>
      <c r="Z809" s="8">
        <f t="shared" ref="Z809:AI809" si="2247">SUM(D800)</f>
        <v>24</v>
      </c>
      <c r="AA809" s="9">
        <f t="shared" ca="1" si="2247"/>
        <v>23</v>
      </c>
      <c r="AB809" s="10">
        <f t="shared" ca="1" si="2247"/>
        <v>4569.2960000000003</v>
      </c>
      <c r="AC809" s="9">
        <f t="shared" ca="1" si="2247"/>
        <v>1202</v>
      </c>
      <c r="AD809" s="9">
        <f t="shared" ca="1" si="2247"/>
        <v>0</v>
      </c>
      <c r="AE809" s="9">
        <f t="shared" ca="1" si="2247"/>
        <v>1202</v>
      </c>
      <c r="AF809" s="9">
        <f t="shared" ca="1" si="2247"/>
        <v>1401</v>
      </c>
      <c r="AG809" s="9">
        <f t="shared" ca="1" si="2247"/>
        <v>295</v>
      </c>
      <c r="AH809" s="9">
        <f t="shared" ca="1" si="2247"/>
        <v>1696</v>
      </c>
      <c r="AI809" s="9">
        <f t="shared" ca="1" si="2247"/>
        <v>2898</v>
      </c>
      <c r="AJ809" s="11">
        <f t="shared" ca="1" si="2230"/>
        <v>198.66504347826088</v>
      </c>
      <c r="AK809" s="8">
        <f t="shared" si="2239"/>
        <v>3801</v>
      </c>
      <c r="AL809" s="12">
        <f t="shared" ca="1" si="2231"/>
        <v>0.76243093922651939</v>
      </c>
      <c r="AM809" s="13">
        <f t="shared" si="2240"/>
        <v>1.5</v>
      </c>
      <c r="AN809" s="12">
        <f t="shared" ca="1" si="2232"/>
        <v>0.42282224657802864</v>
      </c>
      <c r="AO809" s="14">
        <f t="shared" ca="1" si="2233"/>
        <v>0.63423336986704293</v>
      </c>
      <c r="AP809" s="13">
        <f t="shared" ref="AP809:AQ809" ca="1" si="2248">SUM(T800)</f>
        <v>154.22222222222223</v>
      </c>
      <c r="AQ809" s="13">
        <f t="shared" ca="1" si="2248"/>
        <v>6.7053140096618362</v>
      </c>
      <c r="AR809" s="9">
        <f t="shared" ca="1" si="2235"/>
        <v>126</v>
      </c>
      <c r="AS809" s="76"/>
      <c r="AT809" s="76"/>
    </row>
    <row r="810" spans="1:46" ht="15.75" customHeight="1" x14ac:dyDescent="0.25">
      <c r="A810" s="110" t="s">
        <v>45</v>
      </c>
      <c r="B810" s="76"/>
      <c r="C810" s="76"/>
      <c r="D810" s="75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24" t="s">
        <v>33</v>
      </c>
      <c r="Y810" s="24">
        <v>6</v>
      </c>
      <c r="Z810" s="24">
        <f t="shared" ref="Z810:AI810" si="2249">SUM(Z804:Z809)</f>
        <v>173</v>
      </c>
      <c r="AA810" s="25">
        <f t="shared" ca="1" si="2249"/>
        <v>170</v>
      </c>
      <c r="AB810" s="27">
        <f t="shared" ca="1" si="2249"/>
        <v>33112.744999999988</v>
      </c>
      <c r="AC810" s="25">
        <f t="shared" ca="1" si="2249"/>
        <v>13336</v>
      </c>
      <c r="AD810" s="25">
        <f t="shared" ca="1" si="2249"/>
        <v>0</v>
      </c>
      <c r="AE810" s="25">
        <f t="shared" ca="1" si="2249"/>
        <v>13336</v>
      </c>
      <c r="AF810" s="25">
        <f t="shared" ca="1" si="2249"/>
        <v>16341</v>
      </c>
      <c r="AG810" s="25">
        <f t="shared" ca="1" si="2249"/>
        <v>448</v>
      </c>
      <c r="AH810" s="25">
        <f t="shared" ca="1" si="2249"/>
        <v>16789</v>
      </c>
      <c r="AI810" s="25">
        <f t="shared" ca="1" si="2249"/>
        <v>30125</v>
      </c>
      <c r="AJ810" s="27">
        <f t="shared" ca="1" si="2230"/>
        <v>194.78085294117639</v>
      </c>
      <c r="AK810" s="24">
        <f>SUM(AK804:AK809)</f>
        <v>37031</v>
      </c>
      <c r="AL810" s="28">
        <f t="shared" ca="1" si="2231"/>
        <v>0.81350760173908343</v>
      </c>
      <c r="AM810" s="29">
        <v>1.5</v>
      </c>
      <c r="AN810" s="28">
        <f t="shared" ca="1" si="2232"/>
        <v>0.60651369535607336</v>
      </c>
      <c r="AO810" s="30">
        <f t="shared" ca="1" si="2233"/>
        <v>0.90977054303410998</v>
      </c>
      <c r="AP810" s="29">
        <f ca="1">SUM(AP804:AP809)</f>
        <v>1369.8064121331049</v>
      </c>
      <c r="AQ810" s="29">
        <f ca="1">AP810/AA810</f>
        <v>8.0576847772535576</v>
      </c>
      <c r="AR810" s="25">
        <f t="shared" ca="1" si="2235"/>
        <v>177.20588235294119</v>
      </c>
      <c r="AS810" s="76"/>
      <c r="AT810" s="76"/>
    </row>
    <row r="811" spans="1:46" ht="15.75" customHeight="1" x14ac:dyDescent="0.2">
      <c r="A811" s="110" t="s">
        <v>45</v>
      </c>
      <c r="B811" s="76"/>
      <c r="C811" s="76"/>
      <c r="D811" s="75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7" t="s">
        <v>1</v>
      </c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9"/>
      <c r="AS811" s="76"/>
      <c r="AT811" s="76"/>
    </row>
    <row r="812" spans="1:46" ht="15.75" customHeight="1" x14ac:dyDescent="0.2">
      <c r="A812" s="109">
        <v>46234</v>
      </c>
      <c r="B812" s="80" t="s">
        <v>2</v>
      </c>
      <c r="C812" s="80" t="s">
        <v>3</v>
      </c>
      <c r="D812" s="80" t="s">
        <v>4</v>
      </c>
      <c r="E812" s="80" t="s">
        <v>5</v>
      </c>
      <c r="F812" s="81" t="s">
        <v>6</v>
      </c>
      <c r="G812" s="80" t="s">
        <v>7</v>
      </c>
      <c r="H812" s="80" t="s">
        <v>8</v>
      </c>
      <c r="I812" s="80" t="s">
        <v>9</v>
      </c>
      <c r="J812" s="80" t="s">
        <v>10</v>
      </c>
      <c r="K812" s="80" t="s">
        <v>11</v>
      </c>
      <c r="L812" s="80" t="s">
        <v>12</v>
      </c>
      <c r="M812" s="80" t="s">
        <v>13</v>
      </c>
      <c r="N812" s="81" t="s">
        <v>14</v>
      </c>
      <c r="O812" s="80" t="s">
        <v>15</v>
      </c>
      <c r="P812" s="80" t="s">
        <v>16</v>
      </c>
      <c r="Q812" s="80" t="s">
        <v>17</v>
      </c>
      <c r="R812" s="80" t="s">
        <v>18</v>
      </c>
      <c r="S812" s="106" t="s">
        <v>19</v>
      </c>
      <c r="T812" s="107" t="s">
        <v>20</v>
      </c>
      <c r="U812" s="107" t="s">
        <v>21</v>
      </c>
      <c r="V812" s="105" t="s">
        <v>22</v>
      </c>
      <c r="W812" s="76"/>
      <c r="X812" s="1" t="s">
        <v>2</v>
      </c>
      <c r="Y812" s="1" t="s">
        <v>3</v>
      </c>
      <c r="Z812" s="1" t="s">
        <v>4</v>
      </c>
      <c r="AA812" s="1" t="s">
        <v>5</v>
      </c>
      <c r="AB812" s="2" t="s">
        <v>6</v>
      </c>
      <c r="AC812" s="1" t="s">
        <v>7</v>
      </c>
      <c r="AD812" s="1" t="s">
        <v>8</v>
      </c>
      <c r="AE812" s="1" t="s">
        <v>9</v>
      </c>
      <c r="AF812" s="1" t="s">
        <v>10</v>
      </c>
      <c r="AG812" s="1" t="s">
        <v>11</v>
      </c>
      <c r="AH812" s="1" t="s">
        <v>12</v>
      </c>
      <c r="AI812" s="1" t="s">
        <v>13</v>
      </c>
      <c r="AJ812" s="2" t="s">
        <v>14</v>
      </c>
      <c r="AK812" s="1" t="s">
        <v>15</v>
      </c>
      <c r="AL812" s="1" t="s">
        <v>16</v>
      </c>
      <c r="AM812" s="3" t="s">
        <v>17</v>
      </c>
      <c r="AN812" s="4" t="s">
        <v>18</v>
      </c>
      <c r="AO812" s="5" t="s">
        <v>19</v>
      </c>
      <c r="AP812" s="6" t="s">
        <v>20</v>
      </c>
      <c r="AQ812" s="6" t="s">
        <v>21</v>
      </c>
      <c r="AR812" s="7" t="s">
        <v>22</v>
      </c>
      <c r="AS812" s="76"/>
      <c r="AT812" s="76"/>
    </row>
    <row r="813" spans="1:46" ht="15.75" customHeight="1" x14ac:dyDescent="0.2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6"/>
      <c r="X813" s="8">
        <v>1</v>
      </c>
      <c r="Y813" s="8" t="s">
        <v>23</v>
      </c>
      <c r="Z813" s="8">
        <f t="shared" ref="Z813:AI813" si="2250">SUM(D821)</f>
        <v>35</v>
      </c>
      <c r="AA813" s="9">
        <f t="shared" ca="1" si="2250"/>
        <v>35</v>
      </c>
      <c r="AB813" s="10">
        <f t="shared" ca="1" si="2250"/>
        <v>6849.2199999999903</v>
      </c>
      <c r="AC813" s="9">
        <f t="shared" ca="1" si="2250"/>
        <v>1659</v>
      </c>
      <c r="AD813" s="9">
        <f t="shared" ca="1" si="2250"/>
        <v>0</v>
      </c>
      <c r="AE813" s="9">
        <f t="shared" ca="1" si="2250"/>
        <v>1659</v>
      </c>
      <c r="AF813" s="9">
        <f t="shared" ca="1" si="2250"/>
        <v>3150</v>
      </c>
      <c r="AG813" s="9">
        <f t="shared" ca="1" si="2250"/>
        <v>0</v>
      </c>
      <c r="AH813" s="9">
        <f t="shared" ca="1" si="2250"/>
        <v>3150</v>
      </c>
      <c r="AI813" s="9">
        <f t="shared" ca="1" si="2250"/>
        <v>4809</v>
      </c>
      <c r="AJ813" s="11">
        <f t="shared" ref="AJ813:AJ815" ca="1" si="2251">AB813/AA813</f>
        <v>195.69199999999972</v>
      </c>
      <c r="AK813" s="8">
        <f>SUM(O821)</f>
        <v>6853</v>
      </c>
      <c r="AL813" s="12">
        <f t="shared" ref="AL813:AL819" ca="1" si="2252">AI813/AK813</f>
        <v>0.70173646578140958</v>
      </c>
      <c r="AM813" s="13">
        <f t="shared" ref="AM813:AM815" si="2253">SUM(Q821)</f>
        <v>1.5</v>
      </c>
      <c r="AN813" s="12">
        <f t="shared" ref="AN813:AN819" ca="1" si="2254">AO813/AM813</f>
        <v>0.46808249698505883</v>
      </c>
      <c r="AO813" s="14">
        <f t="shared" ref="AO813:AO819" ca="1" si="2255">AI813/AB813</f>
        <v>0.70212374547758827</v>
      </c>
      <c r="AP813" s="13">
        <f t="shared" ref="AP813:AQ813" ca="1" si="2256">SUM(T821)</f>
        <v>202.99999999999969</v>
      </c>
      <c r="AQ813" s="13">
        <f t="shared" ca="1" si="2256"/>
        <v>5.7999999999999909</v>
      </c>
      <c r="AR813" s="9">
        <f t="shared" ref="AR813:AR819" ca="1" si="2257">AI813/AA813</f>
        <v>137.4</v>
      </c>
      <c r="AS813" s="76"/>
      <c r="AT813" s="76"/>
    </row>
    <row r="814" spans="1:46" ht="15.75" customHeight="1" x14ac:dyDescent="0.2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6"/>
      <c r="X814" s="8">
        <v>2</v>
      </c>
      <c r="Y814" s="8" t="s">
        <v>24</v>
      </c>
      <c r="Z814" s="8">
        <f t="shared" ref="Z814:AI814" si="2258">SUM(D822)</f>
        <v>44</v>
      </c>
      <c r="AA814" s="9">
        <f t="shared" ca="1" si="2258"/>
        <v>43</v>
      </c>
      <c r="AB814" s="10">
        <f t="shared" ca="1" si="2258"/>
        <v>8349.0019999999895</v>
      </c>
      <c r="AC814" s="9">
        <f t="shared" ca="1" si="2258"/>
        <v>1814</v>
      </c>
      <c r="AD814" s="9">
        <f t="shared" ca="1" si="2258"/>
        <v>0</v>
      </c>
      <c r="AE814" s="9">
        <f t="shared" ca="1" si="2258"/>
        <v>1814</v>
      </c>
      <c r="AF814" s="9">
        <f t="shared" ca="1" si="2258"/>
        <v>737</v>
      </c>
      <c r="AG814" s="9">
        <f t="shared" ca="1" si="2258"/>
        <v>16</v>
      </c>
      <c r="AH814" s="9">
        <f t="shared" ca="1" si="2258"/>
        <v>753</v>
      </c>
      <c r="AI814" s="9">
        <f t="shared" ca="1" si="2258"/>
        <v>2567</v>
      </c>
      <c r="AJ814" s="11">
        <f t="shared" ca="1" si="2251"/>
        <v>194.16283720930207</v>
      </c>
      <c r="AK814" s="8">
        <v>1580</v>
      </c>
      <c r="AL814" s="15">
        <f t="shared" ca="1" si="2252"/>
        <v>1.6246835443037975</v>
      </c>
      <c r="AM814" s="13">
        <f t="shared" si="2253"/>
        <v>1.5</v>
      </c>
      <c r="AN814" s="12">
        <f t="shared" ca="1" si="2254"/>
        <v>0.20497459856080227</v>
      </c>
      <c r="AO814" s="14">
        <f t="shared" ca="1" si="2255"/>
        <v>0.30746189784120342</v>
      </c>
      <c r="AP814" s="13">
        <f t="shared" ref="AP814:AQ814" ca="1" si="2259">SUM(T822)</f>
        <v>311.47181495989514</v>
      </c>
      <c r="AQ814" s="13">
        <f t="shared" ca="1" si="2259"/>
        <v>7.2435305804626777</v>
      </c>
      <c r="AR814" s="9">
        <f t="shared" ca="1" si="2257"/>
        <v>59.697674418604649</v>
      </c>
      <c r="AS814" s="76"/>
      <c r="AT814" s="76"/>
    </row>
    <row r="815" spans="1:46" ht="15.75" customHeight="1" x14ac:dyDescent="0.2">
      <c r="A815" s="70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6"/>
      <c r="X815" s="8">
        <v>3</v>
      </c>
      <c r="Y815" s="8" t="s">
        <v>25</v>
      </c>
      <c r="Z815" s="8">
        <f t="shared" ref="Z815:AI815" si="2260">SUM(D823)</f>
        <v>32</v>
      </c>
      <c r="AA815" s="9">
        <f t="shared" ca="1" si="2260"/>
        <v>32</v>
      </c>
      <c r="AB815" s="10">
        <f t="shared" ca="1" si="2260"/>
        <v>6027.5559999999996</v>
      </c>
      <c r="AC815" s="9">
        <f t="shared" ca="1" si="2260"/>
        <v>2255</v>
      </c>
      <c r="AD815" s="9">
        <f t="shared" ca="1" si="2260"/>
        <v>314</v>
      </c>
      <c r="AE815" s="9">
        <f t="shared" ca="1" si="2260"/>
        <v>2569</v>
      </c>
      <c r="AF815" s="9">
        <f t="shared" ca="1" si="2260"/>
        <v>3799</v>
      </c>
      <c r="AG815" s="9">
        <f t="shared" ca="1" si="2260"/>
        <v>407</v>
      </c>
      <c r="AH815" s="9">
        <f t="shared" ca="1" si="2260"/>
        <v>4206</v>
      </c>
      <c r="AI815" s="9">
        <f t="shared" ca="1" si="2260"/>
        <v>6775</v>
      </c>
      <c r="AJ815" s="11">
        <f t="shared" ca="1" si="2251"/>
        <v>188.36112499999999</v>
      </c>
      <c r="AK815" s="8">
        <f>SUM(O823)</f>
        <v>6622</v>
      </c>
      <c r="AL815" s="15">
        <f t="shared" ca="1" si="2252"/>
        <v>1.0231048021745697</v>
      </c>
      <c r="AM815" s="13">
        <f t="shared" si="2253"/>
        <v>1.5</v>
      </c>
      <c r="AN815" s="12">
        <f t="shared" ca="1" si="2254"/>
        <v>0.74933632581209819</v>
      </c>
      <c r="AO815" s="14">
        <f t="shared" ca="1" si="2255"/>
        <v>1.1240044887181473</v>
      </c>
      <c r="AP815" s="13">
        <f t="shared" ref="AP815:AQ815" ca="1" si="2261">SUM(T823)</f>
        <v>252.83372483221476</v>
      </c>
      <c r="AQ815" s="13">
        <f t="shared" ca="1" si="2261"/>
        <v>7.9010539010067111</v>
      </c>
      <c r="AR815" s="9">
        <f t="shared" ca="1" si="2257"/>
        <v>211.71875</v>
      </c>
      <c r="AS815" s="76"/>
      <c r="AT815" s="76"/>
    </row>
    <row r="816" spans="1:46" ht="15.75" customHeight="1" x14ac:dyDescent="0.25">
      <c r="A816" s="70"/>
      <c r="B816" s="16">
        <v>1</v>
      </c>
      <c r="C816" s="16" t="s">
        <v>26</v>
      </c>
      <c r="D816" s="17">
        <v>20</v>
      </c>
      <c r="E816" s="18">
        <f ca="1">IFERROR(__xludf.DUMMYFUNCTION("COUNT(IMPORTRANGE(""https://docs.google.com/spreadsheets/d/1z0o91thOT38lgejTE_Bd2p3v_9VCDdQRkUsMIVqpQCk/edit"",""31!d2:d21""))"),19)</f>
        <v>19</v>
      </c>
      <c r="F816" s="19">
        <f ca="1">IFERROR(__xludf.DUMMYFUNCTION("SUM(IMPORTRANGE(""https://docs.google.com/spreadsheets/d/1z0o91thOT38lgejTE_Bd2p3v_9VCDdQRkUsMIVqpQCk/edit"",""31!Q2:Q21""))"),3568.248)</f>
        <v>3568.248</v>
      </c>
      <c r="G816" s="18">
        <f ca="1">IFERROR(__xludf.DUMMYFUNCTION("IMPORTRANGE(""https://docs.google.com/spreadsheets/d/1z0o91thOT38lgejTE_Bd2p3v_9VCDdQRkUsMIVqpQCk/edit"",""31!e28"")"),2378)</f>
        <v>2378</v>
      </c>
      <c r="H816" s="18">
        <f ca="1">IFERROR(__xludf.DUMMYFUNCTION("IMPORTRANGE(""https://docs.google.com/spreadsheets/d/1z0o91thOT38lgejTE_Bd2p3v_9VCDdQRkUsMIVqpQCk/edit"",""31!e29"")"),0)</f>
        <v>0</v>
      </c>
      <c r="I816" s="18">
        <f t="shared" ref="I816:I833" ca="1" si="2262">SUM(G816:H816)</f>
        <v>2378</v>
      </c>
      <c r="J816" s="18">
        <f ca="1">IFERROR(__xludf.DUMMYFUNCTION("IMPORTRANGE(""https://docs.google.com/spreadsheets/d/1z0o91thOT38lgejTE_Bd2p3v_9VCDdQRkUsMIVqpQCk/edit"",""31!e32"")"),2818)</f>
        <v>2818</v>
      </c>
      <c r="K816" s="18">
        <f ca="1">IFERROR(__xludf.DUMMYFUNCTION("IMPORTRANGE(""https://docs.google.com/spreadsheets/d/1z0o91thOT38lgejTE_Bd2p3v_9VCDdQRkUsMIVqpQCk/edit"",""31!e33"")"),0)</f>
        <v>0</v>
      </c>
      <c r="L816" s="18">
        <f t="shared" ref="L816:L822" ca="1" si="2263">SUM(J816:K816)</f>
        <v>2818</v>
      </c>
      <c r="M816" s="18">
        <f t="shared" ref="M816:M833" ca="1" si="2264">SUM(I816+L816)</f>
        <v>5196</v>
      </c>
      <c r="N816" s="19">
        <f t="shared" ref="N816:N834" ca="1" si="2265">F816/E816</f>
        <v>187.80252631578946</v>
      </c>
      <c r="O816" s="16">
        <v>5161</v>
      </c>
      <c r="P816" s="33">
        <f t="shared" ref="P816:P834" ca="1" si="2266">M816/O816</f>
        <v>1.0067816314667699</v>
      </c>
      <c r="Q816" s="21">
        <v>1.5</v>
      </c>
      <c r="R816" s="20">
        <f t="shared" ref="R816:R834" ca="1" si="2267">S816/Q816</f>
        <v>0.970784541881618</v>
      </c>
      <c r="S816" s="22">
        <f t="shared" ref="S816:S834" ca="1" si="2268">M816/F816</f>
        <v>1.4561768128224271</v>
      </c>
      <c r="T816" s="21">
        <f ca="1">F816/14.415</f>
        <v>247.53714880332987</v>
      </c>
      <c r="U816" s="21">
        <f t="shared" ref="U816:U834" ca="1" si="2269">T816/E816</f>
        <v>13.02827098964894</v>
      </c>
      <c r="V816" s="18">
        <f t="shared" ref="V816:V834" ca="1" si="2270">M816/E816</f>
        <v>273.4736842105263</v>
      </c>
      <c r="W816" s="76"/>
      <c r="X816" s="8">
        <v>4</v>
      </c>
      <c r="Y816" s="8" t="s">
        <v>27</v>
      </c>
      <c r="Z816" s="8">
        <f t="shared" ref="Z816:AK816" si="2271">SUM(D829)</f>
        <v>30</v>
      </c>
      <c r="AA816" s="9">
        <f t="shared" ca="1" si="2271"/>
        <v>28</v>
      </c>
      <c r="AB816" s="10">
        <f t="shared" ca="1" si="2271"/>
        <v>5152.0230000000001</v>
      </c>
      <c r="AC816" s="9">
        <f t="shared" ca="1" si="2271"/>
        <v>2406</v>
      </c>
      <c r="AD816" s="9">
        <f t="shared" ca="1" si="2271"/>
        <v>0</v>
      </c>
      <c r="AE816" s="9">
        <f t="shared" ca="1" si="2271"/>
        <v>2406</v>
      </c>
      <c r="AF816" s="9">
        <f t="shared" ca="1" si="2271"/>
        <v>3035</v>
      </c>
      <c r="AG816" s="9">
        <f t="shared" ca="1" si="2271"/>
        <v>0</v>
      </c>
      <c r="AH816" s="9">
        <f t="shared" ca="1" si="2271"/>
        <v>3035</v>
      </c>
      <c r="AI816" s="9">
        <f t="shared" ca="1" si="2271"/>
        <v>5441</v>
      </c>
      <c r="AJ816" s="11">
        <f t="shared" ca="1" si="2271"/>
        <v>184.00082142857144</v>
      </c>
      <c r="AK816" s="8">
        <f t="shared" si="2271"/>
        <v>8101</v>
      </c>
      <c r="AL816" s="12">
        <f t="shared" ca="1" si="2252"/>
        <v>0.67164547586717693</v>
      </c>
      <c r="AM816" s="13">
        <f>SUM(Q829)</f>
        <v>1.5</v>
      </c>
      <c r="AN816" s="12">
        <f t="shared" ca="1" si="2254"/>
        <v>0.70406000387291234</v>
      </c>
      <c r="AO816" s="14">
        <f t="shared" ca="1" si="2255"/>
        <v>1.0560900058093685</v>
      </c>
      <c r="AP816" s="13">
        <f t="shared" ref="AP816:AQ816" ca="1" si="2272">SUM(T829)</f>
        <v>257.79449587190396</v>
      </c>
      <c r="AQ816" s="13">
        <f t="shared" ca="1" si="2272"/>
        <v>9.2069462811394267</v>
      </c>
      <c r="AR816" s="9">
        <f t="shared" ca="1" si="2257"/>
        <v>194.32142857142858</v>
      </c>
      <c r="AS816" s="76"/>
      <c r="AT816" s="76"/>
    </row>
    <row r="817" spans="1:46" ht="15.75" customHeight="1" x14ac:dyDescent="0.25">
      <c r="A817" s="70"/>
      <c r="B817" s="16">
        <v>2</v>
      </c>
      <c r="C817" s="16" t="s">
        <v>28</v>
      </c>
      <c r="D817" s="44">
        <v>33</v>
      </c>
      <c r="E817" s="18">
        <f ca="1">IFERROR(__xludf.DUMMYFUNCTION("COUNT(IMPORTRANGE(""https://docs.google.com/spreadsheets/d/10a85iNN0y9GF6ngQfF1JXGAzFk-T7ywH4-TZtQcOTaE/edit"",""31!d2:d34""))"),32)</f>
        <v>32</v>
      </c>
      <c r="F817" s="19">
        <f ca="1">IFERROR(__xludf.DUMMYFUNCTION("SUM(IMPORTRANGE(""https://docs.google.com/spreadsheets/d/10a85iNN0y9GF6ngQfF1JXGAzFk-T7ywH4-TZtQcOTaE/edit"",""31!Q2:Q34""))"),6343.45099999999)</f>
        <v>6343.45099999999</v>
      </c>
      <c r="G817" s="18">
        <f ca="1">IFERROR(__xludf.DUMMYFUNCTION("IMPORTRANGE(""https://docs.google.com/spreadsheets/d/10a85iNN0y9GF6ngQfF1JXGAzFk-T7ywH4-TZtQcOTaE/edit"",""31!e41"")"),3000)</f>
        <v>3000</v>
      </c>
      <c r="H817" s="18">
        <f ca="1">IFERROR(__xludf.DUMMYFUNCTION("IMPORTRANGE(""https://docs.google.com/spreadsheets/d/10a85iNN0y9GF6ngQfF1JXGAzFk-T7ywH4-TZtQcOTaE/edit"",""31!e42"")"),141)</f>
        <v>141</v>
      </c>
      <c r="I817" s="18">
        <f t="shared" ca="1" si="2262"/>
        <v>3141</v>
      </c>
      <c r="J817" s="18">
        <f ca="1">IFERROR(__xludf.DUMMYFUNCTION("IMPORTRANGE(""https://docs.google.com/spreadsheets/d/10a85iNN0y9GF6ngQfF1JXGAzFk-T7ywH4-TZtQcOTaE/edit"",""31!e45"")"),2808)</f>
        <v>2808</v>
      </c>
      <c r="K817" s="18">
        <f ca="1">IFERROR(__xludf.DUMMYFUNCTION("IMPORTRANGE(""https://docs.google.com/spreadsheets/d/10a85iNN0y9GF6ngQfF1JXGAzFk-T7ywH4-TZtQcOTaE/edit"",""31!e46"")"),116)</f>
        <v>116</v>
      </c>
      <c r="L817" s="18">
        <f t="shared" ca="1" si="2263"/>
        <v>2924</v>
      </c>
      <c r="M817" s="18">
        <f t="shared" ca="1" si="2264"/>
        <v>6065</v>
      </c>
      <c r="N817" s="19">
        <f t="shared" ca="1" si="2265"/>
        <v>198.23284374999969</v>
      </c>
      <c r="O817" s="16">
        <v>7315</v>
      </c>
      <c r="P817" s="20">
        <f t="shared" ca="1" si="2266"/>
        <v>0.8291182501708817</v>
      </c>
      <c r="Q817" s="21">
        <v>1.5</v>
      </c>
      <c r="R817" s="20">
        <f t="shared" ca="1" si="2267"/>
        <v>0.63740278490893043</v>
      </c>
      <c r="S817" s="22">
        <f t="shared" ca="1" si="2268"/>
        <v>0.9561041773633957</v>
      </c>
      <c r="T817" s="21">
        <f ca="1">F817/30.897</f>
        <v>205.3096093471855</v>
      </c>
      <c r="U817" s="21">
        <f t="shared" ca="1" si="2269"/>
        <v>6.4159252920995469</v>
      </c>
      <c r="V817" s="18">
        <f t="shared" ca="1" si="2270"/>
        <v>189.53125</v>
      </c>
      <c r="W817" s="76"/>
      <c r="X817" s="8">
        <v>5</v>
      </c>
      <c r="Y817" s="8" t="s">
        <v>29</v>
      </c>
      <c r="Z817" s="8">
        <f t="shared" ref="Z817:AI817" si="2273">SUM(D832)</f>
        <v>30</v>
      </c>
      <c r="AA817" s="9">
        <f t="shared" ca="1" si="2273"/>
        <v>29</v>
      </c>
      <c r="AB817" s="10">
        <f t="shared" ca="1" si="2273"/>
        <v>5520.0559999999996</v>
      </c>
      <c r="AC817" s="9">
        <f t="shared" ca="1" si="2273"/>
        <v>2679</v>
      </c>
      <c r="AD817" s="9">
        <f t="shared" ca="1" si="2273"/>
        <v>0</v>
      </c>
      <c r="AE817" s="9">
        <f t="shared" ca="1" si="2273"/>
        <v>2679</v>
      </c>
      <c r="AF817" s="9">
        <f t="shared" ca="1" si="2273"/>
        <v>4222</v>
      </c>
      <c r="AG817" s="9">
        <f t="shared" ca="1" si="2273"/>
        <v>0</v>
      </c>
      <c r="AH817" s="9">
        <f t="shared" ca="1" si="2273"/>
        <v>4222</v>
      </c>
      <c r="AI817" s="9">
        <f t="shared" ca="1" si="2273"/>
        <v>6901</v>
      </c>
      <c r="AJ817" s="11">
        <f t="shared" ref="AJ817:AJ819" ca="1" si="2274">AB817/AA817</f>
        <v>190.34675862068963</v>
      </c>
      <c r="AK817" s="8">
        <f t="shared" ref="AK817:AK818" si="2275">SUM(O832)</f>
        <v>9201</v>
      </c>
      <c r="AL817" s="12">
        <f t="shared" ca="1" si="2252"/>
        <v>0.7500271709596783</v>
      </c>
      <c r="AM817" s="13">
        <f t="shared" ref="AM817:AM818" si="2276">SUM(Q832)</f>
        <v>1.5</v>
      </c>
      <c r="AN817" s="12">
        <f t="shared" ca="1" si="2254"/>
        <v>0.83344565103445811</v>
      </c>
      <c r="AO817" s="14">
        <f t="shared" ca="1" si="2255"/>
        <v>1.2501684765516872</v>
      </c>
      <c r="AP817" s="13">
        <f t="shared" ref="AP817:AQ817" ca="1" si="2277">SUM(T832)</f>
        <v>211.99999999999997</v>
      </c>
      <c r="AQ817" s="13">
        <f t="shared" ca="1" si="2277"/>
        <v>7.3103448275862055</v>
      </c>
      <c r="AR817" s="9">
        <f t="shared" ca="1" si="2257"/>
        <v>237.9655172413793</v>
      </c>
      <c r="AS817" s="76"/>
      <c r="AT817" s="76"/>
    </row>
    <row r="818" spans="1:46" ht="15.75" customHeight="1" x14ac:dyDescent="0.25">
      <c r="A818" s="70"/>
      <c r="B818" s="16">
        <v>3</v>
      </c>
      <c r="C818" s="16" t="s">
        <v>30</v>
      </c>
      <c r="D818" s="44">
        <v>60</v>
      </c>
      <c r="E818" s="18">
        <f ca="1">IFERROR(__xludf.DUMMYFUNCTION("COUNT(IMPORTRANGE(""https://docs.google.com/spreadsheets/d/1WojVzHhpzodJL1e5UDHeu3A3u5MTSZwvxHu0BrwvL9w/edit"",""31!d2:d61""))"),59)</f>
        <v>59</v>
      </c>
      <c r="F818" s="23">
        <f ca="1">IFERROR(__xludf.DUMMYFUNCTION("SUM(IMPORTRANGE(""https://docs.google.com/spreadsheets/d/1WojVzHhpzodJL1e5UDHeu3A3u5MTSZwvxHu0BrwvL9w/edit"",""31!Q2:Q61""))"),11989.2149999999)</f>
        <v>11989.2149999999</v>
      </c>
      <c r="G818" s="18">
        <f ca="1">IFERROR(__xludf.DUMMYFUNCTION("IMPORTRANGE(""https://docs.google.com/spreadsheets/d/1WojVzHhpzodJL1e5UDHeu3A3u5MTSZwvxHu0BrwvL9w/edit"",""31!e68"")"),3289)</f>
        <v>3289</v>
      </c>
      <c r="H818" s="18">
        <f ca="1">IFERROR(__xludf.DUMMYFUNCTION("IMPORTRANGE(""https://docs.google.com/spreadsheets/d/1WojVzHhpzodJL1e5UDHeu3A3u5MTSZwvxHu0BrwvL9w/edit"",""31!e69"")"),0)</f>
        <v>0</v>
      </c>
      <c r="I818" s="18">
        <f t="shared" ca="1" si="2262"/>
        <v>3289</v>
      </c>
      <c r="J818" s="18">
        <f ca="1">IFERROR(__xludf.DUMMYFUNCTION("IMPORTRANGE(""https://docs.google.com/spreadsheets/d/1WojVzHhpzodJL1e5UDHeu3A3u5MTSZwvxHu0BrwvL9w/edit"",""31!e72"")"),5815)</f>
        <v>5815</v>
      </c>
      <c r="K818" s="18">
        <f ca="1">IFERROR(__xludf.DUMMYFUNCTION("IMPORTRANGE(""https://docs.google.com/spreadsheets/d/1WojVzHhpzodJL1e5UDHeu3A3u5MTSZwvxHu0BrwvL9w/edit"",""31!e73"")"),0)</f>
        <v>0</v>
      </c>
      <c r="L818" s="18">
        <f t="shared" ca="1" si="2263"/>
        <v>5815</v>
      </c>
      <c r="M818" s="18">
        <f t="shared" ca="1" si="2264"/>
        <v>9104</v>
      </c>
      <c r="N818" s="19">
        <f t="shared" ca="1" si="2265"/>
        <v>203.20703389830339</v>
      </c>
      <c r="O818" s="16">
        <v>11164</v>
      </c>
      <c r="P818" s="20">
        <f t="shared" ca="1" si="2266"/>
        <v>0.81547832318165536</v>
      </c>
      <c r="Q818" s="21">
        <v>1.5</v>
      </c>
      <c r="R818" s="20">
        <f t="shared" ca="1" si="2267"/>
        <v>0.50623275446585814</v>
      </c>
      <c r="S818" s="22">
        <f t="shared" ca="1" si="2268"/>
        <v>0.75934913169878726</v>
      </c>
      <c r="T818" s="21">
        <f ca="1">F818/29.603</f>
        <v>404.99999999999659</v>
      </c>
      <c r="U818" s="21">
        <f t="shared" ca="1" si="2269"/>
        <v>6.8644067796609596</v>
      </c>
      <c r="V818" s="18">
        <f t="shared" ca="1" si="2270"/>
        <v>154.30508474576271</v>
      </c>
      <c r="W818" s="76"/>
      <c r="X818" s="8">
        <v>6</v>
      </c>
      <c r="Y818" s="8" t="s">
        <v>31</v>
      </c>
      <c r="Z818" s="8">
        <f t="shared" ref="Z818:AI818" si="2278">SUM(D833)</f>
        <v>15</v>
      </c>
      <c r="AA818" s="9">
        <f t="shared" ca="1" si="2278"/>
        <v>14</v>
      </c>
      <c r="AB818" s="11">
        <f t="shared" ca="1" si="2278"/>
        <v>2868.69</v>
      </c>
      <c r="AC818" s="9">
        <f t="shared" ca="1" si="2278"/>
        <v>859</v>
      </c>
      <c r="AD818" s="9">
        <f t="shared" ca="1" si="2278"/>
        <v>11</v>
      </c>
      <c r="AE818" s="9">
        <f t="shared" ca="1" si="2278"/>
        <v>870</v>
      </c>
      <c r="AF818" s="9">
        <f t="shared" ca="1" si="2278"/>
        <v>1192</v>
      </c>
      <c r="AG818" s="9">
        <f t="shared" ca="1" si="2278"/>
        <v>0</v>
      </c>
      <c r="AH818" s="9">
        <f t="shared" ca="1" si="2278"/>
        <v>1192</v>
      </c>
      <c r="AI818" s="9">
        <f t="shared" ca="1" si="2278"/>
        <v>2062</v>
      </c>
      <c r="AJ818" s="11">
        <f t="shared" ca="1" si="2274"/>
        <v>204.90642857142856</v>
      </c>
      <c r="AK818" s="8">
        <f t="shared" si="2275"/>
        <v>2717</v>
      </c>
      <c r="AL818" s="12">
        <f t="shared" ca="1" si="2252"/>
        <v>0.75892528524107472</v>
      </c>
      <c r="AM818" s="13">
        <f t="shared" si="2276"/>
        <v>1.5</v>
      </c>
      <c r="AN818" s="12">
        <f t="shared" ca="1" si="2254"/>
        <v>0.47919666003181471</v>
      </c>
      <c r="AO818" s="14">
        <f t="shared" ca="1" si="2255"/>
        <v>0.71879499004772207</v>
      </c>
      <c r="AP818" s="13">
        <f t="shared" ref="AP818:AQ818" ca="1" si="2279">SUM(T833)</f>
        <v>66</v>
      </c>
      <c r="AQ818" s="13">
        <f t="shared" ca="1" si="2279"/>
        <v>4.7142857142857144</v>
      </c>
      <c r="AR818" s="9">
        <f t="shared" ca="1" si="2257"/>
        <v>147.28571428571428</v>
      </c>
      <c r="AS818" s="76"/>
      <c r="AT818" s="76"/>
    </row>
    <row r="819" spans="1:46" ht="15.75" customHeight="1" x14ac:dyDescent="0.25">
      <c r="A819" s="70"/>
      <c r="B819" s="16">
        <v>4</v>
      </c>
      <c r="C819" s="16" t="s">
        <v>32</v>
      </c>
      <c r="D819" s="44">
        <v>42</v>
      </c>
      <c r="E819" s="18">
        <f ca="1">IFERROR(__xludf.DUMMYFUNCTION("COUNT(IMPORTRANGE(""https://docs.google.com/spreadsheets/d/1vmCj5YcMSPHj1m64syDndQ6cqVL3yolcU03Y8KHmvdc/edit"",""31!d2:d43""))"),41)</f>
        <v>41</v>
      </c>
      <c r="F819" s="23">
        <f ca="1">IFERROR(__xludf.DUMMYFUNCTION("SUM(IMPORTRANGE(""https://docs.google.com/spreadsheets/d/1vmCj5YcMSPHj1m64syDndQ6cqVL3yolcU03Y8KHmvdc/edit"",""31!Q2:Q43""))"),7928.12399999999)</f>
        <v>7928.1239999999898</v>
      </c>
      <c r="G819" s="16">
        <f ca="1">IFERROR(__xludf.DUMMYFUNCTION("IMPORTRANGE(""https://docs.google.com/spreadsheets/d/1vmCj5YcMSPHj1m64syDndQ6cqVL3yolcU03Y8KHmvdc/edit"",""31!e50"")"),4626)</f>
        <v>4626</v>
      </c>
      <c r="H819" s="16">
        <f ca="1">IFERROR(__xludf.DUMMYFUNCTION("IMPORTRANGE(""https://docs.google.com/spreadsheets/d/1vmCj5YcMSPHj1m64syDndQ6cqVL3yolcU03Y8KHmvdc/edit"",""31!e51"")"),0)</f>
        <v>0</v>
      </c>
      <c r="I819" s="18">
        <f t="shared" ca="1" si="2262"/>
        <v>4626</v>
      </c>
      <c r="J819" s="16">
        <f ca="1">IFERROR(__xludf.DUMMYFUNCTION("IMPORTRANGE(""https://docs.google.com/spreadsheets/d/1vmCj5YcMSPHj1m64syDndQ6cqVL3yolcU03Y8KHmvdc/edit"",""31!e54"")"),5201)</f>
        <v>5201</v>
      </c>
      <c r="K819" s="16">
        <f ca="1">IFERROR(__xludf.DUMMYFUNCTION("IMPORTRANGE(""https://docs.google.com/spreadsheets/d/1vmCj5YcMSPHj1m64syDndQ6cqVL3yolcU03Y8KHmvdc/edit"",""31!e55"")"),0)</f>
        <v>0</v>
      </c>
      <c r="L819" s="18">
        <f t="shared" ca="1" si="2263"/>
        <v>5201</v>
      </c>
      <c r="M819" s="18">
        <f t="shared" ca="1" si="2264"/>
        <v>9827</v>
      </c>
      <c r="N819" s="19">
        <f t="shared" ca="1" si="2265"/>
        <v>193.36887804878023</v>
      </c>
      <c r="O819" s="16">
        <v>13817</v>
      </c>
      <c r="P819" s="20">
        <f t="shared" ca="1" si="2266"/>
        <v>0.71122530216400082</v>
      </c>
      <c r="Q819" s="21">
        <v>1.5</v>
      </c>
      <c r="R819" s="20">
        <f t="shared" ca="1" si="2267"/>
        <v>0.82634092672280879</v>
      </c>
      <c r="S819" s="22">
        <f t="shared" ca="1" si="2268"/>
        <v>1.2395113900842132</v>
      </c>
      <c r="T819" s="21">
        <f ca="1">F819/25.089</f>
        <v>315.9999999999996</v>
      </c>
      <c r="U819" s="21">
        <f t="shared" ca="1" si="2269"/>
        <v>7.7073170731707217</v>
      </c>
      <c r="V819" s="18">
        <f t="shared" ca="1" si="2270"/>
        <v>239.6829268292683</v>
      </c>
      <c r="W819" s="76"/>
      <c r="X819" s="24" t="s">
        <v>33</v>
      </c>
      <c r="Y819" s="24">
        <v>6</v>
      </c>
      <c r="Z819" s="24">
        <f t="shared" ref="Z819:AI819" si="2280">SUM(Z813:Z818)</f>
        <v>186</v>
      </c>
      <c r="AA819" s="25">
        <f t="shared" ca="1" si="2280"/>
        <v>181</v>
      </c>
      <c r="AB819" s="26">
        <f t="shared" ca="1" si="2280"/>
        <v>34766.546999999984</v>
      </c>
      <c r="AC819" s="25">
        <f t="shared" ca="1" si="2280"/>
        <v>11672</v>
      </c>
      <c r="AD819" s="25">
        <f t="shared" ca="1" si="2280"/>
        <v>325</v>
      </c>
      <c r="AE819" s="25">
        <f t="shared" ca="1" si="2280"/>
        <v>11997</v>
      </c>
      <c r="AF819" s="25">
        <f t="shared" ca="1" si="2280"/>
        <v>16135</v>
      </c>
      <c r="AG819" s="25">
        <f t="shared" ca="1" si="2280"/>
        <v>423</v>
      </c>
      <c r="AH819" s="25">
        <f t="shared" ca="1" si="2280"/>
        <v>16558</v>
      </c>
      <c r="AI819" s="25">
        <f t="shared" ca="1" si="2280"/>
        <v>28555</v>
      </c>
      <c r="AJ819" s="27">
        <f t="shared" ca="1" si="2274"/>
        <v>192.08037016574576</v>
      </c>
      <c r="AK819" s="24">
        <f>SUM(AK813:AK818)</f>
        <v>35074</v>
      </c>
      <c r="AL819" s="28">
        <f t="shared" ca="1" si="2252"/>
        <v>0.81413582710839938</v>
      </c>
      <c r="AM819" s="29">
        <v>1.5</v>
      </c>
      <c r="AN819" s="28">
        <f t="shared" ca="1" si="2254"/>
        <v>0.54755701412241697</v>
      </c>
      <c r="AO819" s="30">
        <f t="shared" ca="1" si="2255"/>
        <v>0.82133552118362552</v>
      </c>
      <c r="AP819" s="29">
        <f ca="1">SUM(AP813:AP818)</f>
        <v>1303.1000356640136</v>
      </c>
      <c r="AQ819" s="29">
        <f ca="1">AP819/AA819</f>
        <v>7.1994477108509036</v>
      </c>
      <c r="AR819" s="25">
        <f t="shared" ca="1" si="2257"/>
        <v>157.76243093922653</v>
      </c>
      <c r="AS819" s="76"/>
      <c r="AT819" s="76"/>
    </row>
    <row r="820" spans="1:46" ht="15.75" customHeight="1" x14ac:dyDescent="0.25">
      <c r="A820" s="70"/>
      <c r="B820" s="16">
        <v>5</v>
      </c>
      <c r="C820" s="16" t="s">
        <v>34</v>
      </c>
      <c r="D820" s="44">
        <v>40</v>
      </c>
      <c r="E820" s="18">
        <f ca="1">IFERROR(__xludf.DUMMYFUNCTION("COUNT(IMPORTRANGE(""https://docs.google.com/spreadsheets/d/14_Y-fpuq1wcec3DlT_1PBYekOC0YblQMrWVfO12YO3k/edit"",""31!d2:d41""))"),40)</f>
        <v>40</v>
      </c>
      <c r="F820" s="23">
        <f ca="1">IFERROR(__xludf.DUMMYFUNCTION("SUM(IMPORTRANGE(""https://docs.google.com/spreadsheets/d/14_Y-fpuq1wcec3DlT_1PBYekOC0YblQMrWVfO12YO3k/edit"",""31!Q2:Q41""))"),7667.16)</f>
        <v>7667.16</v>
      </c>
      <c r="G820" s="18">
        <f ca="1">IFERROR(__xludf.DUMMYFUNCTION("IMPORTRANGE(""https://docs.google.com/spreadsheets/d/14_Y-fpuq1wcec3DlT_1PBYekOC0YblQMrWVfO12YO3k/edit"",""31!e48"")"),3155)</f>
        <v>3155</v>
      </c>
      <c r="H820" s="18">
        <f ca="1">IFERROR(__xludf.DUMMYFUNCTION("IMPORTRANGE(""https://docs.google.com/spreadsheets/d/14_Y-fpuq1wcec3DlT_1PBYekOC0YblQMrWVfO12YO3k/edit"",""31!e49"")"),0)</f>
        <v>0</v>
      </c>
      <c r="I820" s="18">
        <f t="shared" ca="1" si="2262"/>
        <v>3155</v>
      </c>
      <c r="J820" s="18">
        <f ca="1">IFERROR(__xludf.DUMMYFUNCTION("IMPORTRANGE(""https://docs.google.com/spreadsheets/d/14_Y-fpuq1wcec3DlT_1PBYekOC0YblQMrWVfO12YO3k/edit"",""31!e52"")"),3175)</f>
        <v>3175</v>
      </c>
      <c r="K820" s="18">
        <f ca="1">IFERROR(__xludf.DUMMYFUNCTION("IMPORTRANGE(""https://docs.google.com/spreadsheets/d/14_Y-fpuq1wcec3DlT_1PBYekOC0YblQMrWVfO12YO3k/edit"",""31!e53"")"),0)</f>
        <v>0</v>
      </c>
      <c r="L820" s="18">
        <f t="shared" ca="1" si="2263"/>
        <v>3175</v>
      </c>
      <c r="M820" s="18">
        <f t="shared" ca="1" si="2264"/>
        <v>6330</v>
      </c>
      <c r="N820" s="19">
        <f t="shared" ca="1" si="2265"/>
        <v>191.679</v>
      </c>
      <c r="O820" s="16">
        <v>9354</v>
      </c>
      <c r="P820" s="20">
        <f t="shared" ca="1" si="2266"/>
        <v>0.67671584348941627</v>
      </c>
      <c r="Q820" s="21">
        <v>1.5</v>
      </c>
      <c r="R820" s="20">
        <f t="shared" ca="1" si="2267"/>
        <v>0.5503993656060393</v>
      </c>
      <c r="S820" s="22">
        <f t="shared" ca="1" si="2268"/>
        <v>0.82559904840905896</v>
      </c>
      <c r="T820" s="21">
        <f ca="1">F820/30.713</f>
        <v>249.638915117377</v>
      </c>
      <c r="U820" s="21">
        <f t="shared" ca="1" si="2269"/>
        <v>6.2409728779344249</v>
      </c>
      <c r="V820" s="18">
        <f t="shared" ca="1" si="2270"/>
        <v>158.25</v>
      </c>
      <c r="W820" s="76"/>
      <c r="X820" s="100" t="s">
        <v>35</v>
      </c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9"/>
      <c r="AS820" s="76"/>
      <c r="AT820" s="76"/>
    </row>
    <row r="821" spans="1:46" ht="15.75" customHeight="1" x14ac:dyDescent="0.25">
      <c r="A821" s="70"/>
      <c r="B821" s="16">
        <v>6</v>
      </c>
      <c r="C821" s="16" t="s">
        <v>23</v>
      </c>
      <c r="D821" s="44">
        <v>35</v>
      </c>
      <c r="E821" s="18">
        <f ca="1">IFERROR(__xludf.DUMMYFUNCTION("COUNT(IMPORTRANGE(""https://docs.google.com/spreadsheets/d/1lJqjdj05V4LOXuBOiTdE65GV4ZITyx1cMLcDdcuoUnE/edit"",""31!d2:d36""))"),35)</f>
        <v>35</v>
      </c>
      <c r="F821" s="23">
        <f ca="1">IFERROR(__xludf.DUMMYFUNCTION("SUM(IMPORTRANGE(""https://docs.google.com/spreadsheets/d/1lJqjdj05V4LOXuBOiTdE65GV4ZITyx1cMLcDdcuoUnE/edit"",""31!Q2:Q36""))"),6849.21999999999)</f>
        <v>6849.2199999999903</v>
      </c>
      <c r="G821" s="18">
        <f ca="1">IFERROR(__xludf.DUMMYFUNCTION("IMPORTRANGE(""https://docs.google.com/spreadsheets/d/1lJqjdj05V4LOXuBOiTdE65GV4ZITyx1cMLcDdcuoUnE/edit"",""31!e43"")"),1659)</f>
        <v>1659</v>
      </c>
      <c r="H821" s="18">
        <f ca="1">IFERROR(__xludf.DUMMYFUNCTION("IMPORTRANGE(""https://docs.google.com/spreadsheets/d/1lJqjdj05V4LOXuBOiTdE65GV4ZITyx1cMLcDdcuoUnE/edit"",""31!e44"")"),0)</f>
        <v>0</v>
      </c>
      <c r="I821" s="18">
        <f t="shared" ca="1" si="2262"/>
        <v>1659</v>
      </c>
      <c r="J821" s="18">
        <f ca="1">IFERROR(__xludf.DUMMYFUNCTION("IMPORTRANGE(""https://docs.google.com/spreadsheets/d/1lJqjdj05V4LOXuBOiTdE65GV4ZITyx1cMLcDdcuoUnE/edit"",""31!e47"")"),3150)</f>
        <v>3150</v>
      </c>
      <c r="K821" s="18">
        <f ca="1">IFERROR(__xludf.DUMMYFUNCTION("IMPORTRANGE(""https://docs.google.com/spreadsheets/d/1lJqjdj05V4LOXuBOiTdE65GV4ZITyx1cMLcDdcuoUnE/edit"",""31!e48"")"),0)</f>
        <v>0</v>
      </c>
      <c r="L821" s="18">
        <f t="shared" ca="1" si="2263"/>
        <v>3150</v>
      </c>
      <c r="M821" s="18">
        <f t="shared" ca="1" si="2264"/>
        <v>4809</v>
      </c>
      <c r="N821" s="19">
        <f t="shared" ca="1" si="2265"/>
        <v>195.69199999999972</v>
      </c>
      <c r="O821" s="16">
        <v>6853</v>
      </c>
      <c r="P821" s="20">
        <f t="shared" ca="1" si="2266"/>
        <v>0.70173646578140958</v>
      </c>
      <c r="Q821" s="21">
        <v>1.5</v>
      </c>
      <c r="R821" s="20">
        <f t="shared" ca="1" si="2267"/>
        <v>0.46808249698505883</v>
      </c>
      <c r="S821" s="22">
        <f t="shared" ca="1" si="2268"/>
        <v>0.70212374547758827</v>
      </c>
      <c r="T821" s="21">
        <f ca="1">F821/33.74</f>
        <v>202.99999999999969</v>
      </c>
      <c r="U821" s="21">
        <f t="shared" ca="1" si="2269"/>
        <v>5.7999999999999909</v>
      </c>
      <c r="V821" s="18">
        <f t="shared" ca="1" si="2270"/>
        <v>137.4</v>
      </c>
      <c r="W821" s="76"/>
      <c r="X821" s="1" t="s">
        <v>2</v>
      </c>
      <c r="Y821" s="1" t="s">
        <v>3</v>
      </c>
      <c r="Z821" s="1" t="s">
        <v>4</v>
      </c>
      <c r="AA821" s="1" t="s">
        <v>5</v>
      </c>
      <c r="AB821" s="2" t="s">
        <v>6</v>
      </c>
      <c r="AC821" s="1" t="s">
        <v>7</v>
      </c>
      <c r="AD821" s="1" t="s">
        <v>8</v>
      </c>
      <c r="AE821" s="1" t="s">
        <v>9</v>
      </c>
      <c r="AF821" s="1" t="s">
        <v>10</v>
      </c>
      <c r="AG821" s="1" t="s">
        <v>11</v>
      </c>
      <c r="AH821" s="1" t="s">
        <v>12</v>
      </c>
      <c r="AI821" s="1" t="s">
        <v>13</v>
      </c>
      <c r="AJ821" s="2" t="s">
        <v>14</v>
      </c>
      <c r="AK821" s="1" t="s">
        <v>15</v>
      </c>
      <c r="AL821" s="1" t="s">
        <v>16</v>
      </c>
      <c r="AM821" s="3" t="s">
        <v>17</v>
      </c>
      <c r="AN821" s="4" t="s">
        <v>18</v>
      </c>
      <c r="AO821" s="5" t="s">
        <v>19</v>
      </c>
      <c r="AP821" s="6" t="s">
        <v>20</v>
      </c>
      <c r="AQ821" s="6" t="s">
        <v>21</v>
      </c>
      <c r="AR821" s="7" t="s">
        <v>22</v>
      </c>
      <c r="AS821" s="76"/>
      <c r="AT821" s="76"/>
    </row>
    <row r="822" spans="1:46" ht="15.75" customHeight="1" x14ac:dyDescent="0.25">
      <c r="A822" s="70"/>
      <c r="B822" s="16">
        <v>7</v>
      </c>
      <c r="C822" s="16" t="s">
        <v>24</v>
      </c>
      <c r="D822" s="44">
        <v>44</v>
      </c>
      <c r="E822" s="31">
        <f ca="1">IFERROR(__xludf.DUMMYFUNCTION("COUNT(IMPORTRANGE(""https://docs.google.com/spreadsheets/d/1_7EEO26q9Yq-XhNFiy7I6Zh4Yg6uGjTs9y0UqNvPKcQ/edit"",""31!d2:d45""))"),43)</f>
        <v>43</v>
      </c>
      <c r="F822" s="32">
        <f ca="1">IFERROR(__xludf.DUMMYFUNCTION("SUM(IMPORTRANGE(""https://docs.google.com/spreadsheets/d/1_7EEO26q9Yq-XhNFiy7I6Zh4Yg6uGjTs9y0UqNvPKcQ/edit"",""31!Q2:Q45""))"),8349.00199999999)</f>
        <v>8349.0019999999895</v>
      </c>
      <c r="G822" s="31">
        <f ca="1">IFERROR(__xludf.DUMMYFUNCTION("IMPORTRANGE(""https://docs.google.com/spreadsheets/d/1_7EEO26q9Yq-XhNFiy7I6Zh4Yg6uGjTs9y0UqNvPKcQ/edit"",""31!e53"")"),1814)</f>
        <v>1814</v>
      </c>
      <c r="H822" s="31">
        <f ca="1">IFERROR(__xludf.DUMMYFUNCTION("IMPORTRANGE(""https://docs.google.com/spreadsheets/d/1_7EEO26q9Yq-XhNFiy7I6Zh4Yg6uGjTs9y0UqNvPKcQ/edit"",""31!e54"")"),0)</f>
        <v>0</v>
      </c>
      <c r="I822" s="31">
        <f t="shared" ca="1" si="2262"/>
        <v>1814</v>
      </c>
      <c r="J822" s="31">
        <f ca="1">IFERROR(__xludf.DUMMYFUNCTION("IMPORTRANGE(""https://docs.google.com/spreadsheets/d/1_7EEO26q9Yq-XhNFiy7I6Zh4Yg6uGjTs9y0UqNvPKcQ/edit"",""31!e57"")"),737)</f>
        <v>737</v>
      </c>
      <c r="K822" s="31">
        <f ca="1">IFERROR(__xludf.DUMMYFUNCTION("IMPORTRANGE(""https://docs.google.com/spreadsheets/d/1_7EEO26q9Yq-XhNFiy7I6Zh4Yg6uGjTs9y0UqNvPKcQ/edit"",""31!e58"")"),16)</f>
        <v>16</v>
      </c>
      <c r="L822" s="18">
        <f t="shared" ca="1" si="2263"/>
        <v>753</v>
      </c>
      <c r="M822" s="18">
        <f t="shared" ca="1" si="2264"/>
        <v>2567</v>
      </c>
      <c r="N822" s="19">
        <f t="shared" ca="1" si="2265"/>
        <v>194.16283720930207</v>
      </c>
      <c r="O822" s="16">
        <v>1580</v>
      </c>
      <c r="P822" s="33">
        <f t="shared" ca="1" si="2266"/>
        <v>1.6246835443037975</v>
      </c>
      <c r="Q822" s="21">
        <v>1.5</v>
      </c>
      <c r="R822" s="20">
        <f t="shared" ca="1" si="2267"/>
        <v>0.20497459856080227</v>
      </c>
      <c r="S822" s="22">
        <f t="shared" ca="1" si="2268"/>
        <v>0.30746189784120342</v>
      </c>
      <c r="T822" s="21">
        <f ca="1">F822/26.805</f>
        <v>311.47181495989514</v>
      </c>
      <c r="U822" s="21">
        <f t="shared" ca="1" si="2269"/>
        <v>7.2435305804626777</v>
      </c>
      <c r="V822" s="18">
        <f t="shared" ca="1" si="2270"/>
        <v>59.697674418604649</v>
      </c>
      <c r="W822" s="76"/>
      <c r="X822" s="8">
        <v>1</v>
      </c>
      <c r="Y822" s="8" t="s">
        <v>28</v>
      </c>
      <c r="Z822" s="8">
        <f t="shared" ref="Z822:AI822" si="2281">SUM(D817)</f>
        <v>33</v>
      </c>
      <c r="AA822" s="9">
        <f t="shared" ca="1" si="2281"/>
        <v>32</v>
      </c>
      <c r="AB822" s="11">
        <f t="shared" ca="1" si="2281"/>
        <v>6343.45099999999</v>
      </c>
      <c r="AC822" s="9">
        <f t="shared" ca="1" si="2281"/>
        <v>3000</v>
      </c>
      <c r="AD822" s="9">
        <f t="shared" ca="1" si="2281"/>
        <v>141</v>
      </c>
      <c r="AE822" s="9">
        <f t="shared" ca="1" si="2281"/>
        <v>3141</v>
      </c>
      <c r="AF822" s="9">
        <f t="shared" ca="1" si="2281"/>
        <v>2808</v>
      </c>
      <c r="AG822" s="9">
        <f t="shared" ca="1" si="2281"/>
        <v>116</v>
      </c>
      <c r="AH822" s="9">
        <f t="shared" ca="1" si="2281"/>
        <v>2924</v>
      </c>
      <c r="AI822" s="9">
        <f t="shared" ca="1" si="2281"/>
        <v>6065</v>
      </c>
      <c r="AJ822" s="11">
        <f t="shared" ref="AJ822:AJ828" ca="1" si="2282">AB822/AA822</f>
        <v>198.23284374999969</v>
      </c>
      <c r="AK822" s="8">
        <f t="shared" ref="AK822:AK823" si="2283">SUM(O817)</f>
        <v>7315</v>
      </c>
      <c r="AL822" s="12">
        <f t="shared" ref="AL822:AL828" ca="1" si="2284">AI822/AK822</f>
        <v>0.8291182501708817</v>
      </c>
      <c r="AM822" s="13">
        <f t="shared" ref="AM822:AM823" si="2285">SUM(Q817)</f>
        <v>1.5</v>
      </c>
      <c r="AN822" s="12">
        <f t="shared" ref="AN822:AN828" ca="1" si="2286">AO822/AM822</f>
        <v>0.63740278490893043</v>
      </c>
      <c r="AO822" s="14">
        <f t="shared" ref="AO822:AO828" ca="1" si="2287">AI822/AB822</f>
        <v>0.9561041773633957</v>
      </c>
      <c r="AP822" s="13">
        <f t="shared" ref="AP822:AQ822" ca="1" si="2288">SUM(T817)</f>
        <v>205.3096093471855</v>
      </c>
      <c r="AQ822" s="13">
        <f t="shared" ca="1" si="2288"/>
        <v>6.4159252920995469</v>
      </c>
      <c r="AR822" s="9">
        <f t="shared" ref="AR822:AR828" ca="1" si="2289">AI822/AA822</f>
        <v>189.53125</v>
      </c>
      <c r="AS822" s="76"/>
      <c r="AT822" s="76"/>
    </row>
    <row r="823" spans="1:46" ht="15.75" customHeight="1" x14ac:dyDescent="0.25">
      <c r="A823" s="70"/>
      <c r="B823" s="16">
        <v>8</v>
      </c>
      <c r="C823" s="16" t="s">
        <v>25</v>
      </c>
      <c r="D823" s="45">
        <v>32</v>
      </c>
      <c r="E823" s="18">
        <f ca="1">IFERROR(__xludf.DUMMYFUNCTION("COUNT(IMPORTRANGE(""https://docs.google.com/spreadsheets/d/1vLOLpiE-XsbnCnwWPcoi87PlUSXfqIAAQn3kvqHfO6s/edit"",""31!d2:D33""))"),32)</f>
        <v>32</v>
      </c>
      <c r="F823" s="23">
        <f ca="1">IFERROR(__xludf.DUMMYFUNCTION("SUM(IMPORTRANGE(""https://docs.google.com/spreadsheets/d/1vLOLpiE-XsbnCnwWPcoi87PlUSXfqIAAQn3kvqHfO6s/edit"",""31!Q2:Q33""))"),6027.556)</f>
        <v>6027.5559999999996</v>
      </c>
      <c r="G823" s="18">
        <f ca="1">IFERROR(__xludf.DUMMYFUNCTION("IMPORTRANGE(""https://docs.google.com/spreadsheets/d/1vLOLpiE-XsbnCnwWPcoi87PlUSXfqIAAQn3kvqHfO6s/edit"",""31!e40"")"),2255)</f>
        <v>2255</v>
      </c>
      <c r="H823" s="18">
        <f ca="1">IFERROR(__xludf.DUMMYFUNCTION("IMPORTRANGE(""https://docs.google.com/spreadsheets/d/1vLOLpiE-XsbnCnwWPcoi87PlUSXfqIAAQn3kvqHfO6s/edit"",""31!e41"")"),314)</f>
        <v>314</v>
      </c>
      <c r="I823" s="18">
        <f t="shared" ca="1" si="2262"/>
        <v>2569</v>
      </c>
      <c r="J823" s="18">
        <f ca="1">IFERROR(__xludf.DUMMYFUNCTION("IMPORTRANGE(""https://docs.google.com/spreadsheets/d/1vLOLpiE-XsbnCnwWPcoi87PlUSXfqIAAQn3kvqHfO6s/edit"",""31!e44"")"),3799)</f>
        <v>3799</v>
      </c>
      <c r="K823" s="18">
        <f ca="1">IFERROR(__xludf.DUMMYFUNCTION("IMPORTRANGE(""https://docs.google.com/spreadsheets/d/1vLOLpiE-XsbnCnwWPcoi87PlUSXfqIAAQn3kvqHfO6s/edit"",""31!e45"")"),407)</f>
        <v>407</v>
      </c>
      <c r="L823" s="18">
        <f ca="1">J823+K823</f>
        <v>4206</v>
      </c>
      <c r="M823" s="18">
        <f t="shared" ca="1" si="2264"/>
        <v>6775</v>
      </c>
      <c r="N823" s="19">
        <f t="shared" ca="1" si="2265"/>
        <v>188.36112499999999</v>
      </c>
      <c r="O823" s="16">
        <v>6622</v>
      </c>
      <c r="P823" s="33">
        <f t="shared" ca="1" si="2266"/>
        <v>1.0231048021745697</v>
      </c>
      <c r="Q823" s="21">
        <v>1.5</v>
      </c>
      <c r="R823" s="20">
        <f t="shared" ca="1" si="2267"/>
        <v>0.74933632581209819</v>
      </c>
      <c r="S823" s="22">
        <f t="shared" ca="1" si="2268"/>
        <v>1.1240044887181473</v>
      </c>
      <c r="T823" s="21">
        <f ca="1">F823/23.84</f>
        <v>252.83372483221476</v>
      </c>
      <c r="U823" s="21">
        <f t="shared" ca="1" si="2269"/>
        <v>7.9010539010067111</v>
      </c>
      <c r="V823" s="18">
        <f t="shared" ca="1" si="2270"/>
        <v>211.71875</v>
      </c>
      <c r="W823" s="76"/>
      <c r="X823" s="8">
        <v>2</v>
      </c>
      <c r="Y823" s="8" t="s">
        <v>30</v>
      </c>
      <c r="Z823" s="8">
        <f t="shared" ref="Z823:AI823" si="2290">SUM(D818)</f>
        <v>60</v>
      </c>
      <c r="AA823" s="9">
        <f t="shared" ca="1" si="2290"/>
        <v>59</v>
      </c>
      <c r="AB823" s="10">
        <f t="shared" ca="1" si="2290"/>
        <v>11989.2149999999</v>
      </c>
      <c r="AC823" s="9">
        <f t="shared" ca="1" si="2290"/>
        <v>3289</v>
      </c>
      <c r="AD823" s="9">
        <f t="shared" ca="1" si="2290"/>
        <v>0</v>
      </c>
      <c r="AE823" s="9">
        <f t="shared" ca="1" si="2290"/>
        <v>3289</v>
      </c>
      <c r="AF823" s="9">
        <f t="shared" ca="1" si="2290"/>
        <v>5815</v>
      </c>
      <c r="AG823" s="9">
        <f t="shared" ca="1" si="2290"/>
        <v>0</v>
      </c>
      <c r="AH823" s="9">
        <f t="shared" ca="1" si="2290"/>
        <v>5815</v>
      </c>
      <c r="AI823" s="9">
        <f t="shared" ca="1" si="2290"/>
        <v>9104</v>
      </c>
      <c r="AJ823" s="11">
        <f t="shared" ca="1" si="2282"/>
        <v>203.20703389830339</v>
      </c>
      <c r="AK823" s="8">
        <f t="shared" si="2283"/>
        <v>11164</v>
      </c>
      <c r="AL823" s="12">
        <f t="shared" ca="1" si="2284"/>
        <v>0.81547832318165536</v>
      </c>
      <c r="AM823" s="13">
        <f t="shared" si="2285"/>
        <v>1.5</v>
      </c>
      <c r="AN823" s="12">
        <f t="shared" ca="1" si="2286"/>
        <v>0.50623275446585814</v>
      </c>
      <c r="AO823" s="14">
        <f t="shared" ca="1" si="2287"/>
        <v>0.75934913169878726</v>
      </c>
      <c r="AP823" s="13">
        <f t="shared" ref="AP823:AQ823" ca="1" si="2291">SUM(T818)</f>
        <v>404.99999999999659</v>
      </c>
      <c r="AQ823" s="13">
        <f t="shared" ca="1" si="2291"/>
        <v>6.8644067796609596</v>
      </c>
      <c r="AR823" s="9">
        <f t="shared" ca="1" si="2289"/>
        <v>154.30508474576271</v>
      </c>
      <c r="AS823" s="76"/>
      <c r="AT823" s="76"/>
    </row>
    <row r="824" spans="1:46" ht="15.75" customHeight="1" x14ac:dyDescent="0.25">
      <c r="A824" s="70"/>
      <c r="B824" s="16">
        <v>9</v>
      </c>
      <c r="C824" s="16" t="s">
        <v>36</v>
      </c>
      <c r="D824" s="45">
        <v>29</v>
      </c>
      <c r="E824" s="18">
        <f ca="1">IFERROR(__xludf.DUMMYFUNCTION("COUNT(IMPORTRANGE(""https://docs.google.com/spreadsheets/d/1WJJVq25XDtGjt-J2JPxeKs3jIvDZtkIREC0lFPXwf74/edit"",""31!d2:d31""))"),29)</f>
        <v>29</v>
      </c>
      <c r="F824" s="23">
        <f ca="1">IFERROR(__xludf.DUMMYFUNCTION("SUM(IMPORTRANGE(""https://docs.google.com/spreadsheets/d/1WJJVq25XDtGjt-J2JPxeKs3jIvDZtkIREC0lFPXwf74/edit"",""31!Q2:Q31""))"),5571.494)</f>
        <v>5571.4939999999997</v>
      </c>
      <c r="G824" s="18">
        <f ca="1">IFERROR(__xludf.DUMMYFUNCTION("IMPORTRANGE(""https://docs.google.com/spreadsheets/d/1WJJVq25XDtGjt-J2JPxeKs3jIvDZtkIREC0lFPXwf74/edit"",""31!e38"")"),1439)</f>
        <v>1439</v>
      </c>
      <c r="H824" s="18">
        <f ca="1">IFERROR(__xludf.DUMMYFUNCTION("IMPORTRANGE(""https://docs.google.com/spreadsheets/d/1WJJVq25XDtGjt-J2JPxeKs3jIvDZtkIREC0lFPXwf74/edit"",""31!e39"")"),0)</f>
        <v>0</v>
      </c>
      <c r="I824" s="18">
        <f t="shared" ca="1" si="2262"/>
        <v>1439</v>
      </c>
      <c r="J824" s="18">
        <f ca="1">IFERROR(__xludf.DUMMYFUNCTION("IMPORTRANGE(""https://docs.google.com/spreadsheets/d/1WJJVq25XDtGjt-J2JPxeKs3jIvDZtkIREC0lFPXwf74/edit"",""31!e42"")"),2367)</f>
        <v>2367</v>
      </c>
      <c r="K824" s="18">
        <f ca="1">IFERROR(__xludf.DUMMYFUNCTION("IMPORTRANGE(""https://docs.google.com/spreadsheets/d/1WJJVq25XDtGjt-J2JPxeKs3jIvDZtkIREC0lFPXwf74/edit"",""31!e43"")"),0)</f>
        <v>0</v>
      </c>
      <c r="L824" s="18">
        <f t="shared" ref="L824:L833" ca="1" si="2292">SUM(J824:K824)</f>
        <v>2367</v>
      </c>
      <c r="M824" s="18">
        <f t="shared" ca="1" si="2264"/>
        <v>3806</v>
      </c>
      <c r="N824" s="19">
        <f t="shared" ca="1" si="2265"/>
        <v>192.12048275862068</v>
      </c>
      <c r="O824" s="16">
        <v>4796</v>
      </c>
      <c r="P824" s="20">
        <f t="shared" ca="1" si="2266"/>
        <v>0.79357798165137616</v>
      </c>
      <c r="Q824" s="21">
        <v>1.5</v>
      </c>
      <c r="R824" s="20">
        <f t="shared" ca="1" si="2267"/>
        <v>0.45541345523002152</v>
      </c>
      <c r="S824" s="22">
        <f t="shared" ca="1" si="2268"/>
        <v>0.68312018284503229</v>
      </c>
      <c r="T824" s="21">
        <f ca="1">F824/37.414</f>
        <v>148.91468434275939</v>
      </c>
      <c r="U824" s="21">
        <f t="shared" ca="1" si="2269"/>
        <v>5.1349891152675653</v>
      </c>
      <c r="V824" s="18">
        <f t="shared" ca="1" si="2270"/>
        <v>131.24137931034483</v>
      </c>
      <c r="W824" s="76"/>
      <c r="X824" s="8">
        <v>3</v>
      </c>
      <c r="Y824" s="8" t="s">
        <v>34</v>
      </c>
      <c r="Z824" s="8">
        <f t="shared" ref="Z824:AI824" si="2293">SUM(D820)</f>
        <v>40</v>
      </c>
      <c r="AA824" s="9">
        <f t="shared" ca="1" si="2293"/>
        <v>40</v>
      </c>
      <c r="AB824" s="10">
        <f t="shared" ca="1" si="2293"/>
        <v>7667.16</v>
      </c>
      <c r="AC824" s="9">
        <f t="shared" ca="1" si="2293"/>
        <v>3155</v>
      </c>
      <c r="AD824" s="9">
        <f t="shared" ca="1" si="2293"/>
        <v>0</v>
      </c>
      <c r="AE824" s="9">
        <f t="shared" ca="1" si="2293"/>
        <v>3155</v>
      </c>
      <c r="AF824" s="9">
        <f t="shared" ca="1" si="2293"/>
        <v>3175</v>
      </c>
      <c r="AG824" s="9">
        <f t="shared" ca="1" si="2293"/>
        <v>0</v>
      </c>
      <c r="AH824" s="9">
        <f t="shared" ca="1" si="2293"/>
        <v>3175</v>
      </c>
      <c r="AI824" s="9">
        <f t="shared" ca="1" si="2293"/>
        <v>6330</v>
      </c>
      <c r="AJ824" s="11">
        <f t="shared" ca="1" si="2282"/>
        <v>191.679</v>
      </c>
      <c r="AK824" s="8">
        <f>SUM(O820)</f>
        <v>9354</v>
      </c>
      <c r="AL824" s="12">
        <f t="shared" ca="1" si="2284"/>
        <v>0.67671584348941627</v>
      </c>
      <c r="AM824" s="13">
        <f>SUM(Q820)</f>
        <v>1.5</v>
      </c>
      <c r="AN824" s="12">
        <f t="shared" ca="1" si="2286"/>
        <v>0.5503993656060393</v>
      </c>
      <c r="AO824" s="14">
        <f t="shared" ca="1" si="2287"/>
        <v>0.82559904840905896</v>
      </c>
      <c r="AP824" s="13">
        <f t="shared" ref="AP824:AQ824" ca="1" si="2294">SUM(T820)</f>
        <v>249.638915117377</v>
      </c>
      <c r="AQ824" s="13">
        <f t="shared" ca="1" si="2294"/>
        <v>6.2409728779344249</v>
      </c>
      <c r="AR824" s="9">
        <f t="shared" ca="1" si="2289"/>
        <v>158.25</v>
      </c>
      <c r="AS824" s="76"/>
      <c r="AT824" s="76"/>
    </row>
    <row r="825" spans="1:46" ht="15.75" customHeight="1" x14ac:dyDescent="0.25">
      <c r="A825" s="70"/>
      <c r="B825" s="16">
        <v>10</v>
      </c>
      <c r="C825" s="16" t="s">
        <v>37</v>
      </c>
      <c r="D825" s="44">
        <v>30</v>
      </c>
      <c r="E825" s="18">
        <f ca="1">IFERROR(__xludf.DUMMYFUNCTION("COUNT(IMPORTRANGE(""https://docs.google.com/spreadsheets/d/1rJyYfywRpWJW0zvDJHLOJtqUQqffoCGaqTVxxTDgV0k/edit"",""31!d2:d31""))"),30)</f>
        <v>30</v>
      </c>
      <c r="F825" s="23">
        <f ca="1">IFERROR(__xludf.DUMMYFUNCTION("SUM(IMPORTRANGE(""https://docs.google.com/spreadsheets/d/1rJyYfywRpWJW0zvDJHLOJtqUQqffoCGaqTVxxTDgV0k/edit"",""31!Q2:Q31""))"),5787.396)</f>
        <v>5787.3959999999997</v>
      </c>
      <c r="G825" s="18">
        <f ca="1">IFERROR(__xludf.DUMMYFUNCTION("(IMPORTRANGE(""https://docs.google.com/spreadsheets/d/1rJyYfywRpWJW0zvDJHLOJtqUQqffoCGaqTVxxTDgV0k/edit"",""31!e38""))"),2244)</f>
        <v>2244</v>
      </c>
      <c r="H825" s="18">
        <f ca="1">IFERROR(__xludf.DUMMYFUNCTION("(IMPORTRANGE(""https://docs.google.com/spreadsheets/d/1rJyYfywRpWJW0zvDJHLOJtqUQqffoCGaqTVxxTDgV0k/edit"",""31!e39""))"),0)</f>
        <v>0</v>
      </c>
      <c r="I825" s="18">
        <f t="shared" ca="1" si="2262"/>
        <v>2244</v>
      </c>
      <c r="J825" s="18">
        <f ca="1">IFERROR(__xludf.DUMMYFUNCTION("(IMPORTRANGE(""https://docs.google.com/spreadsheets/d/1rJyYfywRpWJW0zvDJHLOJtqUQqffoCGaqTVxxTDgV0k/edit"",""31!e42""))"),2743)</f>
        <v>2743</v>
      </c>
      <c r="K825" s="18">
        <f ca="1">IFERROR(__xludf.DUMMYFUNCTION("(IMPORTRANGE(""https://docs.google.com/spreadsheets/d/1rJyYfywRpWJW0zvDJHLOJtqUQqffoCGaqTVxxTDgV0k/edit"",""31!e43""))"),0)</f>
        <v>0</v>
      </c>
      <c r="L825" s="18">
        <f t="shared" ca="1" si="2292"/>
        <v>2743</v>
      </c>
      <c r="M825" s="18">
        <f t="shared" ca="1" si="2264"/>
        <v>4987</v>
      </c>
      <c r="N825" s="19">
        <f t="shared" ca="1" si="2265"/>
        <v>192.91319999999999</v>
      </c>
      <c r="O825" s="16">
        <v>5887</v>
      </c>
      <c r="P825" s="20">
        <f t="shared" ca="1" si="2266"/>
        <v>0.84712077458807544</v>
      </c>
      <c r="Q825" s="21">
        <v>1.5</v>
      </c>
      <c r="R825" s="20">
        <f t="shared" ca="1" si="2267"/>
        <v>0.57446676651583317</v>
      </c>
      <c r="S825" s="22">
        <f t="shared" ca="1" si="2268"/>
        <v>0.86170014977374976</v>
      </c>
      <c r="T825" s="21">
        <f ca="1">F825/24.792</f>
        <v>233.43804453049367</v>
      </c>
      <c r="U825" s="21">
        <f t="shared" ca="1" si="2269"/>
        <v>7.7812681510164561</v>
      </c>
      <c r="V825" s="18">
        <f t="shared" ca="1" si="2270"/>
        <v>166.23333333333332</v>
      </c>
      <c r="W825" s="76"/>
      <c r="X825" s="8">
        <v>4</v>
      </c>
      <c r="Y825" s="8" t="s">
        <v>38</v>
      </c>
      <c r="Z825" s="8">
        <f t="shared" ref="Z825:AI825" si="2295">SUM(D828)</f>
        <v>30</v>
      </c>
      <c r="AA825" s="9">
        <f t="shared" ca="1" si="2295"/>
        <v>29</v>
      </c>
      <c r="AB825" s="10">
        <f t="shared" ca="1" si="2295"/>
        <v>6166.8489999999902</v>
      </c>
      <c r="AC825" s="9">
        <f t="shared" ca="1" si="2295"/>
        <v>2066</v>
      </c>
      <c r="AD825" s="9">
        <f t="shared" ca="1" si="2295"/>
        <v>188</v>
      </c>
      <c r="AE825" s="9">
        <f t="shared" ca="1" si="2295"/>
        <v>2254</v>
      </c>
      <c r="AF825" s="9">
        <f t="shared" ca="1" si="2295"/>
        <v>2646</v>
      </c>
      <c r="AG825" s="9">
        <f t="shared" ca="1" si="2295"/>
        <v>0</v>
      </c>
      <c r="AH825" s="9">
        <f t="shared" ca="1" si="2295"/>
        <v>2646</v>
      </c>
      <c r="AI825" s="9">
        <f t="shared" ca="1" si="2295"/>
        <v>4900</v>
      </c>
      <c r="AJ825" s="11">
        <f t="shared" ca="1" si="2282"/>
        <v>212.64996551724104</v>
      </c>
      <c r="AK825" s="8">
        <v>7324</v>
      </c>
      <c r="AL825" s="12">
        <f t="shared" ca="1" si="2284"/>
        <v>0.66903331512834519</v>
      </c>
      <c r="AM825" s="13">
        <f>SUM(Q828)</f>
        <v>1.5</v>
      </c>
      <c r="AN825" s="12">
        <f t="shared" ca="1" si="2286"/>
        <v>0.529714067373252</v>
      </c>
      <c r="AO825" s="14">
        <f t="shared" ca="1" si="2287"/>
        <v>0.79457110105987805</v>
      </c>
      <c r="AP825" s="13">
        <f t="shared" ref="AP825:AQ825" ca="1" si="2296">SUM(T828)</f>
        <v>149.66263802936513</v>
      </c>
      <c r="AQ825" s="13">
        <f t="shared" ca="1" si="2296"/>
        <v>5.1607806217022461</v>
      </c>
      <c r="AR825" s="9">
        <f t="shared" ca="1" si="2289"/>
        <v>168.9655172413793</v>
      </c>
      <c r="AS825" s="76"/>
      <c r="AT825" s="76"/>
    </row>
    <row r="826" spans="1:46" ht="15.75" customHeight="1" x14ac:dyDescent="0.25">
      <c r="A826" s="70"/>
      <c r="B826" s="16">
        <v>12</v>
      </c>
      <c r="C826" s="16" t="s">
        <v>39</v>
      </c>
      <c r="D826" s="44">
        <v>28</v>
      </c>
      <c r="E826" s="18">
        <f ca="1">IFERROR(__xludf.DUMMYFUNCTION("COUNT(IMPORTRANGE(""https://docs.google.com/spreadsheets/d/1uaTn2DZCfr7O1PvovOd0wElzVz8kpl_iPfnrkNPp0Is/edit"",""31!d2:d29""))"),27)</f>
        <v>27</v>
      </c>
      <c r="F826" s="23">
        <f ca="1">IFERROR(__xludf.DUMMYFUNCTION("SUM(IMPORTRANGE(""https://docs.google.com/spreadsheets/d/1uaTn2DZCfr7O1PvovOd0wElzVz8kpl_iPfnrkNPp0Is/edit"",""31!Q2:Q29""))"),5103.829)</f>
        <v>5103.8289999999997</v>
      </c>
      <c r="G826" s="18">
        <f ca="1">IFERROR(__xludf.DUMMYFUNCTION("IMPORTRANGE(""https://docs.google.com/spreadsheets/d/1uaTn2DZCfr7O1PvovOd0wElzVz8kpl_iPfnrkNPp0Is/edit"",""31!e36"")"),1119)</f>
        <v>1119</v>
      </c>
      <c r="H826" s="18">
        <f ca="1">IFERROR(__xludf.DUMMYFUNCTION("(IMPORTRANGE(""https://docs.google.com/spreadsheets/d/1uaTn2DZCfr7O1PvovOd0wElzVz8kpl_iPfnrkNPp0Is/edit"",""31!e37""))"),0)</f>
        <v>0</v>
      </c>
      <c r="I826" s="18">
        <f t="shared" ca="1" si="2262"/>
        <v>1119</v>
      </c>
      <c r="J826" s="18">
        <f ca="1">IFERROR(__xludf.DUMMYFUNCTION("IMPORTRANGE(""https://docs.google.com/spreadsheets/d/1uaTn2DZCfr7O1PvovOd0wElzVz8kpl_iPfnrkNPp0Is/edit"",""31!e40"")"),1558)</f>
        <v>1558</v>
      </c>
      <c r="K826" s="18">
        <f ca="1">IFERROR(__xludf.DUMMYFUNCTION("IMPORTRANGE(""https://docs.google.com/spreadsheets/d/1uaTn2DZCfr7O1PvovOd0wElzVz8kpl_iPfnrkNPp0Is/edit"",""31!e41"")"),737)</f>
        <v>737</v>
      </c>
      <c r="L826" s="18">
        <f t="shared" ca="1" si="2292"/>
        <v>2295</v>
      </c>
      <c r="M826" s="18">
        <f t="shared" ca="1" si="2264"/>
        <v>3414</v>
      </c>
      <c r="N826" s="19">
        <f t="shared" ca="1" si="2265"/>
        <v>189.03070370370369</v>
      </c>
      <c r="O826" s="16">
        <v>3569</v>
      </c>
      <c r="P826" s="20">
        <f t="shared" ca="1" si="2266"/>
        <v>0.95657046791818434</v>
      </c>
      <c r="Q826" s="21">
        <v>1.5</v>
      </c>
      <c r="R826" s="20">
        <f t="shared" ca="1" si="2267"/>
        <v>0.44593970526833876</v>
      </c>
      <c r="S826" s="22">
        <f t="shared" ca="1" si="2268"/>
        <v>0.66890955790250817</v>
      </c>
      <c r="T826" s="21">
        <f ca="1">F826/21.463</f>
        <v>237.7966267530168</v>
      </c>
      <c r="U826" s="21">
        <f t="shared" ca="1" si="2269"/>
        <v>8.8072824723339558</v>
      </c>
      <c r="V826" s="18">
        <f t="shared" ca="1" si="2270"/>
        <v>126.44444444444444</v>
      </c>
      <c r="W826" s="76"/>
      <c r="X826" s="8">
        <v>5</v>
      </c>
      <c r="Y826" s="8" t="s">
        <v>40</v>
      </c>
      <c r="Z826" s="8">
        <f t="shared" ref="Z826:AI826" si="2297">SUM(D830)</f>
        <v>30</v>
      </c>
      <c r="AA826" s="9">
        <f t="shared" ca="1" si="2297"/>
        <v>29</v>
      </c>
      <c r="AB826" s="10">
        <f t="shared" ca="1" si="2297"/>
        <v>5731.9309999999896</v>
      </c>
      <c r="AC826" s="9">
        <f t="shared" ca="1" si="2297"/>
        <v>3721</v>
      </c>
      <c r="AD826" s="9">
        <f t="shared" ca="1" si="2297"/>
        <v>0</v>
      </c>
      <c r="AE826" s="9">
        <f t="shared" ca="1" si="2297"/>
        <v>3721</v>
      </c>
      <c r="AF826" s="9">
        <f t="shared" ca="1" si="2297"/>
        <v>3854</v>
      </c>
      <c r="AG826" s="9">
        <f t="shared" ca="1" si="2297"/>
        <v>0</v>
      </c>
      <c r="AH826" s="9">
        <f t="shared" ca="1" si="2297"/>
        <v>3854</v>
      </c>
      <c r="AI826" s="9">
        <f t="shared" ca="1" si="2297"/>
        <v>7575</v>
      </c>
      <c r="AJ826" s="11">
        <f t="shared" ca="1" si="2282"/>
        <v>197.65279310344792</v>
      </c>
      <c r="AK826" s="8">
        <f t="shared" ref="AK826:AK827" si="2298">SUM(O830)</f>
        <v>8239</v>
      </c>
      <c r="AL826" s="12">
        <f t="shared" ca="1" si="2284"/>
        <v>0.91940769510862974</v>
      </c>
      <c r="AM826" s="13">
        <f t="shared" ref="AM826:AM827" si="2299">SUM(Q830)</f>
        <v>1.5</v>
      </c>
      <c r="AN826" s="12">
        <f t="shared" ca="1" si="2286"/>
        <v>0.8810294471444281</v>
      </c>
      <c r="AO826" s="14">
        <f t="shared" ca="1" si="2287"/>
        <v>1.3215441707166422</v>
      </c>
      <c r="AP826" s="13">
        <f t="shared" ref="AP826:AQ826" ca="1" si="2300">SUM(T830)</f>
        <v>201.52343283057306</v>
      </c>
      <c r="AQ826" s="13">
        <f t="shared" ca="1" si="2300"/>
        <v>6.9490838907094155</v>
      </c>
      <c r="AR826" s="9">
        <f t="shared" ca="1" si="2289"/>
        <v>261.20689655172413</v>
      </c>
      <c r="AS826" s="76"/>
      <c r="AT826" s="76"/>
    </row>
    <row r="827" spans="1:46" ht="15.75" customHeight="1" x14ac:dyDescent="0.25">
      <c r="A827" s="70"/>
      <c r="B827" s="16">
        <v>12</v>
      </c>
      <c r="C827" s="16" t="s">
        <v>41</v>
      </c>
      <c r="D827" s="44">
        <v>24</v>
      </c>
      <c r="E827" s="18">
        <f ca="1">IFERROR(__xludf.DUMMYFUNCTION("COUNT(IMPORTRANGE(""https://docs.google.com/spreadsheets/d/1oYscvfOJW7GMkxt8QcupWuzb3ohaYePd3Mt2V2ufHok/edit"",""31!d2:d25""))"),24)</f>
        <v>24</v>
      </c>
      <c r="F827" s="23">
        <f ca="1">IFERROR(__xludf.DUMMYFUNCTION("SUM(IMPORTRANGE(""https://docs.google.com/spreadsheets/d/1oYscvfOJW7GMkxt8QcupWuzb3ohaYePd3Mt2V2ufHok/edit"",""31!Q2:Q25""))"),4717.436)</f>
        <v>4717.4359999999997</v>
      </c>
      <c r="G827" s="18">
        <f ca="1">IFERROR(__xludf.DUMMYFUNCTION("IMPORTRANGE(""https://docs.google.com/spreadsheets/d/1oYscvfOJW7GMkxt8QcupWuzb3ohaYePd3Mt2V2ufHok/edit"",""31!e32"")"),1226)</f>
        <v>1226</v>
      </c>
      <c r="H827" s="18">
        <f ca="1">IFERROR(__xludf.DUMMYFUNCTION("IMPORTRANGE(""https://docs.google.com/spreadsheets/d/1oYscvfOJW7GMkxt8QcupWuzb3ohaYePd3Mt2V2ufHok/edit"",""31!e33"")"),0)</f>
        <v>0</v>
      </c>
      <c r="I827" s="18">
        <f t="shared" ca="1" si="2262"/>
        <v>1226</v>
      </c>
      <c r="J827" s="18">
        <f ca="1">IFERROR(__xludf.DUMMYFUNCTION("IMPORTRANGE(""https://docs.google.com/spreadsheets/d/1oYscvfOJW7GMkxt8QcupWuzb3ohaYePd3Mt2V2ufHok/edit"",""31!e36"")"),1634)</f>
        <v>1634</v>
      </c>
      <c r="K827" s="18">
        <f ca="1">IFERROR(__xludf.DUMMYFUNCTION("IMPORTRANGE(""https://docs.google.com/spreadsheets/d/1oYscvfOJW7GMkxt8QcupWuzb3ohaYePd3Mt2V2ufHok/edit"",""31!e37"")"),215)</f>
        <v>215</v>
      </c>
      <c r="L827" s="18">
        <f t="shared" ca="1" si="2292"/>
        <v>1849</v>
      </c>
      <c r="M827" s="18">
        <f t="shared" ca="1" si="2264"/>
        <v>3075</v>
      </c>
      <c r="N827" s="19">
        <f t="shared" ca="1" si="2265"/>
        <v>196.55983333333333</v>
      </c>
      <c r="O827" s="16">
        <v>3801</v>
      </c>
      <c r="P827" s="20">
        <f t="shared" ca="1" si="2266"/>
        <v>0.80899763220205212</v>
      </c>
      <c r="Q827" s="21">
        <v>1.5</v>
      </c>
      <c r="R827" s="20">
        <f t="shared" ca="1" si="2267"/>
        <v>0.43455809469381251</v>
      </c>
      <c r="S827" s="22">
        <f t="shared" ca="1" si="2268"/>
        <v>0.65183714204071874</v>
      </c>
      <c r="T827" s="21">
        <f ca="1">F827/29.628</f>
        <v>159.2222222222222</v>
      </c>
      <c r="U827" s="21">
        <f t="shared" ca="1" si="2269"/>
        <v>6.6342592592592586</v>
      </c>
      <c r="V827" s="18">
        <f t="shared" ca="1" si="2270"/>
        <v>128.125</v>
      </c>
      <c r="W827" s="76"/>
      <c r="X827" s="8">
        <v>6</v>
      </c>
      <c r="Y827" s="8" t="s">
        <v>42</v>
      </c>
      <c r="Z827" s="8">
        <f t="shared" ref="Z827:AI827" si="2301">SUM(D831)</f>
        <v>33</v>
      </c>
      <c r="AA827" s="9">
        <f t="shared" ca="1" si="2301"/>
        <v>33</v>
      </c>
      <c r="AB827" s="10">
        <f t="shared" ca="1" si="2301"/>
        <v>6509.5189999999902</v>
      </c>
      <c r="AC827" s="9">
        <f t="shared" ca="1" si="2301"/>
        <v>3509</v>
      </c>
      <c r="AD827" s="9">
        <f t="shared" ca="1" si="2301"/>
        <v>0</v>
      </c>
      <c r="AE827" s="9">
        <f t="shared" ca="1" si="2301"/>
        <v>3509</v>
      </c>
      <c r="AF827" s="9">
        <f t="shared" ca="1" si="2301"/>
        <v>4491</v>
      </c>
      <c r="AG827" s="9">
        <f t="shared" ca="1" si="2301"/>
        <v>52</v>
      </c>
      <c r="AH827" s="9">
        <f t="shared" ca="1" si="2301"/>
        <v>4543</v>
      </c>
      <c r="AI827" s="9">
        <f t="shared" ca="1" si="2301"/>
        <v>8052</v>
      </c>
      <c r="AJ827" s="11">
        <f t="shared" ca="1" si="2282"/>
        <v>197.25815151515121</v>
      </c>
      <c r="AK827" s="8">
        <f t="shared" si="2298"/>
        <v>9877</v>
      </c>
      <c r="AL827" s="12">
        <f t="shared" ca="1" si="2284"/>
        <v>0.81522729573757213</v>
      </c>
      <c r="AM827" s="13">
        <f t="shared" si="2299"/>
        <v>1.5</v>
      </c>
      <c r="AN827" s="12">
        <f t="shared" ca="1" si="2286"/>
        <v>0.82463850247614434</v>
      </c>
      <c r="AO827" s="14">
        <f t="shared" ca="1" si="2287"/>
        <v>1.2369577537142165</v>
      </c>
      <c r="AP827" s="13">
        <f t="shared" ref="AP827:AQ827" ca="1" si="2302">SUM(T831)</f>
        <v>248.88239342381917</v>
      </c>
      <c r="AQ827" s="13">
        <f t="shared" ca="1" si="2302"/>
        <v>7.5418907098127024</v>
      </c>
      <c r="AR827" s="9">
        <f t="shared" ca="1" si="2289"/>
        <v>244</v>
      </c>
      <c r="AS827" s="76"/>
      <c r="AT827" s="76"/>
    </row>
    <row r="828" spans="1:46" ht="15.75" customHeight="1" x14ac:dyDescent="0.25">
      <c r="A828" s="70"/>
      <c r="B828" s="16">
        <v>13</v>
      </c>
      <c r="C828" s="16" t="s">
        <v>43</v>
      </c>
      <c r="D828" s="44">
        <v>30</v>
      </c>
      <c r="E828" s="18">
        <f ca="1">IFERROR(__xludf.DUMMYFUNCTION("COUNT(IMPORTRANGE(""https://docs.google.com/spreadsheets/d/1AxBmuQEdOYAeRnZ4C8vO6kuTNp7X_SGhpLXuY0n4ln4/edit"",""31!d2:d31""))"),29)</f>
        <v>29</v>
      </c>
      <c r="F828" s="23">
        <f ca="1">IFERROR(__xludf.DUMMYFUNCTION("SUM(IMPORTRANGE(""https://docs.google.com/spreadsheets/d/1AxBmuQEdOYAeRnZ4C8vO6kuTNp7X_SGhpLXuY0n4ln4/edit"",""31!Q2:Q31""))"),6166.84899999999)</f>
        <v>6166.8489999999902</v>
      </c>
      <c r="G828" s="18">
        <f ca="1">IFERROR(__xludf.DUMMYFUNCTION("IMPORTRANGE(""https://docs.google.com/spreadsheets/d/1AxBmuQEdOYAeRnZ4C8vO6kuTNp7X_SGhpLXuY0n4ln4/edit"",""31!e38"")"),2066)</f>
        <v>2066</v>
      </c>
      <c r="H828" s="18">
        <f ca="1">IFERROR(__xludf.DUMMYFUNCTION("IMPORTRANGE(""https://docs.google.com/spreadsheets/d/1AxBmuQEdOYAeRnZ4C8vO6kuTNp7X_SGhpLXuY0n4ln4/edit"",""31!e39"")"),188)</f>
        <v>188</v>
      </c>
      <c r="I828" s="18">
        <f t="shared" ca="1" si="2262"/>
        <v>2254</v>
      </c>
      <c r="J828" s="18">
        <f ca="1">IFERROR(__xludf.DUMMYFUNCTION("IMPORTRANGE(""https://docs.google.com/spreadsheets/d/1AxBmuQEdOYAeRnZ4C8vO6kuTNp7X_SGhpLXuY0n4ln4/edit"",""31!e42"")"),2646)</f>
        <v>2646</v>
      </c>
      <c r="K828" s="18">
        <f ca="1">IFERROR(__xludf.DUMMYFUNCTION("IMPORTRANGE(""https://docs.google.com/spreadsheets/d/1AxBmuQEdOYAeRnZ4C8vO6kuTNp7X_SGhpLXuY0n4ln4/edit"",""31!e43"")"),0)</f>
        <v>0</v>
      </c>
      <c r="L828" s="18">
        <f t="shared" ca="1" si="2292"/>
        <v>2646</v>
      </c>
      <c r="M828" s="18">
        <f t="shared" ca="1" si="2264"/>
        <v>4900</v>
      </c>
      <c r="N828" s="19">
        <f t="shared" ca="1" si="2265"/>
        <v>212.64996551724104</v>
      </c>
      <c r="O828" s="16">
        <v>8345</v>
      </c>
      <c r="P828" s="20">
        <f t="shared" ca="1" si="2266"/>
        <v>0.58717795086878366</v>
      </c>
      <c r="Q828" s="21">
        <v>1.5</v>
      </c>
      <c r="R828" s="20">
        <f t="shared" ca="1" si="2267"/>
        <v>0.529714067373252</v>
      </c>
      <c r="S828" s="22">
        <f t="shared" ca="1" si="2268"/>
        <v>0.79457110105987805</v>
      </c>
      <c r="T828" s="21">
        <f ca="1">F828/41.205</f>
        <v>149.66263802936513</v>
      </c>
      <c r="U828" s="21">
        <f t="shared" ca="1" si="2269"/>
        <v>5.1607806217022461</v>
      </c>
      <c r="V828" s="18">
        <f t="shared" ca="1" si="2270"/>
        <v>168.9655172413793</v>
      </c>
      <c r="W828" s="76"/>
      <c r="X828" s="24" t="s">
        <v>33</v>
      </c>
      <c r="Y828" s="24">
        <v>6</v>
      </c>
      <c r="Z828" s="24">
        <f t="shared" ref="Z828:AI828" si="2303">SUM(Z822:Z827)</f>
        <v>226</v>
      </c>
      <c r="AA828" s="25">
        <f t="shared" ca="1" si="2303"/>
        <v>222</v>
      </c>
      <c r="AB828" s="27">
        <f t="shared" ca="1" si="2303"/>
        <v>44408.124999999862</v>
      </c>
      <c r="AC828" s="25">
        <f t="shared" ca="1" si="2303"/>
        <v>18740</v>
      </c>
      <c r="AD828" s="25">
        <f t="shared" ca="1" si="2303"/>
        <v>329</v>
      </c>
      <c r="AE828" s="25">
        <f t="shared" ca="1" si="2303"/>
        <v>19069</v>
      </c>
      <c r="AF828" s="25">
        <f t="shared" ca="1" si="2303"/>
        <v>22789</v>
      </c>
      <c r="AG828" s="25">
        <f t="shared" ca="1" si="2303"/>
        <v>168</v>
      </c>
      <c r="AH828" s="25">
        <f t="shared" ca="1" si="2303"/>
        <v>22957</v>
      </c>
      <c r="AI828" s="25">
        <f t="shared" ca="1" si="2303"/>
        <v>42026</v>
      </c>
      <c r="AJ828" s="27">
        <f t="shared" ca="1" si="2282"/>
        <v>200.03659909909848</v>
      </c>
      <c r="AK828" s="24">
        <f>SUM(AK822:AK827)</f>
        <v>53273</v>
      </c>
      <c r="AL828" s="28">
        <f t="shared" ca="1" si="2284"/>
        <v>0.7888799204099638</v>
      </c>
      <c r="AM828" s="29">
        <v>1.5</v>
      </c>
      <c r="AN828" s="28">
        <f t="shared" ca="1" si="2286"/>
        <v>0.63090556814396959</v>
      </c>
      <c r="AO828" s="30">
        <f t="shared" ca="1" si="2287"/>
        <v>0.94635835221595443</v>
      </c>
      <c r="AP828" s="29">
        <f ca="1">SUM(AP822:AP827)</f>
        <v>1460.0169887483164</v>
      </c>
      <c r="AQ828" s="29">
        <f ca="1">AP828/AA828</f>
        <v>6.5766531024698933</v>
      </c>
      <c r="AR828" s="25">
        <f t="shared" ca="1" si="2289"/>
        <v>189.30630630630631</v>
      </c>
      <c r="AS828" s="76"/>
      <c r="AT828" s="76"/>
    </row>
    <row r="829" spans="1:46" ht="15.75" customHeight="1" x14ac:dyDescent="0.25">
      <c r="A829" s="70"/>
      <c r="B829" s="16">
        <v>14</v>
      </c>
      <c r="C829" s="16" t="s">
        <v>27</v>
      </c>
      <c r="D829" s="44">
        <v>30</v>
      </c>
      <c r="E829" s="18">
        <f ca="1">IFERROR(__xludf.DUMMYFUNCTION("COUNT(IMPORTRANGE(""https://docs.google.com/spreadsheets/d/1LsL4JuXvBtfJ-TVi4NFml9lV_pmd61b789A_nbO-QrA/edit"",""31!d2:d31""))"),28)</f>
        <v>28</v>
      </c>
      <c r="F829" s="23">
        <f ca="1">IFERROR(__xludf.DUMMYFUNCTION("SUM(IMPORTRANGE(""https://docs.google.com/spreadsheets/d/1LsL4JuXvBtfJ-TVi4NFml9lV_pmd61b789A_nbO-QrA/edit"",""31!Q2:Q31""))"),5152.023)</f>
        <v>5152.0230000000001</v>
      </c>
      <c r="G829" s="18">
        <f ca="1">IFERROR(__xludf.DUMMYFUNCTION("IMPORTRANGE(""https://docs.google.com/spreadsheets/d/1LsL4JuXvBtfJ-TVi4NFml9lV_pmd61b789A_nbO-QrA/edit"",""31!e38"")"),2406)</f>
        <v>2406</v>
      </c>
      <c r="H829" s="18">
        <f ca="1">IFERROR(__xludf.DUMMYFUNCTION("IMPORTRANGE(""https://docs.google.com/spreadsheets/d/1LsL4JuXvBtfJ-TVi4NFml9lV_pmd61b789A_nbO-QrA/edit"",""31!e39"")"),0)</f>
        <v>0</v>
      </c>
      <c r="I829" s="18">
        <f t="shared" ca="1" si="2262"/>
        <v>2406</v>
      </c>
      <c r="J829" s="18">
        <f ca="1">IFERROR(__xludf.DUMMYFUNCTION("IMPORTRANGE(""https://docs.google.com/spreadsheets/d/1LsL4JuXvBtfJ-TVi4NFml9lV_pmd61b789A_nbO-QrA/edit"",""31!e42"")"),3035)</f>
        <v>3035</v>
      </c>
      <c r="K829" s="18">
        <f ca="1">IFERROR(__xludf.DUMMYFUNCTION("IMPORTRANGE(""https://docs.google.com/spreadsheets/d/1LsL4JuXvBtfJ-TVi4NFml9lV_pmd61b789A_nbO-QrA/edit"",""31!e43"")"),0)</f>
        <v>0</v>
      </c>
      <c r="L829" s="18">
        <f t="shared" ca="1" si="2292"/>
        <v>3035</v>
      </c>
      <c r="M829" s="18">
        <f t="shared" ca="1" si="2264"/>
        <v>5441</v>
      </c>
      <c r="N829" s="19">
        <f t="shared" ca="1" si="2265"/>
        <v>184.00082142857144</v>
      </c>
      <c r="O829" s="16">
        <v>8101</v>
      </c>
      <c r="P829" s="20">
        <f t="shared" ca="1" si="2266"/>
        <v>0.67164547586717693</v>
      </c>
      <c r="Q829" s="21">
        <v>1.5</v>
      </c>
      <c r="R829" s="20">
        <f t="shared" ca="1" si="2267"/>
        <v>0.70406000387291234</v>
      </c>
      <c r="S829" s="22">
        <f t="shared" ca="1" si="2268"/>
        <v>1.0560900058093685</v>
      </c>
      <c r="T829" s="21">
        <f ca="1">F829/19.985</f>
        <v>257.79449587190396</v>
      </c>
      <c r="U829" s="21">
        <f t="shared" ca="1" si="2269"/>
        <v>9.2069462811394267</v>
      </c>
      <c r="V829" s="18">
        <f t="shared" ca="1" si="2270"/>
        <v>194.32142857142858</v>
      </c>
      <c r="W829" s="76"/>
      <c r="X829" s="97" t="s">
        <v>44</v>
      </c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9"/>
      <c r="AS829" s="76"/>
      <c r="AT829" s="76"/>
    </row>
    <row r="830" spans="1:46" ht="15.75" customHeight="1" x14ac:dyDescent="0.25">
      <c r="A830" s="70"/>
      <c r="B830" s="16">
        <v>15</v>
      </c>
      <c r="C830" s="16" t="s">
        <v>40</v>
      </c>
      <c r="D830" s="44">
        <v>30</v>
      </c>
      <c r="E830" s="18">
        <f ca="1">IFERROR(__xludf.DUMMYFUNCTION("COUNT(IMPORTRANGE(""https://docs.google.com/spreadsheets/d/1Krav0MVlY0vbUNsFRDnb_kR72_tyuGnWBYbGjNZrl18/edit"",""31!d2:d31""))"),29)</f>
        <v>29</v>
      </c>
      <c r="F830" s="23">
        <f ca="1">IFERROR(__xludf.DUMMYFUNCTION("SUM(IMPORTRANGE(""https://docs.google.com/spreadsheets/d/1Krav0MVlY0vbUNsFRDnb_kR72_tyuGnWBYbGjNZrl18/edit"",""31!Q2:Q31""))"),5731.93099999999)</f>
        <v>5731.9309999999896</v>
      </c>
      <c r="G830" s="18">
        <f ca="1">IFERROR(__xludf.DUMMYFUNCTION("IMPORTRANGE(""https://docs.google.com/spreadsheets/d/1Krav0MVlY0vbUNsFRDnb_kR72_tyuGnWBYbGjNZrl18/edit"",""31!e38"")"),3721)</f>
        <v>3721</v>
      </c>
      <c r="H830" s="18">
        <f ca="1">IFERROR(__xludf.DUMMYFUNCTION("IMPORTRANGE(""https://docs.google.com/spreadsheets/d/1Krav0MVlY0vbUNsFRDnb_kR72_tyuGnWBYbGjNZrl18/edit"",""31!e39"")"),0)</f>
        <v>0</v>
      </c>
      <c r="I830" s="18">
        <f t="shared" ca="1" si="2262"/>
        <v>3721</v>
      </c>
      <c r="J830" s="18">
        <f ca="1">IFERROR(__xludf.DUMMYFUNCTION("IMPORTRANGE(""https://docs.google.com/spreadsheets/d/1Krav0MVlY0vbUNsFRDnb_kR72_tyuGnWBYbGjNZrl18/edit"",""31!e42"")"),3854)</f>
        <v>3854</v>
      </c>
      <c r="K830" s="18">
        <f ca="1">IFERROR(__xludf.DUMMYFUNCTION("IMPORTRANGE(""https://docs.google.com/spreadsheets/d/1Krav0MVlY0vbUNsFRDnb_kR72_tyuGnWBYbGjNZrl18/edit"",""31!e43"")"),0)</f>
        <v>0</v>
      </c>
      <c r="L830" s="18">
        <f t="shared" ca="1" si="2292"/>
        <v>3854</v>
      </c>
      <c r="M830" s="18">
        <f t="shared" ca="1" si="2264"/>
        <v>7575</v>
      </c>
      <c r="N830" s="19">
        <f t="shared" ca="1" si="2265"/>
        <v>197.65279310344792</v>
      </c>
      <c r="O830" s="16">
        <v>8239</v>
      </c>
      <c r="P830" s="20">
        <f t="shared" ca="1" si="2266"/>
        <v>0.91940769510862974</v>
      </c>
      <c r="Q830" s="21">
        <v>1.5</v>
      </c>
      <c r="R830" s="20">
        <f t="shared" ca="1" si="2267"/>
        <v>0.8810294471444281</v>
      </c>
      <c r="S830" s="22">
        <f t="shared" ca="1" si="2268"/>
        <v>1.3215441707166422</v>
      </c>
      <c r="T830" s="21">
        <f ca="1">F830/28.443</f>
        <v>201.52343283057306</v>
      </c>
      <c r="U830" s="21">
        <f t="shared" ca="1" si="2269"/>
        <v>6.9490838907094155</v>
      </c>
      <c r="V830" s="18">
        <f t="shared" ca="1" si="2270"/>
        <v>261.20689655172413</v>
      </c>
      <c r="W830" s="76"/>
      <c r="X830" s="1" t="s">
        <v>2</v>
      </c>
      <c r="Y830" s="1" t="s">
        <v>3</v>
      </c>
      <c r="Z830" s="1" t="s">
        <v>4</v>
      </c>
      <c r="AA830" s="1" t="s">
        <v>5</v>
      </c>
      <c r="AB830" s="2" t="s">
        <v>6</v>
      </c>
      <c r="AC830" s="1" t="s">
        <v>7</v>
      </c>
      <c r="AD830" s="1" t="s">
        <v>8</v>
      </c>
      <c r="AE830" s="1" t="s">
        <v>9</v>
      </c>
      <c r="AF830" s="1" t="s">
        <v>10</v>
      </c>
      <c r="AG830" s="1" t="s">
        <v>11</v>
      </c>
      <c r="AH830" s="1" t="s">
        <v>12</v>
      </c>
      <c r="AI830" s="1" t="s">
        <v>13</v>
      </c>
      <c r="AJ830" s="2" t="s">
        <v>14</v>
      </c>
      <c r="AK830" s="1" t="s">
        <v>15</v>
      </c>
      <c r="AL830" s="1" t="s">
        <v>16</v>
      </c>
      <c r="AM830" s="3" t="s">
        <v>17</v>
      </c>
      <c r="AN830" s="4" t="s">
        <v>18</v>
      </c>
      <c r="AO830" s="5" t="s">
        <v>19</v>
      </c>
      <c r="AP830" s="6" t="s">
        <v>20</v>
      </c>
      <c r="AQ830" s="6" t="s">
        <v>21</v>
      </c>
      <c r="AR830" s="7" t="s">
        <v>22</v>
      </c>
      <c r="AS830" s="76"/>
      <c r="AT830" s="76"/>
    </row>
    <row r="831" spans="1:46" ht="15.75" customHeight="1" x14ac:dyDescent="0.25">
      <c r="A831" s="70"/>
      <c r="B831" s="16">
        <v>16</v>
      </c>
      <c r="C831" s="16" t="s">
        <v>42</v>
      </c>
      <c r="D831" s="44">
        <v>33</v>
      </c>
      <c r="E831" s="18">
        <f ca="1">IFERROR(__xludf.DUMMYFUNCTION("COUNT(IMPORTRANGE(""https://docs.google.com/spreadsheets/d/1uXtm-E8PG0CetlFmSpTX3RK0LNEMnpR-mxbET9AGD6w/edit"",""31!d2:d34""))"),33)</f>
        <v>33</v>
      </c>
      <c r="F831" s="23">
        <f ca="1">IFERROR(__xludf.DUMMYFUNCTION("SUM(IMPORTRANGE(""https://docs.google.com/spreadsheets/d/1uXtm-E8PG0CetlFmSpTX3RK0LNEMnpR-mxbET9AGD6w/edit"",""31!Q2:Q34""))"),6509.51899999999)</f>
        <v>6509.5189999999902</v>
      </c>
      <c r="G831" s="18">
        <f ca="1">IFERROR(__xludf.DUMMYFUNCTION("IMPORTRANGE(""https://docs.google.com/spreadsheets/d/1uXtm-E8PG0CetlFmSpTX3RK0LNEMnpR-mxbET9AGD6w/edit"",""31!e41"")"),3509)</f>
        <v>3509</v>
      </c>
      <c r="H831" s="18">
        <f ca="1">IFERROR(__xludf.DUMMYFUNCTION("IMPORTRANGE(""https://docs.google.com/spreadsheets/d/1uXtm-E8PG0CetlFmSpTX3RK0LNEMnpR-mxbET9AGD6w/edit"",""31!e42"")"),0)</f>
        <v>0</v>
      </c>
      <c r="I831" s="18">
        <f t="shared" ca="1" si="2262"/>
        <v>3509</v>
      </c>
      <c r="J831" s="18">
        <f ca="1">IFERROR(__xludf.DUMMYFUNCTION("IMPORTRANGE(""https://docs.google.com/spreadsheets/d/1uXtm-E8PG0CetlFmSpTX3RK0LNEMnpR-mxbET9AGD6w/edit"",""31!e45"")"),4491)</f>
        <v>4491</v>
      </c>
      <c r="K831" s="18">
        <f ca="1">IFERROR(__xludf.DUMMYFUNCTION("IMPORTRANGE(""https://docs.google.com/spreadsheets/d/1uXtm-E8PG0CetlFmSpTX3RK0LNEMnpR-mxbET9AGD6w/edit"",""31!e46"")"),52)</f>
        <v>52</v>
      </c>
      <c r="L831" s="18">
        <f t="shared" ca="1" si="2292"/>
        <v>4543</v>
      </c>
      <c r="M831" s="18">
        <f t="shared" ca="1" si="2264"/>
        <v>8052</v>
      </c>
      <c r="N831" s="19">
        <f t="shared" ca="1" si="2265"/>
        <v>197.25815151515121</v>
      </c>
      <c r="O831" s="16">
        <v>9877</v>
      </c>
      <c r="P831" s="20">
        <f t="shared" ca="1" si="2266"/>
        <v>0.81522729573757213</v>
      </c>
      <c r="Q831" s="21">
        <v>1.5</v>
      </c>
      <c r="R831" s="20">
        <f t="shared" ca="1" si="2267"/>
        <v>0.82463850247614434</v>
      </c>
      <c r="S831" s="22">
        <f t="shared" ca="1" si="2268"/>
        <v>1.2369577537142165</v>
      </c>
      <c r="T831" s="21">
        <f ca="1">F831/26.155</f>
        <v>248.88239342381917</v>
      </c>
      <c r="U831" s="21">
        <f t="shared" ca="1" si="2269"/>
        <v>7.5418907098127024</v>
      </c>
      <c r="V831" s="18">
        <f t="shared" ca="1" si="2270"/>
        <v>244</v>
      </c>
      <c r="W831" s="76"/>
      <c r="X831" s="8">
        <v>1</v>
      </c>
      <c r="Y831" s="8" t="s">
        <v>26</v>
      </c>
      <c r="Z831" s="8">
        <f t="shared" ref="Z831:AI831" si="2304">SUM(D816)</f>
        <v>20</v>
      </c>
      <c r="AA831" s="9">
        <f t="shared" ca="1" si="2304"/>
        <v>19</v>
      </c>
      <c r="AB831" s="11">
        <f t="shared" ca="1" si="2304"/>
        <v>3568.248</v>
      </c>
      <c r="AC831" s="9">
        <f t="shared" ca="1" si="2304"/>
        <v>2378</v>
      </c>
      <c r="AD831" s="9">
        <f t="shared" ca="1" si="2304"/>
        <v>0</v>
      </c>
      <c r="AE831" s="9">
        <f t="shared" ca="1" si="2304"/>
        <v>2378</v>
      </c>
      <c r="AF831" s="9">
        <f t="shared" ca="1" si="2304"/>
        <v>2818</v>
      </c>
      <c r="AG831" s="9">
        <f t="shared" ca="1" si="2304"/>
        <v>0</v>
      </c>
      <c r="AH831" s="9">
        <f t="shared" ca="1" si="2304"/>
        <v>2818</v>
      </c>
      <c r="AI831" s="9">
        <f t="shared" ca="1" si="2304"/>
        <v>5196</v>
      </c>
      <c r="AJ831" s="11">
        <f t="shared" ref="AJ831:AJ837" ca="1" si="2305">AB831/AA831</f>
        <v>187.80252631578946</v>
      </c>
      <c r="AK831" s="8">
        <f>SUM(O816)</f>
        <v>5161</v>
      </c>
      <c r="AL831" s="15">
        <f t="shared" ref="AL831:AL837" ca="1" si="2306">AI831/AK831</f>
        <v>1.0067816314667699</v>
      </c>
      <c r="AM831" s="13">
        <f>SUM(Q816)</f>
        <v>1.5</v>
      </c>
      <c r="AN831" s="12">
        <f t="shared" ref="AN831:AN837" ca="1" si="2307">AO831/AM831</f>
        <v>0.970784541881618</v>
      </c>
      <c r="AO831" s="14">
        <f t="shared" ref="AO831:AO837" ca="1" si="2308">AI831/AB831</f>
        <v>1.4561768128224271</v>
      </c>
      <c r="AP831" s="13">
        <f t="shared" ref="AP831:AQ831" ca="1" si="2309">SUM(T816)</f>
        <v>247.53714880332987</v>
      </c>
      <c r="AQ831" s="13">
        <f t="shared" ca="1" si="2309"/>
        <v>13.02827098964894</v>
      </c>
      <c r="AR831" s="9">
        <f t="shared" ref="AR831:AR837" ca="1" si="2310">AI831/AA831</f>
        <v>273.4736842105263</v>
      </c>
      <c r="AS831" s="76"/>
      <c r="AT831" s="76"/>
    </row>
    <row r="832" spans="1:46" ht="15.75" customHeight="1" x14ac:dyDescent="0.25">
      <c r="A832" s="70"/>
      <c r="B832" s="16">
        <v>17</v>
      </c>
      <c r="C832" s="16" t="s">
        <v>29</v>
      </c>
      <c r="D832" s="44">
        <v>30</v>
      </c>
      <c r="E832" s="18">
        <f ca="1">IFERROR(__xludf.DUMMYFUNCTION("COUNT(IMPORTRANGE(""https://docs.google.com/spreadsheets/d/12xcKI0lSnAsjEsxfm9K8Qx0B_89Gzsh816mowItkQao/edit"",""31!d2:d31""))"),29)</f>
        <v>29</v>
      </c>
      <c r="F832" s="23">
        <f ca="1">IFERROR(__xludf.DUMMYFUNCTION("SUM(IMPORTRANGE(""https://docs.google.com/spreadsheets/d/12xcKI0lSnAsjEsxfm9K8Qx0B_89Gzsh816mowItkQao/edit"",""31!Q2:Q31""))"),5520.056)</f>
        <v>5520.0559999999996</v>
      </c>
      <c r="G832" s="18">
        <f ca="1">IFERROR(__xludf.DUMMYFUNCTION("IMPORTRANGE(""https://docs.google.com/spreadsheets/d/12xcKI0lSnAsjEsxfm9K8Qx0B_89Gzsh816mowItkQao/edit"",""31!e38"")"),2679)</f>
        <v>2679</v>
      </c>
      <c r="H832" s="18">
        <f ca="1">IFERROR(__xludf.DUMMYFUNCTION("IMPORTRANGE(""https://docs.google.com/spreadsheets/d/12xcKI0lSnAsjEsxfm9K8Qx0B_89Gzsh816mowItkQao/edit"",""31!e39"")"),0)</f>
        <v>0</v>
      </c>
      <c r="I832" s="18">
        <f t="shared" ca="1" si="2262"/>
        <v>2679</v>
      </c>
      <c r="J832" s="18">
        <f ca="1">IFERROR(__xludf.DUMMYFUNCTION("IMPORTRANGE(""https://docs.google.com/spreadsheets/d/12xcKI0lSnAsjEsxfm9K8Qx0B_89Gzsh816mowItkQao/edit"",""31!e42"")"),4222)</f>
        <v>4222</v>
      </c>
      <c r="K832" s="18">
        <f ca="1">IFERROR(__xludf.DUMMYFUNCTION("IMPORTRANGE(""https://docs.google.com/spreadsheets/d/12xcKI0lSnAsjEsxfm9K8Qx0B_89Gzsh816mowItkQao/edit"",""31!e43"")"),0)</f>
        <v>0</v>
      </c>
      <c r="L832" s="18">
        <f t="shared" ca="1" si="2292"/>
        <v>4222</v>
      </c>
      <c r="M832" s="18">
        <f t="shared" ca="1" si="2264"/>
        <v>6901</v>
      </c>
      <c r="N832" s="19">
        <f t="shared" ca="1" si="2265"/>
        <v>190.34675862068963</v>
      </c>
      <c r="O832" s="16">
        <v>9201</v>
      </c>
      <c r="P832" s="20">
        <f t="shared" ca="1" si="2266"/>
        <v>0.7500271709596783</v>
      </c>
      <c r="Q832" s="21">
        <v>1.5</v>
      </c>
      <c r="R832" s="20">
        <f t="shared" ca="1" si="2267"/>
        <v>0.83344565103445811</v>
      </c>
      <c r="S832" s="22">
        <f t="shared" ca="1" si="2268"/>
        <v>1.2501684765516872</v>
      </c>
      <c r="T832" s="21">
        <f ca="1">F832/26.038</f>
        <v>211.99999999999997</v>
      </c>
      <c r="U832" s="21">
        <f t="shared" ca="1" si="2269"/>
        <v>7.3103448275862055</v>
      </c>
      <c r="V832" s="18">
        <f t="shared" ca="1" si="2270"/>
        <v>237.9655172413793</v>
      </c>
      <c r="W832" s="76"/>
      <c r="X832" s="8">
        <v>2</v>
      </c>
      <c r="Y832" s="8" t="s">
        <v>32</v>
      </c>
      <c r="Z832" s="8">
        <f t="shared" ref="Z832:AI832" si="2311">SUM(D819)</f>
        <v>42</v>
      </c>
      <c r="AA832" s="9">
        <f t="shared" ca="1" si="2311"/>
        <v>41</v>
      </c>
      <c r="AB832" s="10">
        <f t="shared" ca="1" si="2311"/>
        <v>7928.1239999999898</v>
      </c>
      <c r="AC832" s="8">
        <f t="shared" ca="1" si="2311"/>
        <v>4626</v>
      </c>
      <c r="AD832" s="8">
        <f t="shared" ca="1" si="2311"/>
        <v>0</v>
      </c>
      <c r="AE832" s="9">
        <f t="shared" ca="1" si="2311"/>
        <v>4626</v>
      </c>
      <c r="AF832" s="8">
        <f t="shared" ca="1" si="2311"/>
        <v>5201</v>
      </c>
      <c r="AG832" s="8">
        <f t="shared" ca="1" si="2311"/>
        <v>0</v>
      </c>
      <c r="AH832" s="9">
        <f t="shared" ca="1" si="2311"/>
        <v>5201</v>
      </c>
      <c r="AI832" s="9">
        <f t="shared" ca="1" si="2311"/>
        <v>9827</v>
      </c>
      <c r="AJ832" s="11">
        <f t="shared" ca="1" si="2305"/>
        <v>193.36887804878023</v>
      </c>
      <c r="AK832" s="8">
        <f>SUM(O819)</f>
        <v>13817</v>
      </c>
      <c r="AL832" s="12">
        <f t="shared" ca="1" si="2306"/>
        <v>0.71122530216400082</v>
      </c>
      <c r="AM832" s="13">
        <f>SUM(Q819)</f>
        <v>1.5</v>
      </c>
      <c r="AN832" s="12">
        <f t="shared" ca="1" si="2307"/>
        <v>0.82634092672280879</v>
      </c>
      <c r="AO832" s="14">
        <f t="shared" ca="1" si="2308"/>
        <v>1.2395113900842132</v>
      </c>
      <c r="AP832" s="13">
        <f t="shared" ref="AP832:AQ832" ca="1" si="2312">SUM(T819)</f>
        <v>315.9999999999996</v>
      </c>
      <c r="AQ832" s="13">
        <f t="shared" ca="1" si="2312"/>
        <v>7.7073170731707217</v>
      </c>
      <c r="AR832" s="9">
        <f t="shared" ca="1" si="2310"/>
        <v>239.6829268292683</v>
      </c>
      <c r="AS832" s="76"/>
      <c r="AT832" s="76"/>
    </row>
    <row r="833" spans="1:46" ht="15.75" customHeight="1" x14ac:dyDescent="0.25">
      <c r="A833" s="70"/>
      <c r="B833" s="16">
        <v>18</v>
      </c>
      <c r="C833" s="16" t="s">
        <v>31</v>
      </c>
      <c r="D833" s="44">
        <v>15</v>
      </c>
      <c r="E833" s="18">
        <f ca="1">IFERROR(__xludf.DUMMYFUNCTION("COUNT(IMPORTRANGE(""https://docs.google.com/spreadsheets/d/1fgCFOFzOla4Qim6_-zG-lbYhLCItqv_kZiAHoErRgcM/edit"",""31!d2:d16""))"),14)</f>
        <v>14</v>
      </c>
      <c r="F833" s="19">
        <f ca="1">IFERROR(__xludf.DUMMYFUNCTION("SUM(IMPORTRANGE(""https://docs.google.com/spreadsheets/d/1fgCFOFzOla4Qim6_-zG-lbYhLCItqv_kZiAHoErRgcM/edit"",""31!Q2:Q16""))"),2868.69)</f>
        <v>2868.69</v>
      </c>
      <c r="G833" s="18">
        <f ca="1">IFERROR(__xludf.DUMMYFUNCTION("IMPORTRANGE(""https://docs.google.com/spreadsheets/d/1fgCFOFzOla4Qim6_-zG-lbYhLCItqv_kZiAHoErRgcM/edit"",""31!e23"")"),859)</f>
        <v>859</v>
      </c>
      <c r="H833" s="18">
        <f ca="1">IFERROR(__xludf.DUMMYFUNCTION("IMPORTRANGE(""https://docs.google.com/spreadsheets/d/1fgCFOFzOla4Qim6_-zG-lbYhLCItqv_kZiAHoErRgcM/edit"",""31!e24"")"),11)</f>
        <v>11</v>
      </c>
      <c r="I833" s="18">
        <f t="shared" ca="1" si="2262"/>
        <v>870</v>
      </c>
      <c r="J833" s="18">
        <f ca="1">IFERROR(__xludf.DUMMYFUNCTION("IMPORTRANGE(""https://docs.google.com/spreadsheets/d/1fgCFOFzOla4Qim6_-zG-lbYhLCItqv_kZiAHoErRgcM/edit"",""31!e27"")"),1192)</f>
        <v>1192</v>
      </c>
      <c r="K833" s="18">
        <f ca="1">IFERROR(__xludf.DUMMYFUNCTION("IMPORTRANGE(""https://docs.google.com/spreadsheets/d/1fgCFOFzOla4Qim6_-zG-lbYhLCItqv_kZiAHoErRgcM/edit"",""31!e28"")"),0)</f>
        <v>0</v>
      </c>
      <c r="L833" s="18">
        <f t="shared" ca="1" si="2292"/>
        <v>1192</v>
      </c>
      <c r="M833" s="18">
        <f t="shared" ca="1" si="2264"/>
        <v>2062</v>
      </c>
      <c r="N833" s="19">
        <f t="shared" ca="1" si="2265"/>
        <v>204.90642857142856</v>
      </c>
      <c r="O833" s="16">
        <v>2717</v>
      </c>
      <c r="P833" s="20">
        <f t="shared" ca="1" si="2266"/>
        <v>0.75892528524107472</v>
      </c>
      <c r="Q833" s="21">
        <v>1.5</v>
      </c>
      <c r="R833" s="20">
        <f t="shared" ca="1" si="2267"/>
        <v>0.47919666003181471</v>
      </c>
      <c r="S833" s="22">
        <f t="shared" ca="1" si="2268"/>
        <v>0.71879499004772207</v>
      </c>
      <c r="T833" s="21">
        <f ca="1">F833/43.465</f>
        <v>66</v>
      </c>
      <c r="U833" s="21">
        <f t="shared" ca="1" si="2269"/>
        <v>4.7142857142857144</v>
      </c>
      <c r="V833" s="18">
        <f t="shared" ca="1" si="2270"/>
        <v>147.28571428571428</v>
      </c>
      <c r="W833" s="76"/>
      <c r="X833" s="8">
        <v>3</v>
      </c>
      <c r="Y833" s="8" t="s">
        <v>36</v>
      </c>
      <c r="Z833" s="8">
        <f t="shared" ref="Z833:AI833" si="2313">SUM(D824)</f>
        <v>29</v>
      </c>
      <c r="AA833" s="9">
        <f t="shared" ca="1" si="2313"/>
        <v>29</v>
      </c>
      <c r="AB833" s="10">
        <f t="shared" ca="1" si="2313"/>
        <v>5571.4939999999997</v>
      </c>
      <c r="AC833" s="9">
        <f t="shared" ca="1" si="2313"/>
        <v>1439</v>
      </c>
      <c r="AD833" s="9">
        <f t="shared" ca="1" si="2313"/>
        <v>0</v>
      </c>
      <c r="AE833" s="9">
        <f t="shared" ca="1" si="2313"/>
        <v>1439</v>
      </c>
      <c r="AF833" s="9">
        <f t="shared" ca="1" si="2313"/>
        <v>2367</v>
      </c>
      <c r="AG833" s="9">
        <f t="shared" ca="1" si="2313"/>
        <v>0</v>
      </c>
      <c r="AH833" s="9">
        <f t="shared" ca="1" si="2313"/>
        <v>2367</v>
      </c>
      <c r="AI833" s="9">
        <f t="shared" ca="1" si="2313"/>
        <v>3806</v>
      </c>
      <c r="AJ833" s="11">
        <f t="shared" ca="1" si="2305"/>
        <v>192.12048275862068</v>
      </c>
      <c r="AK833" s="8">
        <f t="shared" ref="AK833:AK836" si="2314">SUM(O824)</f>
        <v>4796</v>
      </c>
      <c r="AL833" s="12">
        <f t="shared" ca="1" si="2306"/>
        <v>0.79357798165137616</v>
      </c>
      <c r="AM833" s="13">
        <f t="shared" ref="AM833:AM836" si="2315">SUM(Q824)</f>
        <v>1.5</v>
      </c>
      <c r="AN833" s="12">
        <f t="shared" ca="1" si="2307"/>
        <v>0.45541345523002152</v>
      </c>
      <c r="AO833" s="14">
        <f t="shared" ca="1" si="2308"/>
        <v>0.68312018284503229</v>
      </c>
      <c r="AP833" s="13">
        <f t="shared" ref="AP833:AQ833" ca="1" si="2316">SUM(T824)</f>
        <v>148.91468434275939</v>
      </c>
      <c r="AQ833" s="13">
        <f t="shared" ca="1" si="2316"/>
        <v>5.1349891152675653</v>
      </c>
      <c r="AR833" s="9">
        <f t="shared" ca="1" si="2310"/>
        <v>131.24137931034483</v>
      </c>
      <c r="AS833" s="76"/>
      <c r="AT833" s="76"/>
    </row>
    <row r="834" spans="1:46" ht="15.75" customHeight="1" x14ac:dyDescent="0.2">
      <c r="A834" s="70"/>
      <c r="B834" s="98" t="s">
        <v>33</v>
      </c>
      <c r="C834" s="98">
        <v>18</v>
      </c>
      <c r="D834" s="98">
        <f t="shared" ref="D834:M834" si="2317">SUM(D816:D833)</f>
        <v>585</v>
      </c>
      <c r="E834" s="74">
        <f t="shared" ca="1" si="2317"/>
        <v>573</v>
      </c>
      <c r="F834" s="99">
        <f t="shared" ca="1" si="2317"/>
        <v>111851.19899999982</v>
      </c>
      <c r="G834" s="74">
        <f t="shared" ca="1" si="2317"/>
        <v>43444</v>
      </c>
      <c r="H834" s="74">
        <f t="shared" ca="1" si="2317"/>
        <v>654</v>
      </c>
      <c r="I834" s="74">
        <f t="shared" ca="1" si="2317"/>
        <v>44098</v>
      </c>
      <c r="J834" s="74">
        <f t="shared" ca="1" si="2317"/>
        <v>55245</v>
      </c>
      <c r="K834" s="74">
        <f t="shared" ca="1" si="2317"/>
        <v>1543</v>
      </c>
      <c r="L834" s="74">
        <f t="shared" ca="1" si="2317"/>
        <v>56788</v>
      </c>
      <c r="M834" s="74">
        <f t="shared" ca="1" si="2317"/>
        <v>100886</v>
      </c>
      <c r="N834" s="99">
        <f t="shared" ca="1" si="2265"/>
        <v>195.20279057591591</v>
      </c>
      <c r="O834" s="98">
        <f>SUM(O816:O833)</f>
        <v>126399</v>
      </c>
      <c r="P834" s="69">
        <f t="shared" ca="1" si="2266"/>
        <v>0.79815504869500553</v>
      </c>
      <c r="Q834" s="72">
        <v>1.5</v>
      </c>
      <c r="R834" s="69">
        <f t="shared" ca="1" si="2267"/>
        <v>0.60131079447197922</v>
      </c>
      <c r="S834" s="73">
        <f t="shared" ca="1" si="2268"/>
        <v>0.90196619170796877</v>
      </c>
      <c r="T834" s="72">
        <f ca="1">SUM(T816:T833)</f>
        <v>4106.0257510641513</v>
      </c>
      <c r="U834" s="72">
        <f t="shared" ca="1" si="2269"/>
        <v>7.1658390070927593</v>
      </c>
      <c r="V834" s="74">
        <f t="shared" ca="1" si="2270"/>
        <v>176.06631762652705</v>
      </c>
      <c r="W834" s="76"/>
      <c r="X834" s="8">
        <v>4</v>
      </c>
      <c r="Y834" s="8" t="s">
        <v>37</v>
      </c>
      <c r="Z834" s="8">
        <f t="shared" ref="Z834:AI834" si="2318">SUM(D825)</f>
        <v>30</v>
      </c>
      <c r="AA834" s="9">
        <f t="shared" ca="1" si="2318"/>
        <v>30</v>
      </c>
      <c r="AB834" s="10">
        <f t="shared" ca="1" si="2318"/>
        <v>5787.3959999999997</v>
      </c>
      <c r="AC834" s="9">
        <f t="shared" ca="1" si="2318"/>
        <v>2244</v>
      </c>
      <c r="AD834" s="9">
        <f t="shared" ca="1" si="2318"/>
        <v>0</v>
      </c>
      <c r="AE834" s="9">
        <f t="shared" ca="1" si="2318"/>
        <v>2244</v>
      </c>
      <c r="AF834" s="9">
        <f t="shared" ca="1" si="2318"/>
        <v>2743</v>
      </c>
      <c r="AG834" s="9">
        <f t="shared" ca="1" si="2318"/>
        <v>0</v>
      </c>
      <c r="AH834" s="9">
        <f t="shared" ca="1" si="2318"/>
        <v>2743</v>
      </c>
      <c r="AI834" s="9">
        <f t="shared" ca="1" si="2318"/>
        <v>4987</v>
      </c>
      <c r="AJ834" s="11">
        <f t="shared" ca="1" si="2305"/>
        <v>192.91319999999999</v>
      </c>
      <c r="AK834" s="8">
        <f t="shared" si="2314"/>
        <v>5887</v>
      </c>
      <c r="AL834" s="12">
        <f t="shared" ca="1" si="2306"/>
        <v>0.84712077458807544</v>
      </c>
      <c r="AM834" s="13">
        <f t="shared" si="2315"/>
        <v>1.5</v>
      </c>
      <c r="AN834" s="12">
        <f t="shared" ca="1" si="2307"/>
        <v>0.57446676651583317</v>
      </c>
      <c r="AO834" s="14">
        <f t="shared" ca="1" si="2308"/>
        <v>0.86170014977374976</v>
      </c>
      <c r="AP834" s="13">
        <f t="shared" ref="AP834:AQ834" ca="1" si="2319">SUM(T825)</f>
        <v>233.43804453049367</v>
      </c>
      <c r="AQ834" s="13">
        <f t="shared" ca="1" si="2319"/>
        <v>7.7812681510164561</v>
      </c>
      <c r="AR834" s="9">
        <f t="shared" ca="1" si="2310"/>
        <v>166.23333333333332</v>
      </c>
      <c r="AS834" s="76"/>
      <c r="AT834" s="76"/>
    </row>
    <row r="835" spans="1:46" ht="15.75" customHeight="1" x14ac:dyDescent="0.2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6"/>
      <c r="X835" s="8">
        <v>5</v>
      </c>
      <c r="Y835" s="8" t="s">
        <v>39</v>
      </c>
      <c r="Z835" s="8">
        <f t="shared" ref="Z835:AI835" si="2320">SUM(D826)</f>
        <v>28</v>
      </c>
      <c r="AA835" s="9">
        <f t="shared" ca="1" si="2320"/>
        <v>27</v>
      </c>
      <c r="AB835" s="10">
        <f t="shared" ca="1" si="2320"/>
        <v>5103.8289999999997</v>
      </c>
      <c r="AC835" s="9">
        <f t="shared" ca="1" si="2320"/>
        <v>1119</v>
      </c>
      <c r="AD835" s="9">
        <f t="shared" ca="1" si="2320"/>
        <v>0</v>
      </c>
      <c r="AE835" s="9">
        <f t="shared" ca="1" si="2320"/>
        <v>1119</v>
      </c>
      <c r="AF835" s="9">
        <f t="shared" ca="1" si="2320"/>
        <v>1558</v>
      </c>
      <c r="AG835" s="9">
        <f t="shared" ca="1" si="2320"/>
        <v>737</v>
      </c>
      <c r="AH835" s="9">
        <f t="shared" ca="1" si="2320"/>
        <v>2295</v>
      </c>
      <c r="AI835" s="9">
        <f t="shared" ca="1" si="2320"/>
        <v>3414</v>
      </c>
      <c r="AJ835" s="11">
        <f t="shared" ca="1" si="2305"/>
        <v>189.03070370370369</v>
      </c>
      <c r="AK835" s="8">
        <f t="shared" si="2314"/>
        <v>3569</v>
      </c>
      <c r="AL835" s="12">
        <f t="shared" ca="1" si="2306"/>
        <v>0.95657046791818434</v>
      </c>
      <c r="AM835" s="13">
        <f t="shared" si="2315"/>
        <v>1.5</v>
      </c>
      <c r="AN835" s="12">
        <f t="shared" ca="1" si="2307"/>
        <v>0.44593970526833876</v>
      </c>
      <c r="AO835" s="14">
        <f t="shared" ca="1" si="2308"/>
        <v>0.66890955790250817</v>
      </c>
      <c r="AP835" s="13">
        <f t="shared" ref="AP835:AQ835" ca="1" si="2321">SUM(T826)</f>
        <v>237.7966267530168</v>
      </c>
      <c r="AQ835" s="13">
        <f t="shared" ca="1" si="2321"/>
        <v>8.8072824723339558</v>
      </c>
      <c r="AR835" s="9">
        <f t="shared" ca="1" si="2310"/>
        <v>126.44444444444444</v>
      </c>
      <c r="AS835" s="76"/>
      <c r="AT835" s="76"/>
    </row>
    <row r="836" spans="1:46" ht="15.75" customHeight="1" x14ac:dyDescent="0.2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6"/>
      <c r="X836" s="8">
        <v>6</v>
      </c>
      <c r="Y836" s="8" t="s">
        <v>41</v>
      </c>
      <c r="Z836" s="8">
        <f t="shared" ref="Z836:AI836" si="2322">SUM(D827)</f>
        <v>24</v>
      </c>
      <c r="AA836" s="9">
        <f t="shared" ca="1" si="2322"/>
        <v>24</v>
      </c>
      <c r="AB836" s="10">
        <f t="shared" ca="1" si="2322"/>
        <v>4717.4359999999997</v>
      </c>
      <c r="AC836" s="9">
        <f t="shared" ca="1" si="2322"/>
        <v>1226</v>
      </c>
      <c r="AD836" s="9">
        <f t="shared" ca="1" si="2322"/>
        <v>0</v>
      </c>
      <c r="AE836" s="9">
        <f t="shared" ca="1" si="2322"/>
        <v>1226</v>
      </c>
      <c r="AF836" s="9">
        <f t="shared" ca="1" si="2322"/>
        <v>1634</v>
      </c>
      <c r="AG836" s="9">
        <f t="shared" ca="1" si="2322"/>
        <v>215</v>
      </c>
      <c r="AH836" s="9">
        <f t="shared" ca="1" si="2322"/>
        <v>1849</v>
      </c>
      <c r="AI836" s="9">
        <f t="shared" ca="1" si="2322"/>
        <v>3075</v>
      </c>
      <c r="AJ836" s="11">
        <f t="shared" ca="1" si="2305"/>
        <v>196.55983333333333</v>
      </c>
      <c r="AK836" s="8">
        <f t="shared" si="2314"/>
        <v>3801</v>
      </c>
      <c r="AL836" s="12">
        <f t="shared" ca="1" si="2306"/>
        <v>0.80899763220205212</v>
      </c>
      <c r="AM836" s="13">
        <f t="shared" si="2315"/>
        <v>1.5</v>
      </c>
      <c r="AN836" s="12">
        <f t="shared" ca="1" si="2307"/>
        <v>0.43455809469381251</v>
      </c>
      <c r="AO836" s="14">
        <f t="shared" ca="1" si="2308"/>
        <v>0.65183714204071874</v>
      </c>
      <c r="AP836" s="13">
        <f t="shared" ref="AP836:AQ836" ca="1" si="2323">SUM(T827)</f>
        <v>159.2222222222222</v>
      </c>
      <c r="AQ836" s="13">
        <f t="shared" ca="1" si="2323"/>
        <v>6.6342592592592586</v>
      </c>
      <c r="AR836" s="9">
        <f t="shared" ca="1" si="2310"/>
        <v>128.125</v>
      </c>
      <c r="AS836" s="76"/>
      <c r="AT836" s="76"/>
    </row>
    <row r="837" spans="1:46" ht="15.75" customHeight="1" x14ac:dyDescent="0.25">
      <c r="A837" s="110" t="s">
        <v>45</v>
      </c>
      <c r="B837" s="76"/>
      <c r="C837" s="76"/>
      <c r="D837" s="75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24" t="s">
        <v>33</v>
      </c>
      <c r="Y837" s="24">
        <v>6</v>
      </c>
      <c r="Z837" s="24">
        <f t="shared" ref="Z837:AI837" si="2324">SUM(Z831:Z836)</f>
        <v>173</v>
      </c>
      <c r="AA837" s="25">
        <f t="shared" ca="1" si="2324"/>
        <v>170</v>
      </c>
      <c r="AB837" s="27">
        <f t="shared" ca="1" si="2324"/>
        <v>32676.526999999995</v>
      </c>
      <c r="AC837" s="25">
        <f t="shared" ca="1" si="2324"/>
        <v>13032</v>
      </c>
      <c r="AD837" s="25">
        <f t="shared" ca="1" si="2324"/>
        <v>0</v>
      </c>
      <c r="AE837" s="25">
        <f t="shared" ca="1" si="2324"/>
        <v>13032</v>
      </c>
      <c r="AF837" s="25">
        <f t="shared" ca="1" si="2324"/>
        <v>16321</v>
      </c>
      <c r="AG837" s="25">
        <f t="shared" ca="1" si="2324"/>
        <v>952</v>
      </c>
      <c r="AH837" s="25">
        <f t="shared" ca="1" si="2324"/>
        <v>17273</v>
      </c>
      <c r="AI837" s="25">
        <f t="shared" ca="1" si="2324"/>
        <v>30305</v>
      </c>
      <c r="AJ837" s="27">
        <f t="shared" ca="1" si="2305"/>
        <v>192.21486470588232</v>
      </c>
      <c r="AK837" s="24">
        <f>SUM(AK831:AK836)</f>
        <v>37031</v>
      </c>
      <c r="AL837" s="28">
        <f t="shared" ca="1" si="2306"/>
        <v>0.81836839404822981</v>
      </c>
      <c r="AM837" s="29">
        <v>1.5</v>
      </c>
      <c r="AN837" s="28">
        <f t="shared" ca="1" si="2307"/>
        <v>0.61828276099639767</v>
      </c>
      <c r="AO837" s="30">
        <f t="shared" ca="1" si="2308"/>
        <v>0.92742414149459651</v>
      </c>
      <c r="AP837" s="29">
        <f ca="1">SUM(AP831:AP836)</f>
        <v>1342.9087266518216</v>
      </c>
      <c r="AQ837" s="29">
        <f ca="1">AP837/AA837</f>
        <v>7.8994630979518918</v>
      </c>
      <c r="AR837" s="25">
        <f t="shared" ca="1" si="2310"/>
        <v>178.26470588235293</v>
      </c>
      <c r="AS837" s="76"/>
      <c r="AT837" s="76"/>
    </row>
    <row r="838" spans="1:46" ht="15.75" customHeight="1" x14ac:dyDescent="0.2">
      <c r="A838" s="110" t="s">
        <v>45</v>
      </c>
      <c r="B838" s="76"/>
      <c r="C838" s="76"/>
      <c r="D838" s="75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7" t="s">
        <v>1</v>
      </c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9"/>
    </row>
    <row r="839" spans="1:46" ht="15.75" customHeight="1" x14ac:dyDescent="0.2">
      <c r="A839" s="111" t="s">
        <v>82</v>
      </c>
      <c r="B839" s="80" t="s">
        <v>2</v>
      </c>
      <c r="C839" s="80" t="s">
        <v>3</v>
      </c>
      <c r="D839" s="80" t="s">
        <v>4</v>
      </c>
      <c r="E839" s="80" t="s">
        <v>5</v>
      </c>
      <c r="F839" s="81" t="s">
        <v>6</v>
      </c>
      <c r="G839" s="80" t="s">
        <v>7</v>
      </c>
      <c r="H839" s="80" t="s">
        <v>8</v>
      </c>
      <c r="I839" s="80" t="s">
        <v>9</v>
      </c>
      <c r="J839" s="80" t="s">
        <v>10</v>
      </c>
      <c r="K839" s="80" t="s">
        <v>11</v>
      </c>
      <c r="L839" s="80" t="s">
        <v>12</v>
      </c>
      <c r="M839" s="80" t="s">
        <v>13</v>
      </c>
      <c r="N839" s="81" t="s">
        <v>14</v>
      </c>
      <c r="O839" s="80" t="s">
        <v>15</v>
      </c>
      <c r="P839" s="80" t="s">
        <v>16</v>
      </c>
      <c r="Q839" s="80" t="s">
        <v>17</v>
      </c>
      <c r="R839" s="80" t="s">
        <v>18</v>
      </c>
      <c r="S839" s="106" t="s">
        <v>19</v>
      </c>
      <c r="T839" s="107" t="s">
        <v>20</v>
      </c>
      <c r="U839" s="107" t="s">
        <v>21</v>
      </c>
      <c r="V839" s="105" t="s">
        <v>22</v>
      </c>
      <c r="W839" s="76"/>
      <c r="X839" s="1" t="s">
        <v>2</v>
      </c>
      <c r="Y839" s="1" t="s">
        <v>3</v>
      </c>
      <c r="Z839" s="1" t="s">
        <v>4</v>
      </c>
      <c r="AA839" s="1" t="s">
        <v>5</v>
      </c>
      <c r="AB839" s="2" t="s">
        <v>6</v>
      </c>
      <c r="AC839" s="1" t="s">
        <v>7</v>
      </c>
      <c r="AD839" s="1" t="s">
        <v>8</v>
      </c>
      <c r="AE839" s="1" t="s">
        <v>9</v>
      </c>
      <c r="AF839" s="1" t="s">
        <v>10</v>
      </c>
      <c r="AG839" s="1" t="s">
        <v>11</v>
      </c>
      <c r="AH839" s="1" t="s">
        <v>12</v>
      </c>
      <c r="AI839" s="1" t="s">
        <v>13</v>
      </c>
      <c r="AJ839" s="2" t="s">
        <v>14</v>
      </c>
      <c r="AK839" s="1" t="s">
        <v>15</v>
      </c>
      <c r="AL839" s="1" t="s">
        <v>16</v>
      </c>
      <c r="AM839" s="3" t="s">
        <v>17</v>
      </c>
      <c r="AN839" s="4" t="s">
        <v>18</v>
      </c>
      <c r="AO839" s="5" t="s">
        <v>19</v>
      </c>
      <c r="AP839" s="6" t="s">
        <v>20</v>
      </c>
      <c r="AQ839" s="6" t="s">
        <v>21</v>
      </c>
      <c r="AR839" s="7" t="s">
        <v>22</v>
      </c>
      <c r="AS839" s="7" t="s">
        <v>47</v>
      </c>
      <c r="AT839" s="7" t="s">
        <v>48</v>
      </c>
    </row>
    <row r="840" spans="1:46" ht="15.75" customHeight="1" x14ac:dyDescent="0.2">
      <c r="A840" s="76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6"/>
      <c r="X840" s="8">
        <v>1</v>
      </c>
      <c r="Y840" s="8" t="s">
        <v>23</v>
      </c>
      <c r="Z840" s="9">
        <f t="shared" ref="Z840:AI840" si="2325">SUM(D848)</f>
        <v>1021</v>
      </c>
      <c r="AA840" s="9">
        <f t="shared" ca="1" si="2325"/>
        <v>1001</v>
      </c>
      <c r="AB840" s="9">
        <f t="shared" ca="1" si="2325"/>
        <v>196220.35199999969</v>
      </c>
      <c r="AC840" s="9">
        <f t="shared" ca="1" si="2325"/>
        <v>49910</v>
      </c>
      <c r="AD840" s="9">
        <f t="shared" ca="1" si="2325"/>
        <v>70</v>
      </c>
      <c r="AE840" s="9">
        <f t="shared" ca="1" si="2325"/>
        <v>49980</v>
      </c>
      <c r="AF840" s="9">
        <f t="shared" ca="1" si="2325"/>
        <v>89997</v>
      </c>
      <c r="AG840" s="9">
        <f t="shared" ca="1" si="2325"/>
        <v>186</v>
      </c>
      <c r="AH840" s="9">
        <f t="shared" ca="1" si="2325"/>
        <v>90183</v>
      </c>
      <c r="AI840" s="9">
        <f t="shared" ca="1" si="2325"/>
        <v>140163</v>
      </c>
      <c r="AJ840" s="11">
        <f t="shared" ref="AJ840:AJ846" ca="1" si="2326">AB840/AA840</f>
        <v>196.02432767232736</v>
      </c>
      <c r="AK840" s="9">
        <f t="shared" ref="AK840:AK842" si="2327">SUM(O848)</f>
        <v>212443</v>
      </c>
      <c r="AL840" s="12">
        <f t="shared" ref="AL840:AL846" ca="1" si="2328">AI840/AK840</f>
        <v>0.65976756118111679</v>
      </c>
      <c r="AM840" s="13">
        <f t="shared" ref="AM840:AM842" si="2329">SUM(Q848)</f>
        <v>1.5</v>
      </c>
      <c r="AN840" s="12">
        <f t="shared" ref="AN840:AN846" ca="1" si="2330">AO840/AM840</f>
        <v>0.47620952183390308</v>
      </c>
      <c r="AO840" s="14">
        <f t="shared" ref="AO840:AO846" ca="1" si="2331">AI840/AB840</f>
        <v>0.71431428275085462</v>
      </c>
      <c r="AP840" s="13">
        <f t="shared" ref="AP840:AQ840" ca="1" si="2332">SUM(T848)</f>
        <v>5815.6595139300443</v>
      </c>
      <c r="AQ840" s="13">
        <f t="shared" ca="1" si="2332"/>
        <v>5.8098496642657782</v>
      </c>
      <c r="AR840" s="9">
        <f t="shared" ref="AR840:AR846" ca="1" si="2333">AI840/AA840</f>
        <v>140.02297702297702</v>
      </c>
      <c r="AS840" s="59">
        <f t="shared" ref="AS840:AS842" ca="1" si="2334">MAX(M11,M38,M65,M92,M119,M146,M173,M200,M227,M254,M281,M308,M335,M362,M389,M416,M443,M470,M497,M524,M551,M578,M605,M632,M659,M686,M713,M740,M767,M794,M821)</f>
        <v>5292</v>
      </c>
      <c r="AT840" s="60">
        <v>46227</v>
      </c>
    </row>
    <row r="841" spans="1:46" ht="15.75" customHeight="1" x14ac:dyDescent="0.2">
      <c r="A841" s="76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6"/>
      <c r="X841" s="8">
        <v>2</v>
      </c>
      <c r="Y841" s="8" t="s">
        <v>24</v>
      </c>
      <c r="Z841" s="9">
        <f t="shared" ref="Z841:AI841" si="2335">SUM(D849)</f>
        <v>1300</v>
      </c>
      <c r="AA841" s="9">
        <f t="shared" ca="1" si="2335"/>
        <v>1262</v>
      </c>
      <c r="AB841" s="9">
        <f t="shared" ca="1" si="2335"/>
        <v>242717.82899999965</v>
      </c>
      <c r="AC841" s="9">
        <f t="shared" ca="1" si="2335"/>
        <v>31461</v>
      </c>
      <c r="AD841" s="9">
        <f t="shared" ca="1" si="2335"/>
        <v>126</v>
      </c>
      <c r="AE841" s="9">
        <f t="shared" ca="1" si="2335"/>
        <v>31587</v>
      </c>
      <c r="AF841" s="9">
        <f t="shared" ca="1" si="2335"/>
        <v>38090</v>
      </c>
      <c r="AG841" s="9">
        <f t="shared" ca="1" si="2335"/>
        <v>388</v>
      </c>
      <c r="AH841" s="9">
        <f t="shared" ca="1" si="2335"/>
        <v>38478</v>
      </c>
      <c r="AI841" s="9">
        <f t="shared" ca="1" si="2335"/>
        <v>70065</v>
      </c>
      <c r="AJ841" s="11">
        <f t="shared" ca="1" si="2326"/>
        <v>192.32791521394583</v>
      </c>
      <c r="AK841" s="9">
        <f t="shared" si="2327"/>
        <v>48980</v>
      </c>
      <c r="AL841" s="15">
        <f t="shared" ca="1" si="2328"/>
        <v>1.430481829318089</v>
      </c>
      <c r="AM841" s="13">
        <f t="shared" si="2329"/>
        <v>1.5</v>
      </c>
      <c r="AN841" s="12">
        <f t="shared" ca="1" si="2330"/>
        <v>0.19244568968190659</v>
      </c>
      <c r="AO841" s="14">
        <f t="shared" ca="1" si="2331"/>
        <v>0.2886685345228599</v>
      </c>
      <c r="AP841" s="13">
        <f t="shared" ref="AP841:AQ841" ca="1" si="2336">SUM(T849)</f>
        <v>9054.9460548405023</v>
      </c>
      <c r="AQ841" s="13">
        <f t="shared" ca="1" si="2336"/>
        <v>7.1750761131858178</v>
      </c>
      <c r="AR841" s="9">
        <f t="shared" ca="1" si="2333"/>
        <v>55.519017432646592</v>
      </c>
      <c r="AS841" s="59">
        <f t="shared" ca="1" si="2334"/>
        <v>2756</v>
      </c>
      <c r="AT841" s="60">
        <v>46224</v>
      </c>
    </row>
    <row r="842" spans="1:46" ht="15.75" customHeight="1" x14ac:dyDescent="0.2">
      <c r="A842" s="76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6"/>
      <c r="X842" s="8">
        <v>3</v>
      </c>
      <c r="Y842" s="8" t="s">
        <v>25</v>
      </c>
      <c r="Z842" s="9">
        <f t="shared" ref="Z842:AI842" si="2337">SUM(D850)</f>
        <v>948</v>
      </c>
      <c r="AA842" s="9">
        <f t="shared" ca="1" si="2337"/>
        <v>917</v>
      </c>
      <c r="AB842" s="9">
        <f t="shared" ca="1" si="2337"/>
        <v>175432.30799999999</v>
      </c>
      <c r="AC842" s="9">
        <f t="shared" ca="1" si="2337"/>
        <v>65157</v>
      </c>
      <c r="AD842" s="9">
        <f t="shared" ca="1" si="2337"/>
        <v>12403</v>
      </c>
      <c r="AE842" s="9">
        <f t="shared" ca="1" si="2337"/>
        <v>77560</v>
      </c>
      <c r="AF842" s="9">
        <f t="shared" ca="1" si="2337"/>
        <v>90176</v>
      </c>
      <c r="AG842" s="9">
        <f t="shared" ca="1" si="2337"/>
        <v>10850</v>
      </c>
      <c r="AH842" s="9">
        <f t="shared" ca="1" si="2337"/>
        <v>101026</v>
      </c>
      <c r="AI842" s="9">
        <f t="shared" ca="1" si="2337"/>
        <v>178586</v>
      </c>
      <c r="AJ842" s="11">
        <f t="shared" ca="1" si="2326"/>
        <v>191.31113195201743</v>
      </c>
      <c r="AK842" s="9">
        <f t="shared" si="2327"/>
        <v>205282</v>
      </c>
      <c r="AL842" s="12">
        <f t="shared" ca="1" si="2328"/>
        <v>0.86995450161241605</v>
      </c>
      <c r="AM842" s="13">
        <f t="shared" si="2329"/>
        <v>1.5</v>
      </c>
      <c r="AN842" s="12">
        <f t="shared" ca="1" si="2330"/>
        <v>0.67865112584241516</v>
      </c>
      <c r="AO842" s="14">
        <f t="shared" ca="1" si="2331"/>
        <v>1.0179766887636228</v>
      </c>
      <c r="AP842" s="13">
        <f t="shared" ref="AP842:AQ842" ca="1" si="2338">SUM(T850)</f>
        <v>7358.7377516778515</v>
      </c>
      <c r="AQ842" s="13">
        <f t="shared" ca="1" si="2338"/>
        <v>8.0247958033564348</v>
      </c>
      <c r="AR842" s="9">
        <f t="shared" ca="1" si="2333"/>
        <v>194.75027262813524</v>
      </c>
      <c r="AS842" s="59">
        <f t="shared" ca="1" si="2334"/>
        <v>7056</v>
      </c>
      <c r="AT842" s="60">
        <v>46232</v>
      </c>
    </row>
    <row r="843" spans="1:46" ht="15.75" customHeight="1" x14ac:dyDescent="0.2">
      <c r="A843" s="76"/>
      <c r="B843" s="16">
        <v>1</v>
      </c>
      <c r="C843" s="16" t="s">
        <v>26</v>
      </c>
      <c r="D843" s="18">
        <f t="shared" ref="D843:H843" si="2339">D6+D33+D60+D87+D114+D141+D168+D195+D222+D249+D276+D303+D330+D357+D384+D411+D438+D465+D492+D519+D546+D573+D600+D627+D654+D681+D708+D735+D762+D789+D816</f>
        <v>584</v>
      </c>
      <c r="E843" s="18">
        <f t="shared" ca="1" si="2339"/>
        <v>570</v>
      </c>
      <c r="F843" s="18">
        <f t="shared" ca="1" si="2339"/>
        <v>107603.10599999997</v>
      </c>
      <c r="G843" s="18">
        <f t="shared" ca="1" si="2339"/>
        <v>58781</v>
      </c>
      <c r="H843" s="18">
        <f t="shared" ca="1" si="2339"/>
        <v>297</v>
      </c>
      <c r="I843" s="18">
        <f t="shared" ref="I843:I860" ca="1" si="2340">SUM(G843:H843)</f>
        <v>59078</v>
      </c>
      <c r="J843" s="18">
        <f t="shared" ref="J843:K843" ca="1" si="2341">J6+J33+J60+J87+J114+J141+J168+J195+J222+J249+J276+J303+J330+J357+J384+J411+J438+J465+J492+J519+J546+J573+J600+J627+J654+J681+J708+J735+J762+J789+J816</f>
        <v>77569</v>
      </c>
      <c r="K843" s="18">
        <f t="shared" ca="1" si="2341"/>
        <v>1025</v>
      </c>
      <c r="L843" s="18">
        <f t="shared" ref="L843:L849" ca="1" si="2342">SUM(J843:K843)</f>
        <v>78594</v>
      </c>
      <c r="M843" s="18">
        <f t="shared" ref="M843:M860" ca="1" si="2343">SUM(I843+L843)</f>
        <v>137672</v>
      </c>
      <c r="N843" s="19">
        <f t="shared" ref="N843:N861" ca="1" si="2344">F843/E843</f>
        <v>188.77737894736836</v>
      </c>
      <c r="O843" s="18">
        <f t="shared" ref="O843:O860" si="2345">O6+O33+O60+O87+O114+O141+O168+O195+O222+O249+O276+O303+O330+O357+O384+O411+O438+O465+O492+O519+O546+O573+O600+O627+O654+O681+O708+O735+O762+O789+O816</f>
        <v>159991</v>
      </c>
      <c r="P843" s="20">
        <f t="shared" ref="P843:P861" ca="1" si="2346">M843/O843</f>
        <v>0.86049840303517078</v>
      </c>
      <c r="Q843" s="21">
        <v>1.5</v>
      </c>
      <c r="R843" s="20">
        <f t="shared" ref="R843:R861" ca="1" si="2347">S843/Q843</f>
        <v>0.85296174752923359</v>
      </c>
      <c r="S843" s="22">
        <f t="shared" ref="S843:S861" ca="1" si="2348">M843/F843</f>
        <v>1.2794426212938503</v>
      </c>
      <c r="T843" s="21">
        <f ca="1">F843/14.415</f>
        <v>7464.6622268470328</v>
      </c>
      <c r="U843" s="21">
        <f t="shared" ref="U843:U861" ca="1" si="2349">T843/E843</f>
        <v>13.095898643591285</v>
      </c>
      <c r="V843" s="18">
        <f t="shared" ref="V843:V861" ca="1" si="2350">M843/E843</f>
        <v>241.5298245614035</v>
      </c>
      <c r="W843" s="76"/>
      <c r="X843" s="8">
        <v>4</v>
      </c>
      <c r="Y843" s="8" t="s">
        <v>27</v>
      </c>
      <c r="Z843" s="9">
        <f t="shared" ref="Z843:AI843" si="2351">SUM(D856)</f>
        <v>878</v>
      </c>
      <c r="AA843" s="9">
        <f t="shared" ca="1" si="2351"/>
        <v>846</v>
      </c>
      <c r="AB843" s="9">
        <f t="shared" ca="1" si="2351"/>
        <v>158447.08499999988</v>
      </c>
      <c r="AC843" s="9">
        <f t="shared" ca="1" si="2351"/>
        <v>66445</v>
      </c>
      <c r="AD843" s="9">
        <f t="shared" ca="1" si="2351"/>
        <v>963</v>
      </c>
      <c r="AE843" s="9">
        <f t="shared" ca="1" si="2351"/>
        <v>67408</v>
      </c>
      <c r="AF843" s="9">
        <f t="shared" ca="1" si="2351"/>
        <v>82998</v>
      </c>
      <c r="AG843" s="9">
        <f t="shared" ca="1" si="2351"/>
        <v>873</v>
      </c>
      <c r="AH843" s="9">
        <f t="shared" ca="1" si="2351"/>
        <v>83871</v>
      </c>
      <c r="AI843" s="9">
        <f t="shared" ca="1" si="2351"/>
        <v>151279</v>
      </c>
      <c r="AJ843" s="11">
        <f t="shared" ca="1" si="2326"/>
        <v>187.28969858156015</v>
      </c>
      <c r="AK843" s="9">
        <f>SUM(O856)</f>
        <v>251131</v>
      </c>
      <c r="AL843" s="12">
        <f t="shared" ca="1" si="2328"/>
        <v>0.60239078409276436</v>
      </c>
      <c r="AM843" s="13">
        <f>SUM(Q856)</f>
        <v>1.5</v>
      </c>
      <c r="AN843" s="12">
        <f t="shared" ca="1" si="2330"/>
        <v>0.63650692385200236</v>
      </c>
      <c r="AO843" s="14">
        <f t="shared" ca="1" si="2331"/>
        <v>0.9547603857780036</v>
      </c>
      <c r="AP843" s="13">
        <f t="shared" ref="AP843:AQ843" ca="1" si="2352">SUM(T856)</f>
        <v>7928.300475356511</v>
      </c>
      <c r="AQ843" s="13">
        <f t="shared" ca="1" si="2352"/>
        <v>9.3715135642511953</v>
      </c>
      <c r="AR843" s="9">
        <f t="shared" ca="1" si="2333"/>
        <v>178.81678486997635</v>
      </c>
      <c r="AS843" s="59">
        <f ca="1">MAX(M19,M46,M73,M100,M127,M154,M181,M208,M235,M262,M289,M316,M343,M370,M397,M424,M451,M478,M505,M532,M559,M586,M613,M640,M667,M694,M721,M748,M775,M802,M829)</f>
        <v>6176</v>
      </c>
      <c r="AT843" s="60">
        <v>46230</v>
      </c>
    </row>
    <row r="844" spans="1:46" ht="15.75" customHeight="1" x14ac:dyDescent="0.2">
      <c r="A844" s="76"/>
      <c r="B844" s="16">
        <v>2</v>
      </c>
      <c r="C844" s="16" t="s">
        <v>28</v>
      </c>
      <c r="D844" s="18">
        <f t="shared" ref="D844:H844" si="2353">D7+D34+D61+D88+D115+D142+D169+D196+D223+D250+D277+D304+D331+D358+D385+D412+D439+D466+D493+D520+D547+D574+D601+D628+D655+D682+D709+D736+D763+D790+D817</f>
        <v>959</v>
      </c>
      <c r="E844" s="18">
        <f t="shared" ca="1" si="2353"/>
        <v>948</v>
      </c>
      <c r="F844" s="18">
        <f t="shared" ca="1" si="2353"/>
        <v>178474.37699999992</v>
      </c>
      <c r="G844" s="18">
        <f t="shared" ca="1" si="2353"/>
        <v>69994</v>
      </c>
      <c r="H844" s="18">
        <f t="shared" ca="1" si="2353"/>
        <v>4308</v>
      </c>
      <c r="I844" s="18">
        <f t="shared" ca="1" si="2340"/>
        <v>74302</v>
      </c>
      <c r="J844" s="18">
        <f t="shared" ref="J844:K844" ca="1" si="2354">J7+J34+J61+J88+J115+J142+J169+J196+J223+J250+J277+J304+J331+J358+J385+J412+J439+J466+J493+J520+J547+J574+J601+J628+J655+J682+J709+J736+J763+J790+J817</f>
        <v>79161</v>
      </c>
      <c r="K844" s="18">
        <f t="shared" ca="1" si="2354"/>
        <v>6266</v>
      </c>
      <c r="L844" s="18">
        <f t="shared" ca="1" si="2342"/>
        <v>85427</v>
      </c>
      <c r="M844" s="18">
        <f t="shared" ca="1" si="2343"/>
        <v>159729</v>
      </c>
      <c r="N844" s="19">
        <f t="shared" ca="1" si="2344"/>
        <v>188.26411075949358</v>
      </c>
      <c r="O844" s="18">
        <f t="shared" si="2345"/>
        <v>226765</v>
      </c>
      <c r="P844" s="20">
        <f t="shared" ca="1" si="2346"/>
        <v>0.70438118757303814</v>
      </c>
      <c r="Q844" s="21">
        <v>1.5</v>
      </c>
      <c r="R844" s="20">
        <f t="shared" ca="1" si="2347"/>
        <v>0.59664587034810068</v>
      </c>
      <c r="S844" s="22">
        <f t="shared" ca="1" si="2348"/>
        <v>0.89496880552215108</v>
      </c>
      <c r="T844" s="21">
        <f ca="1">F844/30.897</f>
        <v>5776.4306243324572</v>
      </c>
      <c r="U844" s="21">
        <f t="shared" ca="1" si="2349"/>
        <v>6.093281249295841</v>
      </c>
      <c r="V844" s="18">
        <f t="shared" ca="1" si="2350"/>
        <v>168.49050632911391</v>
      </c>
      <c r="W844" s="76"/>
      <c r="X844" s="8">
        <v>5</v>
      </c>
      <c r="Y844" s="8" t="s">
        <v>29</v>
      </c>
      <c r="Z844" s="9">
        <f t="shared" ref="Z844:AI844" si="2355">SUM(D859)</f>
        <v>878</v>
      </c>
      <c r="AA844" s="9">
        <f t="shared" ca="1" si="2355"/>
        <v>844</v>
      </c>
      <c r="AB844" s="9">
        <f t="shared" ca="1" si="2355"/>
        <v>166823.24399999992</v>
      </c>
      <c r="AC844" s="9">
        <f t="shared" ca="1" si="2355"/>
        <v>74874</v>
      </c>
      <c r="AD844" s="9">
        <f t="shared" ca="1" si="2355"/>
        <v>66</v>
      </c>
      <c r="AE844" s="9">
        <f t="shared" ca="1" si="2355"/>
        <v>74940</v>
      </c>
      <c r="AF844" s="9">
        <f t="shared" ca="1" si="2355"/>
        <v>113830</v>
      </c>
      <c r="AG844" s="9">
        <f t="shared" ca="1" si="2355"/>
        <v>166</v>
      </c>
      <c r="AH844" s="9">
        <f t="shared" ca="1" si="2355"/>
        <v>113996</v>
      </c>
      <c r="AI844" s="9">
        <f t="shared" ca="1" si="2355"/>
        <v>188936</v>
      </c>
      <c r="AJ844" s="11">
        <f t="shared" ca="1" si="2326"/>
        <v>197.65787203791459</v>
      </c>
      <c r="AK844" s="9">
        <f t="shared" ref="AK844:AK845" si="2356">SUM(O859)</f>
        <v>285231</v>
      </c>
      <c r="AL844" s="12">
        <f t="shared" ca="1" si="2328"/>
        <v>0.66239644358432292</v>
      </c>
      <c r="AM844" s="13">
        <f t="shared" ref="AM844:AM845" si="2357">SUM(Q859)</f>
        <v>1.5</v>
      </c>
      <c r="AN844" s="12">
        <f t="shared" ca="1" si="2330"/>
        <v>0.75503467210680419</v>
      </c>
      <c r="AO844" s="14">
        <f t="shared" ca="1" si="2331"/>
        <v>1.1325520081602063</v>
      </c>
      <c r="AP844" s="13">
        <f t="shared" ref="AP844:AQ844" ca="1" si="2358">SUM(T859)</f>
        <v>6406.9146631845733</v>
      </c>
      <c r="AQ844" s="13">
        <f t="shared" ca="1" si="2358"/>
        <v>7.5911311175172669</v>
      </c>
      <c r="AR844" s="9">
        <f t="shared" ca="1" si="2333"/>
        <v>223.85781990521326</v>
      </c>
      <c r="AS844" s="59">
        <f t="shared" ref="AS844:AS846" ca="1" si="2359">MAX(M22,M49,M76,M103,M130,M157,M184,M211,M238,M265,M292,M319,M346,M373,M400,M427,M454,M481,M508,M535,M562,M589,M616,M643,M670,M697,M724,M751,M778,M805,M832)</f>
        <v>7470</v>
      </c>
      <c r="AT844" s="60">
        <v>46232</v>
      </c>
    </row>
    <row r="845" spans="1:46" ht="15.75" customHeight="1" x14ac:dyDescent="0.2">
      <c r="A845" s="76"/>
      <c r="B845" s="16">
        <v>3</v>
      </c>
      <c r="C845" s="16" t="s">
        <v>30</v>
      </c>
      <c r="D845" s="18">
        <f t="shared" ref="D845:H845" si="2360">D8+D35+D62+D89+D116+D143+D170+D197+D224+D251+D278+D305+D332+D359+D386+D413+D440+D467+D494+D521+D548+D575+D602+D629+D656+D683+D710+D737+D764+D791+D818</f>
        <v>1752</v>
      </c>
      <c r="E845" s="18">
        <f t="shared" ca="1" si="2360"/>
        <v>1695</v>
      </c>
      <c r="F845" s="18">
        <f t="shared" ca="1" si="2360"/>
        <v>333714.28299999767</v>
      </c>
      <c r="G845" s="18">
        <f t="shared" ca="1" si="2360"/>
        <v>95460</v>
      </c>
      <c r="H845" s="18">
        <f t="shared" ca="1" si="2360"/>
        <v>228</v>
      </c>
      <c r="I845" s="18">
        <f t="shared" ca="1" si="2340"/>
        <v>95688</v>
      </c>
      <c r="J845" s="18">
        <f t="shared" ref="J845:K845" ca="1" si="2361">J8+J35+J62+J89+J116+J143+J170+J197+J224+J251+J278+J305+J332+J359+J386+J413+J440+J467+J494+J521+J548+J575+J602+J629+J656+J683+J710+J737+J764+J791+J818</f>
        <v>150410</v>
      </c>
      <c r="K845" s="18">
        <f t="shared" ca="1" si="2361"/>
        <v>1118</v>
      </c>
      <c r="L845" s="18">
        <f t="shared" ca="1" si="2342"/>
        <v>151528</v>
      </c>
      <c r="M845" s="18">
        <f t="shared" ca="1" si="2343"/>
        <v>247216</v>
      </c>
      <c r="N845" s="19">
        <f t="shared" ca="1" si="2344"/>
        <v>196.88158289085408</v>
      </c>
      <c r="O845" s="18">
        <f t="shared" si="2345"/>
        <v>346084</v>
      </c>
      <c r="P845" s="20">
        <f t="shared" ca="1" si="2346"/>
        <v>0.71432369020237863</v>
      </c>
      <c r="Q845" s="21">
        <v>1.5</v>
      </c>
      <c r="R845" s="20">
        <f t="shared" ca="1" si="2347"/>
        <v>0.49386758392558172</v>
      </c>
      <c r="S845" s="22">
        <f t="shared" ca="1" si="2348"/>
        <v>0.74080137588837258</v>
      </c>
      <c r="T845" s="21">
        <f ca="1">F845/29.603</f>
        <v>11272.988649798928</v>
      </c>
      <c r="U845" s="21">
        <f t="shared" ca="1" si="2349"/>
        <v>6.6507307668430258</v>
      </c>
      <c r="V845" s="18">
        <f t="shared" ca="1" si="2350"/>
        <v>145.85014749262538</v>
      </c>
      <c r="W845" s="76"/>
      <c r="X845" s="8">
        <v>6</v>
      </c>
      <c r="Y845" s="8" t="s">
        <v>31</v>
      </c>
      <c r="Z845" s="9">
        <f t="shared" ref="Z845:AI845" si="2362">SUM(D860)</f>
        <v>437</v>
      </c>
      <c r="AA845" s="9">
        <f t="shared" ca="1" si="2362"/>
        <v>410</v>
      </c>
      <c r="AB845" s="9">
        <f t="shared" ca="1" si="2362"/>
        <v>80824.888999999952</v>
      </c>
      <c r="AC845" s="9">
        <f t="shared" ca="1" si="2362"/>
        <v>24464</v>
      </c>
      <c r="AD845" s="9">
        <f t="shared" ca="1" si="2362"/>
        <v>520</v>
      </c>
      <c r="AE845" s="9">
        <f t="shared" ca="1" si="2362"/>
        <v>24984</v>
      </c>
      <c r="AF845" s="9">
        <f t="shared" ca="1" si="2362"/>
        <v>31164</v>
      </c>
      <c r="AG845" s="9">
        <f t="shared" ca="1" si="2362"/>
        <v>147</v>
      </c>
      <c r="AH845" s="9">
        <f t="shared" ca="1" si="2362"/>
        <v>31311</v>
      </c>
      <c r="AI845" s="9">
        <f t="shared" ca="1" si="2362"/>
        <v>56295</v>
      </c>
      <c r="AJ845" s="11">
        <f t="shared" ca="1" si="2326"/>
        <v>197.13387560975599</v>
      </c>
      <c r="AK845" s="9">
        <f t="shared" si="2356"/>
        <v>84227</v>
      </c>
      <c r="AL845" s="12">
        <f t="shared" ca="1" si="2328"/>
        <v>0.66837237465420829</v>
      </c>
      <c r="AM845" s="13">
        <f t="shared" si="2357"/>
        <v>1.5</v>
      </c>
      <c r="AN845" s="12">
        <f t="shared" ca="1" si="2330"/>
        <v>0.46433716723075263</v>
      </c>
      <c r="AO845" s="14">
        <f t="shared" ca="1" si="2331"/>
        <v>0.69650575084612898</v>
      </c>
      <c r="AP845" s="13">
        <f t="shared" ref="AP845:AQ845" ca="1" si="2363">SUM(T860)</f>
        <v>1859.5396065800057</v>
      </c>
      <c r="AQ845" s="13">
        <f t="shared" ca="1" si="2363"/>
        <v>4.5354624550731844</v>
      </c>
      <c r="AR845" s="9">
        <f t="shared" ca="1" si="2333"/>
        <v>137.30487804878049</v>
      </c>
      <c r="AS845" s="59">
        <f t="shared" ca="1" si="2359"/>
        <v>2271</v>
      </c>
      <c r="AT845" s="60">
        <v>46225</v>
      </c>
    </row>
    <row r="846" spans="1:46" ht="15.75" customHeight="1" x14ac:dyDescent="0.25">
      <c r="A846" s="76"/>
      <c r="B846" s="16">
        <v>4</v>
      </c>
      <c r="C846" s="16" t="s">
        <v>32</v>
      </c>
      <c r="D846" s="18">
        <f t="shared" ref="D846:H846" si="2364">D9+D36+D63+D90+D117+D144+D171+D198+D225+D252+D279+D306+D333+D360+D387+D414+D441+D468+D495+D522+D549+D576+D603+D630+D657+D684+D711+D738+D765+D792+D819</f>
        <v>1226</v>
      </c>
      <c r="E846" s="18">
        <f t="shared" ca="1" si="2364"/>
        <v>1205</v>
      </c>
      <c r="F846" s="18">
        <f t="shared" ca="1" si="2364"/>
        <v>236729.75799999968</v>
      </c>
      <c r="G846" s="18">
        <f t="shared" ca="1" si="2364"/>
        <v>131487</v>
      </c>
      <c r="H846" s="18">
        <f t="shared" ca="1" si="2364"/>
        <v>1928</v>
      </c>
      <c r="I846" s="18">
        <f t="shared" ca="1" si="2340"/>
        <v>133415</v>
      </c>
      <c r="J846" s="18">
        <f t="shared" ref="J846:K846" ca="1" si="2365">J9+J36+J63+J90+J117+J144+J171+J198+J225+J252+J279+J306+J333+J360+J387+J414+J441+J468+J495+J522+J549+J576+J603+J630+J657+J684+J711+J738+J765+J792+J819</f>
        <v>153804</v>
      </c>
      <c r="K846" s="18">
        <f t="shared" ca="1" si="2365"/>
        <v>1439</v>
      </c>
      <c r="L846" s="18">
        <f t="shared" ca="1" si="2342"/>
        <v>155243</v>
      </c>
      <c r="M846" s="18">
        <f t="shared" ca="1" si="2343"/>
        <v>288658</v>
      </c>
      <c r="N846" s="19">
        <f t="shared" ca="1" si="2344"/>
        <v>196.45623070539392</v>
      </c>
      <c r="O846" s="18">
        <f t="shared" si="2345"/>
        <v>428327</v>
      </c>
      <c r="P846" s="20">
        <f t="shared" ca="1" si="2346"/>
        <v>0.67391969219778347</v>
      </c>
      <c r="Q846" s="21">
        <v>1.5</v>
      </c>
      <c r="R846" s="20">
        <f t="shared" ca="1" si="2347"/>
        <v>0.81290442018137377</v>
      </c>
      <c r="S846" s="22">
        <f t="shared" ca="1" si="2348"/>
        <v>1.2193566302720606</v>
      </c>
      <c r="T846" s="21">
        <f ca="1">F846/25.089</f>
        <v>9435.5995854756948</v>
      </c>
      <c r="U846" s="21">
        <f t="shared" ca="1" si="2349"/>
        <v>7.8303730999798296</v>
      </c>
      <c r="V846" s="18">
        <f t="shared" ca="1" si="2350"/>
        <v>239.55020746887968</v>
      </c>
      <c r="W846" s="76"/>
      <c r="X846" s="24" t="s">
        <v>33</v>
      </c>
      <c r="Y846" s="24">
        <v>6</v>
      </c>
      <c r="Z846" s="25">
        <f t="shared" ref="Z846:AI846" si="2366">SUM(Z840:Z845)</f>
        <v>5462</v>
      </c>
      <c r="AA846" s="25">
        <f t="shared" ca="1" si="2366"/>
        <v>5280</v>
      </c>
      <c r="AB846" s="25">
        <f t="shared" ca="1" si="2366"/>
        <v>1020465.7069999991</v>
      </c>
      <c r="AC846" s="25">
        <f t="shared" ca="1" si="2366"/>
        <v>312311</v>
      </c>
      <c r="AD846" s="25">
        <f t="shared" ca="1" si="2366"/>
        <v>14148</v>
      </c>
      <c r="AE846" s="25">
        <f t="shared" ca="1" si="2366"/>
        <v>326459</v>
      </c>
      <c r="AF846" s="25">
        <f t="shared" ca="1" si="2366"/>
        <v>446255</v>
      </c>
      <c r="AG846" s="25">
        <f t="shared" ca="1" si="2366"/>
        <v>12610</v>
      </c>
      <c r="AH846" s="25">
        <f t="shared" ca="1" si="2366"/>
        <v>458865</v>
      </c>
      <c r="AI846" s="25">
        <f t="shared" ca="1" si="2366"/>
        <v>785324</v>
      </c>
      <c r="AJ846" s="27">
        <f t="shared" ca="1" si="2326"/>
        <v>193.27002026515135</v>
      </c>
      <c r="AK846" s="25">
        <f>SUM(AK840:AK845)</f>
        <v>1087294</v>
      </c>
      <c r="AL846" s="28">
        <f t="shared" ca="1" si="2328"/>
        <v>0.72227382842175158</v>
      </c>
      <c r="AM846" s="29">
        <v>1.5</v>
      </c>
      <c r="AN846" s="28">
        <f t="shared" ca="1" si="2330"/>
        <v>0.51304941434287099</v>
      </c>
      <c r="AO846" s="30">
        <f t="shared" ca="1" si="2331"/>
        <v>0.76957412151430649</v>
      </c>
      <c r="AP846" s="29">
        <f ca="1">SUM(AP840:AP845)</f>
        <v>38424.098065569495</v>
      </c>
      <c r="AQ846" s="29">
        <f ca="1">AP846/AA846</f>
        <v>7.2772913002972528</v>
      </c>
      <c r="AR846" s="25">
        <f t="shared" ca="1" si="2333"/>
        <v>148.73560606060607</v>
      </c>
      <c r="AS846" s="25">
        <f t="shared" ca="1" si="2359"/>
        <v>103491</v>
      </c>
      <c r="AT846" s="67">
        <v>46230</v>
      </c>
    </row>
    <row r="847" spans="1:46" ht="15.75" customHeight="1" x14ac:dyDescent="0.2">
      <c r="A847" s="76"/>
      <c r="B847" s="16">
        <v>5</v>
      </c>
      <c r="C847" s="16" t="s">
        <v>34</v>
      </c>
      <c r="D847" s="18">
        <f t="shared" ref="D847:H847" si="2367">D10+D37+D64+D91+D118+D145+D172+D199+D226+D253+D280+D307+D334+D361+D388+D415+D442+D469+D496+D523+D550+D577+D604+D631+D658+D685+D712+D739+D766+D793+D820</f>
        <v>1168</v>
      </c>
      <c r="E847" s="18">
        <f t="shared" ca="1" si="2367"/>
        <v>1134</v>
      </c>
      <c r="F847" s="18">
        <f t="shared" ca="1" si="2367"/>
        <v>221226.42300000001</v>
      </c>
      <c r="G847" s="18">
        <f t="shared" ca="1" si="2367"/>
        <v>78377</v>
      </c>
      <c r="H847" s="18">
        <f t="shared" ca="1" si="2367"/>
        <v>79</v>
      </c>
      <c r="I847" s="18">
        <f t="shared" ca="1" si="2340"/>
        <v>78456</v>
      </c>
      <c r="J847" s="18">
        <f t="shared" ref="J847:K847" ca="1" si="2368">J10+J37+J64+J91+J118+J145+J172+J199+J226+J253+J280+J307+J334+J361+J388+J415+J442+J469+J496+J523+J550+J577+J604+J631+J658+J685+J712+J739+J766+J793+J820</f>
        <v>93816</v>
      </c>
      <c r="K847" s="18">
        <f t="shared" ca="1" si="2368"/>
        <v>870</v>
      </c>
      <c r="L847" s="18">
        <f t="shared" ca="1" si="2342"/>
        <v>94686</v>
      </c>
      <c r="M847" s="18">
        <f t="shared" ca="1" si="2343"/>
        <v>173142</v>
      </c>
      <c r="N847" s="19">
        <f t="shared" ca="1" si="2344"/>
        <v>195.08502910052911</v>
      </c>
      <c r="O847" s="18">
        <f t="shared" si="2345"/>
        <v>289974</v>
      </c>
      <c r="P847" s="20">
        <f t="shared" ca="1" si="2346"/>
        <v>0.59709491195762376</v>
      </c>
      <c r="Q847" s="21">
        <v>1.5</v>
      </c>
      <c r="R847" s="20">
        <f t="shared" ca="1" si="2347"/>
        <v>0.52176407517107481</v>
      </c>
      <c r="S847" s="22">
        <f t="shared" ca="1" si="2348"/>
        <v>0.78264611275661222</v>
      </c>
      <c r="T847" s="21">
        <f ca="1">F847/30.713</f>
        <v>7203.0222706997038</v>
      </c>
      <c r="U847" s="21">
        <f t="shared" ca="1" si="2349"/>
        <v>6.3518714909168468</v>
      </c>
      <c r="V847" s="18">
        <f t="shared" ca="1" si="2350"/>
        <v>152.68253968253967</v>
      </c>
      <c r="W847" s="76"/>
      <c r="X847" s="100" t="s">
        <v>35</v>
      </c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9"/>
    </row>
    <row r="848" spans="1:46" ht="15.75" customHeight="1" x14ac:dyDescent="0.2">
      <c r="A848" s="76"/>
      <c r="B848" s="16">
        <v>6</v>
      </c>
      <c r="C848" s="16" t="s">
        <v>23</v>
      </c>
      <c r="D848" s="18">
        <f t="shared" ref="D848:H848" si="2369">D11+D38+D65+D92+D119+D146+D173+D200+D227+D254+D281+D308+D335+D362+D389+D416+D443+D470+D497+D524+D551+D578+D605+D632+D659+D686+D713+D740+D767+D794+D821</f>
        <v>1021</v>
      </c>
      <c r="E848" s="18">
        <f t="shared" ca="1" si="2369"/>
        <v>1001</v>
      </c>
      <c r="F848" s="18">
        <f t="shared" ca="1" si="2369"/>
        <v>196220.35199999969</v>
      </c>
      <c r="G848" s="18">
        <f t="shared" ca="1" si="2369"/>
        <v>49910</v>
      </c>
      <c r="H848" s="18">
        <f t="shared" ca="1" si="2369"/>
        <v>70</v>
      </c>
      <c r="I848" s="18">
        <f t="shared" ca="1" si="2340"/>
        <v>49980</v>
      </c>
      <c r="J848" s="18">
        <f t="shared" ref="J848:K848" ca="1" si="2370">J11+J38+J65+J92+J119+J146+J173+J200+J227+J254+J281+J308+J335+J362+J389+J416+J443+J470+J497+J524+J551+J578+J605+J632+J659+J686+J713+J740+J767+J794+J821</f>
        <v>89997</v>
      </c>
      <c r="K848" s="18">
        <f t="shared" ca="1" si="2370"/>
        <v>186</v>
      </c>
      <c r="L848" s="18">
        <f t="shared" ca="1" si="2342"/>
        <v>90183</v>
      </c>
      <c r="M848" s="18">
        <f t="shared" ca="1" si="2343"/>
        <v>140163</v>
      </c>
      <c r="N848" s="19">
        <f t="shared" ca="1" si="2344"/>
        <v>196.02432767232736</v>
      </c>
      <c r="O848" s="18">
        <f t="shared" si="2345"/>
        <v>212443</v>
      </c>
      <c r="P848" s="20">
        <f t="shared" ca="1" si="2346"/>
        <v>0.65976756118111679</v>
      </c>
      <c r="Q848" s="21">
        <v>1.5</v>
      </c>
      <c r="R848" s="20">
        <f t="shared" ca="1" si="2347"/>
        <v>0.47620952183390308</v>
      </c>
      <c r="S848" s="22">
        <f t="shared" ca="1" si="2348"/>
        <v>0.71431428275085462</v>
      </c>
      <c r="T848" s="21">
        <f ca="1">F848/33.74</f>
        <v>5815.6595139300443</v>
      </c>
      <c r="U848" s="21">
        <f t="shared" ca="1" si="2349"/>
        <v>5.8098496642657782</v>
      </c>
      <c r="V848" s="18">
        <f t="shared" ca="1" si="2350"/>
        <v>140.02297702297702</v>
      </c>
      <c r="W848" s="76"/>
      <c r="X848" s="1" t="s">
        <v>2</v>
      </c>
      <c r="Y848" s="1" t="s">
        <v>3</v>
      </c>
      <c r="Z848" s="1" t="s">
        <v>4</v>
      </c>
      <c r="AA848" s="1" t="s">
        <v>5</v>
      </c>
      <c r="AB848" s="2" t="s">
        <v>6</v>
      </c>
      <c r="AC848" s="1" t="s">
        <v>7</v>
      </c>
      <c r="AD848" s="1" t="s">
        <v>8</v>
      </c>
      <c r="AE848" s="1" t="s">
        <v>9</v>
      </c>
      <c r="AF848" s="1" t="s">
        <v>10</v>
      </c>
      <c r="AG848" s="1" t="s">
        <v>11</v>
      </c>
      <c r="AH848" s="1" t="s">
        <v>12</v>
      </c>
      <c r="AI848" s="1" t="s">
        <v>13</v>
      </c>
      <c r="AJ848" s="2" t="s">
        <v>14</v>
      </c>
      <c r="AK848" s="1" t="s">
        <v>15</v>
      </c>
      <c r="AL848" s="1" t="s">
        <v>16</v>
      </c>
      <c r="AM848" s="3" t="s">
        <v>17</v>
      </c>
      <c r="AN848" s="4" t="s">
        <v>18</v>
      </c>
      <c r="AO848" s="5" t="s">
        <v>19</v>
      </c>
      <c r="AP848" s="6" t="s">
        <v>20</v>
      </c>
      <c r="AQ848" s="6" t="s">
        <v>21</v>
      </c>
      <c r="AR848" s="7" t="s">
        <v>22</v>
      </c>
      <c r="AS848" s="7" t="s">
        <v>47</v>
      </c>
      <c r="AT848" s="7" t="s">
        <v>48</v>
      </c>
    </row>
    <row r="849" spans="1:46" ht="15.75" customHeight="1" x14ac:dyDescent="0.2">
      <c r="A849" s="76"/>
      <c r="B849" s="16">
        <v>7</v>
      </c>
      <c r="C849" s="16" t="s">
        <v>24</v>
      </c>
      <c r="D849" s="18">
        <f t="shared" ref="D849:H849" si="2371">D12+D39+D66+D93+D120+D147+D174+D201+D228+D255+D282+D309+D336+D363+D390+D417+D444+D471+D498+D525+D552+D579+D606+D633+D660+D687+D714+D741+D768+D795+D822</f>
        <v>1300</v>
      </c>
      <c r="E849" s="18">
        <f t="shared" ca="1" si="2371"/>
        <v>1262</v>
      </c>
      <c r="F849" s="18">
        <f t="shared" ca="1" si="2371"/>
        <v>242717.82899999965</v>
      </c>
      <c r="G849" s="18">
        <f t="shared" ca="1" si="2371"/>
        <v>31461</v>
      </c>
      <c r="H849" s="18">
        <f t="shared" ca="1" si="2371"/>
        <v>126</v>
      </c>
      <c r="I849" s="18">
        <f t="shared" ca="1" si="2340"/>
        <v>31587</v>
      </c>
      <c r="J849" s="18">
        <f t="shared" ref="J849:K849" ca="1" si="2372">J12+J39+J66+J93+J120+J147+J174+J201+J228+J255+J282+J309+J336+J363+J390+J417+J444+J471+J498+J525+J552+J579+J606+J633+J660+J687+J714+J741+J768+J795+J822</f>
        <v>38090</v>
      </c>
      <c r="K849" s="18">
        <f t="shared" ca="1" si="2372"/>
        <v>388</v>
      </c>
      <c r="L849" s="18">
        <f t="shared" ca="1" si="2342"/>
        <v>38478</v>
      </c>
      <c r="M849" s="18">
        <f t="shared" ca="1" si="2343"/>
        <v>70065</v>
      </c>
      <c r="N849" s="19">
        <f t="shared" ca="1" si="2344"/>
        <v>192.32791521394583</v>
      </c>
      <c r="O849" s="18">
        <f t="shared" si="2345"/>
        <v>48980</v>
      </c>
      <c r="P849" s="33">
        <f t="shared" ca="1" si="2346"/>
        <v>1.430481829318089</v>
      </c>
      <c r="Q849" s="21">
        <v>1.5</v>
      </c>
      <c r="R849" s="20">
        <f t="shared" ca="1" si="2347"/>
        <v>0.19244568968190659</v>
      </c>
      <c r="S849" s="22">
        <f t="shared" ca="1" si="2348"/>
        <v>0.2886685345228599</v>
      </c>
      <c r="T849" s="21">
        <f ca="1">F849/26.805</f>
        <v>9054.9460548405023</v>
      </c>
      <c r="U849" s="21">
        <f t="shared" ca="1" si="2349"/>
        <v>7.1750761131858178</v>
      </c>
      <c r="V849" s="18">
        <f t="shared" ca="1" si="2350"/>
        <v>55.519017432646592</v>
      </c>
      <c r="W849" s="76"/>
      <c r="X849" s="8">
        <v>1</v>
      </c>
      <c r="Y849" s="8" t="s">
        <v>28</v>
      </c>
      <c r="Z849" s="9">
        <f t="shared" ref="Z849:AI849" si="2373">SUM(D844)</f>
        <v>959</v>
      </c>
      <c r="AA849" s="9">
        <f t="shared" ca="1" si="2373"/>
        <v>948</v>
      </c>
      <c r="AB849" s="9">
        <f t="shared" ca="1" si="2373"/>
        <v>178474.37699999992</v>
      </c>
      <c r="AC849" s="9">
        <f t="shared" ca="1" si="2373"/>
        <v>69994</v>
      </c>
      <c r="AD849" s="9">
        <f t="shared" ca="1" si="2373"/>
        <v>4308</v>
      </c>
      <c r="AE849" s="9">
        <f t="shared" ca="1" si="2373"/>
        <v>74302</v>
      </c>
      <c r="AF849" s="9">
        <f t="shared" ca="1" si="2373"/>
        <v>79161</v>
      </c>
      <c r="AG849" s="9">
        <f t="shared" ca="1" si="2373"/>
        <v>6266</v>
      </c>
      <c r="AH849" s="9">
        <f t="shared" ca="1" si="2373"/>
        <v>85427</v>
      </c>
      <c r="AI849" s="9">
        <f t="shared" ca="1" si="2373"/>
        <v>159729</v>
      </c>
      <c r="AJ849" s="11">
        <f t="shared" ref="AJ849:AJ855" ca="1" si="2374">AB849/AA849</f>
        <v>188.26411075949358</v>
      </c>
      <c r="AK849" s="9">
        <f t="shared" ref="AK849:AK850" si="2375">SUM(O844)</f>
        <v>226765</v>
      </c>
      <c r="AL849" s="12">
        <f t="shared" ref="AL849:AL855" ca="1" si="2376">AI849/AK849</f>
        <v>0.70438118757303814</v>
      </c>
      <c r="AM849" s="13">
        <f t="shared" ref="AM849:AM850" si="2377">SUM(Q844)</f>
        <v>1.5</v>
      </c>
      <c r="AN849" s="12">
        <f t="shared" ref="AN849:AN855" ca="1" si="2378">AO849/AM849</f>
        <v>0.59664587034810068</v>
      </c>
      <c r="AO849" s="14">
        <f t="shared" ref="AO849:AO855" ca="1" si="2379">AI849/AB849</f>
        <v>0.89496880552215108</v>
      </c>
      <c r="AP849" s="13">
        <f t="shared" ref="AP849:AQ849" ca="1" si="2380">SUM(T844)</f>
        <v>5776.4306243324572</v>
      </c>
      <c r="AQ849" s="13">
        <f t="shared" ca="1" si="2380"/>
        <v>6.093281249295841</v>
      </c>
      <c r="AR849" s="9">
        <f t="shared" ref="AR849:AR855" ca="1" si="2381">AI849/AA849</f>
        <v>168.49050632911391</v>
      </c>
      <c r="AS849" s="54">
        <f t="shared" ref="AS849:AS850" ca="1" si="2382">MAX(M7,M34,M61,M88,M115,M142,M169,M196,M223,M250,M277,M304,M331,M358,M385,M412,M439,M466,M493,M520,M547,M574,M601,M628,M655,M682,M709,M736,M763,M790,M817)</f>
        <v>6308</v>
      </c>
      <c r="AT849" s="60">
        <v>46226</v>
      </c>
    </row>
    <row r="850" spans="1:46" ht="15.75" customHeight="1" x14ac:dyDescent="0.2">
      <c r="A850" s="76"/>
      <c r="B850" s="16">
        <v>8</v>
      </c>
      <c r="C850" s="16" t="s">
        <v>25</v>
      </c>
      <c r="D850" s="18">
        <f t="shared" ref="D850:H850" si="2383">D13+D40+D67+D94+D121+D148+D175+D202+D229+D256+D283+D310+D337+D364+D391+D418+D445+D472+D499+D526+D553+D580+D607+D634+D661+D688+D715+D742+D769+D796+D823</f>
        <v>948</v>
      </c>
      <c r="E850" s="18">
        <f t="shared" ca="1" si="2383"/>
        <v>917</v>
      </c>
      <c r="F850" s="18">
        <f t="shared" ca="1" si="2383"/>
        <v>175432.30799999999</v>
      </c>
      <c r="G850" s="18">
        <f t="shared" ca="1" si="2383"/>
        <v>65157</v>
      </c>
      <c r="H850" s="18">
        <f t="shared" ca="1" si="2383"/>
        <v>12403</v>
      </c>
      <c r="I850" s="18">
        <f t="shared" ca="1" si="2340"/>
        <v>77560</v>
      </c>
      <c r="J850" s="18">
        <f t="shared" ref="J850:K850" ca="1" si="2384">J13+J40+J67+J94+J121+J148+J175+J202+J229+J256+J283+J310+J337+J364+J391+J418+J445+J472+J499+J526+J553+J580+J607+J634+J661+J688+J715+J742+J769+J796+J823</f>
        <v>90176</v>
      </c>
      <c r="K850" s="18">
        <f t="shared" ca="1" si="2384"/>
        <v>10850</v>
      </c>
      <c r="L850" s="18">
        <f ca="1">J850+K850</f>
        <v>101026</v>
      </c>
      <c r="M850" s="18">
        <f t="shared" ca="1" si="2343"/>
        <v>178586</v>
      </c>
      <c r="N850" s="19">
        <f t="shared" ca="1" si="2344"/>
        <v>191.31113195201743</v>
      </c>
      <c r="O850" s="18">
        <f t="shared" si="2345"/>
        <v>205282</v>
      </c>
      <c r="P850" s="20">
        <f t="shared" ca="1" si="2346"/>
        <v>0.86995450161241605</v>
      </c>
      <c r="Q850" s="21">
        <v>1.5</v>
      </c>
      <c r="R850" s="20">
        <f t="shared" ca="1" si="2347"/>
        <v>0.67865112584241516</v>
      </c>
      <c r="S850" s="22">
        <f t="shared" ca="1" si="2348"/>
        <v>1.0179766887636228</v>
      </c>
      <c r="T850" s="21">
        <f ca="1">F850/23.84</f>
        <v>7358.7377516778515</v>
      </c>
      <c r="U850" s="21">
        <f t="shared" ca="1" si="2349"/>
        <v>8.0247958033564348</v>
      </c>
      <c r="V850" s="18">
        <f t="shared" ca="1" si="2350"/>
        <v>194.75027262813524</v>
      </c>
      <c r="W850" s="76"/>
      <c r="X850" s="8">
        <v>2</v>
      </c>
      <c r="Y850" s="8" t="s">
        <v>30</v>
      </c>
      <c r="Z850" s="9">
        <f t="shared" ref="Z850:AI850" si="2385">SUM(D845)</f>
        <v>1752</v>
      </c>
      <c r="AA850" s="9">
        <f t="shared" ca="1" si="2385"/>
        <v>1695</v>
      </c>
      <c r="AB850" s="9">
        <f t="shared" ca="1" si="2385"/>
        <v>333714.28299999767</v>
      </c>
      <c r="AC850" s="9">
        <f t="shared" ca="1" si="2385"/>
        <v>95460</v>
      </c>
      <c r="AD850" s="9">
        <f t="shared" ca="1" si="2385"/>
        <v>228</v>
      </c>
      <c r="AE850" s="9">
        <f t="shared" ca="1" si="2385"/>
        <v>95688</v>
      </c>
      <c r="AF850" s="9">
        <f t="shared" ca="1" si="2385"/>
        <v>150410</v>
      </c>
      <c r="AG850" s="9">
        <f t="shared" ca="1" si="2385"/>
        <v>1118</v>
      </c>
      <c r="AH850" s="9">
        <f t="shared" ca="1" si="2385"/>
        <v>151528</v>
      </c>
      <c r="AI850" s="9">
        <f t="shared" ca="1" si="2385"/>
        <v>247216</v>
      </c>
      <c r="AJ850" s="11">
        <f t="shared" ca="1" si="2374"/>
        <v>196.88158289085408</v>
      </c>
      <c r="AK850" s="9">
        <f t="shared" si="2375"/>
        <v>346084</v>
      </c>
      <c r="AL850" s="12">
        <f t="shared" ca="1" si="2376"/>
        <v>0.71432369020237863</v>
      </c>
      <c r="AM850" s="13">
        <f t="shared" si="2377"/>
        <v>1.5</v>
      </c>
      <c r="AN850" s="12">
        <f t="shared" ca="1" si="2378"/>
        <v>0.49386758392558172</v>
      </c>
      <c r="AO850" s="14">
        <f t="shared" ca="1" si="2379"/>
        <v>0.74080137588837258</v>
      </c>
      <c r="AP850" s="13">
        <f t="shared" ref="AP850:AQ850" ca="1" si="2386">SUM(T845)</f>
        <v>11272.988649798928</v>
      </c>
      <c r="AQ850" s="13">
        <f t="shared" ca="1" si="2386"/>
        <v>6.6507307668430258</v>
      </c>
      <c r="AR850" s="9">
        <f t="shared" ca="1" si="2381"/>
        <v>145.85014749262538</v>
      </c>
      <c r="AS850" s="59">
        <f t="shared" ca="1" si="2382"/>
        <v>9443</v>
      </c>
      <c r="AT850" s="60">
        <v>46224</v>
      </c>
    </row>
    <row r="851" spans="1:46" ht="15.75" customHeight="1" x14ac:dyDescent="0.2">
      <c r="A851" s="76"/>
      <c r="B851" s="16">
        <v>9</v>
      </c>
      <c r="C851" s="16" t="s">
        <v>36</v>
      </c>
      <c r="D851" s="18">
        <f t="shared" ref="D851:H851" si="2387">D14+D41+D68+D95+D122+D149+D176+D203+D230+D257+D284+D311+D338+D365+D392+D419+D446+D473+D500+D527+D554+D581+D608+D635+D662+D689+D716+D743+D770+D797+D824</f>
        <v>798</v>
      </c>
      <c r="E851" s="18">
        <f t="shared" ca="1" si="2387"/>
        <v>788</v>
      </c>
      <c r="F851" s="18">
        <f t="shared" ca="1" si="2387"/>
        <v>154990.22699999981</v>
      </c>
      <c r="G851" s="18">
        <f t="shared" ca="1" si="2387"/>
        <v>42411</v>
      </c>
      <c r="H851" s="18">
        <f t="shared" ca="1" si="2387"/>
        <v>0</v>
      </c>
      <c r="I851" s="18">
        <f t="shared" ca="1" si="2340"/>
        <v>42411</v>
      </c>
      <c r="J851" s="18">
        <f t="shared" ref="J851:K851" ca="1" si="2388">J14+J41+J68+J95+J122+J149+J176+J203+J230+J257+J284+J311+J338+J365+J392+J419+J446+J473+J500+J527+J554+J581+J608+J635+J662+J689+J716+J743+J770+J797+J824</f>
        <v>60485</v>
      </c>
      <c r="K851" s="18">
        <f t="shared" ca="1" si="2388"/>
        <v>18</v>
      </c>
      <c r="L851" s="18">
        <f t="shared" ref="L851:L860" ca="1" si="2389">SUM(J851:K851)</f>
        <v>60503</v>
      </c>
      <c r="M851" s="18">
        <f t="shared" ca="1" si="2343"/>
        <v>102914</v>
      </c>
      <c r="N851" s="19">
        <f t="shared" ca="1" si="2344"/>
        <v>196.688105329949</v>
      </c>
      <c r="O851" s="18">
        <f t="shared" si="2345"/>
        <v>148676</v>
      </c>
      <c r="P851" s="20">
        <f t="shared" ca="1" si="2346"/>
        <v>0.69220318006941273</v>
      </c>
      <c r="Q851" s="21">
        <v>1.5</v>
      </c>
      <c r="R851" s="20">
        <f t="shared" ca="1" si="2347"/>
        <v>0.44266877119506004</v>
      </c>
      <c r="S851" s="22">
        <f t="shared" ca="1" si="2348"/>
        <v>0.66400315679259003</v>
      </c>
      <c r="T851" s="21">
        <f ca="1">F851/37.414</f>
        <v>4142.5730207943498</v>
      </c>
      <c r="U851" s="21">
        <f t="shared" ca="1" si="2349"/>
        <v>5.2570723614141492</v>
      </c>
      <c r="V851" s="18">
        <f t="shared" ca="1" si="2350"/>
        <v>130.60152284263958</v>
      </c>
      <c r="W851" s="76"/>
      <c r="X851" s="8">
        <v>3</v>
      </c>
      <c r="Y851" s="8" t="s">
        <v>34</v>
      </c>
      <c r="Z851" s="9">
        <f t="shared" ref="Z851:AI851" si="2390">SUM(D847)</f>
        <v>1168</v>
      </c>
      <c r="AA851" s="9">
        <f t="shared" ca="1" si="2390"/>
        <v>1134</v>
      </c>
      <c r="AB851" s="9">
        <f t="shared" ca="1" si="2390"/>
        <v>221226.42300000001</v>
      </c>
      <c r="AC851" s="9">
        <f t="shared" ca="1" si="2390"/>
        <v>78377</v>
      </c>
      <c r="AD851" s="9">
        <f t="shared" ca="1" si="2390"/>
        <v>79</v>
      </c>
      <c r="AE851" s="9">
        <f t="shared" ca="1" si="2390"/>
        <v>78456</v>
      </c>
      <c r="AF851" s="9">
        <f t="shared" ca="1" si="2390"/>
        <v>93816</v>
      </c>
      <c r="AG851" s="9">
        <f t="shared" ca="1" si="2390"/>
        <v>870</v>
      </c>
      <c r="AH851" s="9">
        <f t="shared" ca="1" si="2390"/>
        <v>94686</v>
      </c>
      <c r="AI851" s="9">
        <f t="shared" ca="1" si="2390"/>
        <v>173142</v>
      </c>
      <c r="AJ851" s="11">
        <f t="shared" ca="1" si="2374"/>
        <v>195.08502910052911</v>
      </c>
      <c r="AK851" s="9">
        <f>SUM(O847)</f>
        <v>289974</v>
      </c>
      <c r="AL851" s="12">
        <f t="shared" ca="1" si="2376"/>
        <v>0.59709491195762376</v>
      </c>
      <c r="AM851" s="13">
        <f>SUM(Q847)</f>
        <v>1.5</v>
      </c>
      <c r="AN851" s="12">
        <f t="shared" ca="1" si="2378"/>
        <v>0.52176407517107481</v>
      </c>
      <c r="AO851" s="14">
        <f t="shared" ca="1" si="2379"/>
        <v>0.78264611275661222</v>
      </c>
      <c r="AP851" s="13">
        <f t="shared" ref="AP851:AQ851" ca="1" si="2391">SUM(T847)</f>
        <v>7203.0222706997038</v>
      </c>
      <c r="AQ851" s="13">
        <f t="shared" ca="1" si="2391"/>
        <v>6.3518714909168468</v>
      </c>
      <c r="AR851" s="9">
        <f t="shared" ca="1" si="2381"/>
        <v>152.68253968253967</v>
      </c>
      <c r="AS851" s="59">
        <f ca="1">MAX(M10,M37,M64,M91,M118,M145,M172,M199,M226,M253,M280,M307,M334,M361,M388,M415,M442,M469,M496,M523,M550,M577,M604,M631,M658,M685,M712,M739,M766,M793,M820)</f>
        <v>6745</v>
      </c>
      <c r="AT851" s="60">
        <v>46231</v>
      </c>
    </row>
    <row r="852" spans="1:46" ht="15.75" customHeight="1" x14ac:dyDescent="0.2">
      <c r="A852" s="76"/>
      <c r="B852" s="16">
        <v>10</v>
      </c>
      <c r="C852" s="16" t="s">
        <v>37</v>
      </c>
      <c r="D852" s="18">
        <f t="shared" ref="D852:H852" si="2392">D15+D42+D69+D96+D123+D150+D177+D204+D231+D258+D285+D312+D339+D366+D393+D420+D447+D474+D501+D528+D555+D582+D609+D636+D663+D690+D717+D744+D771+D798+D825</f>
        <v>878</v>
      </c>
      <c r="E852" s="18">
        <f t="shared" ca="1" si="2392"/>
        <v>849</v>
      </c>
      <c r="F852" s="18">
        <f t="shared" ca="1" si="2392"/>
        <v>165524.48399999988</v>
      </c>
      <c r="G852" s="18">
        <f t="shared" ca="1" si="2392"/>
        <v>56619</v>
      </c>
      <c r="H852" s="18">
        <f t="shared" ca="1" si="2392"/>
        <v>433</v>
      </c>
      <c r="I852" s="18">
        <f t="shared" ca="1" si="2340"/>
        <v>57052</v>
      </c>
      <c r="J852" s="18">
        <f t="shared" ref="J852:K852" ca="1" si="2393">J15+J42+J69+J96+J123+J150+J177+J204+J231+J258+J285+J312+J339+J366+J393+J420+J447+J474+J501+J528+J555+J582+J609+J636+J663+J690+J717+J744+J771+J798+J825</f>
        <v>82173</v>
      </c>
      <c r="K852" s="18">
        <f t="shared" ca="1" si="2393"/>
        <v>654</v>
      </c>
      <c r="L852" s="18">
        <f t="shared" ca="1" si="2389"/>
        <v>82827</v>
      </c>
      <c r="M852" s="18">
        <f t="shared" ca="1" si="2343"/>
        <v>139879</v>
      </c>
      <c r="N852" s="19">
        <f t="shared" ca="1" si="2344"/>
        <v>194.96405653710232</v>
      </c>
      <c r="O852" s="18">
        <f t="shared" si="2345"/>
        <v>182497</v>
      </c>
      <c r="P852" s="20">
        <f t="shared" ca="1" si="2346"/>
        <v>0.76647287352668814</v>
      </c>
      <c r="Q852" s="21">
        <v>1.5</v>
      </c>
      <c r="R852" s="20">
        <f t="shared" ca="1" si="2347"/>
        <v>0.56337687581413476</v>
      </c>
      <c r="S852" s="22">
        <f t="shared" ca="1" si="2348"/>
        <v>0.84506531372120208</v>
      </c>
      <c r="T852" s="21">
        <f ca="1">F852/24.792</f>
        <v>6676.5280735721144</v>
      </c>
      <c r="U852" s="21">
        <f t="shared" ca="1" si="2349"/>
        <v>7.8639906638069661</v>
      </c>
      <c r="V852" s="18">
        <f t="shared" ca="1" si="2350"/>
        <v>164.75736160188458</v>
      </c>
      <c r="W852" s="76"/>
      <c r="X852" s="8">
        <v>4</v>
      </c>
      <c r="Y852" s="8" t="s">
        <v>38</v>
      </c>
      <c r="Z852" s="9">
        <f t="shared" ref="Z852:AI852" si="2394">SUM(D855)</f>
        <v>878</v>
      </c>
      <c r="AA852" s="9">
        <f t="shared" ca="1" si="2394"/>
        <v>865</v>
      </c>
      <c r="AB852" s="9">
        <f t="shared" ca="1" si="2394"/>
        <v>179132.07099999991</v>
      </c>
      <c r="AC852" s="9">
        <f t="shared" ca="1" si="2394"/>
        <v>58252</v>
      </c>
      <c r="AD852" s="9">
        <f t="shared" ca="1" si="2394"/>
        <v>1530</v>
      </c>
      <c r="AE852" s="9">
        <f t="shared" ca="1" si="2394"/>
        <v>59782</v>
      </c>
      <c r="AF852" s="9">
        <f t="shared" ca="1" si="2394"/>
        <v>79837</v>
      </c>
      <c r="AG852" s="9">
        <f t="shared" ca="1" si="2394"/>
        <v>3242</v>
      </c>
      <c r="AH852" s="9">
        <f t="shared" ca="1" si="2394"/>
        <v>83079</v>
      </c>
      <c r="AI852" s="9">
        <f t="shared" ca="1" si="2394"/>
        <v>142861</v>
      </c>
      <c r="AJ852" s="11">
        <f t="shared" ca="1" si="2374"/>
        <v>207.08909942196522</v>
      </c>
      <c r="AK852" s="9">
        <f>SUM(O855)</f>
        <v>258695</v>
      </c>
      <c r="AL852" s="12">
        <f t="shared" ca="1" si="2376"/>
        <v>0.55223719051392561</v>
      </c>
      <c r="AM852" s="13">
        <f>SUM(Q855)</f>
        <v>1.5</v>
      </c>
      <c r="AN852" s="12">
        <f t="shared" ca="1" si="2378"/>
        <v>0.53167847686340164</v>
      </c>
      <c r="AO852" s="14">
        <f t="shared" ca="1" si="2379"/>
        <v>0.7975177152951024</v>
      </c>
      <c r="AP852" s="13">
        <f t="shared" ref="AP852:AQ852" ca="1" si="2395">SUM(T855)</f>
        <v>4347.3382113821117</v>
      </c>
      <c r="AQ852" s="13">
        <f t="shared" ca="1" si="2395"/>
        <v>5.0258245218290307</v>
      </c>
      <c r="AR852" s="9">
        <f t="shared" ca="1" si="2381"/>
        <v>165.15722543352601</v>
      </c>
      <c r="AS852" s="59">
        <f ca="1">MAX(M18,M45,M72,M99,M126,M153,M180,M207,M234,M261,M288,M315,M342,M369,M396,M423,M450,M477,M504,M531,M558,M585,M612,M639,M666,M693,M720,M747,M774,M801,M828)</f>
        <v>5977</v>
      </c>
      <c r="AT852" s="60">
        <v>46231</v>
      </c>
    </row>
    <row r="853" spans="1:46" ht="15.75" customHeight="1" x14ac:dyDescent="0.2">
      <c r="A853" s="76"/>
      <c r="B853" s="16">
        <v>12</v>
      </c>
      <c r="C853" s="16" t="s">
        <v>39</v>
      </c>
      <c r="D853" s="18">
        <f t="shared" ref="D853:H853" si="2396">D16+D43+D70+D97+D124+D151+D178+D205+D232+D259+D286+D313+D340+D367+D394+D421+D448+D475+D502+D529+D556+D583+D610+D637+D664+D691+D718+D745+D772+D799+D826</f>
        <v>816</v>
      </c>
      <c r="E853" s="18">
        <f t="shared" ca="1" si="2396"/>
        <v>803</v>
      </c>
      <c r="F853" s="18">
        <f t="shared" ca="1" si="2396"/>
        <v>152158.12999999989</v>
      </c>
      <c r="G853" s="18">
        <f t="shared" ca="1" si="2396"/>
        <v>33927</v>
      </c>
      <c r="H853" s="18">
        <f t="shared" ca="1" si="2396"/>
        <v>592</v>
      </c>
      <c r="I853" s="18">
        <f t="shared" ca="1" si="2340"/>
        <v>34519</v>
      </c>
      <c r="J853" s="18">
        <f t="shared" ref="J853:K853" ca="1" si="2397">J16+J43+J70+J97+J124+J151+J178+J205+J232+J259+J286+J313+J340+J367+J394+J421+J448+J475+J502+J529+J556+J583+J610+J637+J664+J691+J718+J745+J772+J799+J826</f>
        <v>52177</v>
      </c>
      <c r="K853" s="18">
        <f t="shared" ca="1" si="2397"/>
        <v>3072</v>
      </c>
      <c r="L853" s="18">
        <f t="shared" ca="1" si="2389"/>
        <v>55249</v>
      </c>
      <c r="M853" s="18">
        <f t="shared" ca="1" si="2343"/>
        <v>89768</v>
      </c>
      <c r="N853" s="19">
        <f t="shared" ca="1" si="2344"/>
        <v>189.48708592777072</v>
      </c>
      <c r="O853" s="18">
        <f t="shared" si="2345"/>
        <v>110639</v>
      </c>
      <c r="P853" s="20">
        <f t="shared" ca="1" si="2346"/>
        <v>0.81135946637261724</v>
      </c>
      <c r="Q853" s="21">
        <v>1.5</v>
      </c>
      <c r="R853" s="20">
        <f t="shared" ca="1" si="2347"/>
        <v>0.39331012633589396</v>
      </c>
      <c r="S853" s="22">
        <f t="shared" ca="1" si="2348"/>
        <v>0.58996518950384091</v>
      </c>
      <c r="T853" s="21">
        <f ca="1">F853/21.463</f>
        <v>7089.3225550948091</v>
      </c>
      <c r="U853" s="21">
        <f t="shared" ca="1" si="2349"/>
        <v>8.8285461458216794</v>
      </c>
      <c r="V853" s="18">
        <f t="shared" ca="1" si="2350"/>
        <v>111.79078455790784</v>
      </c>
      <c r="W853" s="76"/>
      <c r="X853" s="8">
        <v>5</v>
      </c>
      <c r="Y853" s="8" t="s">
        <v>40</v>
      </c>
      <c r="Z853" s="9">
        <f t="shared" ref="Z853:AI853" si="2398">SUM(D857)</f>
        <v>878</v>
      </c>
      <c r="AA853" s="9">
        <f t="shared" ca="1" si="2398"/>
        <v>865</v>
      </c>
      <c r="AB853" s="9">
        <f t="shared" ca="1" si="2398"/>
        <v>168509.88699999976</v>
      </c>
      <c r="AC853" s="9">
        <f t="shared" ca="1" si="2398"/>
        <v>95371</v>
      </c>
      <c r="AD853" s="9">
        <f t="shared" ca="1" si="2398"/>
        <v>1288</v>
      </c>
      <c r="AE853" s="9">
        <f t="shared" ca="1" si="2398"/>
        <v>96659</v>
      </c>
      <c r="AF853" s="9">
        <f t="shared" ca="1" si="2398"/>
        <v>111411</v>
      </c>
      <c r="AG853" s="9">
        <f t="shared" ca="1" si="2398"/>
        <v>1443</v>
      </c>
      <c r="AH853" s="9">
        <f t="shared" ca="1" si="2398"/>
        <v>112854</v>
      </c>
      <c r="AI853" s="9">
        <f t="shared" ca="1" si="2398"/>
        <v>209513</v>
      </c>
      <c r="AJ853" s="11">
        <f t="shared" ca="1" si="2374"/>
        <v>194.80911791907485</v>
      </c>
      <c r="AK853" s="9">
        <f t="shared" ref="AK853:AK854" si="2399">SUM(O857)</f>
        <v>255409</v>
      </c>
      <c r="AL853" s="12">
        <f t="shared" ca="1" si="2376"/>
        <v>0.82030390471753145</v>
      </c>
      <c r="AM853" s="13">
        <f t="shared" ref="AM853:AM854" si="2400">SUM(Q857)</f>
        <v>1.5</v>
      </c>
      <c r="AN853" s="12">
        <f t="shared" ca="1" si="2378"/>
        <v>0.82888509285709466</v>
      </c>
      <c r="AO853" s="14">
        <f t="shared" ca="1" si="2379"/>
        <v>1.2433276392856421</v>
      </c>
      <c r="AP853" s="13">
        <f t="shared" ref="AP853:AQ853" ca="1" si="2401">SUM(T857)</f>
        <v>5924.4765671694176</v>
      </c>
      <c r="AQ853" s="13">
        <f t="shared" ca="1" si="2401"/>
        <v>6.8491058579993265</v>
      </c>
      <c r="AR853" s="9">
        <f t="shared" ca="1" si="2381"/>
        <v>242.21156069364162</v>
      </c>
      <c r="AS853" s="59">
        <f t="shared" ref="AS853:AS854" ca="1" si="2402">MAX(M20,M47,M74,M101,M128,M155,M182,M209,M236,M263,M290,M317,M344,M371,M398,M425,M452,M479,M506,M533,M560,M587,M614,M641,M668,M695,M722,M749,M776,M803,M830)</f>
        <v>7663</v>
      </c>
      <c r="AT853" s="60">
        <v>46227</v>
      </c>
    </row>
    <row r="854" spans="1:46" ht="15.75" customHeight="1" x14ac:dyDescent="0.2">
      <c r="A854" s="76"/>
      <c r="B854" s="16">
        <v>12</v>
      </c>
      <c r="C854" s="16" t="s">
        <v>41</v>
      </c>
      <c r="D854" s="18">
        <f t="shared" ref="D854:H854" si="2403">D17+D44+D71+D98+D125+D152+D179+D206+D233+D260+D287+D314+D341+D368+D395+D422+D449+D476+D503+D530+D557+D584+D611+D638+D665+D692+D719+D746+D773+D800+D827</f>
        <v>708</v>
      </c>
      <c r="E854" s="18">
        <f t="shared" ca="1" si="2403"/>
        <v>699</v>
      </c>
      <c r="F854" s="18">
        <f t="shared" ca="1" si="2403"/>
        <v>137990.76399999997</v>
      </c>
      <c r="G854" s="18">
        <f t="shared" ca="1" si="2403"/>
        <v>34388</v>
      </c>
      <c r="H854" s="18">
        <f t="shared" ca="1" si="2403"/>
        <v>734</v>
      </c>
      <c r="I854" s="18">
        <f t="shared" ca="1" si="2340"/>
        <v>35122</v>
      </c>
      <c r="J854" s="18">
        <f t="shared" ref="J854:K854" ca="1" si="2404">J17+J44+J71+J98+J125+J152+J179+J206+J233+J260+J287+J314+J341+J368+J395+J422+J449+J476+J503+J530+J557+J584+J611+J638+J665+J692+J719+J746+J773+J800+J827</f>
        <v>46600</v>
      </c>
      <c r="K854" s="18">
        <f t="shared" ca="1" si="2404"/>
        <v>3531</v>
      </c>
      <c r="L854" s="18">
        <f t="shared" ca="1" si="2389"/>
        <v>50131</v>
      </c>
      <c r="M854" s="18">
        <f t="shared" ca="1" si="2343"/>
        <v>85253</v>
      </c>
      <c r="N854" s="19">
        <f t="shared" ca="1" si="2344"/>
        <v>197.4116795422031</v>
      </c>
      <c r="O854" s="18">
        <f t="shared" si="2345"/>
        <v>117831</v>
      </c>
      <c r="P854" s="20">
        <f t="shared" ca="1" si="2346"/>
        <v>0.72351927760945767</v>
      </c>
      <c r="Q854" s="21">
        <v>1.5</v>
      </c>
      <c r="R854" s="20">
        <f t="shared" ca="1" si="2347"/>
        <v>0.41187780751277919</v>
      </c>
      <c r="S854" s="22">
        <f t="shared" ca="1" si="2348"/>
        <v>0.61781671126916882</v>
      </c>
      <c r="T854" s="21">
        <f ca="1">F854/29.628</f>
        <v>4657.4444444444434</v>
      </c>
      <c r="U854" s="21">
        <f t="shared" ca="1" si="2349"/>
        <v>6.6630106501351118</v>
      </c>
      <c r="V854" s="18">
        <f t="shared" ca="1" si="2350"/>
        <v>121.96423462088698</v>
      </c>
      <c r="W854" s="76"/>
      <c r="X854" s="8">
        <v>6</v>
      </c>
      <c r="Y854" s="8" t="s">
        <v>42</v>
      </c>
      <c r="Z854" s="9">
        <f t="shared" ref="Z854:AI854" si="2405">SUM(D858)</f>
        <v>959</v>
      </c>
      <c r="AA854" s="9">
        <f t="shared" ca="1" si="2405"/>
        <v>944</v>
      </c>
      <c r="AB854" s="9">
        <f t="shared" ca="1" si="2405"/>
        <v>184634.31499999968</v>
      </c>
      <c r="AC854" s="9">
        <f t="shared" ca="1" si="2405"/>
        <v>90731</v>
      </c>
      <c r="AD854" s="9">
        <f t="shared" ca="1" si="2405"/>
        <v>862</v>
      </c>
      <c r="AE854" s="9">
        <f t="shared" ca="1" si="2405"/>
        <v>91593</v>
      </c>
      <c r="AF854" s="9">
        <f t="shared" ca="1" si="2405"/>
        <v>121278</v>
      </c>
      <c r="AG854" s="9">
        <f t="shared" ca="1" si="2405"/>
        <v>2876</v>
      </c>
      <c r="AH854" s="9">
        <f t="shared" ca="1" si="2405"/>
        <v>124154</v>
      </c>
      <c r="AI854" s="9">
        <f t="shared" ca="1" si="2405"/>
        <v>215747</v>
      </c>
      <c r="AJ854" s="11">
        <f t="shared" ca="1" si="2374"/>
        <v>195.58719809322</v>
      </c>
      <c r="AK854" s="9">
        <f t="shared" si="2399"/>
        <v>306187</v>
      </c>
      <c r="AL854" s="12">
        <f t="shared" ca="1" si="2376"/>
        <v>0.70462495141857751</v>
      </c>
      <c r="AM854" s="13">
        <f t="shared" si="2400"/>
        <v>1.5</v>
      </c>
      <c r="AN854" s="12">
        <f t="shared" ca="1" si="2378"/>
        <v>0.77900650988595255</v>
      </c>
      <c r="AO854" s="14">
        <f t="shared" ca="1" si="2379"/>
        <v>1.1685097648289289</v>
      </c>
      <c r="AP854" s="13">
        <f t="shared" ref="AP854:AQ854" ca="1" si="2406">SUM(T858)</f>
        <v>7059.2359013572805</v>
      </c>
      <c r="AQ854" s="13">
        <f t="shared" ca="1" si="2406"/>
        <v>7.4780041327937292</v>
      </c>
      <c r="AR854" s="9">
        <f t="shared" ca="1" si="2381"/>
        <v>228.54555084745763</v>
      </c>
      <c r="AS854" s="59">
        <f t="shared" ca="1" si="2402"/>
        <v>8187</v>
      </c>
      <c r="AT854" s="60">
        <v>46227</v>
      </c>
    </row>
    <row r="855" spans="1:46" ht="15.75" customHeight="1" x14ac:dyDescent="0.25">
      <c r="A855" s="76"/>
      <c r="B855" s="16">
        <v>13</v>
      </c>
      <c r="C855" s="16" t="s">
        <v>43</v>
      </c>
      <c r="D855" s="18">
        <f t="shared" ref="D855:H855" si="2407">D18+D45+D72+D99+D126+D153+D180+D207+D234+D261+D288+D315+D342+D369+D396+D423+D450+D477+D504+D531+D558+D585+D612+D639+D666+D693+D720+D747+D774+D801+D828</f>
        <v>878</v>
      </c>
      <c r="E855" s="18">
        <f t="shared" ca="1" si="2407"/>
        <v>865</v>
      </c>
      <c r="F855" s="18">
        <f t="shared" ca="1" si="2407"/>
        <v>179132.07099999991</v>
      </c>
      <c r="G855" s="18">
        <f t="shared" ca="1" si="2407"/>
        <v>58252</v>
      </c>
      <c r="H855" s="18">
        <f t="shared" ca="1" si="2407"/>
        <v>1530</v>
      </c>
      <c r="I855" s="18">
        <f t="shared" ca="1" si="2340"/>
        <v>59782</v>
      </c>
      <c r="J855" s="18">
        <f t="shared" ref="J855:K855" ca="1" si="2408">J18+J45+J72+J99+J126+J153+J180+J207+J234+J261+J288+J315+J342+J369+J396+J423+J450+J477+J504+J531+J558+J585+J612+J639+J666+J693+J720+J747+J774+J801+J828</f>
        <v>79837</v>
      </c>
      <c r="K855" s="18">
        <f t="shared" ca="1" si="2408"/>
        <v>3242</v>
      </c>
      <c r="L855" s="18">
        <f t="shared" ca="1" si="2389"/>
        <v>83079</v>
      </c>
      <c r="M855" s="18">
        <f t="shared" ca="1" si="2343"/>
        <v>142861</v>
      </c>
      <c r="N855" s="19">
        <f t="shared" ca="1" si="2344"/>
        <v>207.08909942196522</v>
      </c>
      <c r="O855" s="18">
        <f t="shared" si="2345"/>
        <v>258695</v>
      </c>
      <c r="P855" s="20">
        <f t="shared" ca="1" si="2346"/>
        <v>0.55223719051392561</v>
      </c>
      <c r="Q855" s="21">
        <v>1.5</v>
      </c>
      <c r="R855" s="20">
        <f t="shared" ca="1" si="2347"/>
        <v>0.53167847686340164</v>
      </c>
      <c r="S855" s="22">
        <f t="shared" ca="1" si="2348"/>
        <v>0.7975177152951024</v>
      </c>
      <c r="T855" s="21">
        <f ca="1">F855/41.205</f>
        <v>4347.3382113821117</v>
      </c>
      <c r="U855" s="21">
        <f t="shared" ca="1" si="2349"/>
        <v>5.0258245218290307</v>
      </c>
      <c r="V855" s="18">
        <f t="shared" ca="1" si="2350"/>
        <v>165.15722543352601</v>
      </c>
      <c r="W855" s="76"/>
      <c r="X855" s="24" t="s">
        <v>33</v>
      </c>
      <c r="Y855" s="24">
        <v>6</v>
      </c>
      <c r="Z855" s="25">
        <f t="shared" ref="Z855:AI855" si="2409">SUM(Z849:Z854)</f>
        <v>6594</v>
      </c>
      <c r="AA855" s="25">
        <f t="shared" ca="1" si="2409"/>
        <v>6451</v>
      </c>
      <c r="AB855" s="25">
        <f t="shared" ca="1" si="2409"/>
        <v>1265691.3559999969</v>
      </c>
      <c r="AC855" s="25">
        <f t="shared" ca="1" si="2409"/>
        <v>488185</v>
      </c>
      <c r="AD855" s="25">
        <f t="shared" ca="1" si="2409"/>
        <v>8295</v>
      </c>
      <c r="AE855" s="25">
        <f t="shared" ca="1" si="2409"/>
        <v>496480</v>
      </c>
      <c r="AF855" s="25">
        <f t="shared" ca="1" si="2409"/>
        <v>635913</v>
      </c>
      <c r="AG855" s="25">
        <f t="shared" ca="1" si="2409"/>
        <v>15815</v>
      </c>
      <c r="AH855" s="25">
        <f t="shared" ca="1" si="2409"/>
        <v>651728</v>
      </c>
      <c r="AI855" s="25">
        <f t="shared" ca="1" si="2409"/>
        <v>1148208</v>
      </c>
      <c r="AJ855" s="27">
        <f t="shared" ca="1" si="2374"/>
        <v>196.20079925592884</v>
      </c>
      <c r="AK855" s="25">
        <f>SUM(AK849:AK854)</f>
        <v>1683114</v>
      </c>
      <c r="AL855" s="28">
        <f t="shared" ca="1" si="2376"/>
        <v>0.68219265005222463</v>
      </c>
      <c r="AM855" s="29">
        <v>1.5</v>
      </c>
      <c r="AN855" s="28">
        <f t="shared" ca="1" si="2378"/>
        <v>0.60478567414661388</v>
      </c>
      <c r="AO855" s="30">
        <f t="shared" ca="1" si="2379"/>
        <v>0.90717851121992088</v>
      </c>
      <c r="AP855" s="29">
        <f ca="1">SUM(AP849:AP854)</f>
        <v>41583.492224739901</v>
      </c>
      <c r="AQ855" s="29">
        <f ca="1">AP855/AA855</f>
        <v>6.4460536699333284</v>
      </c>
      <c r="AR855" s="25">
        <f t="shared" ca="1" si="2381"/>
        <v>177.98914896915207</v>
      </c>
      <c r="AS855" s="25">
        <f ca="1">MAX(M24,M51,M78,M105,M132,M159,M186,M213,M240,M267,M294,M321,M348,M375,M402,M429,M456,M483,M510,M537,M564,M591,M618,M645,M672,M699,M726,M753,M780,M807,M834)</f>
        <v>103491</v>
      </c>
      <c r="AT855" s="67">
        <v>46230</v>
      </c>
    </row>
    <row r="856" spans="1:46" ht="15.75" customHeight="1" x14ac:dyDescent="0.2">
      <c r="A856" s="76"/>
      <c r="B856" s="16">
        <v>14</v>
      </c>
      <c r="C856" s="16" t="s">
        <v>27</v>
      </c>
      <c r="D856" s="18">
        <f t="shared" ref="D856:H856" si="2410">D19+D46+D73+D100+D127+D154+D181+D208+D235+D262+D289+D316+D343+D370+D397+D424+D451+D478+D505+D532+D559+D586+D613+D640+D667+D694+D721+D748+D775+D802+D829</f>
        <v>878</v>
      </c>
      <c r="E856" s="18">
        <f t="shared" ca="1" si="2410"/>
        <v>846</v>
      </c>
      <c r="F856" s="18">
        <f t="shared" ca="1" si="2410"/>
        <v>158447.08499999988</v>
      </c>
      <c r="G856" s="18">
        <f t="shared" ca="1" si="2410"/>
        <v>66445</v>
      </c>
      <c r="H856" s="18">
        <f t="shared" ca="1" si="2410"/>
        <v>963</v>
      </c>
      <c r="I856" s="18">
        <f t="shared" ca="1" si="2340"/>
        <v>67408</v>
      </c>
      <c r="J856" s="18">
        <f t="shared" ref="J856:K856" ca="1" si="2411">J19+J46+J73+J100+J127+J154+J181+J208+J235+J262+J289+J316+J343+J370+J397+J424+J451+J478+J505+J532+J559+J586+J613+J640+J667+J694+J721+J748+J775+J802+J829</f>
        <v>82998</v>
      </c>
      <c r="K856" s="18">
        <f t="shared" ca="1" si="2411"/>
        <v>873</v>
      </c>
      <c r="L856" s="18">
        <f t="shared" ca="1" si="2389"/>
        <v>83871</v>
      </c>
      <c r="M856" s="18">
        <f t="shared" ca="1" si="2343"/>
        <v>151279</v>
      </c>
      <c r="N856" s="19">
        <f t="shared" ca="1" si="2344"/>
        <v>187.28969858156015</v>
      </c>
      <c r="O856" s="18">
        <f t="shared" si="2345"/>
        <v>251131</v>
      </c>
      <c r="P856" s="20">
        <f t="shared" ca="1" si="2346"/>
        <v>0.60239078409276436</v>
      </c>
      <c r="Q856" s="21">
        <v>1.5</v>
      </c>
      <c r="R856" s="20">
        <f t="shared" ca="1" si="2347"/>
        <v>0.63650692385200236</v>
      </c>
      <c r="S856" s="22">
        <f t="shared" ca="1" si="2348"/>
        <v>0.9547603857780036</v>
      </c>
      <c r="T856" s="21">
        <f ca="1">F856/19.985</f>
        <v>7928.300475356511</v>
      </c>
      <c r="U856" s="21">
        <f t="shared" ca="1" si="2349"/>
        <v>9.3715135642511953</v>
      </c>
      <c r="V856" s="18">
        <f t="shared" ca="1" si="2350"/>
        <v>178.81678486997635</v>
      </c>
      <c r="W856" s="76"/>
      <c r="X856" s="97" t="s">
        <v>44</v>
      </c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9"/>
    </row>
    <row r="857" spans="1:46" ht="15.75" customHeight="1" x14ac:dyDescent="0.2">
      <c r="A857" s="76"/>
      <c r="B857" s="16">
        <v>15</v>
      </c>
      <c r="C857" s="16" t="s">
        <v>40</v>
      </c>
      <c r="D857" s="18">
        <f t="shared" ref="D857:H857" si="2412">D20+D47+D74+D101+D128+D155+D182+D209+D236+D263+D290+D317+D344+D371+D398+D425+D452+D479+D506+D533+D560+D587+D614+D641+D668+D695+D722+D749+D776+D803+D830</f>
        <v>878</v>
      </c>
      <c r="E857" s="18">
        <f t="shared" ca="1" si="2412"/>
        <v>865</v>
      </c>
      <c r="F857" s="18">
        <f t="shared" ca="1" si="2412"/>
        <v>168509.88699999976</v>
      </c>
      <c r="G857" s="18">
        <f t="shared" ca="1" si="2412"/>
        <v>95371</v>
      </c>
      <c r="H857" s="18">
        <f t="shared" ca="1" si="2412"/>
        <v>1288</v>
      </c>
      <c r="I857" s="18">
        <f t="shared" ca="1" si="2340"/>
        <v>96659</v>
      </c>
      <c r="J857" s="18">
        <f t="shared" ref="J857:K857" ca="1" si="2413">J20+J47+J74+J101+J128+J155+J182+J209+J236+J263+J290+J317+J344+J371+J398+J425+J452+J479+J506+J533+J560+J587+J614+J641+J668+J695+J722+J749+J776+J803+J830</f>
        <v>111411</v>
      </c>
      <c r="K857" s="18">
        <f t="shared" ca="1" si="2413"/>
        <v>1443</v>
      </c>
      <c r="L857" s="18">
        <f t="shared" ca="1" si="2389"/>
        <v>112854</v>
      </c>
      <c r="M857" s="18">
        <f t="shared" ca="1" si="2343"/>
        <v>209513</v>
      </c>
      <c r="N857" s="19">
        <f t="shared" ca="1" si="2344"/>
        <v>194.80911791907485</v>
      </c>
      <c r="O857" s="18">
        <f t="shared" si="2345"/>
        <v>255409</v>
      </c>
      <c r="P857" s="20">
        <f t="shared" ca="1" si="2346"/>
        <v>0.82030390471753145</v>
      </c>
      <c r="Q857" s="21">
        <v>1.5</v>
      </c>
      <c r="R857" s="20">
        <f t="shared" ca="1" si="2347"/>
        <v>0.82888509285709466</v>
      </c>
      <c r="S857" s="22">
        <f t="shared" ca="1" si="2348"/>
        <v>1.2433276392856421</v>
      </c>
      <c r="T857" s="21">
        <f ca="1">F857/28.443</f>
        <v>5924.4765671694176</v>
      </c>
      <c r="U857" s="21">
        <f t="shared" ca="1" si="2349"/>
        <v>6.8491058579993265</v>
      </c>
      <c r="V857" s="18">
        <f t="shared" ca="1" si="2350"/>
        <v>242.21156069364162</v>
      </c>
      <c r="W857" s="76"/>
      <c r="X857" s="1" t="s">
        <v>2</v>
      </c>
      <c r="Y857" s="1" t="s">
        <v>3</v>
      </c>
      <c r="Z857" s="1" t="s">
        <v>4</v>
      </c>
      <c r="AA857" s="1" t="s">
        <v>5</v>
      </c>
      <c r="AB857" s="2" t="s">
        <v>6</v>
      </c>
      <c r="AC857" s="1" t="s">
        <v>7</v>
      </c>
      <c r="AD857" s="1" t="s">
        <v>8</v>
      </c>
      <c r="AE857" s="1" t="s">
        <v>9</v>
      </c>
      <c r="AF857" s="1" t="s">
        <v>10</v>
      </c>
      <c r="AG857" s="1" t="s">
        <v>11</v>
      </c>
      <c r="AH857" s="1" t="s">
        <v>12</v>
      </c>
      <c r="AI857" s="1" t="s">
        <v>13</v>
      </c>
      <c r="AJ857" s="2" t="s">
        <v>14</v>
      </c>
      <c r="AK857" s="1" t="s">
        <v>15</v>
      </c>
      <c r="AL857" s="1" t="s">
        <v>16</v>
      </c>
      <c r="AM857" s="3" t="s">
        <v>17</v>
      </c>
      <c r="AN857" s="4" t="s">
        <v>18</v>
      </c>
      <c r="AO857" s="5" t="s">
        <v>19</v>
      </c>
      <c r="AP857" s="6" t="s">
        <v>20</v>
      </c>
      <c r="AQ857" s="6" t="s">
        <v>21</v>
      </c>
      <c r="AR857" s="7" t="s">
        <v>22</v>
      </c>
      <c r="AS857" s="7" t="s">
        <v>47</v>
      </c>
      <c r="AT857" s="7" t="s">
        <v>48</v>
      </c>
    </row>
    <row r="858" spans="1:46" ht="15.75" customHeight="1" x14ac:dyDescent="0.2">
      <c r="A858" s="76"/>
      <c r="B858" s="16">
        <v>16</v>
      </c>
      <c r="C858" s="16" t="s">
        <v>42</v>
      </c>
      <c r="D858" s="18">
        <f t="shared" ref="D858:H858" si="2414">D21+D48+D75+D102+D129+D156+D183+D210+D237+D264+D291+D318+D345+D372+D399+D426+D453+D480+D507+D534+D561+D588+D615+D642+D669+D696+D723+D750+D777+D804+D831</f>
        <v>959</v>
      </c>
      <c r="E858" s="18">
        <f t="shared" ca="1" si="2414"/>
        <v>944</v>
      </c>
      <c r="F858" s="18">
        <f t="shared" ca="1" si="2414"/>
        <v>184634.31499999968</v>
      </c>
      <c r="G858" s="18">
        <f t="shared" ca="1" si="2414"/>
        <v>90731</v>
      </c>
      <c r="H858" s="18">
        <f t="shared" ca="1" si="2414"/>
        <v>862</v>
      </c>
      <c r="I858" s="18">
        <f t="shared" ca="1" si="2340"/>
        <v>91593</v>
      </c>
      <c r="J858" s="18">
        <f t="shared" ref="J858:K858" ca="1" si="2415">J21+J48+J75+J102+J129+J156+J183+J210+J237+J264+J291+J318+J345+J372+J399+J426+J453+J480+J507+J534+J561+J588+J615+J642+J669+J696+J723+J750+J777+J804+J831</f>
        <v>121278</v>
      </c>
      <c r="K858" s="18">
        <f t="shared" ca="1" si="2415"/>
        <v>2876</v>
      </c>
      <c r="L858" s="18">
        <f t="shared" ca="1" si="2389"/>
        <v>124154</v>
      </c>
      <c r="M858" s="18">
        <f t="shared" ca="1" si="2343"/>
        <v>215747</v>
      </c>
      <c r="N858" s="19">
        <f t="shared" ca="1" si="2344"/>
        <v>195.58719809322</v>
      </c>
      <c r="O858" s="18">
        <f t="shared" si="2345"/>
        <v>306187</v>
      </c>
      <c r="P858" s="20">
        <f t="shared" ca="1" si="2346"/>
        <v>0.70462495141857751</v>
      </c>
      <c r="Q858" s="21">
        <v>1.5</v>
      </c>
      <c r="R858" s="20">
        <f t="shared" ca="1" si="2347"/>
        <v>0.77900650988595255</v>
      </c>
      <c r="S858" s="22">
        <f t="shared" ca="1" si="2348"/>
        <v>1.1685097648289289</v>
      </c>
      <c r="T858" s="21">
        <f ca="1">F858/26.155</f>
        <v>7059.2359013572805</v>
      </c>
      <c r="U858" s="21">
        <f t="shared" ca="1" si="2349"/>
        <v>7.4780041327937292</v>
      </c>
      <c r="V858" s="18">
        <f t="shared" ca="1" si="2350"/>
        <v>228.54555084745763</v>
      </c>
      <c r="W858" s="76"/>
      <c r="X858" s="8">
        <v>1</v>
      </c>
      <c r="Y858" s="8" t="s">
        <v>26</v>
      </c>
      <c r="Z858" s="9">
        <f t="shared" ref="Z858:AI858" si="2416">SUM(D843)</f>
        <v>584</v>
      </c>
      <c r="AA858" s="9">
        <f t="shared" ca="1" si="2416"/>
        <v>570</v>
      </c>
      <c r="AB858" s="9">
        <f t="shared" ca="1" si="2416"/>
        <v>107603.10599999997</v>
      </c>
      <c r="AC858" s="9">
        <f t="shared" ca="1" si="2416"/>
        <v>58781</v>
      </c>
      <c r="AD858" s="9">
        <f t="shared" ca="1" si="2416"/>
        <v>297</v>
      </c>
      <c r="AE858" s="9">
        <f t="shared" ca="1" si="2416"/>
        <v>59078</v>
      </c>
      <c r="AF858" s="9">
        <f t="shared" ca="1" si="2416"/>
        <v>77569</v>
      </c>
      <c r="AG858" s="9">
        <f t="shared" ca="1" si="2416"/>
        <v>1025</v>
      </c>
      <c r="AH858" s="9">
        <f t="shared" ca="1" si="2416"/>
        <v>78594</v>
      </c>
      <c r="AI858" s="9">
        <f t="shared" ca="1" si="2416"/>
        <v>137672</v>
      </c>
      <c r="AJ858" s="11">
        <f t="shared" ref="AJ858:AJ859" ca="1" si="2417">AB858/AA858</f>
        <v>188.77737894736836</v>
      </c>
      <c r="AK858" s="9">
        <f>SUM(O843)</f>
        <v>159991</v>
      </c>
      <c r="AL858" s="12">
        <f t="shared" ref="AL858:AL864" ca="1" si="2418">AI858/AK858</f>
        <v>0.86049840303517078</v>
      </c>
      <c r="AM858" s="13">
        <f>SUM(Q843)</f>
        <v>1.5</v>
      </c>
      <c r="AN858" s="12">
        <f t="shared" ref="AN858:AN864" ca="1" si="2419">AO858/AM858</f>
        <v>0.85296174752923359</v>
      </c>
      <c r="AO858" s="14">
        <f t="shared" ref="AO858:AO864" ca="1" si="2420">AI858/AB858</f>
        <v>1.2794426212938503</v>
      </c>
      <c r="AP858" s="13">
        <f t="shared" ref="AP858:AQ858" ca="1" si="2421">SUM(T843)</f>
        <v>7464.6622268470328</v>
      </c>
      <c r="AQ858" s="13">
        <f t="shared" ca="1" si="2421"/>
        <v>13.095898643591285</v>
      </c>
      <c r="AR858" s="9">
        <f t="shared" ref="AR858:AR864" ca="1" si="2422">AI858/AA858</f>
        <v>241.5298245614035</v>
      </c>
      <c r="AS858" s="59">
        <f ca="1">MAX(M6,M33,M60,M87,M114,M141,M168,M195,M222,M249,M276,M303,M330,M357,M384,M411,M438,M465,M492,M519,M546,M573,M600,M627,M654,M681,M708,M735,M762,M789,M816)</f>
        <v>5196</v>
      </c>
      <c r="AT858" s="60">
        <v>46234</v>
      </c>
    </row>
    <row r="859" spans="1:46" ht="15.75" customHeight="1" x14ac:dyDescent="0.2">
      <c r="A859" s="76"/>
      <c r="B859" s="16">
        <v>17</v>
      </c>
      <c r="C859" s="16" t="s">
        <v>29</v>
      </c>
      <c r="D859" s="18">
        <f t="shared" ref="D859:H859" si="2423">D22+D49+D76+D103+D130+D157+D184+D211+D238+D265+D292+D319+D346+D373+D400+D427+D454+D481+D508+D535+D562+D589+D616+D643+D670+D697+D724+D751+D778+D805+D832</f>
        <v>878</v>
      </c>
      <c r="E859" s="18">
        <f t="shared" ca="1" si="2423"/>
        <v>844</v>
      </c>
      <c r="F859" s="18">
        <f t="shared" ca="1" si="2423"/>
        <v>166823.24399999992</v>
      </c>
      <c r="G859" s="18">
        <f t="shared" ca="1" si="2423"/>
        <v>74874</v>
      </c>
      <c r="H859" s="18">
        <f t="shared" ca="1" si="2423"/>
        <v>66</v>
      </c>
      <c r="I859" s="18">
        <f t="shared" ca="1" si="2340"/>
        <v>74940</v>
      </c>
      <c r="J859" s="18">
        <f t="shared" ref="J859:K859" ca="1" si="2424">J22+J49+J76+J103+J130+J157+J184+J211+J238+J265+J292+J319+J346+J373+J400+J427+J454+J481+J508+J535+J562+J589+J616+J643+J670+J697+J724+J751+J778+J805+J832</f>
        <v>113830</v>
      </c>
      <c r="K859" s="18">
        <f t="shared" ca="1" si="2424"/>
        <v>166</v>
      </c>
      <c r="L859" s="18">
        <f t="shared" ca="1" si="2389"/>
        <v>113996</v>
      </c>
      <c r="M859" s="18">
        <f t="shared" ca="1" si="2343"/>
        <v>188936</v>
      </c>
      <c r="N859" s="19">
        <f t="shared" ca="1" si="2344"/>
        <v>197.65787203791459</v>
      </c>
      <c r="O859" s="18">
        <f t="shared" si="2345"/>
        <v>285231</v>
      </c>
      <c r="P859" s="20">
        <f t="shared" ca="1" si="2346"/>
        <v>0.66239644358432292</v>
      </c>
      <c r="Q859" s="21">
        <v>1.5</v>
      </c>
      <c r="R859" s="20">
        <f t="shared" ca="1" si="2347"/>
        <v>0.75503467210680419</v>
      </c>
      <c r="S859" s="22">
        <f t="shared" ca="1" si="2348"/>
        <v>1.1325520081602063</v>
      </c>
      <c r="T859" s="21">
        <f ca="1">F859/26.038</f>
        <v>6406.9146631845733</v>
      </c>
      <c r="U859" s="21">
        <f t="shared" ca="1" si="2349"/>
        <v>7.5911311175172669</v>
      </c>
      <c r="V859" s="18">
        <f t="shared" ca="1" si="2350"/>
        <v>223.85781990521326</v>
      </c>
      <c r="W859" s="76"/>
      <c r="X859" s="8">
        <v>2</v>
      </c>
      <c r="Y859" s="8" t="s">
        <v>32</v>
      </c>
      <c r="Z859" s="9">
        <f t="shared" ref="Z859:AI859" si="2425">SUM(D846)</f>
        <v>1226</v>
      </c>
      <c r="AA859" s="9">
        <f t="shared" ca="1" si="2425"/>
        <v>1205</v>
      </c>
      <c r="AB859" s="9">
        <f t="shared" ca="1" si="2425"/>
        <v>236729.75799999968</v>
      </c>
      <c r="AC859" s="9">
        <f t="shared" ca="1" si="2425"/>
        <v>131487</v>
      </c>
      <c r="AD859" s="9">
        <f t="shared" ca="1" si="2425"/>
        <v>1928</v>
      </c>
      <c r="AE859" s="9">
        <f t="shared" ca="1" si="2425"/>
        <v>133415</v>
      </c>
      <c r="AF859" s="9">
        <f t="shared" ca="1" si="2425"/>
        <v>153804</v>
      </c>
      <c r="AG859" s="9">
        <f t="shared" ca="1" si="2425"/>
        <v>1439</v>
      </c>
      <c r="AH859" s="9">
        <f t="shared" ca="1" si="2425"/>
        <v>155243</v>
      </c>
      <c r="AI859" s="9">
        <f t="shared" ca="1" si="2425"/>
        <v>288658</v>
      </c>
      <c r="AJ859" s="11">
        <f t="shared" ca="1" si="2417"/>
        <v>196.45623070539392</v>
      </c>
      <c r="AK859" s="9">
        <f>SUM(O846)</f>
        <v>428327</v>
      </c>
      <c r="AL859" s="12">
        <f t="shared" ca="1" si="2418"/>
        <v>0.67391969219778347</v>
      </c>
      <c r="AM859" s="13">
        <f>SUM(Q846)</f>
        <v>1.5</v>
      </c>
      <c r="AN859" s="12">
        <f t="shared" ca="1" si="2419"/>
        <v>0.81290442018137377</v>
      </c>
      <c r="AO859" s="14">
        <f t="shared" ca="1" si="2420"/>
        <v>1.2193566302720606</v>
      </c>
      <c r="AP859" s="13">
        <f t="shared" ref="AP859:AQ859" ca="1" si="2426">SUM(T846)</f>
        <v>9435.5995854756948</v>
      </c>
      <c r="AQ859" s="13">
        <f t="shared" ca="1" si="2426"/>
        <v>7.8303730999798296</v>
      </c>
      <c r="AR859" s="9">
        <f t="shared" ca="1" si="2422"/>
        <v>239.55020746887968</v>
      </c>
      <c r="AS859" s="59">
        <f ca="1">MAX(M9,M36,M63,M90,M117,M144,M171,M198,M225,M252,M279,M306,M333,M360,M387,M414,M441,M468,M495,M522,M549,M576,M603,M630,M657,M684,M711,M738,M765,M792,M819)</f>
        <v>11088</v>
      </c>
      <c r="AT859" s="60">
        <v>46230</v>
      </c>
    </row>
    <row r="860" spans="1:46" ht="15.75" customHeight="1" x14ac:dyDescent="0.2">
      <c r="A860" s="76"/>
      <c r="B860" s="16">
        <v>18</v>
      </c>
      <c r="C860" s="16" t="s">
        <v>31</v>
      </c>
      <c r="D860" s="18">
        <f t="shared" ref="D860:H860" si="2427">D23+D50+D77+D104+D131+D158+D185+D212+D239+D266+D293+D320+D347+D374+D401+D428+D455+D482+D509+D536+D563+D590+D617+D644+D671+D698+D725+D752+D779+D806+D833</f>
        <v>437</v>
      </c>
      <c r="E860" s="18">
        <f t="shared" ca="1" si="2427"/>
        <v>410</v>
      </c>
      <c r="F860" s="18">
        <f t="shared" ca="1" si="2427"/>
        <v>80824.888999999952</v>
      </c>
      <c r="G860" s="18">
        <f t="shared" ca="1" si="2427"/>
        <v>24464</v>
      </c>
      <c r="H860" s="18">
        <f t="shared" ca="1" si="2427"/>
        <v>520</v>
      </c>
      <c r="I860" s="18">
        <f t="shared" ca="1" si="2340"/>
        <v>24984</v>
      </c>
      <c r="J860" s="18">
        <f t="shared" ref="J860:K860" ca="1" si="2428">J23+J50+J77+J104+J131+J158+J185+J212+J239+J266+J293+J320+J347+J374+J401+J428+J455+J482+J509+J536+J563+J590+J617+J644+J671+J698+J725+J752+J779+J806+J833</f>
        <v>31164</v>
      </c>
      <c r="K860" s="18">
        <f t="shared" ca="1" si="2428"/>
        <v>147</v>
      </c>
      <c r="L860" s="18">
        <f t="shared" ca="1" si="2389"/>
        <v>31311</v>
      </c>
      <c r="M860" s="18">
        <f t="shared" ca="1" si="2343"/>
        <v>56295</v>
      </c>
      <c r="N860" s="19">
        <f t="shared" ca="1" si="2344"/>
        <v>197.13387560975599</v>
      </c>
      <c r="O860" s="18">
        <f t="shared" si="2345"/>
        <v>84227</v>
      </c>
      <c r="P860" s="20">
        <f t="shared" ca="1" si="2346"/>
        <v>0.66837237465420829</v>
      </c>
      <c r="Q860" s="21">
        <v>1.5</v>
      </c>
      <c r="R860" s="20">
        <f t="shared" ca="1" si="2347"/>
        <v>0.46433716723075263</v>
      </c>
      <c r="S860" s="22">
        <f t="shared" ca="1" si="2348"/>
        <v>0.69650575084612898</v>
      </c>
      <c r="T860" s="21">
        <f ca="1">F860/43.465</f>
        <v>1859.5396065800057</v>
      </c>
      <c r="U860" s="21">
        <f t="shared" ca="1" si="2349"/>
        <v>4.5354624550731844</v>
      </c>
      <c r="V860" s="18">
        <f t="shared" ca="1" si="2350"/>
        <v>137.30487804878049</v>
      </c>
      <c r="W860" s="76"/>
      <c r="X860" s="8">
        <v>3</v>
      </c>
      <c r="Y860" s="8" t="s">
        <v>36</v>
      </c>
      <c r="Z860" s="9">
        <f t="shared" ref="Z860:AK860" si="2429">SUM(D851)</f>
        <v>798</v>
      </c>
      <c r="AA860" s="9">
        <f t="shared" ca="1" si="2429"/>
        <v>788</v>
      </c>
      <c r="AB860" s="9">
        <f t="shared" ca="1" si="2429"/>
        <v>154990.22699999981</v>
      </c>
      <c r="AC860" s="9">
        <f t="shared" ca="1" si="2429"/>
        <v>42411</v>
      </c>
      <c r="AD860" s="9">
        <f t="shared" ca="1" si="2429"/>
        <v>0</v>
      </c>
      <c r="AE860" s="9">
        <f t="shared" ca="1" si="2429"/>
        <v>42411</v>
      </c>
      <c r="AF860" s="9">
        <f t="shared" ca="1" si="2429"/>
        <v>60485</v>
      </c>
      <c r="AG860" s="9">
        <f t="shared" ca="1" si="2429"/>
        <v>18</v>
      </c>
      <c r="AH860" s="9">
        <f t="shared" ca="1" si="2429"/>
        <v>60503</v>
      </c>
      <c r="AI860" s="9">
        <f t="shared" ca="1" si="2429"/>
        <v>102914</v>
      </c>
      <c r="AJ860" s="11">
        <f t="shared" ca="1" si="2429"/>
        <v>196.688105329949</v>
      </c>
      <c r="AK860" s="9">
        <f t="shared" si="2429"/>
        <v>148676</v>
      </c>
      <c r="AL860" s="12">
        <f t="shared" ca="1" si="2418"/>
        <v>0.69220318006941273</v>
      </c>
      <c r="AM860" s="9">
        <f t="shared" ref="AM860:AM863" si="2430">SUM(Q851)</f>
        <v>1.5</v>
      </c>
      <c r="AN860" s="12">
        <f t="shared" ca="1" si="2419"/>
        <v>0.44266877119506004</v>
      </c>
      <c r="AO860" s="14">
        <f t="shared" ca="1" si="2420"/>
        <v>0.66400315679259003</v>
      </c>
      <c r="AP860" s="9">
        <f t="shared" ref="AP860:AQ860" ca="1" si="2431">SUM(T851)</f>
        <v>4142.5730207943498</v>
      </c>
      <c r="AQ860" s="9">
        <f t="shared" ca="1" si="2431"/>
        <v>5.2570723614141492</v>
      </c>
      <c r="AR860" s="9">
        <f t="shared" ca="1" si="2422"/>
        <v>130.60152284263958</v>
      </c>
      <c r="AS860" s="59">
        <f t="shared" ref="AS860:AS863" ca="1" si="2432">MAX(M14,M41,M68,M95,M122,M149,M176,M203,M230,M257,M284,M311,M338,M365,M392,M419,M446,M473,M500,M527,M554,M581,M608,M635,M662,M689,M716,M743,M770,M797,M824)</f>
        <v>4100</v>
      </c>
      <c r="AT860" s="60">
        <v>46224</v>
      </c>
    </row>
    <row r="861" spans="1:46" ht="15.75" customHeight="1" x14ac:dyDescent="0.2">
      <c r="A861" s="76"/>
      <c r="B861" s="98" t="s">
        <v>33</v>
      </c>
      <c r="C861" s="98">
        <v>18</v>
      </c>
      <c r="D861" s="74">
        <f t="shared" ref="D861:M861" si="2433">SUM(D843:D860)</f>
        <v>17066</v>
      </c>
      <c r="E861" s="74">
        <f t="shared" ca="1" si="2433"/>
        <v>16645</v>
      </c>
      <c r="F861" s="99">
        <f t="shared" ca="1" si="2433"/>
        <v>3241153.531999995</v>
      </c>
      <c r="G861" s="74">
        <f t="shared" ca="1" si="2433"/>
        <v>1158109</v>
      </c>
      <c r="H861" s="74">
        <f t="shared" ca="1" si="2433"/>
        <v>26427</v>
      </c>
      <c r="I861" s="74">
        <f t="shared" ca="1" si="2433"/>
        <v>1184536</v>
      </c>
      <c r="J861" s="74">
        <f t="shared" ca="1" si="2433"/>
        <v>1554976</v>
      </c>
      <c r="K861" s="74">
        <f t="shared" ca="1" si="2433"/>
        <v>38164</v>
      </c>
      <c r="L861" s="74">
        <f t="shared" ca="1" si="2433"/>
        <v>1593140</v>
      </c>
      <c r="M861" s="74">
        <f t="shared" ca="1" si="2433"/>
        <v>2777676</v>
      </c>
      <c r="N861" s="99">
        <f t="shared" ca="1" si="2344"/>
        <v>194.72235097626884</v>
      </c>
      <c r="O861" s="74">
        <f>SUM(O843:O860)</f>
        <v>3918369</v>
      </c>
      <c r="P861" s="69">
        <f t="shared" ca="1" si="2346"/>
        <v>0.70888576343881859</v>
      </c>
      <c r="Q861" s="72">
        <v>1.5</v>
      </c>
      <c r="R861" s="69">
        <f t="shared" ca="1" si="2347"/>
        <v>0.57133486017162938</v>
      </c>
      <c r="S861" s="73">
        <f t="shared" ca="1" si="2348"/>
        <v>0.85700229025744412</v>
      </c>
      <c r="T861" s="72">
        <f ca="1">SUM(T843:T860)</f>
        <v>119473.72019653786</v>
      </c>
      <c r="U861" s="72">
        <f t="shared" ca="1" si="2349"/>
        <v>7.1777542923723558</v>
      </c>
      <c r="V861" s="74">
        <f t="shared" ca="1" si="2350"/>
        <v>166.87750075097628</v>
      </c>
      <c r="W861" s="76"/>
      <c r="X861" s="8">
        <v>4</v>
      </c>
      <c r="Y861" s="8" t="s">
        <v>37</v>
      </c>
      <c r="Z861" s="9">
        <f t="shared" ref="Z861:AK861" si="2434">SUM(D852)</f>
        <v>878</v>
      </c>
      <c r="AA861" s="9">
        <f t="shared" ca="1" si="2434"/>
        <v>849</v>
      </c>
      <c r="AB861" s="9">
        <f t="shared" ca="1" si="2434"/>
        <v>165524.48399999988</v>
      </c>
      <c r="AC861" s="9">
        <f t="shared" ca="1" si="2434"/>
        <v>56619</v>
      </c>
      <c r="AD861" s="9">
        <f t="shared" ca="1" si="2434"/>
        <v>433</v>
      </c>
      <c r="AE861" s="9">
        <f t="shared" ca="1" si="2434"/>
        <v>57052</v>
      </c>
      <c r="AF861" s="9">
        <f t="shared" ca="1" si="2434"/>
        <v>82173</v>
      </c>
      <c r="AG861" s="9">
        <f t="shared" ca="1" si="2434"/>
        <v>654</v>
      </c>
      <c r="AH861" s="9">
        <f t="shared" ca="1" si="2434"/>
        <v>82827</v>
      </c>
      <c r="AI861" s="9">
        <f t="shared" ca="1" si="2434"/>
        <v>139879</v>
      </c>
      <c r="AJ861" s="11">
        <f t="shared" ca="1" si="2434"/>
        <v>194.96405653710232</v>
      </c>
      <c r="AK861" s="9">
        <f t="shared" si="2434"/>
        <v>182497</v>
      </c>
      <c r="AL861" s="12">
        <f t="shared" ca="1" si="2418"/>
        <v>0.76647287352668814</v>
      </c>
      <c r="AM861" s="9">
        <f t="shared" si="2430"/>
        <v>1.5</v>
      </c>
      <c r="AN861" s="12">
        <f t="shared" ca="1" si="2419"/>
        <v>0.56337687581413476</v>
      </c>
      <c r="AO861" s="14">
        <f t="shared" ca="1" si="2420"/>
        <v>0.84506531372120208</v>
      </c>
      <c r="AP861" s="9">
        <f t="shared" ref="AP861:AQ861" ca="1" si="2435">SUM(T852)</f>
        <v>6676.5280735721144</v>
      </c>
      <c r="AQ861" s="9">
        <f t="shared" ca="1" si="2435"/>
        <v>7.8639906638069661</v>
      </c>
      <c r="AR861" s="9">
        <f t="shared" ca="1" si="2422"/>
        <v>164.75736160188458</v>
      </c>
      <c r="AS861" s="59">
        <f t="shared" ca="1" si="2432"/>
        <v>5448</v>
      </c>
      <c r="AT861" s="60">
        <v>46223</v>
      </c>
    </row>
    <row r="862" spans="1:46" ht="15.75" customHeight="1" x14ac:dyDescent="0.2">
      <c r="A862" s="76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6"/>
      <c r="X862" s="8">
        <v>5</v>
      </c>
      <c r="Y862" s="8" t="s">
        <v>39</v>
      </c>
      <c r="Z862" s="9">
        <f t="shared" ref="Z862:AK862" si="2436">SUM(D853)</f>
        <v>816</v>
      </c>
      <c r="AA862" s="9">
        <f t="shared" ca="1" si="2436"/>
        <v>803</v>
      </c>
      <c r="AB862" s="9">
        <f t="shared" ca="1" si="2436"/>
        <v>152158.12999999989</v>
      </c>
      <c r="AC862" s="9">
        <f t="shared" ca="1" si="2436"/>
        <v>33927</v>
      </c>
      <c r="AD862" s="9">
        <f t="shared" ca="1" si="2436"/>
        <v>592</v>
      </c>
      <c r="AE862" s="9">
        <f t="shared" ca="1" si="2436"/>
        <v>34519</v>
      </c>
      <c r="AF862" s="9">
        <f t="shared" ca="1" si="2436"/>
        <v>52177</v>
      </c>
      <c r="AG862" s="9">
        <f t="shared" ca="1" si="2436"/>
        <v>3072</v>
      </c>
      <c r="AH862" s="9">
        <f t="shared" ca="1" si="2436"/>
        <v>55249</v>
      </c>
      <c r="AI862" s="9">
        <f t="shared" ca="1" si="2436"/>
        <v>89768</v>
      </c>
      <c r="AJ862" s="11">
        <f t="shared" ca="1" si="2436"/>
        <v>189.48708592777072</v>
      </c>
      <c r="AK862" s="9">
        <f t="shared" si="2436"/>
        <v>110639</v>
      </c>
      <c r="AL862" s="12">
        <f t="shared" ca="1" si="2418"/>
        <v>0.81135946637261724</v>
      </c>
      <c r="AM862" s="9">
        <f t="shared" si="2430"/>
        <v>1.5</v>
      </c>
      <c r="AN862" s="12">
        <f t="shared" ca="1" si="2419"/>
        <v>0.39331012633589396</v>
      </c>
      <c r="AO862" s="14">
        <f t="shared" ca="1" si="2420"/>
        <v>0.58996518950384091</v>
      </c>
      <c r="AP862" s="9">
        <f t="shared" ref="AP862:AQ862" ca="1" si="2437">SUM(T853)</f>
        <v>7089.3225550948091</v>
      </c>
      <c r="AQ862" s="9">
        <f t="shared" ca="1" si="2437"/>
        <v>8.8285461458216794</v>
      </c>
      <c r="AR862" s="9">
        <f t="shared" ca="1" si="2422"/>
        <v>111.79078455790784</v>
      </c>
      <c r="AS862" s="59">
        <f t="shared" ca="1" si="2432"/>
        <v>3414</v>
      </c>
      <c r="AT862" s="60">
        <v>46206</v>
      </c>
    </row>
    <row r="863" spans="1:46" ht="15.75" customHeight="1" x14ac:dyDescent="0.2">
      <c r="A863" s="112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6"/>
      <c r="X863" s="8">
        <v>6</v>
      </c>
      <c r="Y863" s="8" t="s">
        <v>41</v>
      </c>
      <c r="Z863" s="9">
        <f t="shared" ref="Z863:AK863" si="2438">SUM(D854)</f>
        <v>708</v>
      </c>
      <c r="AA863" s="9">
        <f t="shared" ca="1" si="2438"/>
        <v>699</v>
      </c>
      <c r="AB863" s="9">
        <f t="shared" ca="1" si="2438"/>
        <v>137990.76399999997</v>
      </c>
      <c r="AC863" s="9">
        <f t="shared" ca="1" si="2438"/>
        <v>34388</v>
      </c>
      <c r="AD863" s="9">
        <f t="shared" ca="1" si="2438"/>
        <v>734</v>
      </c>
      <c r="AE863" s="9">
        <f t="shared" ca="1" si="2438"/>
        <v>35122</v>
      </c>
      <c r="AF863" s="9">
        <f t="shared" ca="1" si="2438"/>
        <v>46600</v>
      </c>
      <c r="AG863" s="9">
        <f t="shared" ca="1" si="2438"/>
        <v>3531</v>
      </c>
      <c r="AH863" s="9">
        <f t="shared" ca="1" si="2438"/>
        <v>50131</v>
      </c>
      <c r="AI863" s="9">
        <f t="shared" ca="1" si="2438"/>
        <v>85253</v>
      </c>
      <c r="AJ863" s="11">
        <f t="shared" ca="1" si="2438"/>
        <v>197.4116795422031</v>
      </c>
      <c r="AK863" s="9">
        <f t="shared" si="2438"/>
        <v>117831</v>
      </c>
      <c r="AL863" s="12">
        <f t="shared" ca="1" si="2418"/>
        <v>0.72351927760945767</v>
      </c>
      <c r="AM863" s="9">
        <f t="shared" si="2430"/>
        <v>1.5</v>
      </c>
      <c r="AN863" s="12">
        <f t="shared" ca="1" si="2419"/>
        <v>0.41187780751277919</v>
      </c>
      <c r="AO863" s="14">
        <f t="shared" ca="1" si="2420"/>
        <v>0.61781671126916882</v>
      </c>
      <c r="AP863" s="9">
        <f t="shared" ref="AP863:AQ863" ca="1" si="2439">SUM(T854)</f>
        <v>4657.4444444444434</v>
      </c>
      <c r="AQ863" s="9">
        <f t="shared" ca="1" si="2439"/>
        <v>6.6630106501351118</v>
      </c>
      <c r="AR863" s="9">
        <f t="shared" ca="1" si="2422"/>
        <v>121.96423462088698</v>
      </c>
      <c r="AS863" s="59">
        <f t="shared" ca="1" si="2432"/>
        <v>3625</v>
      </c>
      <c r="AT863" s="60">
        <v>46217</v>
      </c>
    </row>
    <row r="864" spans="1:46" ht="15.75" customHeight="1" x14ac:dyDescent="0.25">
      <c r="A864" s="110" t="s">
        <v>45</v>
      </c>
      <c r="B864" s="76"/>
      <c r="C864" s="76"/>
      <c r="D864" s="75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24" t="s">
        <v>33</v>
      </c>
      <c r="Y864" s="24">
        <v>6</v>
      </c>
      <c r="Z864" s="25">
        <f t="shared" ref="Z864:AI864" si="2440">SUM(Z858:Z863)</f>
        <v>5010</v>
      </c>
      <c r="AA864" s="25">
        <f t="shared" ca="1" si="2440"/>
        <v>4914</v>
      </c>
      <c r="AB864" s="25">
        <f t="shared" ca="1" si="2440"/>
        <v>954996.46899999911</v>
      </c>
      <c r="AC864" s="25">
        <f t="shared" ca="1" si="2440"/>
        <v>357613</v>
      </c>
      <c r="AD864" s="25">
        <f t="shared" ca="1" si="2440"/>
        <v>3984</v>
      </c>
      <c r="AE864" s="25">
        <f t="shared" ca="1" si="2440"/>
        <v>361597</v>
      </c>
      <c r="AF864" s="25">
        <f t="shared" ca="1" si="2440"/>
        <v>472808</v>
      </c>
      <c r="AG864" s="25">
        <f t="shared" ca="1" si="2440"/>
        <v>9739</v>
      </c>
      <c r="AH864" s="25">
        <f t="shared" ca="1" si="2440"/>
        <v>482547</v>
      </c>
      <c r="AI864" s="25">
        <f t="shared" ca="1" si="2440"/>
        <v>844144</v>
      </c>
      <c r="AJ864" s="27">
        <f ca="1">AB864/AA864</f>
        <v>194.34197578347559</v>
      </c>
      <c r="AK864" s="25">
        <f>SUM(AK858:AK863)</f>
        <v>1147961</v>
      </c>
      <c r="AL864" s="28">
        <f t="shared" ca="1" si="2418"/>
        <v>0.73534205430323851</v>
      </c>
      <c r="AM864" s="29">
        <v>1.5</v>
      </c>
      <c r="AN864" s="28">
        <f t="shared" ca="1" si="2419"/>
        <v>0.58928245803458268</v>
      </c>
      <c r="AO864" s="30">
        <f t="shared" ca="1" si="2420"/>
        <v>0.88392368705187407</v>
      </c>
      <c r="AP864" s="29">
        <f ca="1">SUM(AP858:AP863)</f>
        <v>39466.129906228445</v>
      </c>
      <c r="AQ864" s="29">
        <f ca="1">AP864/AA864</f>
        <v>8.0313654672829564</v>
      </c>
      <c r="AR864" s="25">
        <f t="shared" ca="1" si="2422"/>
        <v>171.78347578347578</v>
      </c>
      <c r="AS864" s="25">
        <f ca="1">MAX(M24,M51,M78,M105,M132,M159,M186,M213,M240,M267,M294,M321,M348,M375,M402,M429,M456,M483,M510,M537,M564,M591,M618,M645,M672,M699,M726,M753,M780,M807,M834)</f>
        <v>103491</v>
      </c>
      <c r="AT864" s="67">
        <v>46230</v>
      </c>
    </row>
    <row r="865" spans="1:46" ht="15.75" customHeight="1" x14ac:dyDescent="0.2">
      <c r="A865" s="96"/>
      <c r="B865" s="76"/>
      <c r="C865" s="76"/>
      <c r="D865" s="108" t="s">
        <v>49</v>
      </c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7"/>
      <c r="Q865" s="9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</row>
    <row r="866" spans="1:46" ht="15.75" customHeight="1" x14ac:dyDescent="0.2">
      <c r="A866" s="76"/>
      <c r="B866" s="76"/>
      <c r="C866" s="76"/>
      <c r="D866" s="88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89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</row>
    <row r="867" spans="1:46" ht="15.75" customHeight="1" x14ac:dyDescent="0.2">
      <c r="A867" s="76"/>
      <c r="B867" s="76"/>
      <c r="C867" s="76"/>
      <c r="D867" s="90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2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</row>
    <row r="868" spans="1:46" ht="15.75" customHeight="1" x14ac:dyDescent="0.2">
      <c r="A868" s="76"/>
      <c r="B868" s="76"/>
      <c r="C868" s="76"/>
      <c r="D868" s="103" t="s">
        <v>3</v>
      </c>
      <c r="E868" s="86"/>
      <c r="F868" s="86"/>
      <c r="G868" s="86"/>
      <c r="H868" s="86"/>
      <c r="I868" s="86"/>
      <c r="J868" s="87"/>
      <c r="K868" s="104" t="s">
        <v>50</v>
      </c>
      <c r="L868" s="86"/>
      <c r="M868" s="86"/>
      <c r="N868" s="86"/>
      <c r="O868" s="86"/>
      <c r="P868" s="87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</row>
    <row r="869" spans="1:46" ht="15.75" customHeight="1" x14ac:dyDescent="0.2">
      <c r="A869" s="76"/>
      <c r="B869" s="76"/>
      <c r="C869" s="76"/>
      <c r="D869" s="90"/>
      <c r="E869" s="91"/>
      <c r="F869" s="91"/>
      <c r="G869" s="91"/>
      <c r="H869" s="91"/>
      <c r="I869" s="91"/>
      <c r="J869" s="92"/>
      <c r="K869" s="90"/>
      <c r="L869" s="91"/>
      <c r="M869" s="91"/>
      <c r="N869" s="91"/>
      <c r="O869" s="91"/>
      <c r="P869" s="92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</row>
    <row r="870" spans="1:46" ht="15.75" customHeight="1" x14ac:dyDescent="0.2">
      <c r="A870" s="76"/>
      <c r="B870" s="76"/>
      <c r="C870" s="76"/>
      <c r="D870" s="82" t="s">
        <v>51</v>
      </c>
      <c r="E870" s="83"/>
      <c r="F870" s="83"/>
      <c r="G870" s="83"/>
      <c r="H870" s="83"/>
      <c r="I870" s="83"/>
      <c r="J870" s="84"/>
      <c r="K870" s="93">
        <v>14.414999999999999</v>
      </c>
      <c r="L870" s="83"/>
      <c r="M870" s="83"/>
      <c r="N870" s="83"/>
      <c r="O870" s="83"/>
      <c r="P870" s="84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</row>
    <row r="871" spans="1:46" ht="15.75" customHeight="1" x14ac:dyDescent="0.2">
      <c r="A871" s="76"/>
      <c r="B871" s="76"/>
      <c r="C871" s="76"/>
      <c r="D871" s="82" t="s">
        <v>52</v>
      </c>
      <c r="E871" s="83"/>
      <c r="F871" s="83"/>
      <c r="G871" s="83"/>
      <c r="H871" s="83"/>
      <c r="I871" s="83"/>
      <c r="J871" s="84"/>
      <c r="K871" s="82">
        <v>30.896999999999998</v>
      </c>
      <c r="L871" s="83"/>
      <c r="M871" s="83"/>
      <c r="N871" s="83"/>
      <c r="O871" s="83"/>
      <c r="P871" s="84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</row>
    <row r="872" spans="1:46" ht="15.75" customHeight="1" x14ac:dyDescent="0.2">
      <c r="A872" s="76"/>
      <c r="B872" s="76"/>
      <c r="C872" s="76"/>
      <c r="D872" s="82" t="s">
        <v>53</v>
      </c>
      <c r="E872" s="83"/>
      <c r="F872" s="83"/>
      <c r="G872" s="83"/>
      <c r="H872" s="83"/>
      <c r="I872" s="83"/>
      <c r="J872" s="84"/>
      <c r="K872" s="82">
        <v>29.603000000000002</v>
      </c>
      <c r="L872" s="83"/>
      <c r="M872" s="83"/>
      <c r="N872" s="83"/>
      <c r="O872" s="83"/>
      <c r="P872" s="84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</row>
    <row r="873" spans="1:46" ht="15.75" customHeight="1" x14ac:dyDescent="0.2">
      <c r="A873" s="76"/>
      <c r="B873" s="76"/>
      <c r="C873" s="76"/>
      <c r="D873" s="82" t="s">
        <v>54</v>
      </c>
      <c r="E873" s="83"/>
      <c r="F873" s="83"/>
      <c r="G873" s="83"/>
      <c r="H873" s="83"/>
      <c r="I873" s="83"/>
      <c r="J873" s="84"/>
      <c r="K873" s="82">
        <v>25.088999999999999</v>
      </c>
      <c r="L873" s="83"/>
      <c r="M873" s="83"/>
      <c r="N873" s="83"/>
      <c r="O873" s="83"/>
      <c r="P873" s="84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</row>
    <row r="874" spans="1:46" ht="15.75" customHeight="1" x14ac:dyDescent="0.2">
      <c r="A874" s="76"/>
      <c r="B874" s="76"/>
      <c r="C874" s="76"/>
      <c r="D874" s="82" t="s">
        <v>55</v>
      </c>
      <c r="E874" s="83"/>
      <c r="F874" s="83"/>
      <c r="G874" s="83"/>
      <c r="H874" s="83"/>
      <c r="I874" s="83"/>
      <c r="J874" s="84"/>
      <c r="K874" s="82">
        <v>28.347000000000001</v>
      </c>
      <c r="L874" s="83"/>
      <c r="M874" s="83"/>
      <c r="N874" s="83"/>
      <c r="O874" s="83"/>
      <c r="P874" s="84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</row>
    <row r="875" spans="1:46" ht="15.75" customHeight="1" x14ac:dyDescent="0.2">
      <c r="A875" s="76"/>
      <c r="B875" s="76"/>
      <c r="C875" s="76"/>
      <c r="D875" s="82" t="s">
        <v>56</v>
      </c>
      <c r="E875" s="83"/>
      <c r="F875" s="83"/>
      <c r="G875" s="83"/>
      <c r="H875" s="83"/>
      <c r="I875" s="83"/>
      <c r="J875" s="84"/>
      <c r="K875" s="82">
        <v>33.74</v>
      </c>
      <c r="L875" s="83"/>
      <c r="M875" s="83"/>
      <c r="N875" s="83"/>
      <c r="O875" s="83"/>
      <c r="P875" s="84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</row>
    <row r="876" spans="1:46" ht="15.75" customHeight="1" x14ac:dyDescent="0.2">
      <c r="A876" s="76"/>
      <c r="B876" s="76"/>
      <c r="C876" s="76"/>
      <c r="D876" s="82" t="s">
        <v>57</v>
      </c>
      <c r="E876" s="83"/>
      <c r="F876" s="83"/>
      <c r="G876" s="83"/>
      <c r="H876" s="83"/>
      <c r="I876" s="83"/>
      <c r="J876" s="84"/>
      <c r="K876" s="82">
        <v>26.805</v>
      </c>
      <c r="L876" s="83"/>
      <c r="M876" s="83"/>
      <c r="N876" s="83"/>
      <c r="O876" s="83"/>
      <c r="P876" s="84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</row>
    <row r="877" spans="1:46" ht="15.75" customHeight="1" x14ac:dyDescent="0.2">
      <c r="A877" s="76"/>
      <c r="B877" s="76"/>
      <c r="C877" s="76"/>
      <c r="D877" s="82" t="s">
        <v>58</v>
      </c>
      <c r="E877" s="83"/>
      <c r="F877" s="83"/>
      <c r="G877" s="83"/>
      <c r="H877" s="83"/>
      <c r="I877" s="83"/>
      <c r="J877" s="84"/>
      <c r="K877" s="82">
        <v>23.84</v>
      </c>
      <c r="L877" s="83"/>
      <c r="M877" s="83"/>
      <c r="N877" s="83"/>
      <c r="O877" s="83"/>
      <c r="P877" s="84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</row>
    <row r="878" spans="1:46" ht="15.75" customHeight="1" x14ac:dyDescent="0.2">
      <c r="A878" s="76"/>
      <c r="B878" s="76"/>
      <c r="C878" s="76"/>
      <c r="D878" s="82" t="s">
        <v>59</v>
      </c>
      <c r="E878" s="83"/>
      <c r="F878" s="83"/>
      <c r="G878" s="83"/>
      <c r="H878" s="83"/>
      <c r="I878" s="83"/>
      <c r="J878" s="84"/>
      <c r="K878" s="82">
        <v>37.414000000000001</v>
      </c>
      <c r="L878" s="83"/>
      <c r="M878" s="83"/>
      <c r="N878" s="83"/>
      <c r="O878" s="83"/>
      <c r="P878" s="84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</row>
    <row r="879" spans="1:46" ht="15.75" customHeight="1" x14ac:dyDescent="0.2">
      <c r="A879" s="76"/>
      <c r="B879" s="76"/>
      <c r="C879" s="76"/>
      <c r="D879" s="82" t="s">
        <v>60</v>
      </c>
      <c r="E879" s="83"/>
      <c r="F879" s="83"/>
      <c r="G879" s="83"/>
      <c r="H879" s="83"/>
      <c r="I879" s="83"/>
      <c r="J879" s="84"/>
      <c r="K879" s="82">
        <v>24.792000000000002</v>
      </c>
      <c r="L879" s="83"/>
      <c r="M879" s="83"/>
      <c r="N879" s="83"/>
      <c r="O879" s="83"/>
      <c r="P879" s="84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</row>
    <row r="880" spans="1:46" ht="15.75" customHeight="1" x14ac:dyDescent="0.2">
      <c r="A880" s="76"/>
      <c r="B880" s="76"/>
      <c r="C880" s="76"/>
      <c r="D880" s="82" t="s">
        <v>61</v>
      </c>
      <c r="E880" s="83"/>
      <c r="F880" s="83"/>
      <c r="G880" s="83"/>
      <c r="H880" s="83"/>
      <c r="I880" s="83"/>
      <c r="J880" s="84"/>
      <c r="K880" s="82">
        <v>21.463000000000001</v>
      </c>
      <c r="L880" s="83"/>
      <c r="M880" s="83"/>
      <c r="N880" s="83"/>
      <c r="O880" s="83"/>
      <c r="P880" s="84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</row>
    <row r="881" spans="1:46" ht="15.75" customHeight="1" x14ac:dyDescent="0.2">
      <c r="A881" s="76"/>
      <c r="B881" s="76"/>
      <c r="C881" s="76"/>
      <c r="D881" s="82" t="s">
        <v>62</v>
      </c>
      <c r="E881" s="83"/>
      <c r="F881" s="83"/>
      <c r="G881" s="83"/>
      <c r="H881" s="83"/>
      <c r="I881" s="83"/>
      <c r="J881" s="84"/>
      <c r="K881" s="82">
        <v>29.628</v>
      </c>
      <c r="L881" s="83"/>
      <c r="M881" s="83"/>
      <c r="N881" s="83"/>
      <c r="O881" s="83"/>
      <c r="P881" s="84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</row>
    <row r="882" spans="1:46" ht="15.75" customHeight="1" x14ac:dyDescent="0.2">
      <c r="A882" s="76"/>
      <c r="B882" s="76"/>
      <c r="C882" s="76"/>
      <c r="D882" s="82" t="s">
        <v>63</v>
      </c>
      <c r="E882" s="83"/>
      <c r="F882" s="83"/>
      <c r="G882" s="83"/>
      <c r="H882" s="83"/>
      <c r="I882" s="83"/>
      <c r="J882" s="84"/>
      <c r="K882" s="82">
        <v>41.204999999999998</v>
      </c>
      <c r="L882" s="83"/>
      <c r="M882" s="83"/>
      <c r="N882" s="83"/>
      <c r="O882" s="83"/>
      <c r="P882" s="84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</row>
    <row r="883" spans="1:46" ht="15.75" customHeight="1" x14ac:dyDescent="0.2">
      <c r="A883" s="76"/>
      <c r="B883" s="76"/>
      <c r="C883" s="76"/>
      <c r="D883" s="82" t="s">
        <v>64</v>
      </c>
      <c r="E883" s="83"/>
      <c r="F883" s="83"/>
      <c r="G883" s="83"/>
      <c r="H883" s="83"/>
      <c r="I883" s="83"/>
      <c r="J883" s="84"/>
      <c r="K883" s="82">
        <v>19.984999999999999</v>
      </c>
      <c r="L883" s="83"/>
      <c r="M883" s="83"/>
      <c r="N883" s="83"/>
      <c r="O883" s="83"/>
      <c r="P883" s="84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</row>
    <row r="884" spans="1:46" ht="15.75" customHeight="1" x14ac:dyDescent="0.2">
      <c r="A884" s="76"/>
      <c r="B884" s="76"/>
      <c r="C884" s="76"/>
      <c r="D884" s="82" t="s">
        <v>65</v>
      </c>
      <c r="E884" s="83"/>
      <c r="F884" s="83"/>
      <c r="G884" s="83"/>
      <c r="H884" s="83"/>
      <c r="I884" s="83"/>
      <c r="J884" s="84"/>
      <c r="K884" s="82">
        <v>28.443000000000001</v>
      </c>
      <c r="L884" s="83"/>
      <c r="M884" s="83"/>
      <c r="N884" s="83"/>
      <c r="O884" s="83"/>
      <c r="P884" s="84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</row>
    <row r="885" spans="1:46" ht="15.75" customHeight="1" x14ac:dyDescent="0.2">
      <c r="A885" s="76"/>
      <c r="B885" s="76"/>
      <c r="C885" s="76"/>
      <c r="D885" s="82" t="s">
        <v>66</v>
      </c>
      <c r="E885" s="83"/>
      <c r="F885" s="83"/>
      <c r="G885" s="83"/>
      <c r="H885" s="83"/>
      <c r="I885" s="83"/>
      <c r="J885" s="84"/>
      <c r="K885" s="82">
        <v>26.155000000000001</v>
      </c>
      <c r="L885" s="83"/>
      <c r="M885" s="83"/>
      <c r="N885" s="83"/>
      <c r="O885" s="83"/>
      <c r="P885" s="84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</row>
    <row r="886" spans="1:46" ht="15.75" customHeight="1" x14ac:dyDescent="0.2">
      <c r="A886" s="76"/>
      <c r="B886" s="76"/>
      <c r="C886" s="76"/>
      <c r="D886" s="82" t="s">
        <v>67</v>
      </c>
      <c r="E886" s="83"/>
      <c r="F886" s="83"/>
      <c r="G886" s="83"/>
      <c r="H886" s="83"/>
      <c r="I886" s="83"/>
      <c r="J886" s="84"/>
      <c r="K886" s="82">
        <v>26.038</v>
      </c>
      <c r="L886" s="83"/>
      <c r="M886" s="83"/>
      <c r="N886" s="83"/>
      <c r="O886" s="83"/>
      <c r="P886" s="84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</row>
    <row r="887" spans="1:46" ht="15.75" customHeight="1" x14ac:dyDescent="0.2">
      <c r="A887" s="76"/>
      <c r="B887" s="76"/>
      <c r="C887" s="76"/>
      <c r="D887" s="82" t="s">
        <v>68</v>
      </c>
      <c r="E887" s="83"/>
      <c r="F887" s="83"/>
      <c r="G887" s="83"/>
      <c r="H887" s="83"/>
      <c r="I887" s="83"/>
      <c r="J887" s="84"/>
      <c r="K887" s="82">
        <v>43.465000000000003</v>
      </c>
      <c r="L887" s="83"/>
      <c r="M887" s="83"/>
      <c r="N887" s="83"/>
      <c r="O887" s="83"/>
      <c r="P887" s="84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</row>
    <row r="888" spans="1:46" ht="15.75" customHeight="1" x14ac:dyDescent="0.2">
      <c r="A888" s="76"/>
      <c r="B888" s="76"/>
      <c r="C888" s="76"/>
      <c r="D888" s="85" t="s">
        <v>69</v>
      </c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7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</row>
    <row r="889" spans="1:46" ht="15.75" customHeight="1" x14ac:dyDescent="0.2">
      <c r="A889" s="76"/>
      <c r="B889" s="76"/>
      <c r="C889" s="76"/>
      <c r="D889" s="88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89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</row>
    <row r="890" spans="1:46" ht="15.75" customHeight="1" x14ac:dyDescent="0.2">
      <c r="A890" s="76"/>
      <c r="B890" s="76"/>
      <c r="C890" s="76"/>
      <c r="D890" s="90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2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</row>
    <row r="891" spans="1:46" ht="15.75" customHeight="1" x14ac:dyDescent="0.2">
      <c r="A891" s="76"/>
      <c r="B891" s="76"/>
      <c r="C891" s="76"/>
      <c r="D891" s="94" t="s">
        <v>3</v>
      </c>
      <c r="E891" s="86"/>
      <c r="F891" s="86"/>
      <c r="G891" s="86"/>
      <c r="H891" s="86"/>
      <c r="I891" s="86"/>
      <c r="J891" s="87"/>
      <c r="K891" s="95" t="s">
        <v>70</v>
      </c>
      <c r="L891" s="86"/>
      <c r="M891" s="86"/>
      <c r="N891" s="86"/>
      <c r="O891" s="86"/>
      <c r="P891" s="87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</row>
    <row r="892" spans="1:46" ht="15.75" customHeight="1" x14ac:dyDescent="0.2">
      <c r="A892" s="76"/>
      <c r="B892" s="76"/>
      <c r="C892" s="76"/>
      <c r="D892" s="90"/>
      <c r="E892" s="91"/>
      <c r="F892" s="91"/>
      <c r="G892" s="91"/>
      <c r="H892" s="91"/>
      <c r="I892" s="91"/>
      <c r="J892" s="92"/>
      <c r="K892" s="90"/>
      <c r="L892" s="91"/>
      <c r="M892" s="91"/>
      <c r="N892" s="91"/>
      <c r="O892" s="91"/>
      <c r="P892" s="92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</row>
    <row r="893" spans="1:46" ht="15.75" customHeight="1" x14ac:dyDescent="0.2">
      <c r="A893" s="76"/>
      <c r="B893" s="76"/>
      <c r="C893" s="76"/>
      <c r="D893" s="82" t="s">
        <v>51</v>
      </c>
      <c r="E893" s="83"/>
      <c r="F893" s="83"/>
      <c r="G893" s="83"/>
      <c r="H893" s="83"/>
      <c r="I893" s="83"/>
      <c r="J893" s="84"/>
      <c r="K893" s="93" t="s">
        <v>71</v>
      </c>
      <c r="L893" s="83"/>
      <c r="M893" s="83"/>
      <c r="N893" s="83"/>
      <c r="O893" s="83"/>
      <c r="P893" s="84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</row>
    <row r="894" spans="1:46" ht="15.75" customHeight="1" x14ac:dyDescent="0.2">
      <c r="A894" s="76"/>
      <c r="B894" s="76"/>
      <c r="C894" s="76"/>
      <c r="D894" s="82" t="s">
        <v>52</v>
      </c>
      <c r="E894" s="83"/>
      <c r="F894" s="83"/>
      <c r="G894" s="83"/>
      <c r="H894" s="83"/>
      <c r="I894" s="83"/>
      <c r="J894" s="84"/>
      <c r="K894" s="93" t="s">
        <v>72</v>
      </c>
      <c r="L894" s="83"/>
      <c r="M894" s="83"/>
      <c r="N894" s="83"/>
      <c r="O894" s="83"/>
      <c r="P894" s="84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</row>
    <row r="895" spans="1:46" ht="15.75" customHeight="1" x14ac:dyDescent="0.2">
      <c r="A895" s="76"/>
      <c r="B895" s="76"/>
      <c r="C895" s="76"/>
      <c r="D895" s="82" t="s">
        <v>53</v>
      </c>
      <c r="E895" s="83"/>
      <c r="F895" s="83"/>
      <c r="G895" s="83"/>
      <c r="H895" s="83"/>
      <c r="I895" s="83"/>
      <c r="J895" s="84"/>
      <c r="K895" s="93" t="s">
        <v>72</v>
      </c>
      <c r="L895" s="83"/>
      <c r="M895" s="83"/>
      <c r="N895" s="83"/>
      <c r="O895" s="83"/>
      <c r="P895" s="84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</row>
    <row r="896" spans="1:46" ht="15.75" customHeight="1" x14ac:dyDescent="0.2">
      <c r="A896" s="76"/>
      <c r="B896" s="76"/>
      <c r="C896" s="76"/>
      <c r="D896" s="82" t="s">
        <v>54</v>
      </c>
      <c r="E896" s="83"/>
      <c r="F896" s="83"/>
      <c r="G896" s="83"/>
      <c r="H896" s="83"/>
      <c r="I896" s="83"/>
      <c r="J896" s="84"/>
      <c r="K896" s="93" t="s">
        <v>73</v>
      </c>
      <c r="L896" s="83"/>
      <c r="M896" s="83"/>
      <c r="N896" s="83"/>
      <c r="O896" s="83"/>
      <c r="P896" s="84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</row>
    <row r="897" spans="1:46" ht="15.75" customHeight="1" x14ac:dyDescent="0.2">
      <c r="A897" s="76"/>
      <c r="B897" s="76"/>
      <c r="C897" s="76"/>
      <c r="D897" s="82" t="s">
        <v>55</v>
      </c>
      <c r="E897" s="83"/>
      <c r="F897" s="83"/>
      <c r="G897" s="83"/>
      <c r="H897" s="83"/>
      <c r="I897" s="83"/>
      <c r="J897" s="84"/>
      <c r="K897" s="93" t="s">
        <v>74</v>
      </c>
      <c r="L897" s="83"/>
      <c r="M897" s="83"/>
      <c r="N897" s="83"/>
      <c r="O897" s="83"/>
      <c r="P897" s="84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</row>
    <row r="898" spans="1:46" ht="15.75" customHeight="1" x14ac:dyDescent="0.2">
      <c r="A898" s="76"/>
      <c r="B898" s="76"/>
      <c r="C898" s="76"/>
      <c r="D898" s="82" t="s">
        <v>56</v>
      </c>
      <c r="E898" s="83"/>
      <c r="F898" s="83"/>
      <c r="G898" s="83"/>
      <c r="H898" s="83"/>
      <c r="I898" s="83"/>
      <c r="J898" s="84"/>
      <c r="K898" s="93" t="s">
        <v>74</v>
      </c>
      <c r="L898" s="83"/>
      <c r="M898" s="83"/>
      <c r="N898" s="83"/>
      <c r="O898" s="83"/>
      <c r="P898" s="84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</row>
    <row r="899" spans="1:46" ht="15.75" customHeight="1" x14ac:dyDescent="0.2">
      <c r="A899" s="76"/>
      <c r="B899" s="76"/>
      <c r="C899" s="76"/>
      <c r="D899" s="82" t="s">
        <v>75</v>
      </c>
      <c r="E899" s="83"/>
      <c r="F899" s="83"/>
      <c r="G899" s="83"/>
      <c r="H899" s="83"/>
      <c r="I899" s="83"/>
      <c r="J899" s="84"/>
      <c r="K899" s="93" t="s">
        <v>74</v>
      </c>
      <c r="L899" s="83"/>
      <c r="M899" s="83"/>
      <c r="N899" s="83"/>
      <c r="O899" s="83"/>
      <c r="P899" s="84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</row>
    <row r="900" spans="1:46" ht="15.75" customHeight="1" x14ac:dyDescent="0.2">
      <c r="A900" s="76"/>
      <c r="B900" s="76"/>
      <c r="C900" s="76"/>
      <c r="D900" s="82" t="s">
        <v>58</v>
      </c>
      <c r="E900" s="83"/>
      <c r="F900" s="83"/>
      <c r="G900" s="83"/>
      <c r="H900" s="83"/>
      <c r="I900" s="83"/>
      <c r="J900" s="84"/>
      <c r="K900" s="93" t="s">
        <v>74</v>
      </c>
      <c r="L900" s="83"/>
      <c r="M900" s="83"/>
      <c r="N900" s="83"/>
      <c r="O900" s="83"/>
      <c r="P900" s="84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</row>
    <row r="901" spans="1:46" ht="15.75" customHeight="1" x14ac:dyDescent="0.2">
      <c r="A901" s="76"/>
      <c r="B901" s="76"/>
      <c r="C901" s="76"/>
      <c r="D901" s="82" t="s">
        <v>76</v>
      </c>
      <c r="E901" s="83"/>
      <c r="F901" s="83"/>
      <c r="G901" s="83"/>
      <c r="H901" s="83"/>
      <c r="I901" s="83"/>
      <c r="J901" s="84"/>
      <c r="K901" s="93" t="s">
        <v>77</v>
      </c>
      <c r="L901" s="83"/>
      <c r="M901" s="83"/>
      <c r="N901" s="83"/>
      <c r="O901" s="83"/>
      <c r="P901" s="84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</row>
    <row r="902" spans="1:46" ht="15.75" customHeight="1" x14ac:dyDescent="0.2">
      <c r="A902" s="76"/>
      <c r="B902" s="76"/>
      <c r="C902" s="76"/>
      <c r="D902" s="82" t="s">
        <v>60</v>
      </c>
      <c r="E902" s="83"/>
      <c r="F902" s="83"/>
      <c r="G902" s="83"/>
      <c r="H902" s="83"/>
      <c r="I902" s="83"/>
      <c r="J902" s="84"/>
      <c r="K902" s="93" t="s">
        <v>72</v>
      </c>
      <c r="L902" s="83"/>
      <c r="M902" s="83"/>
      <c r="N902" s="83"/>
      <c r="O902" s="83"/>
      <c r="P902" s="84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</row>
    <row r="903" spans="1:46" ht="15.75" customHeight="1" x14ac:dyDescent="0.2">
      <c r="A903" s="76"/>
      <c r="B903" s="76"/>
      <c r="C903" s="76"/>
      <c r="D903" s="82" t="s">
        <v>61</v>
      </c>
      <c r="E903" s="83"/>
      <c r="F903" s="83"/>
      <c r="G903" s="83"/>
      <c r="H903" s="83"/>
      <c r="I903" s="83"/>
      <c r="J903" s="84"/>
      <c r="K903" s="93" t="s">
        <v>73</v>
      </c>
      <c r="L903" s="83"/>
      <c r="M903" s="83"/>
      <c r="N903" s="83"/>
      <c r="O903" s="83"/>
      <c r="P903" s="84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</row>
    <row r="904" spans="1:46" ht="15.75" customHeight="1" x14ac:dyDescent="0.2">
      <c r="A904" s="76"/>
      <c r="B904" s="76"/>
      <c r="C904" s="76"/>
      <c r="D904" s="82" t="s">
        <v>62</v>
      </c>
      <c r="E904" s="83"/>
      <c r="F904" s="83"/>
      <c r="G904" s="83"/>
      <c r="H904" s="83"/>
      <c r="I904" s="83"/>
      <c r="J904" s="84"/>
      <c r="K904" s="93" t="s">
        <v>78</v>
      </c>
      <c r="L904" s="83"/>
      <c r="M904" s="83"/>
      <c r="N904" s="83"/>
      <c r="O904" s="83"/>
      <c r="P904" s="84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</row>
    <row r="905" spans="1:46" ht="15.75" customHeight="1" x14ac:dyDescent="0.2">
      <c r="A905" s="76"/>
      <c r="B905" s="76"/>
      <c r="C905" s="76"/>
      <c r="D905" s="82" t="s">
        <v>79</v>
      </c>
      <c r="E905" s="83"/>
      <c r="F905" s="83"/>
      <c r="G905" s="83"/>
      <c r="H905" s="83"/>
      <c r="I905" s="83"/>
      <c r="J905" s="84"/>
      <c r="K905" s="93" t="s">
        <v>80</v>
      </c>
      <c r="L905" s="83"/>
      <c r="M905" s="83"/>
      <c r="N905" s="83"/>
      <c r="O905" s="83"/>
      <c r="P905" s="84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</row>
    <row r="906" spans="1:46" ht="15.75" customHeight="1" x14ac:dyDescent="0.2">
      <c r="A906" s="76"/>
      <c r="B906" s="76"/>
      <c r="C906" s="76"/>
      <c r="D906" s="82" t="s">
        <v>64</v>
      </c>
      <c r="E906" s="83"/>
      <c r="F906" s="83"/>
      <c r="G906" s="83"/>
      <c r="H906" s="83"/>
      <c r="I906" s="83"/>
      <c r="J906" s="84"/>
      <c r="K906" s="93" t="s">
        <v>74</v>
      </c>
      <c r="L906" s="83"/>
      <c r="M906" s="83"/>
      <c r="N906" s="83"/>
      <c r="O906" s="83"/>
      <c r="P906" s="84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</row>
    <row r="907" spans="1:46" ht="15.75" customHeight="1" x14ac:dyDescent="0.2">
      <c r="A907" s="76"/>
      <c r="B907" s="76"/>
      <c r="C907" s="76"/>
      <c r="D907" s="82" t="s">
        <v>65</v>
      </c>
      <c r="E907" s="83"/>
      <c r="F907" s="83"/>
      <c r="G907" s="83"/>
      <c r="H907" s="83"/>
      <c r="I907" s="83"/>
      <c r="J907" s="84"/>
      <c r="K907" s="93" t="s">
        <v>72</v>
      </c>
      <c r="L907" s="83"/>
      <c r="M907" s="83"/>
      <c r="N907" s="83"/>
      <c r="O907" s="83"/>
      <c r="P907" s="84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</row>
    <row r="908" spans="1:46" ht="15.75" customHeight="1" x14ac:dyDescent="0.2">
      <c r="A908" s="76"/>
      <c r="B908" s="76"/>
      <c r="C908" s="76"/>
      <c r="D908" s="82" t="s">
        <v>66</v>
      </c>
      <c r="E908" s="83"/>
      <c r="F908" s="83"/>
      <c r="G908" s="83"/>
      <c r="H908" s="83"/>
      <c r="I908" s="83"/>
      <c r="J908" s="84"/>
      <c r="K908" s="93" t="s">
        <v>74</v>
      </c>
      <c r="L908" s="83"/>
      <c r="M908" s="83"/>
      <c r="N908" s="83"/>
      <c r="O908" s="83"/>
      <c r="P908" s="84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</row>
    <row r="909" spans="1:46" ht="15.75" customHeight="1" x14ac:dyDescent="0.2">
      <c r="A909" s="76"/>
      <c r="B909" s="76"/>
      <c r="C909" s="76"/>
      <c r="D909" s="82" t="s">
        <v>67</v>
      </c>
      <c r="E909" s="83"/>
      <c r="F909" s="83"/>
      <c r="G909" s="83"/>
      <c r="H909" s="83"/>
      <c r="I909" s="83"/>
      <c r="J909" s="84"/>
      <c r="K909" s="93" t="s">
        <v>74</v>
      </c>
      <c r="L909" s="83"/>
      <c r="M909" s="83"/>
      <c r="N909" s="83"/>
      <c r="O909" s="83"/>
      <c r="P909" s="84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</row>
    <row r="910" spans="1:46" ht="15.75" customHeight="1" x14ac:dyDescent="0.2">
      <c r="A910" s="76"/>
      <c r="B910" s="76"/>
      <c r="C910" s="76"/>
      <c r="D910" s="82" t="s">
        <v>68</v>
      </c>
      <c r="E910" s="83"/>
      <c r="F910" s="83"/>
      <c r="G910" s="83"/>
      <c r="H910" s="83"/>
      <c r="I910" s="83"/>
      <c r="J910" s="84"/>
      <c r="K910" s="93" t="s">
        <v>80</v>
      </c>
      <c r="L910" s="83"/>
      <c r="M910" s="83"/>
      <c r="N910" s="83"/>
      <c r="O910" s="83"/>
      <c r="P910" s="84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</row>
    <row r="911" spans="1:46" ht="12.75" x14ac:dyDescent="0.2">
      <c r="A911" s="76"/>
      <c r="B911" s="76"/>
      <c r="C911" s="76"/>
      <c r="D911" s="9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</row>
    <row r="912" spans="1:46" ht="15.75" customHeight="1" x14ac:dyDescent="0.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</row>
  </sheetData>
  <mergeCells count="1683">
    <mergeCell ref="X811:AR811"/>
    <mergeCell ref="X820:AR820"/>
    <mergeCell ref="X829:AR829"/>
    <mergeCell ref="F807:F809"/>
    <mergeCell ref="G807:G809"/>
    <mergeCell ref="Q807:Q809"/>
    <mergeCell ref="R807:R809"/>
    <mergeCell ref="S807:S809"/>
    <mergeCell ref="T807:T809"/>
    <mergeCell ref="U807:U809"/>
    <mergeCell ref="A756:C756"/>
    <mergeCell ref="A757:C757"/>
    <mergeCell ref="A758:A782"/>
    <mergeCell ref="B758:B761"/>
    <mergeCell ref="C758:C761"/>
    <mergeCell ref="B780:B782"/>
    <mergeCell ref="C780:C782"/>
    <mergeCell ref="Q785:Q788"/>
    <mergeCell ref="R785:R788"/>
    <mergeCell ref="S785:S788"/>
    <mergeCell ref="T785:T788"/>
    <mergeCell ref="U785:U788"/>
    <mergeCell ref="V785:V788"/>
    <mergeCell ref="X793:AR793"/>
    <mergeCell ref="X802:AR802"/>
    <mergeCell ref="J785:J788"/>
    <mergeCell ref="K785:K788"/>
    <mergeCell ref="L785:L788"/>
    <mergeCell ref="M785:M788"/>
    <mergeCell ref="N785:N788"/>
    <mergeCell ref="O785:O788"/>
    <mergeCell ref="P785:P788"/>
    <mergeCell ref="A783:C783"/>
    <mergeCell ref="A784:C784"/>
    <mergeCell ref="A785:A809"/>
    <mergeCell ref="B785:B788"/>
    <mergeCell ref="C785:C788"/>
    <mergeCell ref="H785:H788"/>
    <mergeCell ref="I785:I788"/>
    <mergeCell ref="V807:V809"/>
    <mergeCell ref="D837:V837"/>
    <mergeCell ref="D838:V838"/>
    <mergeCell ref="P834:P836"/>
    <mergeCell ref="Q834:Q836"/>
    <mergeCell ref="R834:R836"/>
    <mergeCell ref="S834:S836"/>
    <mergeCell ref="T834:T836"/>
    <mergeCell ref="U834:U836"/>
    <mergeCell ref="V834:V836"/>
    <mergeCell ref="D807:D809"/>
    <mergeCell ref="E807:E809"/>
    <mergeCell ref="K834:K836"/>
    <mergeCell ref="L834:L836"/>
    <mergeCell ref="M834:M836"/>
    <mergeCell ref="N834:N836"/>
    <mergeCell ref="O834:O836"/>
    <mergeCell ref="R839:R842"/>
    <mergeCell ref="S839:S842"/>
    <mergeCell ref="T839:T842"/>
    <mergeCell ref="U839:U842"/>
    <mergeCell ref="V839:V842"/>
    <mergeCell ref="K839:K842"/>
    <mergeCell ref="L839:L842"/>
    <mergeCell ref="M839:M842"/>
    <mergeCell ref="N839:N842"/>
    <mergeCell ref="O839:O842"/>
    <mergeCell ref="P839:P842"/>
    <mergeCell ref="Q839:Q842"/>
    <mergeCell ref="O807:O809"/>
    <mergeCell ref="P807:P809"/>
    <mergeCell ref="A810:C810"/>
    <mergeCell ref="D810:V810"/>
    <mergeCell ref="A811:C811"/>
    <mergeCell ref="D811:V811"/>
    <mergeCell ref="H807:H809"/>
    <mergeCell ref="I807:I809"/>
    <mergeCell ref="J807:J809"/>
    <mergeCell ref="K807:K809"/>
    <mergeCell ref="L807:L809"/>
    <mergeCell ref="M807:M809"/>
    <mergeCell ref="N807:N809"/>
    <mergeCell ref="R812:R815"/>
    <mergeCell ref="S812:S815"/>
    <mergeCell ref="T812:T815"/>
    <mergeCell ref="U812:U815"/>
    <mergeCell ref="V812:V815"/>
    <mergeCell ref="K812:K815"/>
    <mergeCell ref="L812:L815"/>
    <mergeCell ref="M812:M815"/>
    <mergeCell ref="N812:N815"/>
    <mergeCell ref="O812:O815"/>
    <mergeCell ref="P812:P815"/>
    <mergeCell ref="Q812:Q815"/>
    <mergeCell ref="B807:B809"/>
    <mergeCell ref="C807:C809"/>
    <mergeCell ref="X298:AR298"/>
    <mergeCell ref="K299:K302"/>
    <mergeCell ref="L299:L302"/>
    <mergeCell ref="M299:M302"/>
    <mergeCell ref="N299:N302"/>
    <mergeCell ref="O299:O302"/>
    <mergeCell ref="P299:P302"/>
    <mergeCell ref="K321:K323"/>
    <mergeCell ref="L321:L323"/>
    <mergeCell ref="M321:M323"/>
    <mergeCell ref="N321:N323"/>
    <mergeCell ref="O321:O323"/>
    <mergeCell ref="P321:P323"/>
    <mergeCell ref="Q321:Q323"/>
    <mergeCell ref="R321:R323"/>
    <mergeCell ref="X307:AR307"/>
    <mergeCell ref="X316:AR316"/>
    <mergeCell ref="S321:S323"/>
    <mergeCell ref="T321:T323"/>
    <mergeCell ref="U321:U323"/>
    <mergeCell ref="V321:V323"/>
    <mergeCell ref="X271:AR271"/>
    <mergeCell ref="K272:K275"/>
    <mergeCell ref="L272:L275"/>
    <mergeCell ref="M272:M275"/>
    <mergeCell ref="N272:N275"/>
    <mergeCell ref="O272:O275"/>
    <mergeCell ref="P272:P275"/>
    <mergeCell ref="X280:AR280"/>
    <mergeCell ref="X289:AR289"/>
    <mergeCell ref="K294:K296"/>
    <mergeCell ref="L294:L296"/>
    <mergeCell ref="M294:M296"/>
    <mergeCell ref="N294:N296"/>
    <mergeCell ref="X235:AR235"/>
    <mergeCell ref="D240:D242"/>
    <mergeCell ref="E240:E242"/>
    <mergeCell ref="F240:F242"/>
    <mergeCell ref="G240:G242"/>
    <mergeCell ref="H240:H242"/>
    <mergeCell ref="I240:I242"/>
    <mergeCell ref="V240:V242"/>
    <mergeCell ref="O294:O296"/>
    <mergeCell ref="P294:P296"/>
    <mergeCell ref="Q294:Q296"/>
    <mergeCell ref="R294:R296"/>
    <mergeCell ref="S294:S296"/>
    <mergeCell ref="T294:T296"/>
    <mergeCell ref="U294:U296"/>
    <mergeCell ref="V294:V296"/>
    <mergeCell ref="X244:AR244"/>
    <mergeCell ref="K245:K248"/>
    <mergeCell ref="L245:L248"/>
    <mergeCell ref="M245:M248"/>
    <mergeCell ref="N245:N248"/>
    <mergeCell ref="O245:O248"/>
    <mergeCell ref="P245:P248"/>
    <mergeCell ref="X253:AR253"/>
    <mergeCell ref="X262:AR262"/>
    <mergeCell ref="K267:K269"/>
    <mergeCell ref="L267:L269"/>
    <mergeCell ref="M267:M269"/>
    <mergeCell ref="N267:N269"/>
    <mergeCell ref="O267:O269"/>
    <mergeCell ref="P267:P269"/>
    <mergeCell ref="Q267:Q269"/>
    <mergeCell ref="R267:R269"/>
    <mergeCell ref="S267:S269"/>
    <mergeCell ref="T267:T269"/>
    <mergeCell ref="U267:U269"/>
    <mergeCell ref="V267:V269"/>
    <mergeCell ref="K218:K221"/>
    <mergeCell ref="L218:L221"/>
    <mergeCell ref="M218:M221"/>
    <mergeCell ref="N218:N221"/>
    <mergeCell ref="O218:O221"/>
    <mergeCell ref="P218:P221"/>
    <mergeCell ref="Q218:Q221"/>
    <mergeCell ref="R218:R221"/>
    <mergeCell ref="S218:S221"/>
    <mergeCell ref="T218:T221"/>
    <mergeCell ref="U218:U221"/>
    <mergeCell ref="X172:AR172"/>
    <mergeCell ref="X181:AR181"/>
    <mergeCell ref="V218:V221"/>
    <mergeCell ref="X226:AR226"/>
    <mergeCell ref="J240:J242"/>
    <mergeCell ref="K240:K242"/>
    <mergeCell ref="L240:L242"/>
    <mergeCell ref="M240:M242"/>
    <mergeCell ref="N240:N242"/>
    <mergeCell ref="O240:O242"/>
    <mergeCell ref="P240:P242"/>
    <mergeCell ref="Q240:Q242"/>
    <mergeCell ref="R240:R242"/>
    <mergeCell ref="S240:S242"/>
    <mergeCell ref="T240:T242"/>
    <mergeCell ref="U240:U242"/>
    <mergeCell ref="N164:N167"/>
    <mergeCell ref="O164:O167"/>
    <mergeCell ref="P164:P167"/>
    <mergeCell ref="Q164:Q167"/>
    <mergeCell ref="R164:R167"/>
    <mergeCell ref="S164:S167"/>
    <mergeCell ref="X163:AR163"/>
    <mergeCell ref="D164:D167"/>
    <mergeCell ref="E164:E167"/>
    <mergeCell ref="F164:F167"/>
    <mergeCell ref="G164:G167"/>
    <mergeCell ref="H164:H167"/>
    <mergeCell ref="I164:I167"/>
    <mergeCell ref="V164:V167"/>
    <mergeCell ref="T164:T167"/>
    <mergeCell ref="U164:U167"/>
    <mergeCell ref="D186:D188"/>
    <mergeCell ref="E186:E188"/>
    <mergeCell ref="F186:F188"/>
    <mergeCell ref="G186:G188"/>
    <mergeCell ref="H186:H188"/>
    <mergeCell ref="I186:I188"/>
    <mergeCell ref="J186:J188"/>
    <mergeCell ref="K186:K188"/>
    <mergeCell ref="L186:L188"/>
    <mergeCell ref="M186:M188"/>
    <mergeCell ref="X145:AR145"/>
    <mergeCell ref="X127:AR127"/>
    <mergeCell ref="F132:F134"/>
    <mergeCell ref="G132:G134"/>
    <mergeCell ref="H132:H134"/>
    <mergeCell ref="I132:I134"/>
    <mergeCell ref="J132:J134"/>
    <mergeCell ref="K132:K134"/>
    <mergeCell ref="J159:J161"/>
    <mergeCell ref="K159:K161"/>
    <mergeCell ref="L159:L161"/>
    <mergeCell ref="M159:M161"/>
    <mergeCell ref="N159:N161"/>
    <mergeCell ref="O159:O161"/>
    <mergeCell ref="P159:P161"/>
    <mergeCell ref="Q159:Q161"/>
    <mergeCell ref="R159:R161"/>
    <mergeCell ref="S159:S161"/>
    <mergeCell ref="T159:T161"/>
    <mergeCell ref="U159:U161"/>
    <mergeCell ref="X154:AR154"/>
    <mergeCell ref="F159:F161"/>
    <mergeCell ref="G159:G161"/>
    <mergeCell ref="H159:H161"/>
    <mergeCell ref="I159:I161"/>
    <mergeCell ref="V159:V161"/>
    <mergeCell ref="X118:AR118"/>
    <mergeCell ref="L132:L134"/>
    <mergeCell ref="M132:M134"/>
    <mergeCell ref="N132:N134"/>
    <mergeCell ref="O132:O134"/>
    <mergeCell ref="P132:P134"/>
    <mergeCell ref="Q132:Q134"/>
    <mergeCell ref="R132:R134"/>
    <mergeCell ref="S132:S134"/>
    <mergeCell ref="T132:T134"/>
    <mergeCell ref="U132:U134"/>
    <mergeCell ref="V132:V134"/>
    <mergeCell ref="D135:V135"/>
    <mergeCell ref="D136:V136"/>
    <mergeCell ref="X136:AR136"/>
    <mergeCell ref="D137:D140"/>
    <mergeCell ref="E137:E140"/>
    <mergeCell ref="F137:F140"/>
    <mergeCell ref="G137:G140"/>
    <mergeCell ref="H137:H140"/>
    <mergeCell ref="I137:I140"/>
    <mergeCell ref="J137:J140"/>
    <mergeCell ref="K137:K140"/>
    <mergeCell ref="L137:L140"/>
    <mergeCell ref="M137:M140"/>
    <mergeCell ref="N137:N140"/>
    <mergeCell ref="O137:O140"/>
    <mergeCell ref="P137:P140"/>
    <mergeCell ref="Q137:Q140"/>
    <mergeCell ref="R137:R140"/>
    <mergeCell ref="S137:S140"/>
    <mergeCell ref="T137:T140"/>
    <mergeCell ref="X199:AR199"/>
    <mergeCell ref="X208:AR208"/>
    <mergeCell ref="R213:R215"/>
    <mergeCell ref="S213:S215"/>
    <mergeCell ref="T213:T215"/>
    <mergeCell ref="U213:U215"/>
    <mergeCell ref="V213:V215"/>
    <mergeCell ref="D216:V216"/>
    <mergeCell ref="D217:V217"/>
    <mergeCell ref="X217:AR217"/>
    <mergeCell ref="K213:K215"/>
    <mergeCell ref="L213:L215"/>
    <mergeCell ref="M213:M215"/>
    <mergeCell ref="N213:N215"/>
    <mergeCell ref="O213:O215"/>
    <mergeCell ref="P213:P215"/>
    <mergeCell ref="Q213:Q215"/>
    <mergeCell ref="D110:D113"/>
    <mergeCell ref="E110:E113"/>
    <mergeCell ref="F110:F113"/>
    <mergeCell ref="G110:G113"/>
    <mergeCell ref="H110:H113"/>
    <mergeCell ref="I110:I113"/>
    <mergeCell ref="J110:J113"/>
    <mergeCell ref="K110:K113"/>
    <mergeCell ref="L110:L113"/>
    <mergeCell ref="M110:M113"/>
    <mergeCell ref="N110:N113"/>
    <mergeCell ref="O110:O113"/>
    <mergeCell ref="P110:P113"/>
    <mergeCell ref="Q110:Q113"/>
    <mergeCell ref="T191:T194"/>
    <mergeCell ref="U191:U194"/>
    <mergeCell ref="V191:V194"/>
    <mergeCell ref="R110:R113"/>
    <mergeCell ref="S110:S113"/>
    <mergeCell ref="T110:T113"/>
    <mergeCell ref="U110:U113"/>
    <mergeCell ref="V110:V113"/>
    <mergeCell ref="U137:U140"/>
    <mergeCell ref="V137:V140"/>
    <mergeCell ref="D159:D161"/>
    <mergeCell ref="E159:E161"/>
    <mergeCell ref="D162:V162"/>
    <mergeCell ref="D163:V163"/>
    <mergeCell ref="J164:J167"/>
    <mergeCell ref="K164:K167"/>
    <mergeCell ref="L164:L167"/>
    <mergeCell ref="M164:M167"/>
    <mergeCell ref="A2:A26"/>
    <mergeCell ref="A27:C27"/>
    <mergeCell ref="X10:AR10"/>
    <mergeCell ref="X19:AR19"/>
    <mergeCell ref="M29:M32"/>
    <mergeCell ref="N29:N32"/>
    <mergeCell ref="O29:O32"/>
    <mergeCell ref="P29:P32"/>
    <mergeCell ref="Q29:Q32"/>
    <mergeCell ref="R29:R32"/>
    <mergeCell ref="S29:S32"/>
    <mergeCell ref="T29:T32"/>
    <mergeCell ref="U29:U32"/>
    <mergeCell ref="V29:V32"/>
    <mergeCell ref="B51:B53"/>
    <mergeCell ref="C51:C53"/>
    <mergeCell ref="D27:V27"/>
    <mergeCell ref="A28:C28"/>
    <mergeCell ref="D28:V28"/>
    <mergeCell ref="B2:B5"/>
    <mergeCell ref="A29:A53"/>
    <mergeCell ref="B29:B32"/>
    <mergeCell ref="E29:E32"/>
    <mergeCell ref="F29:F32"/>
    <mergeCell ref="G29:G32"/>
    <mergeCell ref="H29:H32"/>
    <mergeCell ref="I29:I32"/>
    <mergeCell ref="J29:J32"/>
    <mergeCell ref="K29:K32"/>
    <mergeCell ref="L29:L32"/>
    <mergeCell ref="C29:C32"/>
    <mergeCell ref="D29:D32"/>
    <mergeCell ref="V2:V5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R24:R26"/>
    <mergeCell ref="S24:S26"/>
    <mergeCell ref="T24:T26"/>
    <mergeCell ref="U24:U26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X190:AR190"/>
    <mergeCell ref="D191:D194"/>
    <mergeCell ref="E191:E194"/>
    <mergeCell ref="F191:F194"/>
    <mergeCell ref="G191:G194"/>
    <mergeCell ref="H191:H194"/>
    <mergeCell ref="I191:I194"/>
    <mergeCell ref="J191:J194"/>
    <mergeCell ref="K191:K194"/>
    <mergeCell ref="L191:L194"/>
    <mergeCell ref="M191:M194"/>
    <mergeCell ref="N191:N194"/>
    <mergeCell ref="O191:O194"/>
    <mergeCell ref="P191:P194"/>
    <mergeCell ref="Q191:Q194"/>
    <mergeCell ref="R191:R194"/>
    <mergeCell ref="S191:S194"/>
    <mergeCell ref="X109:AR109"/>
    <mergeCell ref="P51:P53"/>
    <mergeCell ref="Q51:Q53"/>
    <mergeCell ref="I51:I53"/>
    <mergeCell ref="J51:J53"/>
    <mergeCell ref="K51:K53"/>
    <mergeCell ref="L51:L53"/>
    <mergeCell ref="M51:M53"/>
    <mergeCell ref="N51:N53"/>
    <mergeCell ref="O51:O53"/>
    <mergeCell ref="M83:M86"/>
    <mergeCell ref="N83:N86"/>
    <mergeCell ref="O83:O86"/>
    <mergeCell ref="P83:P86"/>
    <mergeCell ref="Q83:Q86"/>
    <mergeCell ref="F83:F86"/>
    <mergeCell ref="G83:G86"/>
    <mergeCell ref="H83:H86"/>
    <mergeCell ref="I83:I86"/>
    <mergeCell ref="J83:J86"/>
    <mergeCell ref="K83:K86"/>
    <mergeCell ref="L83:L86"/>
    <mergeCell ref="K105:K107"/>
    <mergeCell ref="L105:L107"/>
    <mergeCell ref="M105:M107"/>
    <mergeCell ref="N105:N107"/>
    <mergeCell ref="O105:O107"/>
    <mergeCell ref="P105:P107"/>
    <mergeCell ref="Q105:Q107"/>
    <mergeCell ref="F105:F107"/>
    <mergeCell ref="G105:G107"/>
    <mergeCell ref="H105:H107"/>
    <mergeCell ref="X37:AR37"/>
    <mergeCell ref="X46:AR46"/>
    <mergeCell ref="X64:AR64"/>
    <mergeCell ref="X73:AR73"/>
    <mergeCell ref="D81:V81"/>
    <mergeCell ref="D82:V82"/>
    <mergeCell ref="X82:AR82"/>
    <mergeCell ref="R83:R86"/>
    <mergeCell ref="S83:S86"/>
    <mergeCell ref="T83:T86"/>
    <mergeCell ref="U83:U86"/>
    <mergeCell ref="V83:V86"/>
    <mergeCell ref="R105:R107"/>
    <mergeCell ref="S105:S107"/>
    <mergeCell ref="T105:T107"/>
    <mergeCell ref="U105:U107"/>
    <mergeCell ref="V105:V107"/>
    <mergeCell ref="D105:D107"/>
    <mergeCell ref="E105:E107"/>
    <mergeCell ref="I105:I107"/>
    <mergeCell ref="J105:J107"/>
    <mergeCell ref="D51:D53"/>
    <mergeCell ref="E51:E53"/>
    <mergeCell ref="F51:F53"/>
    <mergeCell ref="G51:G53"/>
    <mergeCell ref="H51:H53"/>
    <mergeCell ref="X91:AR91"/>
    <mergeCell ref="X100:AR100"/>
    <mergeCell ref="R51:R53"/>
    <mergeCell ref="S51:S53"/>
    <mergeCell ref="R78:R80"/>
    <mergeCell ref="S78:S80"/>
    <mergeCell ref="T78:T80"/>
    <mergeCell ref="U78:U80"/>
    <mergeCell ref="V78:V80"/>
    <mergeCell ref="T51:T53"/>
    <mergeCell ref="U51:U53"/>
    <mergeCell ref="V56:V59"/>
    <mergeCell ref="V51:V53"/>
    <mergeCell ref="A54:C54"/>
    <mergeCell ref="D54:V54"/>
    <mergeCell ref="A55:C55"/>
    <mergeCell ref="D55:V55"/>
    <mergeCell ref="A1:C1"/>
    <mergeCell ref="A56:A80"/>
    <mergeCell ref="B56:B59"/>
    <mergeCell ref="C56:C59"/>
    <mergeCell ref="B78:B80"/>
    <mergeCell ref="C78:C80"/>
    <mergeCell ref="F56:F59"/>
    <mergeCell ref="G56:G59"/>
    <mergeCell ref="D56:D59"/>
    <mergeCell ref="E56:E59"/>
    <mergeCell ref="D78:D80"/>
    <mergeCell ref="E78:E80"/>
    <mergeCell ref="F78:F80"/>
    <mergeCell ref="G78:G80"/>
    <mergeCell ref="H78:H80"/>
    <mergeCell ref="C2:C5"/>
    <mergeCell ref="D2:D5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P78:P80"/>
    <mergeCell ref="Q78:Q80"/>
    <mergeCell ref="I78:I80"/>
    <mergeCell ref="J78:J80"/>
    <mergeCell ref="K78:K80"/>
    <mergeCell ref="L78:L80"/>
    <mergeCell ref="M78:M80"/>
    <mergeCell ref="N78:N80"/>
    <mergeCell ref="O78:O80"/>
    <mergeCell ref="A702:C702"/>
    <mergeCell ref="A703:C703"/>
    <mergeCell ref="A704:A728"/>
    <mergeCell ref="B704:B707"/>
    <mergeCell ref="C704:C707"/>
    <mergeCell ref="B726:B728"/>
    <mergeCell ref="C726:C728"/>
    <mergeCell ref="A729:C729"/>
    <mergeCell ref="A730:C730"/>
    <mergeCell ref="A731:A755"/>
    <mergeCell ref="B731:B734"/>
    <mergeCell ref="C731:C734"/>
    <mergeCell ref="B753:B755"/>
    <mergeCell ref="C753:C755"/>
    <mergeCell ref="H56:H59"/>
    <mergeCell ref="I56:I59"/>
    <mergeCell ref="J56:J59"/>
    <mergeCell ref="D108:V108"/>
    <mergeCell ref="D109:V109"/>
    <mergeCell ref="A108:C108"/>
    <mergeCell ref="A109:C109"/>
    <mergeCell ref="N186:N188"/>
    <mergeCell ref="O186:O188"/>
    <mergeCell ref="P186:P188"/>
    <mergeCell ref="Q186:Q188"/>
    <mergeCell ref="R186:R188"/>
    <mergeCell ref="S186:S188"/>
    <mergeCell ref="T186:T188"/>
    <mergeCell ref="U186:U188"/>
    <mergeCell ref="V186:V188"/>
    <mergeCell ref="D189:V189"/>
    <mergeCell ref="D190:V190"/>
    <mergeCell ref="A621:C621"/>
    <mergeCell ref="A622:C622"/>
    <mergeCell ref="A623:A647"/>
    <mergeCell ref="B623:B626"/>
    <mergeCell ref="C623:C626"/>
    <mergeCell ref="B645:B647"/>
    <mergeCell ref="C645:C647"/>
    <mergeCell ref="A648:C648"/>
    <mergeCell ref="A649:C649"/>
    <mergeCell ref="A650:A674"/>
    <mergeCell ref="B650:B653"/>
    <mergeCell ref="C650:C653"/>
    <mergeCell ref="B672:B674"/>
    <mergeCell ref="C672:C674"/>
    <mergeCell ref="A675:C675"/>
    <mergeCell ref="A676:C676"/>
    <mergeCell ref="A677:A701"/>
    <mergeCell ref="B677:B680"/>
    <mergeCell ref="C677:C680"/>
    <mergeCell ref="B699:B701"/>
    <mergeCell ref="C699:C701"/>
    <mergeCell ref="A540:C540"/>
    <mergeCell ref="A541:C541"/>
    <mergeCell ref="A542:A566"/>
    <mergeCell ref="B542:B545"/>
    <mergeCell ref="C542:C545"/>
    <mergeCell ref="B564:B566"/>
    <mergeCell ref="C564:C566"/>
    <mergeCell ref="A567:C567"/>
    <mergeCell ref="A568:C568"/>
    <mergeCell ref="A569:A593"/>
    <mergeCell ref="B569:B572"/>
    <mergeCell ref="C569:C572"/>
    <mergeCell ref="B591:B593"/>
    <mergeCell ref="C591:C593"/>
    <mergeCell ref="A594:C594"/>
    <mergeCell ref="A595:C595"/>
    <mergeCell ref="A596:A620"/>
    <mergeCell ref="B596:B599"/>
    <mergeCell ref="C596:C599"/>
    <mergeCell ref="B618:B620"/>
    <mergeCell ref="C618:C620"/>
    <mergeCell ref="A459:C459"/>
    <mergeCell ref="A460:C460"/>
    <mergeCell ref="A461:A485"/>
    <mergeCell ref="B461:B464"/>
    <mergeCell ref="C461:C464"/>
    <mergeCell ref="B483:B485"/>
    <mergeCell ref="C483:C485"/>
    <mergeCell ref="A486:C486"/>
    <mergeCell ref="A487:C487"/>
    <mergeCell ref="A488:A512"/>
    <mergeCell ref="B488:B491"/>
    <mergeCell ref="C488:C491"/>
    <mergeCell ref="B510:B512"/>
    <mergeCell ref="C510:C512"/>
    <mergeCell ref="A513:C513"/>
    <mergeCell ref="A514:C514"/>
    <mergeCell ref="A515:A539"/>
    <mergeCell ref="B515:B518"/>
    <mergeCell ref="C515:C518"/>
    <mergeCell ref="B537:B539"/>
    <mergeCell ref="C537:C539"/>
    <mergeCell ref="G429:G431"/>
    <mergeCell ref="H429:H431"/>
    <mergeCell ref="I429:I431"/>
    <mergeCell ref="J429:J431"/>
    <mergeCell ref="A405:C405"/>
    <mergeCell ref="A406:C406"/>
    <mergeCell ref="A407:A431"/>
    <mergeCell ref="B407:B410"/>
    <mergeCell ref="C407:C410"/>
    <mergeCell ref="B429:B431"/>
    <mergeCell ref="C429:C431"/>
    <mergeCell ref="F434:F437"/>
    <mergeCell ref="G434:G437"/>
    <mergeCell ref="H434:H437"/>
    <mergeCell ref="I434:I437"/>
    <mergeCell ref="J434:J437"/>
    <mergeCell ref="B456:B458"/>
    <mergeCell ref="C456:C458"/>
    <mergeCell ref="D456:D458"/>
    <mergeCell ref="E456:E458"/>
    <mergeCell ref="F456:F458"/>
    <mergeCell ref="G456:G458"/>
    <mergeCell ref="H456:H458"/>
    <mergeCell ref="I456:I458"/>
    <mergeCell ref="J456:J458"/>
    <mergeCell ref="A432:C432"/>
    <mergeCell ref="A433:C433"/>
    <mergeCell ref="A434:A458"/>
    <mergeCell ref="B434:B437"/>
    <mergeCell ref="C434:C437"/>
    <mergeCell ref="D434:D437"/>
    <mergeCell ref="E434:E437"/>
    <mergeCell ref="G353:G356"/>
    <mergeCell ref="H353:H356"/>
    <mergeCell ref="D375:D377"/>
    <mergeCell ref="E375:E377"/>
    <mergeCell ref="F375:F377"/>
    <mergeCell ref="G375:G377"/>
    <mergeCell ref="H375:H377"/>
    <mergeCell ref="I375:I377"/>
    <mergeCell ref="J375:J377"/>
    <mergeCell ref="A351:C351"/>
    <mergeCell ref="A352:C352"/>
    <mergeCell ref="A353:A377"/>
    <mergeCell ref="B353:B356"/>
    <mergeCell ref="C353:C356"/>
    <mergeCell ref="B375:B377"/>
    <mergeCell ref="C375:C377"/>
    <mergeCell ref="F380:F383"/>
    <mergeCell ref="G380:G383"/>
    <mergeCell ref="H380:H383"/>
    <mergeCell ref="I380:I383"/>
    <mergeCell ref="J380:J383"/>
    <mergeCell ref="A378:C378"/>
    <mergeCell ref="A379:C379"/>
    <mergeCell ref="A380:A404"/>
    <mergeCell ref="B380:B383"/>
    <mergeCell ref="C380:C383"/>
    <mergeCell ref="D380:D383"/>
    <mergeCell ref="E380:E383"/>
    <mergeCell ref="B402:B404"/>
    <mergeCell ref="C402:C404"/>
    <mergeCell ref="F326:F329"/>
    <mergeCell ref="G326:G329"/>
    <mergeCell ref="H326:H329"/>
    <mergeCell ref="I326:I329"/>
    <mergeCell ref="J326:J329"/>
    <mergeCell ref="D348:D350"/>
    <mergeCell ref="E348:E350"/>
    <mergeCell ref="F348:F350"/>
    <mergeCell ref="G348:G350"/>
    <mergeCell ref="H348:H350"/>
    <mergeCell ref="I348:I350"/>
    <mergeCell ref="J348:J350"/>
    <mergeCell ref="A324:C324"/>
    <mergeCell ref="A325:C325"/>
    <mergeCell ref="A326:A350"/>
    <mergeCell ref="B326:B329"/>
    <mergeCell ref="C326:C329"/>
    <mergeCell ref="D326:D329"/>
    <mergeCell ref="E326:E329"/>
    <mergeCell ref="B348:B350"/>
    <mergeCell ref="C348:C350"/>
    <mergeCell ref="D324:V324"/>
    <mergeCell ref="D325:V325"/>
    <mergeCell ref="Q326:Q329"/>
    <mergeCell ref="R326:R329"/>
    <mergeCell ref="S326:S329"/>
    <mergeCell ref="T326:T329"/>
    <mergeCell ref="U326:U329"/>
    <mergeCell ref="V326:V329"/>
    <mergeCell ref="I299:I302"/>
    <mergeCell ref="J299:J302"/>
    <mergeCell ref="B294:B296"/>
    <mergeCell ref="C294:C296"/>
    <mergeCell ref="D299:D302"/>
    <mergeCell ref="E299:E302"/>
    <mergeCell ref="F299:F302"/>
    <mergeCell ref="G299:G302"/>
    <mergeCell ref="H299:H302"/>
    <mergeCell ref="D321:D323"/>
    <mergeCell ref="E321:E323"/>
    <mergeCell ref="F321:F323"/>
    <mergeCell ref="G321:G323"/>
    <mergeCell ref="H321:H323"/>
    <mergeCell ref="I321:I323"/>
    <mergeCell ref="J321:J323"/>
    <mergeCell ref="A297:C297"/>
    <mergeCell ref="A298:C298"/>
    <mergeCell ref="A299:A323"/>
    <mergeCell ref="B299:B302"/>
    <mergeCell ref="C299:C302"/>
    <mergeCell ref="B321:B323"/>
    <mergeCell ref="C321:C323"/>
    <mergeCell ref="D297:V297"/>
    <mergeCell ref="D298:V298"/>
    <mergeCell ref="Q299:Q302"/>
    <mergeCell ref="R299:R302"/>
    <mergeCell ref="S299:S302"/>
    <mergeCell ref="T299:T302"/>
    <mergeCell ref="U299:U302"/>
    <mergeCell ref="V299:V302"/>
    <mergeCell ref="F272:F275"/>
    <mergeCell ref="G272:G275"/>
    <mergeCell ref="H272:H275"/>
    <mergeCell ref="I272:I275"/>
    <mergeCell ref="J272:J275"/>
    <mergeCell ref="D294:D296"/>
    <mergeCell ref="E294:E296"/>
    <mergeCell ref="F294:F296"/>
    <mergeCell ref="G294:G296"/>
    <mergeCell ref="H294:H296"/>
    <mergeCell ref="I294:I296"/>
    <mergeCell ref="J294:J296"/>
    <mergeCell ref="A270:C270"/>
    <mergeCell ref="A271:C271"/>
    <mergeCell ref="A272:A296"/>
    <mergeCell ref="B272:B275"/>
    <mergeCell ref="C272:C275"/>
    <mergeCell ref="D272:D275"/>
    <mergeCell ref="E272:E275"/>
    <mergeCell ref="D270:V270"/>
    <mergeCell ref="D271:V271"/>
    <mergeCell ref="Q272:Q275"/>
    <mergeCell ref="R272:R275"/>
    <mergeCell ref="S272:S275"/>
    <mergeCell ref="T272:T275"/>
    <mergeCell ref="U272:U275"/>
    <mergeCell ref="V272:V275"/>
    <mergeCell ref="I245:I248"/>
    <mergeCell ref="J245:J248"/>
    <mergeCell ref="B240:B242"/>
    <mergeCell ref="C240:C242"/>
    <mergeCell ref="D245:D248"/>
    <mergeCell ref="E245:E248"/>
    <mergeCell ref="F245:F248"/>
    <mergeCell ref="G245:G248"/>
    <mergeCell ref="H245:H248"/>
    <mergeCell ref="D267:D269"/>
    <mergeCell ref="E267:E269"/>
    <mergeCell ref="F267:F269"/>
    <mergeCell ref="G267:G269"/>
    <mergeCell ref="H267:H269"/>
    <mergeCell ref="I267:I269"/>
    <mergeCell ref="J267:J269"/>
    <mergeCell ref="A243:C243"/>
    <mergeCell ref="A244:C244"/>
    <mergeCell ref="A245:A269"/>
    <mergeCell ref="B245:B248"/>
    <mergeCell ref="C245:C248"/>
    <mergeCell ref="B267:B269"/>
    <mergeCell ref="C267:C269"/>
    <mergeCell ref="D243:V243"/>
    <mergeCell ref="D244:V244"/>
    <mergeCell ref="Q245:Q248"/>
    <mergeCell ref="R245:R248"/>
    <mergeCell ref="S245:S248"/>
    <mergeCell ref="T245:T248"/>
    <mergeCell ref="U245:U248"/>
    <mergeCell ref="V245:V248"/>
    <mergeCell ref="I213:I215"/>
    <mergeCell ref="J213:J215"/>
    <mergeCell ref="A189:C189"/>
    <mergeCell ref="A190:C190"/>
    <mergeCell ref="A191:A215"/>
    <mergeCell ref="B191:B194"/>
    <mergeCell ref="C191:C194"/>
    <mergeCell ref="B213:B215"/>
    <mergeCell ref="C213:C215"/>
    <mergeCell ref="F218:F221"/>
    <mergeCell ref="G218:G221"/>
    <mergeCell ref="A216:C216"/>
    <mergeCell ref="A217:C217"/>
    <mergeCell ref="A218:A242"/>
    <mergeCell ref="B218:B221"/>
    <mergeCell ref="C218:C221"/>
    <mergeCell ref="D218:D221"/>
    <mergeCell ref="E218:E221"/>
    <mergeCell ref="H218:H221"/>
    <mergeCell ref="I218:I221"/>
    <mergeCell ref="J218:J221"/>
    <mergeCell ref="A137:A161"/>
    <mergeCell ref="B137:B140"/>
    <mergeCell ref="C137:C140"/>
    <mergeCell ref="B159:B161"/>
    <mergeCell ref="C159:C161"/>
    <mergeCell ref="A162:C162"/>
    <mergeCell ref="A163:C163"/>
    <mergeCell ref="A164:A188"/>
    <mergeCell ref="B164:B167"/>
    <mergeCell ref="C164:C167"/>
    <mergeCell ref="B186:B188"/>
    <mergeCell ref="C186:C188"/>
    <mergeCell ref="D213:D215"/>
    <mergeCell ref="E213:E215"/>
    <mergeCell ref="F213:F215"/>
    <mergeCell ref="G213:G215"/>
    <mergeCell ref="H213:H215"/>
    <mergeCell ref="D861:D863"/>
    <mergeCell ref="E861:E863"/>
    <mergeCell ref="F861:F863"/>
    <mergeCell ref="G861:G863"/>
    <mergeCell ref="H861:H863"/>
    <mergeCell ref="A864:C864"/>
    <mergeCell ref="A865:C912"/>
    <mergeCell ref="B834:B836"/>
    <mergeCell ref="C834:C836"/>
    <mergeCell ref="A837:C837"/>
    <mergeCell ref="A838:C838"/>
    <mergeCell ref="A839:A863"/>
    <mergeCell ref="B839:B842"/>
    <mergeCell ref="C839:C842"/>
    <mergeCell ref="A81:C81"/>
    <mergeCell ref="A82:C82"/>
    <mergeCell ref="A83:A107"/>
    <mergeCell ref="B83:B86"/>
    <mergeCell ref="C83:C86"/>
    <mergeCell ref="D83:D86"/>
    <mergeCell ref="E83:E86"/>
    <mergeCell ref="D132:D134"/>
    <mergeCell ref="E132:E134"/>
    <mergeCell ref="B105:B107"/>
    <mergeCell ref="C105:C107"/>
    <mergeCell ref="A110:A134"/>
    <mergeCell ref="B110:B113"/>
    <mergeCell ref="C110:C113"/>
    <mergeCell ref="B132:B134"/>
    <mergeCell ref="C132:C134"/>
    <mergeCell ref="A135:C135"/>
    <mergeCell ref="A136:C136"/>
    <mergeCell ref="K861:K863"/>
    <mergeCell ref="L861:L863"/>
    <mergeCell ref="M861:M863"/>
    <mergeCell ref="N861:N863"/>
    <mergeCell ref="O861:O863"/>
    <mergeCell ref="D865:P867"/>
    <mergeCell ref="H812:H815"/>
    <mergeCell ref="I812:I815"/>
    <mergeCell ref="J812:J815"/>
    <mergeCell ref="F834:F836"/>
    <mergeCell ref="G834:G836"/>
    <mergeCell ref="H834:H836"/>
    <mergeCell ref="I834:I836"/>
    <mergeCell ref="J834:J836"/>
    <mergeCell ref="A812:A836"/>
    <mergeCell ref="B812:B815"/>
    <mergeCell ref="C812:C815"/>
    <mergeCell ref="D812:D815"/>
    <mergeCell ref="E812:E815"/>
    <mergeCell ref="F812:F815"/>
    <mergeCell ref="G812:G815"/>
    <mergeCell ref="I839:I842"/>
    <mergeCell ref="J839:J842"/>
    <mergeCell ref="D834:D836"/>
    <mergeCell ref="E834:E836"/>
    <mergeCell ref="D839:D842"/>
    <mergeCell ref="E839:E842"/>
    <mergeCell ref="F839:F842"/>
    <mergeCell ref="G839:G842"/>
    <mergeCell ref="H839:H842"/>
    <mergeCell ref="B861:B863"/>
    <mergeCell ref="C861:C863"/>
    <mergeCell ref="T753:T755"/>
    <mergeCell ref="U753:U755"/>
    <mergeCell ref="V758:V761"/>
    <mergeCell ref="V753:V755"/>
    <mergeCell ref="D756:V756"/>
    <mergeCell ref="D757:V757"/>
    <mergeCell ref="X757:AR757"/>
    <mergeCell ref="D758:D761"/>
    <mergeCell ref="E758:E761"/>
    <mergeCell ref="F758:F761"/>
    <mergeCell ref="G758:G761"/>
    <mergeCell ref="H758:H761"/>
    <mergeCell ref="I758:I761"/>
    <mergeCell ref="J758:J761"/>
    <mergeCell ref="K758:K761"/>
    <mergeCell ref="L758:L761"/>
    <mergeCell ref="M758:M761"/>
    <mergeCell ref="N758:N761"/>
    <mergeCell ref="O758:O761"/>
    <mergeCell ref="P758:P761"/>
    <mergeCell ref="Q758:Q761"/>
    <mergeCell ref="R758:R761"/>
    <mergeCell ref="S758:S761"/>
    <mergeCell ref="T758:T761"/>
    <mergeCell ref="U758:U761"/>
    <mergeCell ref="X658:AR658"/>
    <mergeCell ref="X667:AR667"/>
    <mergeCell ref="D672:D674"/>
    <mergeCell ref="E672:E674"/>
    <mergeCell ref="F672:F674"/>
    <mergeCell ref="G672:G674"/>
    <mergeCell ref="H672:H674"/>
    <mergeCell ref="I672:I674"/>
    <mergeCell ref="J672:J674"/>
    <mergeCell ref="K672:K674"/>
    <mergeCell ref="L672:L674"/>
    <mergeCell ref="M672:M674"/>
    <mergeCell ref="N672:N674"/>
    <mergeCell ref="O672:O674"/>
    <mergeCell ref="X685:AR685"/>
    <mergeCell ref="X694:AR694"/>
    <mergeCell ref="D699:D701"/>
    <mergeCell ref="E699:E701"/>
    <mergeCell ref="F699:F701"/>
    <mergeCell ref="G699:G701"/>
    <mergeCell ref="H699:H701"/>
    <mergeCell ref="I699:I701"/>
    <mergeCell ref="J699:J701"/>
    <mergeCell ref="K699:K701"/>
    <mergeCell ref="L699:L701"/>
    <mergeCell ref="M699:M701"/>
    <mergeCell ref="N699:N701"/>
    <mergeCell ref="O699:O701"/>
    <mergeCell ref="V650:V653"/>
    <mergeCell ref="V645:V647"/>
    <mergeCell ref="D648:V648"/>
    <mergeCell ref="D649:V649"/>
    <mergeCell ref="X649:AR649"/>
    <mergeCell ref="D650:D653"/>
    <mergeCell ref="E650:E653"/>
    <mergeCell ref="F650:F653"/>
    <mergeCell ref="G650:G653"/>
    <mergeCell ref="H650:H653"/>
    <mergeCell ref="I650:I653"/>
    <mergeCell ref="J650:J653"/>
    <mergeCell ref="K650:K653"/>
    <mergeCell ref="L650:L653"/>
    <mergeCell ref="M650:M653"/>
    <mergeCell ref="N650:N653"/>
    <mergeCell ref="O650:O653"/>
    <mergeCell ref="P650:P653"/>
    <mergeCell ref="Q650:Q653"/>
    <mergeCell ref="R650:R653"/>
    <mergeCell ref="S650:S653"/>
    <mergeCell ref="T650:T653"/>
    <mergeCell ref="U650:U653"/>
    <mergeCell ref="X631:AR631"/>
    <mergeCell ref="X640:AR640"/>
    <mergeCell ref="D645:D647"/>
    <mergeCell ref="E645:E647"/>
    <mergeCell ref="F645:F647"/>
    <mergeCell ref="G645:G647"/>
    <mergeCell ref="H645:H647"/>
    <mergeCell ref="I645:I647"/>
    <mergeCell ref="J645:J647"/>
    <mergeCell ref="K645:K647"/>
    <mergeCell ref="L645:L647"/>
    <mergeCell ref="M645:M647"/>
    <mergeCell ref="N645:N647"/>
    <mergeCell ref="O645:O647"/>
    <mergeCell ref="P645:P647"/>
    <mergeCell ref="Q645:Q647"/>
    <mergeCell ref="R645:R647"/>
    <mergeCell ref="S645:S647"/>
    <mergeCell ref="T645:T647"/>
    <mergeCell ref="U645:U647"/>
    <mergeCell ref="T618:T620"/>
    <mergeCell ref="U618:U620"/>
    <mergeCell ref="V623:V626"/>
    <mergeCell ref="V618:V620"/>
    <mergeCell ref="D621:V621"/>
    <mergeCell ref="D622:V622"/>
    <mergeCell ref="X622:AR622"/>
    <mergeCell ref="D623:D626"/>
    <mergeCell ref="E623:E626"/>
    <mergeCell ref="F623:F626"/>
    <mergeCell ref="G623:G626"/>
    <mergeCell ref="H623:H626"/>
    <mergeCell ref="I623:I626"/>
    <mergeCell ref="J623:J626"/>
    <mergeCell ref="K623:K626"/>
    <mergeCell ref="L623:L626"/>
    <mergeCell ref="M623:M626"/>
    <mergeCell ref="N623:N626"/>
    <mergeCell ref="O623:O626"/>
    <mergeCell ref="P623:P626"/>
    <mergeCell ref="Q623:Q626"/>
    <mergeCell ref="R623:R626"/>
    <mergeCell ref="S623:S626"/>
    <mergeCell ref="T623:T626"/>
    <mergeCell ref="U623:U626"/>
    <mergeCell ref="P672:P674"/>
    <mergeCell ref="Q672:Q674"/>
    <mergeCell ref="R672:R674"/>
    <mergeCell ref="S672:S674"/>
    <mergeCell ref="T672:T674"/>
    <mergeCell ref="U672:U674"/>
    <mergeCell ref="V677:V680"/>
    <mergeCell ref="V672:V674"/>
    <mergeCell ref="D675:V675"/>
    <mergeCell ref="D676:V676"/>
    <mergeCell ref="X676:AR676"/>
    <mergeCell ref="D677:D680"/>
    <mergeCell ref="E677:E680"/>
    <mergeCell ref="F677:F680"/>
    <mergeCell ref="G677:G680"/>
    <mergeCell ref="H677:H680"/>
    <mergeCell ref="I677:I680"/>
    <mergeCell ref="J677:J680"/>
    <mergeCell ref="K677:K680"/>
    <mergeCell ref="L677:L680"/>
    <mergeCell ref="M677:M680"/>
    <mergeCell ref="N677:N680"/>
    <mergeCell ref="O677:O680"/>
    <mergeCell ref="P677:P680"/>
    <mergeCell ref="Q677:Q680"/>
    <mergeCell ref="R677:R680"/>
    <mergeCell ref="S677:S680"/>
    <mergeCell ref="T677:T680"/>
    <mergeCell ref="U677:U680"/>
    <mergeCell ref="X577:AR577"/>
    <mergeCell ref="X586:AR586"/>
    <mergeCell ref="D591:D593"/>
    <mergeCell ref="E591:E593"/>
    <mergeCell ref="F591:F593"/>
    <mergeCell ref="G591:G593"/>
    <mergeCell ref="H591:H593"/>
    <mergeCell ref="I591:I593"/>
    <mergeCell ref="J591:J593"/>
    <mergeCell ref="K591:K593"/>
    <mergeCell ref="L591:L593"/>
    <mergeCell ref="M591:M593"/>
    <mergeCell ref="N591:N593"/>
    <mergeCell ref="O591:O593"/>
    <mergeCell ref="X604:AR604"/>
    <mergeCell ref="X613:AR613"/>
    <mergeCell ref="D618:D620"/>
    <mergeCell ref="E618:E620"/>
    <mergeCell ref="F618:F620"/>
    <mergeCell ref="G618:G620"/>
    <mergeCell ref="H618:H620"/>
    <mergeCell ref="I618:I620"/>
    <mergeCell ref="J618:J620"/>
    <mergeCell ref="K618:K620"/>
    <mergeCell ref="L618:L620"/>
    <mergeCell ref="M618:M620"/>
    <mergeCell ref="N618:N620"/>
    <mergeCell ref="O618:O620"/>
    <mergeCell ref="P618:P620"/>
    <mergeCell ref="Q618:Q620"/>
    <mergeCell ref="R618:R620"/>
    <mergeCell ref="S618:S620"/>
    <mergeCell ref="V569:V572"/>
    <mergeCell ref="V564:V566"/>
    <mergeCell ref="D567:V567"/>
    <mergeCell ref="D568:V568"/>
    <mergeCell ref="X568:AR568"/>
    <mergeCell ref="D569:D572"/>
    <mergeCell ref="E569:E572"/>
    <mergeCell ref="F569:F572"/>
    <mergeCell ref="G569:G572"/>
    <mergeCell ref="H569:H572"/>
    <mergeCell ref="I569:I572"/>
    <mergeCell ref="J569:J572"/>
    <mergeCell ref="K569:K572"/>
    <mergeCell ref="L569:L572"/>
    <mergeCell ref="M569:M572"/>
    <mergeCell ref="N569:N572"/>
    <mergeCell ref="O569:O572"/>
    <mergeCell ref="P569:P572"/>
    <mergeCell ref="Q569:Q572"/>
    <mergeCell ref="R569:R572"/>
    <mergeCell ref="S569:S572"/>
    <mergeCell ref="T569:T572"/>
    <mergeCell ref="U569:U572"/>
    <mergeCell ref="X550:AR550"/>
    <mergeCell ref="X559:AR559"/>
    <mergeCell ref="D564:D566"/>
    <mergeCell ref="E564:E566"/>
    <mergeCell ref="F564:F566"/>
    <mergeCell ref="G564:G566"/>
    <mergeCell ref="H564:H566"/>
    <mergeCell ref="I564:I566"/>
    <mergeCell ref="J564:J566"/>
    <mergeCell ref="K564:K566"/>
    <mergeCell ref="L564:L566"/>
    <mergeCell ref="M564:M566"/>
    <mergeCell ref="N564:N566"/>
    <mergeCell ref="O564:O566"/>
    <mergeCell ref="P564:P566"/>
    <mergeCell ref="Q564:Q566"/>
    <mergeCell ref="R564:R566"/>
    <mergeCell ref="S564:S566"/>
    <mergeCell ref="T564:T566"/>
    <mergeCell ref="U564:U566"/>
    <mergeCell ref="L537:L539"/>
    <mergeCell ref="M537:M539"/>
    <mergeCell ref="N537:N539"/>
    <mergeCell ref="O537:O539"/>
    <mergeCell ref="P537:P539"/>
    <mergeCell ref="Q537:Q539"/>
    <mergeCell ref="R537:R539"/>
    <mergeCell ref="S537:S539"/>
    <mergeCell ref="T537:T539"/>
    <mergeCell ref="U537:U539"/>
    <mergeCell ref="D540:V540"/>
    <mergeCell ref="D541:V541"/>
    <mergeCell ref="X541:AR541"/>
    <mergeCell ref="D542:D545"/>
    <mergeCell ref="S542:S545"/>
    <mergeCell ref="T542:T545"/>
    <mergeCell ref="U542:U545"/>
    <mergeCell ref="V542:V545"/>
    <mergeCell ref="E542:E545"/>
    <mergeCell ref="F542:F545"/>
    <mergeCell ref="G542:G545"/>
    <mergeCell ref="H542:H545"/>
    <mergeCell ref="I542:I545"/>
    <mergeCell ref="J542:J545"/>
    <mergeCell ref="K542:K545"/>
    <mergeCell ref="L542:L545"/>
    <mergeCell ref="M542:M545"/>
    <mergeCell ref="N542:N545"/>
    <mergeCell ref="O542:O545"/>
    <mergeCell ref="P542:P545"/>
    <mergeCell ref="Q542:Q545"/>
    <mergeCell ref="R542:R545"/>
    <mergeCell ref="X523:AR523"/>
    <mergeCell ref="J537:J539"/>
    <mergeCell ref="K537:K539"/>
    <mergeCell ref="P591:P593"/>
    <mergeCell ref="Q591:Q593"/>
    <mergeCell ref="R591:R593"/>
    <mergeCell ref="S591:S593"/>
    <mergeCell ref="T591:T593"/>
    <mergeCell ref="U591:U593"/>
    <mergeCell ref="V596:V599"/>
    <mergeCell ref="V591:V593"/>
    <mergeCell ref="D594:V594"/>
    <mergeCell ref="D595:V595"/>
    <mergeCell ref="X595:AR595"/>
    <mergeCell ref="D596:D599"/>
    <mergeCell ref="E596:E599"/>
    <mergeCell ref="F596:F599"/>
    <mergeCell ref="G596:G599"/>
    <mergeCell ref="H596:H599"/>
    <mergeCell ref="I596:I599"/>
    <mergeCell ref="J596:J599"/>
    <mergeCell ref="K596:K599"/>
    <mergeCell ref="L596:L599"/>
    <mergeCell ref="M596:M599"/>
    <mergeCell ref="N596:N599"/>
    <mergeCell ref="O596:O599"/>
    <mergeCell ref="P596:P599"/>
    <mergeCell ref="Q596:Q599"/>
    <mergeCell ref="R596:R599"/>
    <mergeCell ref="S596:S599"/>
    <mergeCell ref="T596:T599"/>
    <mergeCell ref="U596:U599"/>
    <mergeCell ref="D513:V513"/>
    <mergeCell ref="D514:V514"/>
    <mergeCell ref="J515:J518"/>
    <mergeCell ref="K515:K518"/>
    <mergeCell ref="X514:AR514"/>
    <mergeCell ref="D515:D518"/>
    <mergeCell ref="E515:E518"/>
    <mergeCell ref="F515:F518"/>
    <mergeCell ref="G515:G518"/>
    <mergeCell ref="H515:H518"/>
    <mergeCell ref="I515:I518"/>
    <mergeCell ref="L515:L518"/>
    <mergeCell ref="M515:M518"/>
    <mergeCell ref="X505:AR505"/>
    <mergeCell ref="D510:D512"/>
    <mergeCell ref="E510:E512"/>
    <mergeCell ref="F510:F512"/>
    <mergeCell ref="G510:G512"/>
    <mergeCell ref="H510:H512"/>
    <mergeCell ref="I510:I512"/>
    <mergeCell ref="V510:V512"/>
    <mergeCell ref="N515:N518"/>
    <mergeCell ref="O515:O518"/>
    <mergeCell ref="P515:P518"/>
    <mergeCell ref="Q515:Q518"/>
    <mergeCell ref="R515:R518"/>
    <mergeCell ref="S515:S518"/>
    <mergeCell ref="T515:T518"/>
    <mergeCell ref="U515:U518"/>
    <mergeCell ref="V515:V518"/>
    <mergeCell ref="D483:D485"/>
    <mergeCell ref="E483:E485"/>
    <mergeCell ref="F483:F485"/>
    <mergeCell ref="G483:G485"/>
    <mergeCell ref="H483:H485"/>
    <mergeCell ref="I483:I485"/>
    <mergeCell ref="V483:V485"/>
    <mergeCell ref="R488:R491"/>
    <mergeCell ref="S488:S491"/>
    <mergeCell ref="T488:T491"/>
    <mergeCell ref="U488:U491"/>
    <mergeCell ref="V488:V491"/>
    <mergeCell ref="X496:AR496"/>
    <mergeCell ref="J510:J512"/>
    <mergeCell ref="K510:K512"/>
    <mergeCell ref="L510:L512"/>
    <mergeCell ref="M510:M512"/>
    <mergeCell ref="N510:N512"/>
    <mergeCell ref="O510:O512"/>
    <mergeCell ref="P510:P512"/>
    <mergeCell ref="Q510:Q512"/>
    <mergeCell ref="R510:R512"/>
    <mergeCell ref="S510:S512"/>
    <mergeCell ref="T510:T512"/>
    <mergeCell ref="U510:U512"/>
    <mergeCell ref="D486:V486"/>
    <mergeCell ref="D487:V487"/>
    <mergeCell ref="J488:J491"/>
    <mergeCell ref="K488:K491"/>
    <mergeCell ref="L488:L491"/>
    <mergeCell ref="M488:M491"/>
    <mergeCell ref="N488:N491"/>
    <mergeCell ref="O488:O491"/>
    <mergeCell ref="X487:AR487"/>
    <mergeCell ref="D488:D491"/>
    <mergeCell ref="E488:E491"/>
    <mergeCell ref="F488:F491"/>
    <mergeCell ref="G488:G491"/>
    <mergeCell ref="H488:H491"/>
    <mergeCell ref="I488:I491"/>
    <mergeCell ref="P488:P491"/>
    <mergeCell ref="Q488:Q491"/>
    <mergeCell ref="I461:I464"/>
    <mergeCell ref="T461:T464"/>
    <mergeCell ref="U461:U464"/>
    <mergeCell ref="X397:AR397"/>
    <mergeCell ref="K402:K404"/>
    <mergeCell ref="L402:L404"/>
    <mergeCell ref="M402:M404"/>
    <mergeCell ref="N402:N404"/>
    <mergeCell ref="O402:O404"/>
    <mergeCell ref="P402:P404"/>
    <mergeCell ref="V461:V464"/>
    <mergeCell ref="X469:AR469"/>
    <mergeCell ref="J483:J485"/>
    <mergeCell ref="K483:K485"/>
    <mergeCell ref="L483:L485"/>
    <mergeCell ref="M483:M485"/>
    <mergeCell ref="N483:N485"/>
    <mergeCell ref="O483:O485"/>
    <mergeCell ref="P483:P485"/>
    <mergeCell ref="Q483:Q485"/>
    <mergeCell ref="R483:R485"/>
    <mergeCell ref="S483:S485"/>
    <mergeCell ref="T483:T485"/>
    <mergeCell ref="U483:U485"/>
    <mergeCell ref="X478:AR478"/>
    <mergeCell ref="I402:I404"/>
    <mergeCell ref="J402:J404"/>
    <mergeCell ref="I407:I410"/>
    <mergeCell ref="J407:J410"/>
    <mergeCell ref="X442:AR442"/>
    <mergeCell ref="X451:AR451"/>
    <mergeCell ref="K456:K458"/>
    <mergeCell ref="L456:L458"/>
    <mergeCell ref="M456:M458"/>
    <mergeCell ref="N456:N458"/>
    <mergeCell ref="O456:O458"/>
    <mergeCell ref="P456:P458"/>
    <mergeCell ref="Q456:Q458"/>
    <mergeCell ref="R456:R458"/>
    <mergeCell ref="S456:S458"/>
    <mergeCell ref="T456:T458"/>
    <mergeCell ref="U456:U458"/>
    <mergeCell ref="V456:V458"/>
    <mergeCell ref="D459:V459"/>
    <mergeCell ref="D460:V460"/>
    <mergeCell ref="J461:J464"/>
    <mergeCell ref="K461:K464"/>
    <mergeCell ref="L461:L464"/>
    <mergeCell ref="M461:M464"/>
    <mergeCell ref="N461:N464"/>
    <mergeCell ref="O461:O464"/>
    <mergeCell ref="P461:P464"/>
    <mergeCell ref="Q461:Q464"/>
    <mergeCell ref="R461:R464"/>
    <mergeCell ref="S461:S464"/>
    <mergeCell ref="X460:AR460"/>
    <mergeCell ref="D461:D464"/>
    <mergeCell ref="E461:E464"/>
    <mergeCell ref="F461:F464"/>
    <mergeCell ref="G461:G464"/>
    <mergeCell ref="H461:H464"/>
    <mergeCell ref="X415:AR415"/>
    <mergeCell ref="X424:AR424"/>
    <mergeCell ref="K429:K431"/>
    <mergeCell ref="L429:L431"/>
    <mergeCell ref="M429:M431"/>
    <mergeCell ref="N429:N431"/>
    <mergeCell ref="O429:O431"/>
    <mergeCell ref="P429:P431"/>
    <mergeCell ref="Q429:Q431"/>
    <mergeCell ref="R429:R431"/>
    <mergeCell ref="S429:S431"/>
    <mergeCell ref="T429:T431"/>
    <mergeCell ref="U429:U431"/>
    <mergeCell ref="V429:V431"/>
    <mergeCell ref="D432:V432"/>
    <mergeCell ref="D433:V433"/>
    <mergeCell ref="Q434:Q437"/>
    <mergeCell ref="R434:R437"/>
    <mergeCell ref="S434:S437"/>
    <mergeCell ref="T434:T437"/>
    <mergeCell ref="U434:U437"/>
    <mergeCell ref="V434:V437"/>
    <mergeCell ref="X433:AR433"/>
    <mergeCell ref="K434:K437"/>
    <mergeCell ref="L434:L437"/>
    <mergeCell ref="M434:M437"/>
    <mergeCell ref="N434:N437"/>
    <mergeCell ref="O434:O437"/>
    <mergeCell ref="P434:P437"/>
    <mergeCell ref="D429:D431"/>
    <mergeCell ref="E429:E431"/>
    <mergeCell ref="F429:F431"/>
    <mergeCell ref="X388:AR388"/>
    <mergeCell ref="Q402:Q404"/>
    <mergeCell ref="R402:R404"/>
    <mergeCell ref="S402:S404"/>
    <mergeCell ref="T402:T404"/>
    <mergeCell ref="U402:U404"/>
    <mergeCell ref="V402:V404"/>
    <mergeCell ref="D405:V405"/>
    <mergeCell ref="D406:V406"/>
    <mergeCell ref="Q407:Q410"/>
    <mergeCell ref="R407:R410"/>
    <mergeCell ref="X406:AR406"/>
    <mergeCell ref="K407:K410"/>
    <mergeCell ref="L407:L410"/>
    <mergeCell ref="M407:M410"/>
    <mergeCell ref="N407:N410"/>
    <mergeCell ref="O407:O410"/>
    <mergeCell ref="P407:P410"/>
    <mergeCell ref="S407:S410"/>
    <mergeCell ref="T407:T410"/>
    <mergeCell ref="U407:U410"/>
    <mergeCell ref="V407:V410"/>
    <mergeCell ref="D402:D404"/>
    <mergeCell ref="E402:E404"/>
    <mergeCell ref="F402:F404"/>
    <mergeCell ref="G402:G404"/>
    <mergeCell ref="H402:H404"/>
    <mergeCell ref="D407:D410"/>
    <mergeCell ref="E407:E410"/>
    <mergeCell ref="F407:F410"/>
    <mergeCell ref="G407:G410"/>
    <mergeCell ref="H407:H410"/>
    <mergeCell ref="D378:V378"/>
    <mergeCell ref="D379:V379"/>
    <mergeCell ref="X379:AR379"/>
    <mergeCell ref="K380:K383"/>
    <mergeCell ref="X361:AR361"/>
    <mergeCell ref="X370:AR370"/>
    <mergeCell ref="L380:L383"/>
    <mergeCell ref="M380:M383"/>
    <mergeCell ref="N380:N383"/>
    <mergeCell ref="O380:O383"/>
    <mergeCell ref="P380:P383"/>
    <mergeCell ref="Q380:Q383"/>
    <mergeCell ref="R380:R383"/>
    <mergeCell ref="S380:S383"/>
    <mergeCell ref="T380:T383"/>
    <mergeCell ref="U380:U383"/>
    <mergeCell ref="V380:V383"/>
    <mergeCell ref="D351:V351"/>
    <mergeCell ref="D352:V352"/>
    <mergeCell ref="Q353:Q356"/>
    <mergeCell ref="R353:R356"/>
    <mergeCell ref="S353:S356"/>
    <mergeCell ref="T353:T356"/>
    <mergeCell ref="U353:U356"/>
    <mergeCell ref="V353:V356"/>
    <mergeCell ref="X352:AR352"/>
    <mergeCell ref="K353:K356"/>
    <mergeCell ref="L353:L356"/>
    <mergeCell ref="M353:M356"/>
    <mergeCell ref="N353:N356"/>
    <mergeCell ref="O353:O356"/>
    <mergeCell ref="P353:P356"/>
    <mergeCell ref="K375:K377"/>
    <mergeCell ref="L375:L377"/>
    <mergeCell ref="M375:M377"/>
    <mergeCell ref="N375:N377"/>
    <mergeCell ref="O375:O377"/>
    <mergeCell ref="P375:P377"/>
    <mergeCell ref="Q375:Q377"/>
    <mergeCell ref="R375:R377"/>
    <mergeCell ref="S375:S377"/>
    <mergeCell ref="T375:T377"/>
    <mergeCell ref="U375:U377"/>
    <mergeCell ref="V375:V377"/>
    <mergeCell ref="I353:I356"/>
    <mergeCell ref="J353:J356"/>
    <mergeCell ref="D353:D356"/>
    <mergeCell ref="E353:E356"/>
    <mergeCell ref="F353:F356"/>
    <mergeCell ref="X325:AR325"/>
    <mergeCell ref="K326:K329"/>
    <mergeCell ref="L326:L329"/>
    <mergeCell ref="M326:M329"/>
    <mergeCell ref="N326:N329"/>
    <mergeCell ref="O326:O329"/>
    <mergeCell ref="P326:P329"/>
    <mergeCell ref="K348:K350"/>
    <mergeCell ref="L348:L350"/>
    <mergeCell ref="M348:M350"/>
    <mergeCell ref="N348:N350"/>
    <mergeCell ref="O348:O350"/>
    <mergeCell ref="P348:P350"/>
    <mergeCell ref="Q348:Q350"/>
    <mergeCell ref="R348:R350"/>
    <mergeCell ref="S348:S350"/>
    <mergeCell ref="T348:T350"/>
    <mergeCell ref="U348:U350"/>
    <mergeCell ref="V348:V350"/>
    <mergeCell ref="X334:AR334"/>
    <mergeCell ref="X343:AR343"/>
    <mergeCell ref="X739:AR739"/>
    <mergeCell ref="X748:AR748"/>
    <mergeCell ref="D753:D755"/>
    <mergeCell ref="E753:E755"/>
    <mergeCell ref="F753:F755"/>
    <mergeCell ref="G753:G755"/>
    <mergeCell ref="H753:H755"/>
    <mergeCell ref="I753:I755"/>
    <mergeCell ref="J753:J755"/>
    <mergeCell ref="K753:K755"/>
    <mergeCell ref="L753:L755"/>
    <mergeCell ref="M753:M755"/>
    <mergeCell ref="N753:N755"/>
    <mergeCell ref="O753:O755"/>
    <mergeCell ref="X766:AR766"/>
    <mergeCell ref="X775:AR775"/>
    <mergeCell ref="D780:D782"/>
    <mergeCell ref="E780:E782"/>
    <mergeCell ref="F780:F782"/>
    <mergeCell ref="G780:G782"/>
    <mergeCell ref="H780:H782"/>
    <mergeCell ref="I780:I782"/>
    <mergeCell ref="J780:J782"/>
    <mergeCell ref="K780:K782"/>
    <mergeCell ref="L780:L782"/>
    <mergeCell ref="M780:M782"/>
    <mergeCell ref="N780:N782"/>
    <mergeCell ref="O780:O782"/>
    <mergeCell ref="P753:P755"/>
    <mergeCell ref="Q753:Q755"/>
    <mergeCell ref="R753:R755"/>
    <mergeCell ref="S753:S755"/>
    <mergeCell ref="U726:U728"/>
    <mergeCell ref="V731:V734"/>
    <mergeCell ref="V726:V728"/>
    <mergeCell ref="D729:V729"/>
    <mergeCell ref="D730:V730"/>
    <mergeCell ref="X730:AR730"/>
    <mergeCell ref="D731:D734"/>
    <mergeCell ref="E731:E734"/>
    <mergeCell ref="F731:F734"/>
    <mergeCell ref="G731:G734"/>
    <mergeCell ref="H731:H734"/>
    <mergeCell ref="I731:I734"/>
    <mergeCell ref="J731:J734"/>
    <mergeCell ref="K731:K734"/>
    <mergeCell ref="L731:L734"/>
    <mergeCell ref="M731:M734"/>
    <mergeCell ref="N731:N734"/>
    <mergeCell ref="O731:O734"/>
    <mergeCell ref="P731:P734"/>
    <mergeCell ref="Q731:Q734"/>
    <mergeCell ref="R731:R734"/>
    <mergeCell ref="S731:S734"/>
    <mergeCell ref="T731:T734"/>
    <mergeCell ref="U731:U734"/>
    <mergeCell ref="D726:D728"/>
    <mergeCell ref="E726:E728"/>
    <mergeCell ref="F726:F728"/>
    <mergeCell ref="G726:G728"/>
    <mergeCell ref="H726:H728"/>
    <mergeCell ref="I726:I728"/>
    <mergeCell ref="J726:J728"/>
    <mergeCell ref="K726:K728"/>
    <mergeCell ref="L726:L728"/>
    <mergeCell ref="M726:M728"/>
    <mergeCell ref="N726:N728"/>
    <mergeCell ref="O726:O728"/>
    <mergeCell ref="P726:P728"/>
    <mergeCell ref="Q726:Q728"/>
    <mergeCell ref="R726:R728"/>
    <mergeCell ref="S726:S728"/>
    <mergeCell ref="T726:T728"/>
    <mergeCell ref="G704:G707"/>
    <mergeCell ref="H704:H707"/>
    <mergeCell ref="I704:I707"/>
    <mergeCell ref="J704:J707"/>
    <mergeCell ref="K704:K707"/>
    <mergeCell ref="L704:L707"/>
    <mergeCell ref="M704:M707"/>
    <mergeCell ref="N704:N707"/>
    <mergeCell ref="O704:O707"/>
    <mergeCell ref="P704:P707"/>
    <mergeCell ref="Q704:Q707"/>
    <mergeCell ref="R704:R707"/>
    <mergeCell ref="S704:S707"/>
    <mergeCell ref="T704:T707"/>
    <mergeCell ref="U704:U707"/>
    <mergeCell ref="X712:AR712"/>
    <mergeCell ref="X721:AR721"/>
    <mergeCell ref="D1:V1"/>
    <mergeCell ref="W1:W864"/>
    <mergeCell ref="X1:AR1"/>
    <mergeCell ref="AS1:AT837"/>
    <mergeCell ref="V24:V26"/>
    <mergeCell ref="X28:AR28"/>
    <mergeCell ref="X55:AR55"/>
    <mergeCell ref="D864:V864"/>
    <mergeCell ref="D868:J869"/>
    <mergeCell ref="K868:P869"/>
    <mergeCell ref="D870:J870"/>
    <mergeCell ref="K870:P870"/>
    <mergeCell ref="D871:J871"/>
    <mergeCell ref="K871:P871"/>
    <mergeCell ref="D872:J872"/>
    <mergeCell ref="K872:P872"/>
    <mergeCell ref="D873:J873"/>
    <mergeCell ref="K873:P873"/>
    <mergeCell ref="P699:P701"/>
    <mergeCell ref="Q699:Q701"/>
    <mergeCell ref="R699:R701"/>
    <mergeCell ref="S699:S701"/>
    <mergeCell ref="T699:T701"/>
    <mergeCell ref="U699:U701"/>
    <mergeCell ref="V704:V707"/>
    <mergeCell ref="V699:V701"/>
    <mergeCell ref="D702:V702"/>
    <mergeCell ref="D703:V703"/>
    <mergeCell ref="X703:AR703"/>
    <mergeCell ref="D704:D707"/>
    <mergeCell ref="E704:E707"/>
    <mergeCell ref="F704:F707"/>
    <mergeCell ref="D910:J910"/>
    <mergeCell ref="D911:P912"/>
    <mergeCell ref="D907:J907"/>
    <mergeCell ref="K907:P907"/>
    <mergeCell ref="D908:J908"/>
    <mergeCell ref="K908:P908"/>
    <mergeCell ref="D909:J909"/>
    <mergeCell ref="K909:P909"/>
    <mergeCell ref="K910:P910"/>
    <mergeCell ref="X532:AR532"/>
    <mergeCell ref="D537:D539"/>
    <mergeCell ref="E537:E539"/>
    <mergeCell ref="F537:F539"/>
    <mergeCell ref="G537:G539"/>
    <mergeCell ref="H537:H539"/>
    <mergeCell ref="I537:I539"/>
    <mergeCell ref="V537:V539"/>
    <mergeCell ref="X838:AT838"/>
    <mergeCell ref="X847:AT847"/>
    <mergeCell ref="X856:AT856"/>
    <mergeCell ref="R861:R863"/>
    <mergeCell ref="S861:S863"/>
    <mergeCell ref="T861:T863"/>
    <mergeCell ref="U861:U863"/>
    <mergeCell ref="V861:V863"/>
    <mergeCell ref="Q865:AT912"/>
    <mergeCell ref="D874:J874"/>
    <mergeCell ref="K874:P874"/>
    <mergeCell ref="K875:P875"/>
    <mergeCell ref="D875:J875"/>
    <mergeCell ref="D876:J876"/>
    <mergeCell ref="K876:P876"/>
    <mergeCell ref="D900:J900"/>
    <mergeCell ref="D901:J901"/>
    <mergeCell ref="K901:P901"/>
    <mergeCell ref="D897:J897"/>
    <mergeCell ref="K897:P897"/>
    <mergeCell ref="D898:J898"/>
    <mergeCell ref="K898:P898"/>
    <mergeCell ref="D899:J899"/>
    <mergeCell ref="K899:P899"/>
    <mergeCell ref="K900:P900"/>
    <mergeCell ref="D905:J905"/>
    <mergeCell ref="D906:J906"/>
    <mergeCell ref="K906:P906"/>
    <mergeCell ref="D902:J902"/>
    <mergeCell ref="K902:P902"/>
    <mergeCell ref="D903:J903"/>
    <mergeCell ref="K903:P903"/>
    <mergeCell ref="D904:J904"/>
    <mergeCell ref="K904:P904"/>
    <mergeCell ref="K905:P905"/>
    <mergeCell ref="D887:J887"/>
    <mergeCell ref="D888:P890"/>
    <mergeCell ref="D884:J884"/>
    <mergeCell ref="K884:P884"/>
    <mergeCell ref="D885:J885"/>
    <mergeCell ref="K885:P885"/>
    <mergeCell ref="D886:J886"/>
    <mergeCell ref="K886:P886"/>
    <mergeCell ref="K887:P887"/>
    <mergeCell ref="D895:J895"/>
    <mergeCell ref="D896:J896"/>
    <mergeCell ref="K896:P896"/>
    <mergeCell ref="D891:J892"/>
    <mergeCell ref="K891:P892"/>
    <mergeCell ref="D893:J893"/>
    <mergeCell ref="K893:P893"/>
    <mergeCell ref="D894:J894"/>
    <mergeCell ref="K894:P894"/>
    <mergeCell ref="K895:P895"/>
    <mergeCell ref="P780:P782"/>
    <mergeCell ref="Q780:Q782"/>
    <mergeCell ref="R780:R782"/>
    <mergeCell ref="S780:S782"/>
    <mergeCell ref="T780:T782"/>
    <mergeCell ref="U780:U782"/>
    <mergeCell ref="V780:V782"/>
    <mergeCell ref="D783:V783"/>
    <mergeCell ref="D784:V784"/>
    <mergeCell ref="X784:AR784"/>
    <mergeCell ref="D785:D788"/>
    <mergeCell ref="E785:E788"/>
    <mergeCell ref="F785:F788"/>
    <mergeCell ref="G785:G788"/>
    <mergeCell ref="D882:J882"/>
    <mergeCell ref="D883:J883"/>
    <mergeCell ref="K883:P883"/>
    <mergeCell ref="D879:J879"/>
    <mergeCell ref="K879:P879"/>
    <mergeCell ref="D880:J880"/>
    <mergeCell ref="K880:P880"/>
    <mergeCell ref="D881:J881"/>
    <mergeCell ref="K881:P881"/>
    <mergeCell ref="K882:P882"/>
    <mergeCell ref="D877:J877"/>
    <mergeCell ref="K877:P877"/>
    <mergeCell ref="D878:J878"/>
    <mergeCell ref="K878:P878"/>
    <mergeCell ref="P861:P863"/>
    <mergeCell ref="Q861:Q863"/>
    <mergeCell ref="I861:I863"/>
    <mergeCell ref="J861:J8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912"/>
  <sheetViews>
    <sheetView workbookViewId="0">
      <pane xSplit="3" topLeftCell="D1" activePane="topRight" state="frozen"/>
      <selection pane="topRight" activeCell="E2" sqref="E2"/>
    </sheetView>
  </sheetViews>
  <sheetFormatPr defaultColWidth="12.5703125" defaultRowHeight="15.75" customHeight="1" x14ac:dyDescent="0.2"/>
  <cols>
    <col min="1" max="1" width="12.5703125" customWidth="1"/>
    <col min="2" max="3" width="9.28515625" customWidth="1"/>
    <col min="4" max="5" width="8.5703125" customWidth="1"/>
    <col min="6" max="6" width="12" customWidth="1"/>
    <col min="7" max="13" width="11.42578125" customWidth="1"/>
    <col min="14" max="22" width="12.5703125" customWidth="1"/>
    <col min="24" max="24" width="9.7109375" customWidth="1"/>
    <col min="25" max="25" width="9.140625" customWidth="1"/>
    <col min="26" max="27" width="9" customWidth="1"/>
    <col min="28" max="28" width="11.85546875" customWidth="1"/>
    <col min="29" max="34" width="15" customWidth="1"/>
    <col min="35" max="35" width="17.7109375" customWidth="1"/>
    <col min="36" max="36" width="16" customWidth="1"/>
    <col min="37" max="37" width="19.42578125" customWidth="1"/>
    <col min="38" max="38" width="23.85546875" customWidth="1"/>
    <col min="39" max="39" width="21" customWidth="1"/>
    <col min="40" max="40" width="24.7109375" customWidth="1"/>
    <col min="41" max="41" width="16.140625" customWidth="1"/>
    <col min="42" max="42" width="12.5703125" customWidth="1"/>
    <col min="43" max="43" width="8.7109375" customWidth="1"/>
    <col min="44" max="44" width="16.28515625" customWidth="1"/>
    <col min="45" max="45" width="21.5703125" customWidth="1"/>
    <col min="46" max="46" width="26.5703125" customWidth="1"/>
  </cols>
  <sheetData>
    <row r="1" spans="1:46" ht="15.75" customHeight="1" x14ac:dyDescent="0.2">
      <c r="A1" s="110" t="s">
        <v>0</v>
      </c>
      <c r="B1" s="76"/>
      <c r="C1" s="76"/>
      <c r="D1" s="75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101"/>
      <c r="X1" s="102" t="s">
        <v>1</v>
      </c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9"/>
      <c r="AS1" s="101"/>
      <c r="AT1" s="76"/>
    </row>
    <row r="2" spans="1:46" ht="15.75" customHeight="1" x14ac:dyDescent="0.2">
      <c r="A2" s="113">
        <v>46235</v>
      </c>
      <c r="B2" s="80" t="s">
        <v>2</v>
      </c>
      <c r="C2" s="80" t="s">
        <v>3</v>
      </c>
      <c r="D2" s="80" t="s">
        <v>4</v>
      </c>
      <c r="E2" s="80" t="s">
        <v>5</v>
      </c>
      <c r="F2" s="81" t="s">
        <v>6</v>
      </c>
      <c r="G2" s="80" t="s">
        <v>7</v>
      </c>
      <c r="H2" s="80" t="s">
        <v>8</v>
      </c>
      <c r="I2" s="80" t="s">
        <v>9</v>
      </c>
      <c r="J2" s="80" t="s">
        <v>10</v>
      </c>
      <c r="K2" s="80" t="s">
        <v>11</v>
      </c>
      <c r="L2" s="80" t="s">
        <v>12</v>
      </c>
      <c r="M2" s="80" t="s">
        <v>13</v>
      </c>
      <c r="N2" s="81" t="s">
        <v>14</v>
      </c>
      <c r="O2" s="80" t="s">
        <v>15</v>
      </c>
      <c r="P2" s="80" t="s">
        <v>16</v>
      </c>
      <c r="Q2" s="80" t="s">
        <v>17</v>
      </c>
      <c r="R2" s="80" t="s">
        <v>18</v>
      </c>
      <c r="S2" s="106" t="s">
        <v>19</v>
      </c>
      <c r="T2" s="107" t="s">
        <v>20</v>
      </c>
      <c r="U2" s="107" t="s">
        <v>21</v>
      </c>
      <c r="V2" s="105" t="s">
        <v>22</v>
      </c>
      <c r="W2" s="76"/>
      <c r="X2" s="1" t="s">
        <v>2</v>
      </c>
      <c r="Y2" s="1" t="s">
        <v>3</v>
      </c>
      <c r="Z2" s="1" t="s">
        <v>4</v>
      </c>
      <c r="AA2" s="1" t="s">
        <v>5</v>
      </c>
      <c r="AB2" s="2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2" t="s">
        <v>14</v>
      </c>
      <c r="AK2" s="1" t="s">
        <v>15</v>
      </c>
      <c r="AL2" s="1" t="s">
        <v>16</v>
      </c>
      <c r="AM2" s="3" t="s">
        <v>17</v>
      </c>
      <c r="AN2" s="4" t="s">
        <v>18</v>
      </c>
      <c r="AO2" s="5" t="s">
        <v>19</v>
      </c>
      <c r="AP2" s="6" t="s">
        <v>20</v>
      </c>
      <c r="AQ2" s="6" t="s">
        <v>21</v>
      </c>
      <c r="AR2" s="7" t="s">
        <v>22</v>
      </c>
      <c r="AS2" s="76"/>
      <c r="AT2" s="76"/>
    </row>
    <row r="3" spans="1:46" ht="15.75" customHeight="1" x14ac:dyDescent="0.2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6"/>
      <c r="X3" s="8">
        <v>1</v>
      </c>
      <c r="Y3" s="8" t="s">
        <v>23</v>
      </c>
      <c r="Z3" s="8">
        <f t="shared" ref="Z3:AI3" si="0">SUM(D11)</f>
        <v>28</v>
      </c>
      <c r="AA3" s="9">
        <f t="shared" ca="1" si="0"/>
        <v>28</v>
      </c>
      <c r="AB3" s="10">
        <f t="shared" ca="1" si="0"/>
        <v>5450.8039999999901</v>
      </c>
      <c r="AC3" s="9">
        <f t="shared" ca="1" si="0"/>
        <v>1335</v>
      </c>
      <c r="AD3" s="9">
        <f t="shared" ca="1" si="0"/>
        <v>0</v>
      </c>
      <c r="AE3" s="9">
        <f t="shared" ca="1" si="0"/>
        <v>1335</v>
      </c>
      <c r="AF3" s="9">
        <f t="shared" ca="1" si="0"/>
        <v>2432</v>
      </c>
      <c r="AG3" s="9">
        <f t="shared" ca="1" si="0"/>
        <v>0</v>
      </c>
      <c r="AH3" s="9">
        <f t="shared" ca="1" si="0"/>
        <v>2432</v>
      </c>
      <c r="AI3" s="9">
        <f t="shared" ca="1" si="0"/>
        <v>3767</v>
      </c>
      <c r="AJ3" s="11">
        <f t="shared" ref="AJ3:AJ5" ca="1" si="1">AB3/AA3</f>
        <v>194.67157142857107</v>
      </c>
      <c r="AK3" s="8">
        <f>SUM(O11)</f>
        <v>6853</v>
      </c>
      <c r="AL3" s="12">
        <f t="shared" ref="AL3:AL9" ca="1" si="2">AI3/AK3</f>
        <v>0.54968626878739235</v>
      </c>
      <c r="AM3" s="13">
        <f t="shared" ref="AM3:AM5" si="3">SUM(Q11)</f>
        <v>1.5</v>
      </c>
      <c r="AN3" s="12">
        <f t="shared" ref="AN3:AN9" ca="1" si="4">AO3/AM3</f>
        <v>0.46072713921346975</v>
      </c>
      <c r="AO3" s="14">
        <f t="shared" ref="AO3:AO9" ca="1" si="5">AI3/AB3</f>
        <v>0.69109070882020462</v>
      </c>
      <c r="AP3" s="13">
        <f t="shared" ref="AP3:AQ3" ca="1" si="6">SUM(T11)</f>
        <v>161.55317131001749</v>
      </c>
      <c r="AQ3" s="13">
        <f t="shared" ca="1" si="6"/>
        <v>5.76975611821491</v>
      </c>
      <c r="AR3" s="9">
        <f t="shared" ref="AR3:AR9" ca="1" si="7">AI3/AA3</f>
        <v>134.53571428571428</v>
      </c>
      <c r="AS3" s="76"/>
      <c r="AT3" s="76"/>
    </row>
    <row r="4" spans="1:46" ht="15.75" customHeight="1" x14ac:dyDescent="0.2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6"/>
      <c r="X4" s="8">
        <v>2</v>
      </c>
      <c r="Y4" s="8" t="s">
        <v>24</v>
      </c>
      <c r="Z4" s="8">
        <f t="shared" ref="Z4:AI4" si="8">SUM(D12)</f>
        <v>37</v>
      </c>
      <c r="AA4" s="9">
        <f t="shared" ca="1" si="8"/>
        <v>37</v>
      </c>
      <c r="AB4" s="10">
        <f t="shared" ca="1" si="8"/>
        <v>6826.6509999999898</v>
      </c>
      <c r="AC4" s="9">
        <f t="shared" ca="1" si="8"/>
        <v>874</v>
      </c>
      <c r="AD4" s="9">
        <f t="shared" ca="1" si="8"/>
        <v>0</v>
      </c>
      <c r="AE4" s="9">
        <f t="shared" ca="1" si="8"/>
        <v>874</v>
      </c>
      <c r="AF4" s="9">
        <f t="shared" ca="1" si="8"/>
        <v>1156</v>
      </c>
      <c r="AG4" s="9">
        <f t="shared" ca="1" si="8"/>
        <v>18</v>
      </c>
      <c r="AH4" s="9">
        <f t="shared" ca="1" si="8"/>
        <v>1174</v>
      </c>
      <c r="AI4" s="9">
        <f t="shared" ca="1" si="8"/>
        <v>2048</v>
      </c>
      <c r="AJ4" s="11">
        <f t="shared" ca="1" si="1"/>
        <v>184.50408108108081</v>
      </c>
      <c r="AK4" s="8">
        <v>1580</v>
      </c>
      <c r="AL4" s="15">
        <f t="shared" ca="1" si="2"/>
        <v>1.2962025316455696</v>
      </c>
      <c r="AM4" s="13">
        <f t="shared" si="3"/>
        <v>1.5</v>
      </c>
      <c r="AN4" s="12">
        <f t="shared" ca="1" si="4"/>
        <v>0.20000045898542862</v>
      </c>
      <c r="AO4" s="14">
        <f t="shared" ca="1" si="5"/>
        <v>0.30000068847814293</v>
      </c>
      <c r="AP4" s="13">
        <f t="shared" ref="AP4:AQ4" ca="1" si="9">SUM(T12)</f>
        <v>254.67826897966759</v>
      </c>
      <c r="AQ4" s="13">
        <f t="shared" ca="1" si="9"/>
        <v>6.8831964589099348</v>
      </c>
      <c r="AR4" s="9">
        <f t="shared" ca="1" si="7"/>
        <v>55.351351351351354</v>
      </c>
      <c r="AS4" s="76"/>
      <c r="AT4" s="76"/>
    </row>
    <row r="5" spans="1:46" ht="15.75" customHeight="1" x14ac:dyDescent="0.2">
      <c r="A5" s="70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6"/>
      <c r="X5" s="8">
        <v>3</v>
      </c>
      <c r="Y5" s="8" t="s">
        <v>25</v>
      </c>
      <c r="Z5" s="8">
        <f t="shared" ref="Z5:AI5" si="10">SUM(D13)</f>
        <v>27</v>
      </c>
      <c r="AA5" s="9">
        <f t="shared" ca="1" si="10"/>
        <v>26</v>
      </c>
      <c r="AB5" s="10">
        <f t="shared" ca="1" si="10"/>
        <v>5143.28</v>
      </c>
      <c r="AC5" s="9">
        <f t="shared" ca="1" si="10"/>
        <v>1580</v>
      </c>
      <c r="AD5" s="9">
        <f t="shared" ca="1" si="10"/>
        <v>484</v>
      </c>
      <c r="AE5" s="9">
        <f t="shared" ca="1" si="10"/>
        <v>2064</v>
      </c>
      <c r="AF5" s="9">
        <f t="shared" ca="1" si="10"/>
        <v>3092</v>
      </c>
      <c r="AG5" s="9">
        <f t="shared" ca="1" si="10"/>
        <v>228</v>
      </c>
      <c r="AH5" s="9">
        <f t="shared" ca="1" si="10"/>
        <v>3320</v>
      </c>
      <c r="AI5" s="9">
        <f t="shared" ca="1" si="10"/>
        <v>5384</v>
      </c>
      <c r="AJ5" s="11">
        <f t="shared" ca="1" si="1"/>
        <v>197.81846153846152</v>
      </c>
      <c r="AK5" s="8">
        <f>SUM(O13)</f>
        <v>6622</v>
      </c>
      <c r="AL5" s="12">
        <f t="shared" ca="1" si="2"/>
        <v>0.81304741769858047</v>
      </c>
      <c r="AM5" s="13">
        <f t="shared" si="3"/>
        <v>1.5</v>
      </c>
      <c r="AN5" s="12">
        <f t="shared" ca="1" si="4"/>
        <v>0.69786854562328582</v>
      </c>
      <c r="AO5" s="14">
        <f t="shared" ca="1" si="5"/>
        <v>1.0468028184349287</v>
      </c>
      <c r="AP5" s="13">
        <f t="shared" ref="AP5:AQ5" ca="1" si="11">SUM(T13)</f>
        <v>215.74161073825502</v>
      </c>
      <c r="AQ5" s="13">
        <f t="shared" ca="1" si="11"/>
        <v>8.2977542591636553</v>
      </c>
      <c r="AR5" s="9">
        <f t="shared" ca="1" si="7"/>
        <v>207.07692307692307</v>
      </c>
      <c r="AS5" s="76"/>
      <c r="AT5" s="76"/>
    </row>
    <row r="6" spans="1:46" ht="15.75" customHeight="1" x14ac:dyDescent="0.25">
      <c r="A6" s="70"/>
      <c r="B6" s="16">
        <v>1</v>
      </c>
      <c r="C6" s="16" t="s">
        <v>26</v>
      </c>
      <c r="D6" s="17">
        <v>16</v>
      </c>
      <c r="E6" s="18">
        <f ca="1">IFERROR(__xludf.DUMMYFUNCTION("COUNT(IMPORTRANGE(""https://docs.google.com/spreadsheets/d/1iVFEBQOAONhqDIMRa2hQ7WkCQv0dJWSAmc0AzfvSCMg/edit"",""1!d2:d21""))"),15)</f>
        <v>15</v>
      </c>
      <c r="F6" s="19">
        <f ca="1">IFERROR(__xludf.DUMMYFUNCTION("SUM(IMPORTRANGE(""https://docs.google.com/spreadsheets/d/1iVFEBQOAONhqDIMRa2hQ7WkCQv0dJWSAmc0AzfvSCMg/edit"",""1!Q2:Q21""))"),2883.459)</f>
        <v>2883.4589999999998</v>
      </c>
      <c r="G6" s="18">
        <f ca="1">IFERROR(__xludf.DUMMYFUNCTION("IMPORTRANGE(""https://docs.google.com/spreadsheets/d/1iVFEBQOAONhqDIMRa2hQ7WkCQv0dJWSAmc0AzfvSCMg/edit"",""1!e28"")"),1664)</f>
        <v>1664</v>
      </c>
      <c r="H6" s="18">
        <f ca="1">IFERROR(__xludf.DUMMYFUNCTION("IMPORTRANGE(""https://docs.google.com/spreadsheets/d/1iVFEBQOAONhqDIMRa2hQ7WkCQv0dJWSAmc0AzfvSCMg/edit"",""1!e29"")"),0)</f>
        <v>0</v>
      </c>
      <c r="I6" s="18">
        <f t="shared" ref="I6:I23" ca="1" si="12">SUM(G6:H6)</f>
        <v>1664</v>
      </c>
      <c r="J6" s="18">
        <f ca="1">IFERROR(__xludf.DUMMYFUNCTION("IMPORTRANGE(""https://docs.google.com/spreadsheets/d/1iVFEBQOAONhqDIMRa2hQ7WkCQv0dJWSAmc0AzfvSCMg/edit"",""1!e32"")"),1664)</f>
        <v>1664</v>
      </c>
      <c r="K6" s="18">
        <f ca="1">IFERROR(__xludf.DUMMYFUNCTION("IMPORTRANGE(""https://docs.google.com/spreadsheets/d/1iVFEBQOAONhqDIMRa2hQ7WkCQv0dJWSAmc0AzfvSCMg/edit"",""1!e33"")"),0)</f>
        <v>0</v>
      </c>
      <c r="L6" s="18">
        <f t="shared" ref="L6:L12" ca="1" si="13">SUM(J6:K6)</f>
        <v>1664</v>
      </c>
      <c r="M6" s="18">
        <f t="shared" ref="M6:M23" ca="1" si="14">SUM(I6+L6)</f>
        <v>3328</v>
      </c>
      <c r="N6" s="19">
        <f t="shared" ref="N6:N24" ca="1" si="15">F6/E6</f>
        <v>192.23059999999998</v>
      </c>
      <c r="O6" s="16">
        <v>5161</v>
      </c>
      <c r="P6" s="20">
        <f t="shared" ref="P6:P24" ca="1" si="16">M6/O6</f>
        <v>0.64483627204030225</v>
      </c>
      <c r="Q6" s="21">
        <v>1.5</v>
      </c>
      <c r="R6" s="20">
        <f t="shared" ref="R6:R24" ca="1" si="17">S6/Q6</f>
        <v>0.76944623338381668</v>
      </c>
      <c r="S6" s="22">
        <f t="shared" ref="S6:S24" ca="1" si="18">M6/F6</f>
        <v>1.1541693500757251</v>
      </c>
      <c r="T6" s="21">
        <f ca="1">F6/14.415</f>
        <v>200.0318418314256</v>
      </c>
      <c r="U6" s="21">
        <f t="shared" ref="U6:U24" ca="1" si="19">T6/E6</f>
        <v>13.33545612209504</v>
      </c>
      <c r="V6" s="18">
        <f t="shared" ref="V6:V24" ca="1" si="20">M6/E6</f>
        <v>221.86666666666667</v>
      </c>
      <c r="W6" s="76"/>
      <c r="X6" s="8">
        <v>4</v>
      </c>
      <c r="Y6" s="8" t="s">
        <v>27</v>
      </c>
      <c r="Z6" s="8">
        <f t="shared" ref="Z6:AK6" si="21">SUM(D19)</f>
        <v>24</v>
      </c>
      <c r="AA6" s="9">
        <f t="shared" ca="1" si="21"/>
        <v>24</v>
      </c>
      <c r="AB6" s="10">
        <f t="shared" ca="1" si="21"/>
        <v>4386.57</v>
      </c>
      <c r="AC6" s="9">
        <f t="shared" ca="1" si="21"/>
        <v>1827</v>
      </c>
      <c r="AD6" s="9">
        <f t="shared" ca="1" si="21"/>
        <v>0</v>
      </c>
      <c r="AE6" s="9">
        <f t="shared" ca="1" si="21"/>
        <v>1827</v>
      </c>
      <c r="AF6" s="9">
        <f t="shared" ca="1" si="21"/>
        <v>2426</v>
      </c>
      <c r="AG6" s="9">
        <f t="shared" ca="1" si="21"/>
        <v>0</v>
      </c>
      <c r="AH6" s="9">
        <f t="shared" ca="1" si="21"/>
        <v>2426</v>
      </c>
      <c r="AI6" s="9">
        <f t="shared" ca="1" si="21"/>
        <v>4253</v>
      </c>
      <c r="AJ6" s="11">
        <f t="shared" ca="1" si="21"/>
        <v>182.77374999999998</v>
      </c>
      <c r="AK6" s="8">
        <f t="shared" si="21"/>
        <v>8101</v>
      </c>
      <c r="AL6" s="12">
        <f t="shared" ca="1" si="2"/>
        <v>0.52499691396123938</v>
      </c>
      <c r="AM6" s="13">
        <f>SUM(Q19)</f>
        <v>1.5</v>
      </c>
      <c r="AN6" s="12">
        <f t="shared" ca="1" si="4"/>
        <v>0.64636682723251504</v>
      </c>
      <c r="AO6" s="14">
        <f t="shared" ca="1" si="5"/>
        <v>0.96955024084877262</v>
      </c>
      <c r="AP6" s="13">
        <f t="shared" ref="AP6:AQ6" ca="1" si="22">SUM(T19)</f>
        <v>219.49311983987991</v>
      </c>
      <c r="AQ6" s="13">
        <f t="shared" ca="1" si="22"/>
        <v>9.1455466599949968</v>
      </c>
      <c r="AR6" s="9">
        <f t="shared" ca="1" si="7"/>
        <v>177.20833333333334</v>
      </c>
      <c r="AS6" s="76"/>
      <c r="AT6" s="76"/>
    </row>
    <row r="7" spans="1:46" ht="15.75" customHeight="1" x14ac:dyDescent="0.25">
      <c r="A7" s="70"/>
      <c r="B7" s="16">
        <v>2</v>
      </c>
      <c r="C7" s="16" t="s">
        <v>28</v>
      </c>
      <c r="D7" s="17">
        <v>26</v>
      </c>
      <c r="E7" s="18">
        <f ca="1">IFERROR(__xludf.DUMMYFUNCTION("COUNT(IMPORTRANGE(""https://docs.google.com/spreadsheets/d/1tJCeYclgeJZ4Dc78t_SkhVjtacKW-5-VGim8X1rzUzk/edit"",""1!d2:d34""))"),26)</f>
        <v>26</v>
      </c>
      <c r="F7" s="19">
        <f ca="1">IFERROR(__xludf.DUMMYFUNCTION("SUM(IMPORTRANGE(""https://docs.google.com/spreadsheets/d/1tJCeYclgeJZ4Dc78t_SkhVjtacKW-5-VGim8X1rzUzk/edit"",""1!Q2:Q34""))"),5185.99)</f>
        <v>5185.99</v>
      </c>
      <c r="G7" s="18">
        <f ca="1">IFERROR(__xludf.DUMMYFUNCTION("IMPORTRANGE(""https://docs.google.com/spreadsheets/d/1tJCeYclgeJZ4Dc78t_SkhVjtacKW-5-VGim8X1rzUzk/edit"",""1!e41"")"),1930)</f>
        <v>1930</v>
      </c>
      <c r="H7" s="18">
        <f ca="1">IFERROR(__xludf.DUMMYFUNCTION("IMPORTRANGE(""https://docs.google.com/spreadsheets/d/1tJCeYclgeJZ4Dc78t_SkhVjtacKW-5-VGim8X1rzUzk/edit"",""1!e42"")"),72)</f>
        <v>72</v>
      </c>
      <c r="I7" s="18">
        <f t="shared" ca="1" si="12"/>
        <v>2002</v>
      </c>
      <c r="J7" s="18">
        <f ca="1">IFERROR(__xludf.DUMMYFUNCTION("IMPORTRANGE(""https://docs.google.com/spreadsheets/d/1tJCeYclgeJZ4Dc78t_SkhVjtacKW-5-VGim8X1rzUzk/edit"",""1!e45"")"),1955)</f>
        <v>1955</v>
      </c>
      <c r="K7" s="18">
        <f ca="1">IFERROR(__xludf.DUMMYFUNCTION("IMPORTRANGE(""https://docs.google.com/spreadsheets/d/1tJCeYclgeJZ4Dc78t_SkhVjtacKW-5-VGim8X1rzUzk/edit"",""1!e46"")"),139)</f>
        <v>139</v>
      </c>
      <c r="L7" s="18">
        <f t="shared" ca="1" si="13"/>
        <v>2094</v>
      </c>
      <c r="M7" s="18">
        <f t="shared" ca="1" si="14"/>
        <v>4096</v>
      </c>
      <c r="N7" s="19">
        <f t="shared" ca="1" si="15"/>
        <v>199.46115384615385</v>
      </c>
      <c r="O7" s="16">
        <v>7315</v>
      </c>
      <c r="P7" s="20">
        <f t="shared" ca="1" si="16"/>
        <v>0.55994531784005463</v>
      </c>
      <c r="Q7" s="21">
        <v>1.5</v>
      </c>
      <c r="R7" s="20">
        <f t="shared" ca="1" si="17"/>
        <v>0.52654684383631023</v>
      </c>
      <c r="S7" s="22">
        <f t="shared" ca="1" si="18"/>
        <v>0.7898202657544654</v>
      </c>
      <c r="T7" s="21">
        <f ca="1">F7/30.897</f>
        <v>167.84768747774865</v>
      </c>
      <c r="U7" s="21">
        <f t="shared" ca="1" si="19"/>
        <v>6.4556802876057171</v>
      </c>
      <c r="V7" s="18">
        <f t="shared" ca="1" si="20"/>
        <v>157.53846153846155</v>
      </c>
      <c r="W7" s="76"/>
      <c r="X7" s="8">
        <v>5</v>
      </c>
      <c r="Y7" s="8" t="s">
        <v>29</v>
      </c>
      <c r="Z7" s="8">
        <f t="shared" ref="Z7:AI7" si="23">SUM(D22)</f>
        <v>24</v>
      </c>
      <c r="AA7" s="9">
        <f t="shared" ca="1" si="23"/>
        <v>23</v>
      </c>
      <c r="AB7" s="10">
        <f t="shared" ca="1" si="23"/>
        <v>4426.46</v>
      </c>
      <c r="AC7" s="9">
        <f t="shared" ca="1" si="23"/>
        <v>2038</v>
      </c>
      <c r="AD7" s="9">
        <f t="shared" ca="1" si="23"/>
        <v>0</v>
      </c>
      <c r="AE7" s="9">
        <f t="shared" ca="1" si="23"/>
        <v>2038</v>
      </c>
      <c r="AF7" s="9">
        <f t="shared" ca="1" si="23"/>
        <v>2902</v>
      </c>
      <c r="AG7" s="9">
        <f t="shared" ca="1" si="23"/>
        <v>0</v>
      </c>
      <c r="AH7" s="9">
        <f t="shared" ca="1" si="23"/>
        <v>2902</v>
      </c>
      <c r="AI7" s="9">
        <f t="shared" ca="1" si="23"/>
        <v>4940</v>
      </c>
      <c r="AJ7" s="11">
        <f t="shared" ref="AJ7:AJ9" ca="1" si="24">AB7/AA7</f>
        <v>192.45478260869567</v>
      </c>
      <c r="AK7" s="8">
        <f t="shared" ref="AK7:AK8" si="25">SUM(O22)</f>
        <v>9201</v>
      </c>
      <c r="AL7" s="12">
        <f t="shared" ca="1" si="2"/>
        <v>0.53689816324312578</v>
      </c>
      <c r="AM7" s="13">
        <f t="shared" ref="AM7:AM8" si="26">SUM(Q22)</f>
        <v>1.5</v>
      </c>
      <c r="AN7" s="12">
        <f t="shared" ca="1" si="4"/>
        <v>0.74401063905091958</v>
      </c>
      <c r="AO7" s="14">
        <f t="shared" ca="1" si="5"/>
        <v>1.1160159585763794</v>
      </c>
      <c r="AP7" s="13">
        <f t="shared" ref="AP7:AQ7" ca="1" si="27">SUM(T22)</f>
        <v>170</v>
      </c>
      <c r="AQ7" s="13">
        <f t="shared" ca="1" si="27"/>
        <v>7.3913043478260869</v>
      </c>
      <c r="AR7" s="9">
        <f t="shared" ca="1" si="7"/>
        <v>214.78260869565219</v>
      </c>
      <c r="AS7" s="76"/>
      <c r="AT7" s="76"/>
    </row>
    <row r="8" spans="1:46" ht="15.75" customHeight="1" x14ac:dyDescent="0.25">
      <c r="A8" s="70"/>
      <c r="B8" s="16">
        <v>3</v>
      </c>
      <c r="C8" s="16" t="s">
        <v>30</v>
      </c>
      <c r="D8" s="17">
        <v>48</v>
      </c>
      <c r="E8" s="18">
        <f ca="1">IFERROR(__xludf.DUMMYFUNCTION("COUNT(IMPORTRANGE(""https://docs.google.com/spreadsheets/d/130gLEONC13J8KkQ6dk06x3bLRy_jCrAw2hXatQf2W50/edit"",""1!d2:d61""))"),46)</f>
        <v>46</v>
      </c>
      <c r="F8" s="23">
        <f ca="1">IFERROR(__xludf.DUMMYFUNCTION("SUM(IMPORTRANGE(""https://docs.google.com/spreadsheets/d/130gLEONC13J8KkQ6dk06x3bLRy_jCrAw2hXatQf2W50/edit"",""1!Q2:Q61""))"),9164.23099999999)</f>
        <v>9164.2309999999907</v>
      </c>
      <c r="G8" s="18">
        <f ca="1">IFERROR(__xludf.DUMMYFUNCTION("IMPORTRANGE(""https://docs.google.com/spreadsheets/d/130gLEONC13J8KkQ6dk06x3bLRy_jCrAw2hXatQf2W50/edit"",""1!e68"")"),2631)</f>
        <v>2631</v>
      </c>
      <c r="H8" s="18">
        <f ca="1">IFERROR(__xludf.DUMMYFUNCTION("IMPORTRANGE(""https://docs.google.com/spreadsheets/d/130gLEONC13J8KkQ6dk06x3bLRy_jCrAw2hXatQf2W50/edit"",""1!e69"")"),0)</f>
        <v>0</v>
      </c>
      <c r="I8" s="18">
        <f t="shared" ca="1" si="12"/>
        <v>2631</v>
      </c>
      <c r="J8" s="18">
        <f ca="1">IFERROR(__xludf.DUMMYFUNCTION("IMPORTRANGE(""https://docs.google.com/spreadsheets/d/130gLEONC13J8KkQ6dk06x3bLRy_jCrAw2hXatQf2W50/edit"",""1!e72"")"),4211)</f>
        <v>4211</v>
      </c>
      <c r="K8" s="18">
        <f ca="1">IFERROR(__xludf.DUMMYFUNCTION("IMPORTRANGE(""https://docs.google.com/spreadsheets/d/130gLEONC13J8KkQ6dk06x3bLRy_jCrAw2hXatQf2W50/edit"",""1!e73"")"),0)</f>
        <v>0</v>
      </c>
      <c r="L8" s="18">
        <f t="shared" ca="1" si="13"/>
        <v>4211</v>
      </c>
      <c r="M8" s="18">
        <f t="shared" ca="1" si="14"/>
        <v>6842</v>
      </c>
      <c r="N8" s="19">
        <f t="shared" ca="1" si="15"/>
        <v>199.22241304347807</v>
      </c>
      <c r="O8" s="16">
        <v>11164</v>
      </c>
      <c r="P8" s="20">
        <f t="shared" ca="1" si="16"/>
        <v>0.61286277319957005</v>
      </c>
      <c r="Q8" s="21">
        <v>1.5</v>
      </c>
      <c r="R8" s="20">
        <f t="shared" ca="1" si="17"/>
        <v>0.49773225198419135</v>
      </c>
      <c r="S8" s="22">
        <f t="shared" ca="1" si="18"/>
        <v>0.74659837797628703</v>
      </c>
      <c r="T8" s="21">
        <f ca="1">F8/29.603</f>
        <v>309.57102320710703</v>
      </c>
      <c r="U8" s="21">
        <f t="shared" ca="1" si="19"/>
        <v>6.7298048523284137</v>
      </c>
      <c r="V8" s="18">
        <f t="shared" ca="1" si="20"/>
        <v>148.7391304347826</v>
      </c>
      <c r="W8" s="76"/>
      <c r="X8" s="8">
        <v>6</v>
      </c>
      <c r="Y8" s="8" t="s">
        <v>31</v>
      </c>
      <c r="Z8" s="8">
        <f t="shared" ref="Z8:AI8" si="28">SUM(D23)</f>
        <v>12</v>
      </c>
      <c r="AA8" s="9">
        <f t="shared" ca="1" si="28"/>
        <v>11</v>
      </c>
      <c r="AB8" s="11">
        <f t="shared" ca="1" si="28"/>
        <v>2129.7849999999999</v>
      </c>
      <c r="AC8" s="9">
        <f t="shared" ca="1" si="28"/>
        <v>587</v>
      </c>
      <c r="AD8" s="9">
        <f t="shared" ca="1" si="28"/>
        <v>8</v>
      </c>
      <c r="AE8" s="9">
        <f t="shared" ca="1" si="28"/>
        <v>595</v>
      </c>
      <c r="AF8" s="9">
        <f t="shared" ca="1" si="28"/>
        <v>852</v>
      </c>
      <c r="AG8" s="9">
        <f t="shared" ca="1" si="28"/>
        <v>0</v>
      </c>
      <c r="AH8" s="9">
        <f t="shared" ca="1" si="28"/>
        <v>852</v>
      </c>
      <c r="AI8" s="9">
        <f t="shared" ca="1" si="28"/>
        <v>1447</v>
      </c>
      <c r="AJ8" s="11">
        <f t="shared" ca="1" si="24"/>
        <v>193.61681818181816</v>
      </c>
      <c r="AK8" s="8">
        <f t="shared" si="25"/>
        <v>2717</v>
      </c>
      <c r="AL8" s="12">
        <f t="shared" ca="1" si="2"/>
        <v>0.53257269046742728</v>
      </c>
      <c r="AM8" s="13">
        <f t="shared" si="26"/>
        <v>1.5</v>
      </c>
      <c r="AN8" s="12">
        <f t="shared" ca="1" si="4"/>
        <v>0.45294086805319161</v>
      </c>
      <c r="AO8" s="14">
        <f t="shared" ca="1" si="5"/>
        <v>0.67941130207978739</v>
      </c>
      <c r="AP8" s="13">
        <f t="shared" ref="AP8:AQ8" ca="1" si="29">SUM(T23)</f>
        <v>48.999999999999993</v>
      </c>
      <c r="AQ8" s="13">
        <f t="shared" ca="1" si="29"/>
        <v>4.4545454545454541</v>
      </c>
      <c r="AR8" s="9">
        <f t="shared" ca="1" si="7"/>
        <v>131.54545454545453</v>
      </c>
      <c r="AS8" s="76"/>
      <c r="AT8" s="76"/>
    </row>
    <row r="9" spans="1:46" ht="15.75" customHeight="1" x14ac:dyDescent="0.25">
      <c r="A9" s="70"/>
      <c r="B9" s="16">
        <v>4</v>
      </c>
      <c r="C9" s="16" t="s">
        <v>32</v>
      </c>
      <c r="D9" s="17">
        <v>33</v>
      </c>
      <c r="E9" s="18">
        <f ca="1">IFERROR(__xludf.DUMMYFUNCTION("COUNT(IMPORTRANGE(""https://docs.google.com/spreadsheets/d/1gYHli7FuKQLm2Q-5LMR0UtkD-gRRA_p8s-phLPLDLgc/edit"",""1!d2:d43""))"),33)</f>
        <v>33</v>
      </c>
      <c r="F9" s="23">
        <f ca="1">IFERROR(__xludf.DUMMYFUNCTION("SUM(IMPORTRANGE(""https://docs.google.com/spreadsheets/d/1gYHli7FuKQLm2Q-5LMR0UtkD-gRRA_p8s-phLPLDLgc/edit"",""1!Q2:Q43""))"),6486.58099999999)</f>
        <v>6486.5809999999901</v>
      </c>
      <c r="G9" s="16">
        <f ca="1">IFERROR(__xludf.DUMMYFUNCTION("IMPORTRANGE(""https://docs.google.com/spreadsheets/d/1gYHli7FuKQLm2Q-5LMR0UtkD-gRRA_p8s-phLPLDLgc/edit"",""1!e50"")"),3724)</f>
        <v>3724</v>
      </c>
      <c r="H9" s="16">
        <f ca="1">IFERROR(__xludf.DUMMYFUNCTION("IMPORTRANGE(""https://docs.google.com/spreadsheets/d/1gYHli7FuKQLm2Q-5LMR0UtkD-gRRA_p8s-phLPLDLgc/edit"",""1!e51"")"),0)</f>
        <v>0</v>
      </c>
      <c r="I9" s="18">
        <f t="shared" ca="1" si="12"/>
        <v>3724</v>
      </c>
      <c r="J9" s="16">
        <f ca="1">IFERROR(__xludf.DUMMYFUNCTION("IMPORTRANGE(""https://docs.google.com/spreadsheets/d/1gYHli7FuKQLm2Q-5LMR0UtkD-gRRA_p8s-phLPLDLgc/edit"",""1!e54"")"),3793)</f>
        <v>3793</v>
      </c>
      <c r="K9" s="16">
        <f ca="1">IFERROR(__xludf.DUMMYFUNCTION("IMPORTRANGE(""https://docs.google.com/spreadsheets/d/1gYHli7FuKQLm2Q-5LMR0UtkD-gRRA_p8s-phLPLDLgc/edit"",""1!e55"")"),0)</f>
        <v>0</v>
      </c>
      <c r="L9" s="18">
        <f t="shared" ca="1" si="13"/>
        <v>3793</v>
      </c>
      <c r="M9" s="18">
        <f t="shared" ca="1" si="14"/>
        <v>7517</v>
      </c>
      <c r="N9" s="19">
        <f t="shared" ca="1" si="15"/>
        <v>196.5630606060603</v>
      </c>
      <c r="O9" s="16">
        <v>13817</v>
      </c>
      <c r="P9" s="20">
        <f t="shared" ca="1" si="16"/>
        <v>0.54403995078526457</v>
      </c>
      <c r="Q9" s="21">
        <v>1.5</v>
      </c>
      <c r="R9" s="20">
        <f t="shared" ca="1" si="17"/>
        <v>0.77256929857706869</v>
      </c>
      <c r="S9" s="22">
        <f t="shared" ca="1" si="18"/>
        <v>1.158853947865603</v>
      </c>
      <c r="T9" s="21">
        <f ca="1">F9/25.089</f>
        <v>258.54282753397865</v>
      </c>
      <c r="U9" s="21">
        <f t="shared" ca="1" si="19"/>
        <v>7.8346311373932922</v>
      </c>
      <c r="V9" s="18">
        <f t="shared" ca="1" si="20"/>
        <v>227.78787878787878</v>
      </c>
      <c r="W9" s="76"/>
      <c r="X9" s="24" t="s">
        <v>33</v>
      </c>
      <c r="Y9" s="24">
        <v>6</v>
      </c>
      <c r="Z9" s="24">
        <f t="shared" ref="Z9:AI9" si="30">SUM(Z3:Z8)</f>
        <v>152</v>
      </c>
      <c r="AA9" s="25">
        <f t="shared" ca="1" si="30"/>
        <v>149</v>
      </c>
      <c r="AB9" s="26">
        <f t="shared" ca="1" si="30"/>
        <v>28363.549999999977</v>
      </c>
      <c r="AC9" s="25">
        <f t="shared" ca="1" si="30"/>
        <v>8241</v>
      </c>
      <c r="AD9" s="25">
        <f t="shared" ca="1" si="30"/>
        <v>492</v>
      </c>
      <c r="AE9" s="25">
        <f t="shared" ca="1" si="30"/>
        <v>8733</v>
      </c>
      <c r="AF9" s="25">
        <f t="shared" ca="1" si="30"/>
        <v>12860</v>
      </c>
      <c r="AG9" s="25">
        <f t="shared" ca="1" si="30"/>
        <v>246</v>
      </c>
      <c r="AH9" s="25">
        <f t="shared" ca="1" si="30"/>
        <v>13106</v>
      </c>
      <c r="AI9" s="25">
        <f t="shared" ca="1" si="30"/>
        <v>21839</v>
      </c>
      <c r="AJ9" s="27">
        <f t="shared" ca="1" si="24"/>
        <v>190.35939597315422</v>
      </c>
      <c r="AK9" s="24">
        <f>SUM(AK3:AK8)</f>
        <v>35074</v>
      </c>
      <c r="AL9" s="28">
        <f t="shared" ca="1" si="2"/>
        <v>0.6226549580886126</v>
      </c>
      <c r="AM9" s="29">
        <v>1.5</v>
      </c>
      <c r="AN9" s="28">
        <f t="shared" ca="1" si="4"/>
        <v>0.5133113920272091</v>
      </c>
      <c r="AO9" s="30">
        <f t="shared" ca="1" si="5"/>
        <v>0.7699670880408136</v>
      </c>
      <c r="AP9" s="29">
        <f ca="1">SUM(AP3:AP8)</f>
        <v>1070.46617086782</v>
      </c>
      <c r="AQ9" s="29">
        <f ca="1">AP9/AA9</f>
        <v>7.1843367172336912</v>
      </c>
      <c r="AR9" s="25">
        <f t="shared" ca="1" si="7"/>
        <v>146.57046979865771</v>
      </c>
      <c r="AS9" s="76"/>
      <c r="AT9" s="76"/>
    </row>
    <row r="10" spans="1:46" ht="15.75" customHeight="1" x14ac:dyDescent="0.25">
      <c r="A10" s="70"/>
      <c r="B10" s="16">
        <v>5</v>
      </c>
      <c r="C10" s="16" t="s">
        <v>34</v>
      </c>
      <c r="D10" s="17">
        <v>32</v>
      </c>
      <c r="E10" s="18">
        <f ca="1">IFERROR(__xludf.DUMMYFUNCTION("COUNT(IMPORTRANGE(""https://docs.google.com/spreadsheets/d/1ptS0qWBCKWkc9h2aXWT_YgMhN7yIv5WgAHRbF8l9Zpo/edit"",""1!d2:d41""))"),32)</f>
        <v>32</v>
      </c>
      <c r="F10" s="23">
        <f ca="1">IFERROR(__xludf.DUMMYFUNCTION("SUM(IMPORTRANGE(""https://docs.google.com/spreadsheets/d/1ptS0qWBCKWkc9h2aXWT_YgMhN7yIv5WgAHRbF8l9Zpo/edit"",""1!Q2:Q41""))"),6079.728)</f>
        <v>6079.7280000000001</v>
      </c>
      <c r="G10" s="18">
        <f ca="1">IFERROR(__xludf.DUMMYFUNCTION("IMPORTRANGE(""https://docs.google.com/spreadsheets/d/1ptS0qWBCKWkc9h2aXWT_YgMhN7yIv5WgAHRbF8l9Zpo/edit"",""1!e48"")"),1956)</f>
        <v>1956</v>
      </c>
      <c r="H10" s="18">
        <f ca="1">IFERROR(__xludf.DUMMYFUNCTION("IMPORTRANGE(""https://docs.google.com/spreadsheets/d/1ptS0qWBCKWkc9h2aXWT_YgMhN7yIv5WgAHRbF8l9Zpo/edit"",""1!e49"")"),0)</f>
        <v>0</v>
      </c>
      <c r="I10" s="18">
        <f t="shared" ca="1" si="12"/>
        <v>1956</v>
      </c>
      <c r="J10" s="18">
        <f ca="1">IFERROR(__xludf.DUMMYFUNCTION("IMPORTRANGE(""https://docs.google.com/spreadsheets/d/1ptS0qWBCKWkc9h2aXWT_YgMhN7yIv5WgAHRbF8l9Zpo/edit"",""1!e52"")"),2485)</f>
        <v>2485</v>
      </c>
      <c r="K10" s="18">
        <f ca="1">IFERROR(__xludf.DUMMYFUNCTION("IMPORTRANGE(""https://docs.google.com/spreadsheets/d/1ptS0qWBCKWkc9h2aXWT_YgMhN7yIv5WgAHRbF8l9Zpo/edit"",""1!e53"")"),0)</f>
        <v>0</v>
      </c>
      <c r="L10" s="18">
        <f t="shared" ca="1" si="13"/>
        <v>2485</v>
      </c>
      <c r="M10" s="18">
        <f t="shared" ca="1" si="14"/>
        <v>4441</v>
      </c>
      <c r="N10" s="19">
        <f t="shared" ca="1" si="15"/>
        <v>189.9915</v>
      </c>
      <c r="O10" s="16">
        <v>9354</v>
      </c>
      <c r="P10" s="20">
        <f t="shared" ca="1" si="16"/>
        <v>0.47477015180671372</v>
      </c>
      <c r="Q10" s="21">
        <v>1.5</v>
      </c>
      <c r="R10" s="20">
        <f t="shared" ca="1" si="17"/>
        <v>0.4869735400443353</v>
      </c>
      <c r="S10" s="22">
        <f t="shared" ca="1" si="18"/>
        <v>0.73046031006650292</v>
      </c>
      <c r="T10" s="21">
        <f ca="1">F10/30.713</f>
        <v>197.95291895939829</v>
      </c>
      <c r="U10" s="21">
        <f t="shared" ca="1" si="19"/>
        <v>6.1860287174811965</v>
      </c>
      <c r="V10" s="18">
        <f t="shared" ca="1" si="20"/>
        <v>138.78125</v>
      </c>
      <c r="W10" s="76"/>
      <c r="X10" s="100" t="s">
        <v>35</v>
      </c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9"/>
      <c r="AS10" s="76"/>
      <c r="AT10" s="76"/>
    </row>
    <row r="11" spans="1:46" ht="15.75" customHeight="1" x14ac:dyDescent="0.25">
      <c r="A11" s="70"/>
      <c r="B11" s="16">
        <v>6</v>
      </c>
      <c r="C11" s="16" t="s">
        <v>23</v>
      </c>
      <c r="D11" s="17">
        <v>28</v>
      </c>
      <c r="E11" s="18">
        <f ca="1">IFERROR(__xludf.DUMMYFUNCTION("COUNT(IMPORTRANGE(""https://docs.google.com/spreadsheets/d/1829CoYW82aTBBUgqkPnJa94KlBWI-DowAnP4ENQCmaQ/edit"",""1!d2:d36""))"),28)</f>
        <v>28</v>
      </c>
      <c r="F11" s="23">
        <f ca="1">IFERROR(__xludf.DUMMYFUNCTION("SUM(IMPORTRANGE(""https://docs.google.com/spreadsheets/d/1829CoYW82aTBBUgqkPnJa94KlBWI-DowAnP4ENQCmaQ/edit"",""1!Q2:Q36""))"),5450.80399999999)</f>
        <v>5450.8039999999901</v>
      </c>
      <c r="G11" s="18">
        <f ca="1">IFERROR(__xludf.DUMMYFUNCTION("IMPORTRANGE(""https://docs.google.com/spreadsheets/d/1829CoYW82aTBBUgqkPnJa94KlBWI-DowAnP4ENQCmaQ/edit"",""1!e43"")"),1335)</f>
        <v>1335</v>
      </c>
      <c r="H11" s="18">
        <f ca="1">IFERROR(__xludf.DUMMYFUNCTION("IMPORTRANGE(""https://docs.google.com/spreadsheets/d/1829CoYW82aTBBUgqkPnJa94KlBWI-DowAnP4ENQCmaQ/edit"",""1!e44"")"),0)</f>
        <v>0</v>
      </c>
      <c r="I11" s="18">
        <f t="shared" ca="1" si="12"/>
        <v>1335</v>
      </c>
      <c r="J11" s="18">
        <f ca="1">IFERROR(__xludf.DUMMYFUNCTION("IMPORTRANGE(""https://docs.google.com/spreadsheets/d/1829CoYW82aTBBUgqkPnJa94KlBWI-DowAnP4ENQCmaQ/edit"",""1!e47"")"),2432)</f>
        <v>2432</v>
      </c>
      <c r="K11" s="18">
        <f ca="1">IFERROR(__xludf.DUMMYFUNCTION("IMPORTRANGE(""https://docs.google.com/spreadsheets/d/1829CoYW82aTBBUgqkPnJa94KlBWI-DowAnP4ENQCmaQ/edit"",""1!e48"")"),0)</f>
        <v>0</v>
      </c>
      <c r="L11" s="18">
        <f t="shared" ca="1" si="13"/>
        <v>2432</v>
      </c>
      <c r="M11" s="18">
        <f t="shared" ca="1" si="14"/>
        <v>3767</v>
      </c>
      <c r="N11" s="19">
        <f t="shared" ca="1" si="15"/>
        <v>194.67157142857107</v>
      </c>
      <c r="O11" s="16">
        <v>6853</v>
      </c>
      <c r="P11" s="20">
        <f t="shared" ca="1" si="16"/>
        <v>0.54968626878739235</v>
      </c>
      <c r="Q11" s="21">
        <v>1.5</v>
      </c>
      <c r="R11" s="20">
        <f t="shared" ca="1" si="17"/>
        <v>0.46072713921346975</v>
      </c>
      <c r="S11" s="22">
        <f t="shared" ca="1" si="18"/>
        <v>0.69109070882020462</v>
      </c>
      <c r="T11" s="21">
        <f ca="1">F11/33.74</f>
        <v>161.55317131001749</v>
      </c>
      <c r="U11" s="21">
        <f t="shared" ca="1" si="19"/>
        <v>5.76975611821491</v>
      </c>
      <c r="V11" s="18">
        <f t="shared" ca="1" si="20"/>
        <v>134.53571428571428</v>
      </c>
      <c r="W11" s="76"/>
      <c r="X11" s="1" t="s">
        <v>2</v>
      </c>
      <c r="Y11" s="1" t="s">
        <v>3</v>
      </c>
      <c r="Z11" s="1" t="s">
        <v>4</v>
      </c>
      <c r="AA11" s="1" t="s">
        <v>5</v>
      </c>
      <c r="AB11" s="2" t="s">
        <v>6</v>
      </c>
      <c r="AC11" s="1" t="s">
        <v>7</v>
      </c>
      <c r="AD11" s="1" t="s">
        <v>8</v>
      </c>
      <c r="AE11" s="1" t="s">
        <v>9</v>
      </c>
      <c r="AF11" s="1" t="s">
        <v>10</v>
      </c>
      <c r="AG11" s="1" t="s">
        <v>11</v>
      </c>
      <c r="AH11" s="1" t="s">
        <v>12</v>
      </c>
      <c r="AI11" s="1" t="s">
        <v>13</v>
      </c>
      <c r="AJ11" s="2" t="s">
        <v>14</v>
      </c>
      <c r="AK11" s="1" t="s">
        <v>15</v>
      </c>
      <c r="AL11" s="1" t="s">
        <v>16</v>
      </c>
      <c r="AM11" s="3" t="s">
        <v>17</v>
      </c>
      <c r="AN11" s="4" t="s">
        <v>18</v>
      </c>
      <c r="AO11" s="5" t="s">
        <v>19</v>
      </c>
      <c r="AP11" s="6" t="s">
        <v>20</v>
      </c>
      <c r="AQ11" s="6" t="s">
        <v>21</v>
      </c>
      <c r="AR11" s="7" t="s">
        <v>22</v>
      </c>
      <c r="AS11" s="76"/>
      <c r="AT11" s="76"/>
    </row>
    <row r="12" spans="1:46" ht="15.75" customHeight="1" x14ac:dyDescent="0.25">
      <c r="A12" s="70"/>
      <c r="B12" s="16">
        <v>7</v>
      </c>
      <c r="C12" s="16" t="s">
        <v>24</v>
      </c>
      <c r="D12" s="17">
        <v>37</v>
      </c>
      <c r="E12" s="31">
        <f ca="1">IFERROR(__xludf.DUMMYFUNCTION("COUNT(IMPORTRANGE(""https://docs.google.com/spreadsheets/d/1E2x4oDZxEIsuC5nl-5Z0--MoN8b1dt9SbpRcCfNP84Q/edit"",""1!d2:d45""))"),37)</f>
        <v>37</v>
      </c>
      <c r="F12" s="32">
        <f ca="1">IFERROR(__xludf.DUMMYFUNCTION("SUM(IMPORTRANGE(""https://docs.google.com/spreadsheets/d/1E2x4oDZxEIsuC5nl-5Z0--MoN8b1dt9SbpRcCfNP84Q/edit"",""1!Q2:Q45""))"),6826.65099999999)</f>
        <v>6826.6509999999898</v>
      </c>
      <c r="G12" s="31">
        <f ca="1">IFERROR(__xludf.DUMMYFUNCTION("IMPORTRANGE(""https://docs.google.com/spreadsheets/d/1E2x4oDZxEIsuC5nl-5Z0--MoN8b1dt9SbpRcCfNP84Q/edit"",""1!e53"")"),874)</f>
        <v>874</v>
      </c>
      <c r="H12" s="31">
        <f ca="1">IFERROR(__xludf.DUMMYFUNCTION("IMPORTRANGE(""https://docs.google.com/spreadsheets/d/1E2x4oDZxEIsuC5nl-5Z0--MoN8b1dt9SbpRcCfNP84Q/edit"",""1!e54"")"),0)</f>
        <v>0</v>
      </c>
      <c r="I12" s="31">
        <f t="shared" ca="1" si="12"/>
        <v>874</v>
      </c>
      <c r="J12" s="31">
        <f ca="1">IFERROR(__xludf.DUMMYFUNCTION("IMPORTRANGE(""https://docs.google.com/spreadsheets/d/1E2x4oDZxEIsuC5nl-5Z0--MoN8b1dt9SbpRcCfNP84Q/edit"",""1!e57"")"),1156)</f>
        <v>1156</v>
      </c>
      <c r="K12" s="31">
        <f ca="1">IFERROR(__xludf.DUMMYFUNCTION("IMPORTRANGE(""https://docs.google.com/spreadsheets/d/1E2x4oDZxEIsuC5nl-5Z0--MoN8b1dt9SbpRcCfNP84Q/edit"",""1!e58"")"),18)</f>
        <v>18</v>
      </c>
      <c r="L12" s="18">
        <f t="shared" ca="1" si="13"/>
        <v>1174</v>
      </c>
      <c r="M12" s="18">
        <f t="shared" ca="1" si="14"/>
        <v>2048</v>
      </c>
      <c r="N12" s="19">
        <f t="shared" ca="1" si="15"/>
        <v>184.50408108108081</v>
      </c>
      <c r="O12" s="16">
        <v>1580</v>
      </c>
      <c r="P12" s="33">
        <f t="shared" ca="1" si="16"/>
        <v>1.2962025316455696</v>
      </c>
      <c r="Q12" s="21">
        <v>1.5</v>
      </c>
      <c r="R12" s="20">
        <f t="shared" ca="1" si="17"/>
        <v>0.20000045898542862</v>
      </c>
      <c r="S12" s="22">
        <f t="shared" ca="1" si="18"/>
        <v>0.30000068847814293</v>
      </c>
      <c r="T12" s="21">
        <f ca="1">F12/26.805</f>
        <v>254.67826897966759</v>
      </c>
      <c r="U12" s="21">
        <f t="shared" ca="1" si="19"/>
        <v>6.8831964589099348</v>
      </c>
      <c r="V12" s="18">
        <f t="shared" ca="1" si="20"/>
        <v>55.351351351351354</v>
      </c>
      <c r="W12" s="76"/>
      <c r="X12" s="8">
        <v>1</v>
      </c>
      <c r="Y12" s="8" t="s">
        <v>28</v>
      </c>
      <c r="Z12" s="8">
        <f t="shared" ref="Z12:AI12" si="31">SUM(D7)</f>
        <v>26</v>
      </c>
      <c r="AA12" s="9">
        <f t="shared" ca="1" si="31"/>
        <v>26</v>
      </c>
      <c r="AB12" s="11">
        <f t="shared" ca="1" si="31"/>
        <v>5185.99</v>
      </c>
      <c r="AC12" s="9">
        <f t="shared" ca="1" si="31"/>
        <v>1930</v>
      </c>
      <c r="AD12" s="9">
        <f t="shared" ca="1" si="31"/>
        <v>72</v>
      </c>
      <c r="AE12" s="9">
        <f t="shared" ca="1" si="31"/>
        <v>2002</v>
      </c>
      <c r="AF12" s="9">
        <f t="shared" ca="1" si="31"/>
        <v>1955</v>
      </c>
      <c r="AG12" s="9">
        <f t="shared" ca="1" si="31"/>
        <v>139</v>
      </c>
      <c r="AH12" s="9">
        <f t="shared" ca="1" si="31"/>
        <v>2094</v>
      </c>
      <c r="AI12" s="9">
        <f t="shared" ca="1" si="31"/>
        <v>4096</v>
      </c>
      <c r="AJ12" s="11">
        <f t="shared" ref="AJ12:AJ18" ca="1" si="32">AB12/AA12</f>
        <v>199.46115384615385</v>
      </c>
      <c r="AK12" s="8">
        <f t="shared" ref="AK12:AK13" si="33">SUM(O7)</f>
        <v>7315</v>
      </c>
      <c r="AL12" s="12">
        <f t="shared" ref="AL12:AL18" ca="1" si="34">AI12/AK12</f>
        <v>0.55994531784005463</v>
      </c>
      <c r="AM12" s="13">
        <f t="shared" ref="AM12:AM13" si="35">SUM(Q7)</f>
        <v>1.5</v>
      </c>
      <c r="AN12" s="12">
        <f t="shared" ref="AN12:AN18" ca="1" si="36">AO12/AM12</f>
        <v>0.52654684383631023</v>
      </c>
      <c r="AO12" s="14">
        <f t="shared" ref="AO12:AO18" ca="1" si="37">AI12/AB12</f>
        <v>0.7898202657544654</v>
      </c>
      <c r="AP12" s="13">
        <f t="shared" ref="AP12:AQ12" ca="1" si="38">SUM(T7)</f>
        <v>167.84768747774865</v>
      </c>
      <c r="AQ12" s="13">
        <f t="shared" ca="1" si="38"/>
        <v>6.4556802876057171</v>
      </c>
      <c r="AR12" s="9">
        <f t="shared" ref="AR12:AR18" ca="1" si="39">AI12/AA12</f>
        <v>157.53846153846155</v>
      </c>
      <c r="AS12" s="76"/>
      <c r="AT12" s="76"/>
    </row>
    <row r="13" spans="1:46" ht="15.75" customHeight="1" x14ac:dyDescent="0.25">
      <c r="A13" s="70"/>
      <c r="B13" s="16">
        <v>8</v>
      </c>
      <c r="C13" s="16" t="s">
        <v>25</v>
      </c>
      <c r="D13" s="34">
        <v>27</v>
      </c>
      <c r="E13" s="18">
        <f ca="1">IFERROR(__xludf.DUMMYFUNCTION("COUNT(IMPORTRANGE(""https://docs.google.com/spreadsheets/d/1KbRFOEYB0B44J_NSh1MwYQ1sLDlZXUHI-wuMLcZDn5k/edit"",""1!d2:D33""))"),26)</f>
        <v>26</v>
      </c>
      <c r="F13" s="23">
        <f ca="1">IFERROR(__xludf.DUMMYFUNCTION("SUM(IMPORTRANGE(""https://docs.google.com/spreadsheets/d/1KbRFOEYB0B44J_NSh1MwYQ1sLDlZXUHI-wuMLcZDn5k/edit"",""1!Q2:Q33""))"),5143.28)</f>
        <v>5143.28</v>
      </c>
      <c r="G13" s="18">
        <f ca="1">IFERROR(__xludf.DUMMYFUNCTION("IMPORTRANGE(""https://docs.google.com/spreadsheets/d/1KbRFOEYB0B44J_NSh1MwYQ1sLDlZXUHI-wuMLcZDn5k/edit"",""1!e40"")"),1580)</f>
        <v>1580</v>
      </c>
      <c r="H13" s="18">
        <f ca="1">IFERROR(__xludf.DUMMYFUNCTION("IMPORTRANGE(""https://docs.google.com/spreadsheets/d/1KbRFOEYB0B44J_NSh1MwYQ1sLDlZXUHI-wuMLcZDn5k/edit"",""1!e41"")"),484)</f>
        <v>484</v>
      </c>
      <c r="I13" s="18">
        <f t="shared" ca="1" si="12"/>
        <v>2064</v>
      </c>
      <c r="J13" s="18">
        <f ca="1">IFERROR(__xludf.DUMMYFUNCTION("IMPORTRANGE(""https://docs.google.com/spreadsheets/d/1KbRFOEYB0B44J_NSh1MwYQ1sLDlZXUHI-wuMLcZDn5k/edit"",""1!e44"")"),3092)</f>
        <v>3092</v>
      </c>
      <c r="K13" s="18">
        <f ca="1">IFERROR(__xludf.DUMMYFUNCTION("IMPORTRANGE(""https://docs.google.com/spreadsheets/d/1KbRFOEYB0B44J_NSh1MwYQ1sLDlZXUHI-wuMLcZDn5k/edit"",""1!e45"")"),228)</f>
        <v>228</v>
      </c>
      <c r="L13" s="18">
        <f ca="1">J13+K13</f>
        <v>3320</v>
      </c>
      <c r="M13" s="18">
        <f t="shared" ca="1" si="14"/>
        <v>5384</v>
      </c>
      <c r="N13" s="19">
        <f t="shared" ca="1" si="15"/>
        <v>197.81846153846152</v>
      </c>
      <c r="O13" s="16">
        <v>6622</v>
      </c>
      <c r="P13" s="20">
        <f t="shared" ca="1" si="16"/>
        <v>0.81304741769858047</v>
      </c>
      <c r="Q13" s="21">
        <v>1.5</v>
      </c>
      <c r="R13" s="20">
        <f t="shared" ca="1" si="17"/>
        <v>0.69786854562328582</v>
      </c>
      <c r="S13" s="22">
        <f t="shared" ca="1" si="18"/>
        <v>1.0468028184349287</v>
      </c>
      <c r="T13" s="21">
        <f ca="1">F13/23.84</f>
        <v>215.74161073825502</v>
      </c>
      <c r="U13" s="21">
        <f t="shared" ca="1" si="19"/>
        <v>8.2977542591636553</v>
      </c>
      <c r="V13" s="18">
        <f t="shared" ca="1" si="20"/>
        <v>207.07692307692307</v>
      </c>
      <c r="W13" s="76"/>
      <c r="X13" s="8">
        <v>2</v>
      </c>
      <c r="Y13" s="8" t="s">
        <v>30</v>
      </c>
      <c r="Z13" s="8">
        <f t="shared" ref="Z13:AI13" si="40">SUM(D8)</f>
        <v>48</v>
      </c>
      <c r="AA13" s="9">
        <f t="shared" ca="1" si="40"/>
        <v>46</v>
      </c>
      <c r="AB13" s="10">
        <f t="shared" ca="1" si="40"/>
        <v>9164.2309999999907</v>
      </c>
      <c r="AC13" s="9">
        <f t="shared" ca="1" si="40"/>
        <v>2631</v>
      </c>
      <c r="AD13" s="9">
        <f t="shared" ca="1" si="40"/>
        <v>0</v>
      </c>
      <c r="AE13" s="9">
        <f t="shared" ca="1" si="40"/>
        <v>2631</v>
      </c>
      <c r="AF13" s="9">
        <f t="shared" ca="1" si="40"/>
        <v>4211</v>
      </c>
      <c r="AG13" s="9">
        <f t="shared" ca="1" si="40"/>
        <v>0</v>
      </c>
      <c r="AH13" s="9">
        <f t="shared" ca="1" si="40"/>
        <v>4211</v>
      </c>
      <c r="AI13" s="9">
        <f t="shared" ca="1" si="40"/>
        <v>6842</v>
      </c>
      <c r="AJ13" s="11">
        <f t="shared" ca="1" si="32"/>
        <v>199.22241304347807</v>
      </c>
      <c r="AK13" s="8">
        <f t="shared" si="33"/>
        <v>11164</v>
      </c>
      <c r="AL13" s="12">
        <f t="shared" ca="1" si="34"/>
        <v>0.61286277319957005</v>
      </c>
      <c r="AM13" s="13">
        <f t="shared" si="35"/>
        <v>1.5</v>
      </c>
      <c r="AN13" s="12">
        <f t="shared" ca="1" si="36"/>
        <v>0.49773225198419135</v>
      </c>
      <c r="AO13" s="14">
        <f t="shared" ca="1" si="37"/>
        <v>0.74659837797628703</v>
      </c>
      <c r="AP13" s="13">
        <f t="shared" ref="AP13:AQ13" ca="1" si="41">SUM(T8)</f>
        <v>309.57102320710703</v>
      </c>
      <c r="AQ13" s="13">
        <f t="shared" ca="1" si="41"/>
        <v>6.7298048523284137</v>
      </c>
      <c r="AR13" s="9">
        <f t="shared" ca="1" si="39"/>
        <v>148.7391304347826</v>
      </c>
      <c r="AS13" s="76"/>
      <c r="AT13" s="76"/>
    </row>
    <row r="14" spans="1:46" ht="15.75" customHeight="1" x14ac:dyDescent="0.25">
      <c r="A14" s="70"/>
      <c r="B14" s="16">
        <v>9</v>
      </c>
      <c r="C14" s="16" t="s">
        <v>36</v>
      </c>
      <c r="D14" s="34">
        <v>23</v>
      </c>
      <c r="E14" s="18">
        <f ca="1">IFERROR(__xludf.DUMMYFUNCTION("COUNT(IMPORTRANGE(""https://docs.google.com/spreadsheets/d/1VqqqRGfmmkT0JC4ILJva2p8P11jjV0FX-TSKAaqOigw/edit"",""1!d2:d31""))"),23)</f>
        <v>23</v>
      </c>
      <c r="F14" s="23">
        <f ca="1">IFERROR(__xludf.DUMMYFUNCTION("SUM(IMPORTRANGE(""https://docs.google.com/spreadsheets/d/1VqqqRGfmmkT0JC4ILJva2p8P11jjV0FX-TSKAaqOigw/edit"",""1!Q2:Q31""))"),4388.96299999999)</f>
        <v>4388.9629999999897</v>
      </c>
      <c r="G14" s="18">
        <f ca="1">IFERROR(__xludf.DUMMYFUNCTION("IMPORTRANGE(""https://docs.google.com/spreadsheets/d/1VqqqRGfmmkT0JC4ILJva2p8P11jjV0FX-TSKAaqOigw/edit"",""1!e38"")"),1043)</f>
        <v>1043</v>
      </c>
      <c r="H14" s="18">
        <f ca="1">IFERROR(__xludf.DUMMYFUNCTION("IMPORTRANGE(""https://docs.google.com/spreadsheets/d/1VqqqRGfmmkT0JC4ILJva2p8P11jjV0FX-TSKAaqOigw/edit"",""1!e39"")"),0)</f>
        <v>0</v>
      </c>
      <c r="I14" s="18">
        <f t="shared" ca="1" si="12"/>
        <v>1043</v>
      </c>
      <c r="J14" s="18">
        <f ca="1">IFERROR(__xludf.DUMMYFUNCTION("IMPORTRANGE(""https://docs.google.com/spreadsheets/d/1VqqqRGfmmkT0JC4ILJva2p8P11jjV0FX-TSKAaqOigw/edit"",""1!e42"")"),1647)</f>
        <v>1647</v>
      </c>
      <c r="K14" s="18">
        <f ca="1">IFERROR(__xludf.DUMMYFUNCTION("IMPORTRANGE(""https://docs.google.com/spreadsheets/d/1VqqqRGfmmkT0JC4ILJva2p8P11jjV0FX-TSKAaqOigw/edit"",""1!e43"")"),15)</f>
        <v>15</v>
      </c>
      <c r="L14" s="18">
        <f t="shared" ref="L14:L23" ca="1" si="42">SUM(J14:K14)</f>
        <v>1662</v>
      </c>
      <c r="M14" s="18">
        <f t="shared" ca="1" si="14"/>
        <v>2705</v>
      </c>
      <c r="N14" s="19">
        <f t="shared" ca="1" si="15"/>
        <v>190.82447826086911</v>
      </c>
      <c r="O14" s="16">
        <v>4796</v>
      </c>
      <c r="P14" s="20">
        <f t="shared" ca="1" si="16"/>
        <v>0.56401167639699745</v>
      </c>
      <c r="Q14" s="21">
        <v>1.5</v>
      </c>
      <c r="R14" s="20">
        <f t="shared" ca="1" si="17"/>
        <v>0.41087913781304092</v>
      </c>
      <c r="S14" s="22">
        <f t="shared" ca="1" si="18"/>
        <v>0.61631870671956135</v>
      </c>
      <c r="T14" s="21">
        <f ca="1">F14/37.414</f>
        <v>117.30803977120836</v>
      </c>
      <c r="U14" s="21">
        <f t="shared" ca="1" si="19"/>
        <v>5.1003495552699283</v>
      </c>
      <c r="V14" s="18">
        <f t="shared" ca="1" si="20"/>
        <v>117.60869565217391</v>
      </c>
      <c r="W14" s="76"/>
      <c r="X14" s="8">
        <v>3</v>
      </c>
      <c r="Y14" s="8" t="s">
        <v>34</v>
      </c>
      <c r="Z14" s="8">
        <f t="shared" ref="Z14:AI14" si="43">SUM(D10)</f>
        <v>32</v>
      </c>
      <c r="AA14" s="9">
        <f t="shared" ca="1" si="43"/>
        <v>32</v>
      </c>
      <c r="AB14" s="10">
        <f t="shared" ca="1" si="43"/>
        <v>6079.7280000000001</v>
      </c>
      <c r="AC14" s="9">
        <f t="shared" ca="1" si="43"/>
        <v>1956</v>
      </c>
      <c r="AD14" s="9">
        <f t="shared" ca="1" si="43"/>
        <v>0</v>
      </c>
      <c r="AE14" s="9">
        <f t="shared" ca="1" si="43"/>
        <v>1956</v>
      </c>
      <c r="AF14" s="9">
        <f t="shared" ca="1" si="43"/>
        <v>2485</v>
      </c>
      <c r="AG14" s="9">
        <f t="shared" ca="1" si="43"/>
        <v>0</v>
      </c>
      <c r="AH14" s="9">
        <f t="shared" ca="1" si="43"/>
        <v>2485</v>
      </c>
      <c r="AI14" s="9">
        <f t="shared" ca="1" si="43"/>
        <v>4441</v>
      </c>
      <c r="AJ14" s="11">
        <f t="shared" ca="1" si="32"/>
        <v>189.9915</v>
      </c>
      <c r="AK14" s="8">
        <f>SUM(O10)</f>
        <v>9354</v>
      </c>
      <c r="AL14" s="12">
        <f t="shared" ca="1" si="34"/>
        <v>0.47477015180671372</v>
      </c>
      <c r="AM14" s="13">
        <f>SUM(Q10)</f>
        <v>1.5</v>
      </c>
      <c r="AN14" s="12">
        <f t="shared" ca="1" si="36"/>
        <v>0.4869735400443353</v>
      </c>
      <c r="AO14" s="14">
        <f t="shared" ca="1" si="37"/>
        <v>0.73046031006650292</v>
      </c>
      <c r="AP14" s="13">
        <f t="shared" ref="AP14:AQ14" ca="1" si="44">SUM(T10)</f>
        <v>197.95291895939829</v>
      </c>
      <c r="AQ14" s="13">
        <f t="shared" ca="1" si="44"/>
        <v>6.1860287174811965</v>
      </c>
      <c r="AR14" s="9">
        <f t="shared" ca="1" si="39"/>
        <v>138.78125</v>
      </c>
      <c r="AS14" s="76"/>
      <c r="AT14" s="76"/>
    </row>
    <row r="15" spans="1:46" ht="15.75" customHeight="1" x14ac:dyDescent="0.25">
      <c r="A15" s="70"/>
      <c r="B15" s="16">
        <v>10</v>
      </c>
      <c r="C15" s="16" t="s">
        <v>37</v>
      </c>
      <c r="D15" s="17">
        <v>24</v>
      </c>
      <c r="E15" s="18">
        <f ca="1">IFERROR(__xludf.DUMMYFUNCTION("COUNT(IMPORTRANGE(""https://docs.google.com/spreadsheets/d/1IYeRjQd_D6MRqoBKNaky3aSEUloYCJc5XDnPAbdyetk/edit"",""1!d2:d31""))"),24)</f>
        <v>24</v>
      </c>
      <c r="F15" s="23">
        <f ca="1">IFERROR(__xludf.DUMMYFUNCTION("SUM(IMPORTRANGE(""https://docs.google.com/spreadsheets/d/1IYeRjQd_D6MRqoBKNaky3aSEUloYCJc5XDnPAbdyetk/edit"",""1!Q2:Q31""))"),4547.796)</f>
        <v>4547.7960000000003</v>
      </c>
      <c r="G15" s="18">
        <f ca="1">IFERROR(__xludf.DUMMYFUNCTION("(IMPORTRANGE(""https://docs.google.com/spreadsheets/d/1IYeRjQd_D6MRqoBKNaky3aSEUloYCJc5XDnPAbdyetk/edit"",""1!e38""))"),1480)</f>
        <v>1480</v>
      </c>
      <c r="H15" s="18">
        <f ca="1">IFERROR(__xludf.DUMMYFUNCTION("(IMPORTRANGE(""https://docs.google.com/spreadsheets/d/1IYeRjQd_D6MRqoBKNaky3aSEUloYCJc5XDnPAbdyetk/edit"",""1!e39""))"),0)</f>
        <v>0</v>
      </c>
      <c r="I15" s="18">
        <f t="shared" ca="1" si="12"/>
        <v>1480</v>
      </c>
      <c r="J15" s="18">
        <f ca="1">IFERROR(__xludf.DUMMYFUNCTION("(IMPORTRANGE(""https://docs.google.com/spreadsheets/d/1IYeRjQd_D6MRqoBKNaky3aSEUloYCJc5XDnPAbdyetk/edit"",""1!e42""))"),2290)</f>
        <v>2290</v>
      </c>
      <c r="K15" s="18">
        <f ca="1">IFERROR(__xludf.DUMMYFUNCTION("(IMPORTRANGE(""https://docs.google.com/spreadsheets/d/1IYeRjQd_D6MRqoBKNaky3aSEUloYCJc5XDnPAbdyetk/edit"",""1!e43""))"),0)</f>
        <v>0</v>
      </c>
      <c r="L15" s="18">
        <f t="shared" ca="1" si="42"/>
        <v>2290</v>
      </c>
      <c r="M15" s="18">
        <f t="shared" ca="1" si="14"/>
        <v>3770</v>
      </c>
      <c r="N15" s="19">
        <f t="shared" ca="1" si="15"/>
        <v>189.4915</v>
      </c>
      <c r="O15" s="16">
        <v>5887</v>
      </c>
      <c r="P15" s="20">
        <f t="shared" ca="1" si="16"/>
        <v>0.64039408866995073</v>
      </c>
      <c r="Q15" s="21">
        <v>1.5</v>
      </c>
      <c r="R15" s="20">
        <f t="shared" ca="1" si="17"/>
        <v>0.55264865295922094</v>
      </c>
      <c r="S15" s="22">
        <f t="shared" ca="1" si="18"/>
        <v>0.82897297943883141</v>
      </c>
      <c r="T15" s="21">
        <f ca="1">F15/24.792</f>
        <v>183.4380445304937</v>
      </c>
      <c r="U15" s="21">
        <f t="shared" ca="1" si="19"/>
        <v>7.6432518554372377</v>
      </c>
      <c r="V15" s="18">
        <f t="shared" ca="1" si="20"/>
        <v>157.08333333333334</v>
      </c>
      <c r="W15" s="76"/>
      <c r="X15" s="8">
        <v>4</v>
      </c>
      <c r="Y15" s="8" t="s">
        <v>38</v>
      </c>
      <c r="Z15" s="8">
        <f t="shared" ref="Z15:AI15" si="45">SUM(D18)</f>
        <v>24</v>
      </c>
      <c r="AA15" s="9">
        <f t="shared" ca="1" si="45"/>
        <v>24</v>
      </c>
      <c r="AB15" s="10">
        <f t="shared" ca="1" si="45"/>
        <v>4532.55</v>
      </c>
      <c r="AC15" s="9">
        <f t="shared" ca="1" si="45"/>
        <v>1596</v>
      </c>
      <c r="AD15" s="9">
        <f t="shared" ca="1" si="45"/>
        <v>70</v>
      </c>
      <c r="AE15" s="9">
        <f t="shared" ca="1" si="45"/>
        <v>1666</v>
      </c>
      <c r="AF15" s="9">
        <f t="shared" ca="1" si="45"/>
        <v>1857</v>
      </c>
      <c r="AG15" s="9">
        <f t="shared" ca="1" si="45"/>
        <v>0</v>
      </c>
      <c r="AH15" s="9">
        <f t="shared" ca="1" si="45"/>
        <v>1857</v>
      </c>
      <c r="AI15" s="9">
        <f t="shared" ca="1" si="45"/>
        <v>3523</v>
      </c>
      <c r="AJ15" s="11">
        <f t="shared" ca="1" si="32"/>
        <v>188.85625000000002</v>
      </c>
      <c r="AK15" s="8">
        <v>7324</v>
      </c>
      <c r="AL15" s="12">
        <f t="shared" ca="1" si="34"/>
        <v>0.4810212998361551</v>
      </c>
      <c r="AM15" s="13">
        <f>SUM(Q18)</f>
        <v>1.5</v>
      </c>
      <c r="AN15" s="12">
        <f t="shared" ca="1" si="36"/>
        <v>0.51817777336525062</v>
      </c>
      <c r="AO15" s="14">
        <f t="shared" ca="1" si="37"/>
        <v>0.77726666004787592</v>
      </c>
      <c r="AP15" s="13">
        <f t="shared" ref="AP15:AQ15" ca="1" si="46">SUM(T18)</f>
        <v>110.00000000000001</v>
      </c>
      <c r="AQ15" s="13">
        <f t="shared" ca="1" si="46"/>
        <v>4.5833333333333339</v>
      </c>
      <c r="AR15" s="9">
        <f t="shared" ca="1" si="39"/>
        <v>146.79166666666666</v>
      </c>
      <c r="AS15" s="76"/>
      <c r="AT15" s="76"/>
    </row>
    <row r="16" spans="1:46" ht="15.75" customHeight="1" x14ac:dyDescent="0.25">
      <c r="A16" s="70"/>
      <c r="B16" s="16">
        <v>12</v>
      </c>
      <c r="C16" s="16" t="s">
        <v>39</v>
      </c>
      <c r="D16" s="17">
        <v>22</v>
      </c>
      <c r="E16" s="18">
        <f ca="1">IFERROR(__xludf.DUMMYFUNCTION("COUNT(IMPORTRANGE(""https://docs.google.com/spreadsheets/d/1TAY2D35yAzyl8a_p5CuZehQvmatfj0b0Q8ICl8GtJBY/edit"",""1!d2:d29""))"),22)</f>
        <v>22</v>
      </c>
      <c r="F16" s="23">
        <f ca="1">IFERROR(__xludf.DUMMYFUNCTION("SUM(IMPORTRANGE(""https://docs.google.com/spreadsheets/d/1TAY2D35yAzyl8a_p5CuZehQvmatfj0b0Q8ICl8GtJBY/edit"",""1!Q2:Q29""))"),3997.575)</f>
        <v>3997.5749999999998</v>
      </c>
      <c r="G16" s="18">
        <f ca="1">IFERROR(__xludf.DUMMYFUNCTION("IMPORTRANGE(""https://docs.google.com/spreadsheets/d/1TAY2D35yAzyl8a_p5CuZehQvmatfj0b0Q8ICl8GtJBY/edit"",""1!e36"")"),951)</f>
        <v>951</v>
      </c>
      <c r="H16" s="18">
        <f ca="1">IFERROR(__xludf.DUMMYFUNCTION("(IMPORTRANGE(""https://docs.google.com/spreadsheets/d/1TAY2D35yAzyl8a_p5CuZehQvmatfj0b0Q8ICl8GtJBY/edit"",""1!e37""))"),0)</f>
        <v>0</v>
      </c>
      <c r="I16" s="18">
        <f t="shared" ca="1" si="12"/>
        <v>951</v>
      </c>
      <c r="J16" s="18">
        <f ca="1">IFERROR(__xludf.DUMMYFUNCTION("IMPORTRANGE(""https://docs.google.com/spreadsheets/d/1TAY2D35yAzyl8a_p5CuZehQvmatfj0b0Q8ICl8GtJBY/edit"",""1!e40"")"),1842)</f>
        <v>1842</v>
      </c>
      <c r="K16" s="18">
        <f ca="1">IFERROR(__xludf.DUMMYFUNCTION("IMPORTRANGE(""https://docs.google.com/spreadsheets/d/1TAY2D35yAzyl8a_p5CuZehQvmatfj0b0Q8ICl8GtJBY/edit"",""1!e41"")"),0)</f>
        <v>0</v>
      </c>
      <c r="L16" s="18">
        <f t="shared" ca="1" si="42"/>
        <v>1842</v>
      </c>
      <c r="M16" s="18">
        <f t="shared" ca="1" si="14"/>
        <v>2793</v>
      </c>
      <c r="N16" s="19">
        <f t="shared" ca="1" si="15"/>
        <v>181.70795454545453</v>
      </c>
      <c r="O16" s="16">
        <v>3569</v>
      </c>
      <c r="P16" s="20">
        <f t="shared" ca="1" si="16"/>
        <v>0.78257214906136174</v>
      </c>
      <c r="Q16" s="21">
        <v>1.5</v>
      </c>
      <c r="R16" s="20">
        <f t="shared" ca="1" si="17"/>
        <v>0.46578238056821952</v>
      </c>
      <c r="S16" s="22">
        <f t="shared" ca="1" si="18"/>
        <v>0.69867357085232928</v>
      </c>
      <c r="T16" s="21">
        <f ca="1">F16/21.463</f>
        <v>186.25425150258582</v>
      </c>
      <c r="U16" s="21">
        <f t="shared" ca="1" si="19"/>
        <v>8.4661023410266285</v>
      </c>
      <c r="V16" s="18">
        <f t="shared" ca="1" si="20"/>
        <v>126.95454545454545</v>
      </c>
      <c r="W16" s="76"/>
      <c r="X16" s="8">
        <v>5</v>
      </c>
      <c r="Y16" s="8" t="s">
        <v>40</v>
      </c>
      <c r="Z16" s="8">
        <f t="shared" ref="Z16:AI16" si="47">SUM(D20)</f>
        <v>24</v>
      </c>
      <c r="AA16" s="9">
        <f t="shared" ca="1" si="47"/>
        <v>22</v>
      </c>
      <c r="AB16" s="10">
        <f t="shared" ca="1" si="47"/>
        <v>4380.2219999999998</v>
      </c>
      <c r="AC16" s="9">
        <f t="shared" ca="1" si="47"/>
        <v>2568</v>
      </c>
      <c r="AD16" s="9">
        <f t="shared" ca="1" si="47"/>
        <v>0</v>
      </c>
      <c r="AE16" s="9">
        <f t="shared" ca="1" si="47"/>
        <v>2568</v>
      </c>
      <c r="AF16" s="9">
        <f t="shared" ca="1" si="47"/>
        <v>3177</v>
      </c>
      <c r="AG16" s="9">
        <f t="shared" ca="1" si="47"/>
        <v>0</v>
      </c>
      <c r="AH16" s="9">
        <f t="shared" ca="1" si="47"/>
        <v>3177</v>
      </c>
      <c r="AI16" s="9">
        <f t="shared" ca="1" si="47"/>
        <v>5745</v>
      </c>
      <c r="AJ16" s="11">
        <f t="shared" ca="1" si="32"/>
        <v>199.101</v>
      </c>
      <c r="AK16" s="8">
        <f t="shared" ref="AK16:AK17" si="48">SUM(O20)</f>
        <v>8239</v>
      </c>
      <c r="AL16" s="12">
        <f t="shared" ca="1" si="34"/>
        <v>0.69729336084476268</v>
      </c>
      <c r="AM16" s="13">
        <f t="shared" ref="AM16:AM17" si="49">SUM(Q20)</f>
        <v>1.5</v>
      </c>
      <c r="AN16" s="12">
        <f t="shared" ca="1" si="36"/>
        <v>0.87438490560524107</v>
      </c>
      <c r="AO16" s="14">
        <f t="shared" ca="1" si="37"/>
        <v>1.3115773584078616</v>
      </c>
      <c r="AP16" s="13">
        <f t="shared" ref="AP16:AQ16" ca="1" si="50">SUM(T20)</f>
        <v>153.99999999999997</v>
      </c>
      <c r="AQ16" s="13">
        <f t="shared" ca="1" si="50"/>
        <v>6.9999999999999991</v>
      </c>
      <c r="AR16" s="9">
        <f t="shared" ca="1" si="39"/>
        <v>261.13636363636363</v>
      </c>
      <c r="AS16" s="76"/>
      <c r="AT16" s="76"/>
    </row>
    <row r="17" spans="1:46" ht="15.75" customHeight="1" x14ac:dyDescent="0.25">
      <c r="A17" s="70"/>
      <c r="B17" s="16">
        <v>12</v>
      </c>
      <c r="C17" s="16" t="s">
        <v>41</v>
      </c>
      <c r="D17" s="17">
        <v>20</v>
      </c>
      <c r="E17" s="18">
        <f ca="1">IFERROR(__xludf.DUMMYFUNCTION("COUNT(IMPORTRANGE(""https://docs.google.com/spreadsheets/d/1VAsUtLQHi7oV9NsI9EIHPnO1bcPJHeRgSbMoxSvPBME/edit"",""1!d2:d25""))"),20)</f>
        <v>20</v>
      </c>
      <c r="F17" s="23">
        <f ca="1">IFERROR(__xludf.DUMMYFUNCTION("SUM(IMPORTRANGE(""https://docs.google.com/spreadsheets/d/1VAsUtLQHi7oV9NsI9EIHPnO1bcPJHeRgSbMoxSvPBME/edit"",""1!Q2:Q25""))"),4006.364)</f>
        <v>4006.364</v>
      </c>
      <c r="G17" s="18">
        <f ca="1">IFERROR(__xludf.DUMMYFUNCTION("IMPORTRANGE(""https://docs.google.com/spreadsheets/d/1VAsUtLQHi7oV9NsI9EIHPnO1bcPJHeRgSbMoxSvPBME/edit"",""1!e32"")"),1046)</f>
        <v>1046</v>
      </c>
      <c r="H17" s="18">
        <f ca="1">IFERROR(__xludf.DUMMYFUNCTION("IMPORTRANGE(""https://docs.google.com/spreadsheets/d/1VAsUtLQHi7oV9NsI9EIHPnO1bcPJHeRgSbMoxSvPBME/edit"",""1!e33"")"),0)</f>
        <v>0</v>
      </c>
      <c r="I17" s="18">
        <f t="shared" ca="1" si="12"/>
        <v>1046</v>
      </c>
      <c r="J17" s="18">
        <f ca="1">IFERROR(__xludf.DUMMYFUNCTION("IMPORTRANGE(""https://docs.google.com/spreadsheets/d/1VAsUtLQHi7oV9NsI9EIHPnO1bcPJHeRgSbMoxSvPBME/edit"",""1!e36"")"),1268)</f>
        <v>1268</v>
      </c>
      <c r="K17" s="18">
        <f ca="1">IFERROR(__xludf.DUMMYFUNCTION("IMPORTRANGE(""https://docs.google.com/spreadsheets/d/1VAsUtLQHi7oV9NsI9EIHPnO1bcPJHeRgSbMoxSvPBME/edit"",""1!e37"")"),0)</f>
        <v>0</v>
      </c>
      <c r="L17" s="18">
        <f t="shared" ca="1" si="42"/>
        <v>1268</v>
      </c>
      <c r="M17" s="18">
        <f t="shared" ca="1" si="14"/>
        <v>2314</v>
      </c>
      <c r="N17" s="19">
        <f t="shared" ca="1" si="15"/>
        <v>200.31819999999999</v>
      </c>
      <c r="O17" s="16">
        <v>3801</v>
      </c>
      <c r="P17" s="20">
        <f t="shared" ca="1" si="16"/>
        <v>0.60878716127334909</v>
      </c>
      <c r="Q17" s="21">
        <v>1.5</v>
      </c>
      <c r="R17" s="20">
        <f t="shared" ca="1" si="17"/>
        <v>0.3850540456799898</v>
      </c>
      <c r="S17" s="22">
        <f t="shared" ca="1" si="18"/>
        <v>0.5775810685199847</v>
      </c>
      <c r="T17" s="21">
        <f ca="1">F17/29.628</f>
        <v>135.22222222222223</v>
      </c>
      <c r="U17" s="21">
        <f t="shared" ca="1" si="19"/>
        <v>6.7611111111111111</v>
      </c>
      <c r="V17" s="18">
        <f t="shared" ca="1" si="20"/>
        <v>115.7</v>
      </c>
      <c r="W17" s="76"/>
      <c r="X17" s="8">
        <v>6</v>
      </c>
      <c r="Y17" s="8" t="s">
        <v>42</v>
      </c>
      <c r="Z17" s="8">
        <f t="shared" ref="Z17:AI17" si="51">SUM(D21)</f>
        <v>26</v>
      </c>
      <c r="AA17" s="9">
        <f t="shared" ca="1" si="51"/>
        <v>26</v>
      </c>
      <c r="AB17" s="10">
        <f t="shared" ca="1" si="51"/>
        <v>4935.6019999999899</v>
      </c>
      <c r="AC17" s="9">
        <f t="shared" ca="1" si="51"/>
        <v>2649</v>
      </c>
      <c r="AD17" s="9">
        <f t="shared" ca="1" si="51"/>
        <v>0</v>
      </c>
      <c r="AE17" s="9">
        <f t="shared" ca="1" si="51"/>
        <v>2649</v>
      </c>
      <c r="AF17" s="9">
        <f t="shared" ca="1" si="51"/>
        <v>3404</v>
      </c>
      <c r="AG17" s="9">
        <f t="shared" ca="1" si="51"/>
        <v>0</v>
      </c>
      <c r="AH17" s="9">
        <f t="shared" ca="1" si="51"/>
        <v>3404</v>
      </c>
      <c r="AI17" s="9">
        <f t="shared" ca="1" si="51"/>
        <v>6053</v>
      </c>
      <c r="AJ17" s="11">
        <f t="shared" ca="1" si="32"/>
        <v>189.83084615384575</v>
      </c>
      <c r="AK17" s="8">
        <f t="shared" si="48"/>
        <v>9877</v>
      </c>
      <c r="AL17" s="12">
        <f t="shared" ca="1" si="34"/>
        <v>0.61283790624683609</v>
      </c>
      <c r="AM17" s="13">
        <f t="shared" si="49"/>
        <v>1.5</v>
      </c>
      <c r="AN17" s="12">
        <f t="shared" ca="1" si="36"/>
        <v>0.81759698884418597</v>
      </c>
      <c r="AO17" s="14">
        <f t="shared" ca="1" si="37"/>
        <v>1.2263954832662789</v>
      </c>
      <c r="AP17" s="13">
        <f t="shared" ref="AP17:AQ17" ca="1" si="52">SUM(T21)</f>
        <v>188.70586885872643</v>
      </c>
      <c r="AQ17" s="13">
        <f t="shared" ca="1" si="52"/>
        <v>7.2579180330279396</v>
      </c>
      <c r="AR17" s="9">
        <f t="shared" ca="1" si="39"/>
        <v>232.80769230769232</v>
      </c>
      <c r="AS17" s="76"/>
      <c r="AT17" s="76"/>
    </row>
    <row r="18" spans="1:46" ht="15.75" customHeight="1" x14ac:dyDescent="0.25">
      <c r="A18" s="70"/>
      <c r="B18" s="16">
        <v>13</v>
      </c>
      <c r="C18" s="16" t="s">
        <v>43</v>
      </c>
      <c r="D18" s="17">
        <v>24</v>
      </c>
      <c r="E18" s="18">
        <f ca="1">IFERROR(__xludf.DUMMYFUNCTION("COUNT(IMPORTRANGE(""https://docs.google.com/spreadsheets/d/1p9Y_DGk7-TpRBFth-ljZceOIGCjQ0ylUeUq6xqnsZ-Q/edit"",""1!d2:d31""))"),24)</f>
        <v>24</v>
      </c>
      <c r="F18" s="23">
        <f ca="1">IFERROR(__xludf.DUMMYFUNCTION("SUM(IMPORTRANGE(""https://docs.google.com/spreadsheets/d/1p9Y_DGk7-TpRBFth-ljZceOIGCjQ0ylUeUq6xqnsZ-Q/edit"",""1!Q2:Q31""))"),4532.55)</f>
        <v>4532.55</v>
      </c>
      <c r="G18" s="18">
        <f ca="1">IFERROR(__xludf.DUMMYFUNCTION("IMPORTRANGE(""https://docs.google.com/spreadsheets/d/1p9Y_DGk7-TpRBFth-ljZceOIGCjQ0ylUeUq6xqnsZ-Q/edit"",""1!e38"")"),1596)</f>
        <v>1596</v>
      </c>
      <c r="H18" s="18">
        <f ca="1">IFERROR(__xludf.DUMMYFUNCTION("IMPORTRANGE(""https://docs.google.com/spreadsheets/d/1p9Y_DGk7-TpRBFth-ljZceOIGCjQ0ylUeUq6xqnsZ-Q/edit"",""1!e39"")"),70)</f>
        <v>70</v>
      </c>
      <c r="I18" s="18">
        <f t="shared" ca="1" si="12"/>
        <v>1666</v>
      </c>
      <c r="J18" s="18">
        <f ca="1">IFERROR(__xludf.DUMMYFUNCTION("IMPORTRANGE(""https://docs.google.com/spreadsheets/d/1p9Y_DGk7-TpRBFth-ljZceOIGCjQ0ylUeUq6xqnsZ-Q/edit"",""1!e42"")"),1857)</f>
        <v>1857</v>
      </c>
      <c r="K18" s="18">
        <f ca="1">IFERROR(__xludf.DUMMYFUNCTION("IMPORTRANGE(""https://docs.google.com/spreadsheets/d/1p9Y_DGk7-TpRBFth-ljZceOIGCjQ0ylUeUq6xqnsZ-Q/edit"",""1!e43"")"),0)</f>
        <v>0</v>
      </c>
      <c r="L18" s="18">
        <f t="shared" ca="1" si="42"/>
        <v>1857</v>
      </c>
      <c r="M18" s="18">
        <f t="shared" ca="1" si="14"/>
        <v>3523</v>
      </c>
      <c r="N18" s="19">
        <f t="shared" ca="1" si="15"/>
        <v>188.85625000000002</v>
      </c>
      <c r="O18" s="16">
        <v>8345</v>
      </c>
      <c r="P18" s="20">
        <f t="shared" ca="1" si="16"/>
        <v>0.42216896345116839</v>
      </c>
      <c r="Q18" s="21">
        <v>1.5</v>
      </c>
      <c r="R18" s="20">
        <f t="shared" ca="1" si="17"/>
        <v>0.51817777336525062</v>
      </c>
      <c r="S18" s="22">
        <f t="shared" ca="1" si="18"/>
        <v>0.77726666004787592</v>
      </c>
      <c r="T18" s="21">
        <f ca="1">F18/41.205</f>
        <v>110.00000000000001</v>
      </c>
      <c r="U18" s="21">
        <f t="shared" ca="1" si="19"/>
        <v>4.5833333333333339</v>
      </c>
      <c r="V18" s="18">
        <f t="shared" ca="1" si="20"/>
        <v>146.79166666666666</v>
      </c>
      <c r="W18" s="76"/>
      <c r="X18" s="24" t="s">
        <v>33</v>
      </c>
      <c r="Y18" s="24">
        <v>6</v>
      </c>
      <c r="Z18" s="24">
        <f t="shared" ref="Z18:AI18" si="53">SUM(Z12:Z17)</f>
        <v>180</v>
      </c>
      <c r="AA18" s="25">
        <f t="shared" ca="1" si="53"/>
        <v>176</v>
      </c>
      <c r="AB18" s="27">
        <f t="shared" ca="1" si="53"/>
        <v>34278.322999999982</v>
      </c>
      <c r="AC18" s="25">
        <f t="shared" ca="1" si="53"/>
        <v>13330</v>
      </c>
      <c r="AD18" s="25">
        <f t="shared" ca="1" si="53"/>
        <v>142</v>
      </c>
      <c r="AE18" s="25">
        <f t="shared" ca="1" si="53"/>
        <v>13472</v>
      </c>
      <c r="AF18" s="25">
        <f t="shared" ca="1" si="53"/>
        <v>17089</v>
      </c>
      <c r="AG18" s="25">
        <f t="shared" ca="1" si="53"/>
        <v>139</v>
      </c>
      <c r="AH18" s="25">
        <f t="shared" ca="1" si="53"/>
        <v>17228</v>
      </c>
      <c r="AI18" s="25">
        <f t="shared" ca="1" si="53"/>
        <v>30700</v>
      </c>
      <c r="AJ18" s="27">
        <f t="shared" ca="1" si="32"/>
        <v>194.76319886363626</v>
      </c>
      <c r="AK18" s="24">
        <f>SUM(AK12:AK17)</f>
        <v>53273</v>
      </c>
      <c r="AL18" s="28">
        <f t="shared" ca="1" si="34"/>
        <v>0.57627691325812325</v>
      </c>
      <c r="AM18" s="29">
        <v>1.5</v>
      </c>
      <c r="AN18" s="28">
        <f t="shared" ca="1" si="36"/>
        <v>0.5970731609789276</v>
      </c>
      <c r="AO18" s="30">
        <f t="shared" ca="1" si="37"/>
        <v>0.89560974146839145</v>
      </c>
      <c r="AP18" s="29">
        <f ca="1">SUM(AP12:AP17)</f>
        <v>1128.0774985029805</v>
      </c>
      <c r="AQ18" s="29">
        <f ca="1">AP18/AA18</f>
        <v>6.4095312414942072</v>
      </c>
      <c r="AR18" s="25">
        <f t="shared" ca="1" si="39"/>
        <v>174.43181818181819</v>
      </c>
      <c r="AS18" s="76"/>
      <c r="AT18" s="76"/>
    </row>
    <row r="19" spans="1:46" ht="15.75" customHeight="1" x14ac:dyDescent="0.25">
      <c r="A19" s="70"/>
      <c r="B19" s="16">
        <v>14</v>
      </c>
      <c r="C19" s="16" t="s">
        <v>27</v>
      </c>
      <c r="D19" s="17">
        <v>24</v>
      </c>
      <c r="E19" s="18">
        <f ca="1">IFERROR(__xludf.DUMMYFUNCTION("COUNT(IMPORTRANGE(""https://docs.google.com/spreadsheets/d/1zJUDEKztv_fercXA0LYNw155qdzS7TJGhWLhquaW5IY/edit"",""1!d2:d31""))"),24)</f>
        <v>24</v>
      </c>
      <c r="F19" s="23">
        <f ca="1">IFERROR(__xludf.DUMMYFUNCTION("SUM(IMPORTRANGE(""https://docs.google.com/spreadsheets/d/1zJUDEKztv_fercXA0LYNw155qdzS7TJGhWLhquaW5IY/edit"",""1!Q2:Q31""))"),4386.57)</f>
        <v>4386.57</v>
      </c>
      <c r="G19" s="18">
        <f ca="1">IFERROR(__xludf.DUMMYFUNCTION("IMPORTRANGE(""https://docs.google.com/spreadsheets/d/1zJUDEKztv_fercXA0LYNw155qdzS7TJGhWLhquaW5IY/edit"",""1!e38"")"),1827)</f>
        <v>1827</v>
      </c>
      <c r="H19" s="18">
        <f ca="1">IFERROR(__xludf.DUMMYFUNCTION("IMPORTRANGE(""https://docs.google.com/spreadsheets/d/1zJUDEKztv_fercXA0LYNw155qdzS7TJGhWLhquaW5IY/edit"",""1!e39"")"),0)</f>
        <v>0</v>
      </c>
      <c r="I19" s="18">
        <f t="shared" ca="1" si="12"/>
        <v>1827</v>
      </c>
      <c r="J19" s="18">
        <f ca="1">IFERROR(__xludf.DUMMYFUNCTION("IMPORTRANGE(""https://docs.google.com/spreadsheets/d/1zJUDEKztv_fercXA0LYNw155qdzS7TJGhWLhquaW5IY/edit"",""1!e42"")"),2426)</f>
        <v>2426</v>
      </c>
      <c r="K19" s="18">
        <f ca="1">IFERROR(__xludf.DUMMYFUNCTION("IMPORTRANGE(""https://docs.google.com/spreadsheets/d/1zJUDEKztv_fercXA0LYNw155qdzS7TJGhWLhquaW5IY/edit"",""1!e43"")"),0)</f>
        <v>0</v>
      </c>
      <c r="L19" s="18">
        <f t="shared" ca="1" si="42"/>
        <v>2426</v>
      </c>
      <c r="M19" s="18">
        <f t="shared" ca="1" si="14"/>
        <v>4253</v>
      </c>
      <c r="N19" s="19">
        <f t="shared" ca="1" si="15"/>
        <v>182.77374999999998</v>
      </c>
      <c r="O19" s="16">
        <v>8101</v>
      </c>
      <c r="P19" s="20">
        <f t="shared" ca="1" si="16"/>
        <v>0.52499691396123938</v>
      </c>
      <c r="Q19" s="21">
        <v>1.5</v>
      </c>
      <c r="R19" s="20">
        <f t="shared" ca="1" si="17"/>
        <v>0.64636682723251504</v>
      </c>
      <c r="S19" s="22">
        <f t="shared" ca="1" si="18"/>
        <v>0.96955024084877262</v>
      </c>
      <c r="T19" s="21">
        <f ca="1">F19/19.985</f>
        <v>219.49311983987991</v>
      </c>
      <c r="U19" s="21">
        <f t="shared" ca="1" si="19"/>
        <v>9.1455466599949968</v>
      </c>
      <c r="V19" s="18">
        <f t="shared" ca="1" si="20"/>
        <v>177.20833333333334</v>
      </c>
      <c r="W19" s="76"/>
      <c r="X19" s="97" t="s">
        <v>44</v>
      </c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9"/>
      <c r="AS19" s="76"/>
      <c r="AT19" s="76"/>
    </row>
    <row r="20" spans="1:46" ht="15.75" customHeight="1" x14ac:dyDescent="0.25">
      <c r="A20" s="70"/>
      <c r="B20" s="16">
        <v>15</v>
      </c>
      <c r="C20" s="16" t="s">
        <v>40</v>
      </c>
      <c r="D20" s="17">
        <v>24</v>
      </c>
      <c r="E20" s="18">
        <f ca="1">IFERROR(__xludf.DUMMYFUNCTION("COUNT(IMPORTRANGE(""https://docs.google.com/spreadsheets/d/15GJA66Ucb-8RQ5vWVpq5HYaWoZZFX82SCeHChBujbrI/edit"",""1!d2:d31""))"),22)</f>
        <v>22</v>
      </c>
      <c r="F20" s="23">
        <f ca="1">IFERROR(__xludf.DUMMYFUNCTION("SUM(IMPORTRANGE(""https://docs.google.com/spreadsheets/d/15GJA66Ucb-8RQ5vWVpq5HYaWoZZFX82SCeHChBujbrI/edit"",""1!Q2:Q31""))"),4380.222)</f>
        <v>4380.2219999999998</v>
      </c>
      <c r="G20" s="18">
        <f ca="1">IFERROR(__xludf.DUMMYFUNCTION("IMPORTRANGE(""https://docs.google.com/spreadsheets/d/15GJA66Ucb-8RQ5vWVpq5HYaWoZZFX82SCeHChBujbrI/edit"",""1!e38"")"),2568)</f>
        <v>2568</v>
      </c>
      <c r="H20" s="18">
        <f ca="1">IFERROR(__xludf.DUMMYFUNCTION("IMPORTRANGE(""https://docs.google.com/spreadsheets/d/15GJA66Ucb-8RQ5vWVpq5HYaWoZZFX82SCeHChBujbrI/edit"",""1!e39"")"),0)</f>
        <v>0</v>
      </c>
      <c r="I20" s="18">
        <f t="shared" ca="1" si="12"/>
        <v>2568</v>
      </c>
      <c r="J20" s="18">
        <f ca="1">IFERROR(__xludf.DUMMYFUNCTION("IMPORTRANGE(""https://docs.google.com/spreadsheets/d/15GJA66Ucb-8RQ5vWVpq5HYaWoZZFX82SCeHChBujbrI/edit"",""1!e42"")"),3177)</f>
        <v>3177</v>
      </c>
      <c r="K20" s="18">
        <f ca="1">IFERROR(__xludf.DUMMYFUNCTION("IMPORTRANGE(""https://docs.google.com/spreadsheets/d/15GJA66Ucb-8RQ5vWVpq5HYaWoZZFX82SCeHChBujbrI/edit"",""1!e43"")"),0)</f>
        <v>0</v>
      </c>
      <c r="L20" s="18">
        <f t="shared" ca="1" si="42"/>
        <v>3177</v>
      </c>
      <c r="M20" s="18">
        <f t="shared" ca="1" si="14"/>
        <v>5745</v>
      </c>
      <c r="N20" s="19">
        <f t="shared" ca="1" si="15"/>
        <v>199.101</v>
      </c>
      <c r="O20" s="16">
        <v>8239</v>
      </c>
      <c r="P20" s="20">
        <f t="shared" ca="1" si="16"/>
        <v>0.69729336084476268</v>
      </c>
      <c r="Q20" s="21">
        <v>1.5</v>
      </c>
      <c r="R20" s="20">
        <f t="shared" ca="1" si="17"/>
        <v>0.87438490560524107</v>
      </c>
      <c r="S20" s="22">
        <f t="shared" ca="1" si="18"/>
        <v>1.3115773584078616</v>
      </c>
      <c r="T20" s="21">
        <f ca="1">F20/28.443</f>
        <v>153.99999999999997</v>
      </c>
      <c r="U20" s="21">
        <f t="shared" ca="1" si="19"/>
        <v>6.9999999999999991</v>
      </c>
      <c r="V20" s="18">
        <f t="shared" ca="1" si="20"/>
        <v>261.13636363636363</v>
      </c>
      <c r="W20" s="76"/>
      <c r="X20" s="1" t="s">
        <v>2</v>
      </c>
      <c r="Y20" s="1" t="s">
        <v>3</v>
      </c>
      <c r="Z20" s="1" t="s">
        <v>4</v>
      </c>
      <c r="AA20" s="1" t="s">
        <v>5</v>
      </c>
      <c r="AB20" s="2" t="s">
        <v>6</v>
      </c>
      <c r="AC20" s="1" t="s">
        <v>7</v>
      </c>
      <c r="AD20" s="1" t="s">
        <v>8</v>
      </c>
      <c r="AE20" s="1" t="s">
        <v>9</v>
      </c>
      <c r="AF20" s="1" t="s">
        <v>10</v>
      </c>
      <c r="AG20" s="1" t="s">
        <v>11</v>
      </c>
      <c r="AH20" s="1" t="s">
        <v>12</v>
      </c>
      <c r="AI20" s="1" t="s">
        <v>13</v>
      </c>
      <c r="AJ20" s="2" t="s">
        <v>14</v>
      </c>
      <c r="AK20" s="1" t="s">
        <v>15</v>
      </c>
      <c r="AL20" s="1" t="s">
        <v>16</v>
      </c>
      <c r="AM20" s="3" t="s">
        <v>17</v>
      </c>
      <c r="AN20" s="4" t="s">
        <v>18</v>
      </c>
      <c r="AO20" s="5" t="s">
        <v>19</v>
      </c>
      <c r="AP20" s="6" t="s">
        <v>20</v>
      </c>
      <c r="AQ20" s="6" t="s">
        <v>21</v>
      </c>
      <c r="AR20" s="7" t="s">
        <v>22</v>
      </c>
      <c r="AS20" s="76"/>
      <c r="AT20" s="76"/>
    </row>
    <row r="21" spans="1:46" ht="15.75" customHeight="1" x14ac:dyDescent="0.25">
      <c r="A21" s="70"/>
      <c r="B21" s="16">
        <v>16</v>
      </c>
      <c r="C21" s="16" t="s">
        <v>42</v>
      </c>
      <c r="D21" s="17">
        <v>26</v>
      </c>
      <c r="E21" s="18">
        <f ca="1">IFERROR(__xludf.DUMMYFUNCTION("COUNT(IMPORTRANGE(""https://docs.google.com/spreadsheets/d/14Tu_jFPEdrIQ6DHYu6vRvJKQsbXr-48NY1tKy4-8JKI/edit"",""1!d2:d34""))"),26)</f>
        <v>26</v>
      </c>
      <c r="F21" s="23">
        <f ca="1">IFERROR(__xludf.DUMMYFUNCTION("SUM(IMPORTRANGE(""https://docs.google.com/spreadsheets/d/14Tu_jFPEdrIQ6DHYu6vRvJKQsbXr-48NY1tKy4-8JKI/edit"",""1!Q2:Q34""))"),4935.60199999999)</f>
        <v>4935.6019999999899</v>
      </c>
      <c r="G21" s="18">
        <f ca="1">IFERROR(__xludf.DUMMYFUNCTION("IMPORTRANGE(""https://docs.google.com/spreadsheets/d/14Tu_jFPEdrIQ6DHYu6vRvJKQsbXr-48NY1tKy4-8JKI/edit"",""1!e41"")"),2649)</f>
        <v>2649</v>
      </c>
      <c r="H21" s="18">
        <f ca="1">IFERROR(__xludf.DUMMYFUNCTION("IMPORTRANGE(""https://docs.google.com/spreadsheets/d/14Tu_jFPEdrIQ6DHYu6vRvJKQsbXr-48NY1tKy4-8JKI/edit"",""1!e42"")"),0)</f>
        <v>0</v>
      </c>
      <c r="I21" s="18">
        <f t="shared" ca="1" si="12"/>
        <v>2649</v>
      </c>
      <c r="J21" s="18">
        <f ca="1">IFERROR(__xludf.DUMMYFUNCTION("IMPORTRANGE(""https://docs.google.com/spreadsheets/d/14Tu_jFPEdrIQ6DHYu6vRvJKQsbXr-48NY1tKy4-8JKI/edit"",""1!e45"")"),3404)</f>
        <v>3404</v>
      </c>
      <c r="K21" s="18">
        <f ca="1">IFERROR(__xludf.DUMMYFUNCTION("IMPORTRANGE(""https://docs.google.com/spreadsheets/d/14Tu_jFPEdrIQ6DHYu6vRvJKQsbXr-48NY1tKy4-8JKI/edit"",""1!e46"")"),0)</f>
        <v>0</v>
      </c>
      <c r="L21" s="18">
        <f t="shared" ca="1" si="42"/>
        <v>3404</v>
      </c>
      <c r="M21" s="18">
        <f t="shared" ca="1" si="14"/>
        <v>6053</v>
      </c>
      <c r="N21" s="19">
        <f t="shared" ca="1" si="15"/>
        <v>189.83084615384575</v>
      </c>
      <c r="O21" s="16">
        <v>9877</v>
      </c>
      <c r="P21" s="20">
        <f t="shared" ca="1" si="16"/>
        <v>0.61283790624683609</v>
      </c>
      <c r="Q21" s="21">
        <v>1.5</v>
      </c>
      <c r="R21" s="20">
        <f t="shared" ca="1" si="17"/>
        <v>0.81759698884418597</v>
      </c>
      <c r="S21" s="22">
        <f t="shared" ca="1" si="18"/>
        <v>1.2263954832662789</v>
      </c>
      <c r="T21" s="21">
        <f ca="1">F21/26.155</f>
        <v>188.70586885872643</v>
      </c>
      <c r="U21" s="21">
        <f t="shared" ca="1" si="19"/>
        <v>7.2579180330279396</v>
      </c>
      <c r="V21" s="18">
        <f t="shared" ca="1" si="20"/>
        <v>232.80769230769232</v>
      </c>
      <c r="W21" s="76"/>
      <c r="X21" s="8">
        <v>1</v>
      </c>
      <c r="Y21" s="8" t="s">
        <v>26</v>
      </c>
      <c r="Z21" s="8">
        <f t="shared" ref="Z21:AI21" si="54">SUM(D6)</f>
        <v>16</v>
      </c>
      <c r="AA21" s="9">
        <f t="shared" ca="1" si="54"/>
        <v>15</v>
      </c>
      <c r="AB21" s="11">
        <f t="shared" ca="1" si="54"/>
        <v>2883.4589999999998</v>
      </c>
      <c r="AC21" s="9">
        <f t="shared" ca="1" si="54"/>
        <v>1664</v>
      </c>
      <c r="AD21" s="9">
        <f t="shared" ca="1" si="54"/>
        <v>0</v>
      </c>
      <c r="AE21" s="9">
        <f t="shared" ca="1" si="54"/>
        <v>1664</v>
      </c>
      <c r="AF21" s="9">
        <f t="shared" ca="1" si="54"/>
        <v>1664</v>
      </c>
      <c r="AG21" s="9">
        <f t="shared" ca="1" si="54"/>
        <v>0</v>
      </c>
      <c r="AH21" s="9">
        <f t="shared" ca="1" si="54"/>
        <v>1664</v>
      </c>
      <c r="AI21" s="9">
        <f t="shared" ca="1" si="54"/>
        <v>3328</v>
      </c>
      <c r="AJ21" s="11">
        <f t="shared" ref="AJ21:AJ27" ca="1" si="55">AB21/AA21</f>
        <v>192.23059999999998</v>
      </c>
      <c r="AK21" s="8">
        <f>SUM(O6)</f>
        <v>5161</v>
      </c>
      <c r="AL21" s="12">
        <f t="shared" ref="AL21:AL27" ca="1" si="56">AI21/AK21</f>
        <v>0.64483627204030225</v>
      </c>
      <c r="AM21" s="13">
        <f>SUM(Q6)</f>
        <v>1.5</v>
      </c>
      <c r="AN21" s="12">
        <f t="shared" ref="AN21:AN27" ca="1" si="57">AO21/AM21</f>
        <v>0.76944623338381668</v>
      </c>
      <c r="AO21" s="14">
        <f t="shared" ref="AO21:AO27" ca="1" si="58">AI21/AB21</f>
        <v>1.1541693500757251</v>
      </c>
      <c r="AP21" s="13">
        <f t="shared" ref="AP21:AQ21" ca="1" si="59">SUM(T6)</f>
        <v>200.0318418314256</v>
      </c>
      <c r="AQ21" s="13">
        <f t="shared" ca="1" si="59"/>
        <v>13.33545612209504</v>
      </c>
      <c r="AR21" s="9">
        <f t="shared" ref="AR21:AR27" ca="1" si="60">AI21/AA21</f>
        <v>221.86666666666667</v>
      </c>
      <c r="AS21" s="76"/>
      <c r="AT21" s="76"/>
    </row>
    <row r="22" spans="1:46" ht="15.75" customHeight="1" x14ac:dyDescent="0.25">
      <c r="A22" s="70"/>
      <c r="B22" s="16">
        <v>17</v>
      </c>
      <c r="C22" s="16" t="s">
        <v>29</v>
      </c>
      <c r="D22" s="17">
        <v>24</v>
      </c>
      <c r="E22" s="18">
        <f ca="1">IFERROR(__xludf.DUMMYFUNCTION("COUNT(IMPORTRANGE(""https://docs.google.com/spreadsheets/d/1ja_RQYsP0p5wRrACHojay4CW1wLx0QdS5tSwp-vYQ-s/edit"",""1!d2:d31""))"),23)</f>
        <v>23</v>
      </c>
      <c r="F22" s="23">
        <f ca="1">IFERROR(__xludf.DUMMYFUNCTION("SUM(IMPORTRANGE(""https://docs.google.com/spreadsheets/d/1ja_RQYsP0p5wRrACHojay4CW1wLx0QdS5tSwp-vYQ-s/edit"",""1!Q2:Q31""))"),4426.46)</f>
        <v>4426.46</v>
      </c>
      <c r="G22" s="18">
        <f ca="1">IFERROR(__xludf.DUMMYFUNCTION("IMPORTRANGE(""https://docs.google.com/spreadsheets/d/1ja_RQYsP0p5wRrACHojay4CW1wLx0QdS5tSwp-vYQ-s/edit"",""1!e38"")"),2038)</f>
        <v>2038</v>
      </c>
      <c r="H22" s="18">
        <f ca="1">IFERROR(__xludf.DUMMYFUNCTION("IMPORTRANGE(""https://docs.google.com/spreadsheets/d/1ja_RQYsP0p5wRrACHojay4CW1wLx0QdS5tSwp-vYQ-s/edit"",""1!e39"")"),0)</f>
        <v>0</v>
      </c>
      <c r="I22" s="18">
        <f t="shared" ca="1" si="12"/>
        <v>2038</v>
      </c>
      <c r="J22" s="18">
        <f ca="1">IFERROR(__xludf.DUMMYFUNCTION("IMPORTRANGE(""https://docs.google.com/spreadsheets/d/1ja_RQYsP0p5wRrACHojay4CW1wLx0QdS5tSwp-vYQ-s/edit"",""1!e42"")"),2902)</f>
        <v>2902</v>
      </c>
      <c r="K22" s="18">
        <f ca="1">IFERROR(__xludf.DUMMYFUNCTION("IMPORTRANGE(""https://docs.google.com/spreadsheets/d/1ja_RQYsP0p5wRrACHojay4CW1wLx0QdS5tSwp-vYQ-s/edit"",""1!e43"")"),0)</f>
        <v>0</v>
      </c>
      <c r="L22" s="18">
        <f t="shared" ca="1" si="42"/>
        <v>2902</v>
      </c>
      <c r="M22" s="18">
        <f t="shared" ca="1" si="14"/>
        <v>4940</v>
      </c>
      <c r="N22" s="19">
        <f t="shared" ca="1" si="15"/>
        <v>192.45478260869567</v>
      </c>
      <c r="O22" s="16">
        <v>9201</v>
      </c>
      <c r="P22" s="20">
        <f t="shared" ca="1" si="16"/>
        <v>0.53689816324312578</v>
      </c>
      <c r="Q22" s="21">
        <v>1.5</v>
      </c>
      <c r="R22" s="20">
        <f t="shared" ca="1" si="17"/>
        <v>0.74401063905091958</v>
      </c>
      <c r="S22" s="22">
        <f t="shared" ca="1" si="18"/>
        <v>1.1160159585763794</v>
      </c>
      <c r="T22" s="21">
        <f ca="1">F22/26.038</f>
        <v>170</v>
      </c>
      <c r="U22" s="21">
        <f t="shared" ca="1" si="19"/>
        <v>7.3913043478260869</v>
      </c>
      <c r="V22" s="18">
        <f t="shared" ca="1" si="20"/>
        <v>214.78260869565219</v>
      </c>
      <c r="W22" s="76"/>
      <c r="X22" s="8">
        <v>2</v>
      </c>
      <c r="Y22" s="8" t="s">
        <v>32</v>
      </c>
      <c r="Z22" s="8">
        <f t="shared" ref="Z22:AI22" si="61">SUM(D9)</f>
        <v>33</v>
      </c>
      <c r="AA22" s="9">
        <f t="shared" ca="1" si="61"/>
        <v>33</v>
      </c>
      <c r="AB22" s="10">
        <f t="shared" ca="1" si="61"/>
        <v>6486.5809999999901</v>
      </c>
      <c r="AC22" s="8">
        <f t="shared" ca="1" si="61"/>
        <v>3724</v>
      </c>
      <c r="AD22" s="8">
        <f t="shared" ca="1" si="61"/>
        <v>0</v>
      </c>
      <c r="AE22" s="9">
        <f t="shared" ca="1" si="61"/>
        <v>3724</v>
      </c>
      <c r="AF22" s="8">
        <f t="shared" ca="1" si="61"/>
        <v>3793</v>
      </c>
      <c r="AG22" s="8">
        <f t="shared" ca="1" si="61"/>
        <v>0</v>
      </c>
      <c r="AH22" s="9">
        <f t="shared" ca="1" si="61"/>
        <v>3793</v>
      </c>
      <c r="AI22" s="9">
        <f t="shared" ca="1" si="61"/>
        <v>7517</v>
      </c>
      <c r="AJ22" s="11">
        <f t="shared" ca="1" si="55"/>
        <v>196.5630606060603</v>
      </c>
      <c r="AK22" s="8">
        <f>SUM(O9)</f>
        <v>13817</v>
      </c>
      <c r="AL22" s="12">
        <f t="shared" ca="1" si="56"/>
        <v>0.54403995078526457</v>
      </c>
      <c r="AM22" s="13">
        <f>SUM(Q9)</f>
        <v>1.5</v>
      </c>
      <c r="AN22" s="12">
        <f t="shared" ca="1" si="57"/>
        <v>0.77256929857706869</v>
      </c>
      <c r="AO22" s="14">
        <f t="shared" ca="1" si="58"/>
        <v>1.158853947865603</v>
      </c>
      <c r="AP22" s="13">
        <f t="shared" ref="AP22:AQ22" ca="1" si="62">SUM(T9)</f>
        <v>258.54282753397865</v>
      </c>
      <c r="AQ22" s="13">
        <f t="shared" ca="1" si="62"/>
        <v>7.8346311373932922</v>
      </c>
      <c r="AR22" s="9">
        <f t="shared" ca="1" si="60"/>
        <v>227.78787878787878</v>
      </c>
      <c r="AS22" s="76"/>
      <c r="AT22" s="76"/>
    </row>
    <row r="23" spans="1:46" ht="15.75" customHeight="1" x14ac:dyDescent="0.25">
      <c r="A23" s="70"/>
      <c r="B23" s="16">
        <v>18</v>
      </c>
      <c r="C23" s="16" t="s">
        <v>31</v>
      </c>
      <c r="D23" s="17">
        <v>12</v>
      </c>
      <c r="E23" s="18">
        <f ca="1">IFERROR(__xludf.DUMMYFUNCTION("COUNT(IMPORTRANGE(""https://docs.google.com/spreadsheets/d/1ObnK1oSznTOmyW9Zcd2kxExl7TOnO2MNq_0giEKc_mE/edit"",""1!d2:d16""))"),11)</f>
        <v>11</v>
      </c>
      <c r="F23" s="19">
        <f ca="1">IFERROR(__xludf.DUMMYFUNCTION("SUM(IMPORTRANGE(""https://docs.google.com/spreadsheets/d/1ObnK1oSznTOmyW9Zcd2kxExl7TOnO2MNq_0giEKc_mE/edit"",""1!Q2:Q16""))"),2129.785)</f>
        <v>2129.7849999999999</v>
      </c>
      <c r="G23" s="18">
        <f ca="1">IFERROR(__xludf.DUMMYFUNCTION("IMPORTRANGE(""https://docs.google.com/spreadsheets/d/1ObnK1oSznTOmyW9Zcd2kxExl7TOnO2MNq_0giEKc_mE/edit"",""1!e23"")"),587)</f>
        <v>587</v>
      </c>
      <c r="H23" s="18">
        <f ca="1">IFERROR(__xludf.DUMMYFUNCTION("IMPORTRANGE(""https://docs.google.com/spreadsheets/d/1ObnK1oSznTOmyW9Zcd2kxExl7TOnO2MNq_0giEKc_mE/edit"",""1!e24"")"),8)</f>
        <v>8</v>
      </c>
      <c r="I23" s="18">
        <f t="shared" ca="1" si="12"/>
        <v>595</v>
      </c>
      <c r="J23" s="18">
        <f ca="1">IFERROR(__xludf.DUMMYFUNCTION("IMPORTRANGE(""https://docs.google.com/spreadsheets/d/1ObnK1oSznTOmyW9Zcd2kxExl7TOnO2MNq_0giEKc_mE/edit"",""1!e27"")"),852)</f>
        <v>852</v>
      </c>
      <c r="K23" s="18">
        <f ca="1">IFERROR(__xludf.DUMMYFUNCTION("IMPORTRANGE(""https://docs.google.com/spreadsheets/d/1ObnK1oSznTOmyW9Zcd2kxExl7TOnO2MNq_0giEKc_mE/edit"",""1!e28"")"),0)</f>
        <v>0</v>
      </c>
      <c r="L23" s="18">
        <f t="shared" ca="1" si="42"/>
        <v>852</v>
      </c>
      <c r="M23" s="18">
        <f t="shared" ca="1" si="14"/>
        <v>1447</v>
      </c>
      <c r="N23" s="19">
        <f t="shared" ca="1" si="15"/>
        <v>193.61681818181816</v>
      </c>
      <c r="O23" s="16">
        <v>2717</v>
      </c>
      <c r="P23" s="20">
        <f t="shared" ca="1" si="16"/>
        <v>0.53257269046742728</v>
      </c>
      <c r="Q23" s="21">
        <v>1.5</v>
      </c>
      <c r="R23" s="20">
        <f t="shared" ca="1" si="17"/>
        <v>0.45294086805319161</v>
      </c>
      <c r="S23" s="22">
        <f t="shared" ca="1" si="18"/>
        <v>0.67941130207978739</v>
      </c>
      <c r="T23" s="21">
        <f ca="1">F23/43.465</f>
        <v>48.999999999999993</v>
      </c>
      <c r="U23" s="21">
        <f t="shared" ca="1" si="19"/>
        <v>4.4545454545454541</v>
      </c>
      <c r="V23" s="18">
        <f t="shared" ca="1" si="20"/>
        <v>131.54545454545453</v>
      </c>
      <c r="W23" s="76"/>
      <c r="X23" s="8">
        <v>3</v>
      </c>
      <c r="Y23" s="8" t="s">
        <v>36</v>
      </c>
      <c r="Z23" s="8">
        <f t="shared" ref="Z23:AI23" si="63">SUM(D14)</f>
        <v>23</v>
      </c>
      <c r="AA23" s="9">
        <f t="shared" ca="1" si="63"/>
        <v>23</v>
      </c>
      <c r="AB23" s="10">
        <f t="shared" ca="1" si="63"/>
        <v>4388.9629999999897</v>
      </c>
      <c r="AC23" s="9">
        <f t="shared" ca="1" si="63"/>
        <v>1043</v>
      </c>
      <c r="AD23" s="9">
        <f t="shared" ca="1" si="63"/>
        <v>0</v>
      </c>
      <c r="AE23" s="9">
        <f t="shared" ca="1" si="63"/>
        <v>1043</v>
      </c>
      <c r="AF23" s="9">
        <f t="shared" ca="1" si="63"/>
        <v>1647</v>
      </c>
      <c r="AG23" s="9">
        <f t="shared" ca="1" si="63"/>
        <v>15</v>
      </c>
      <c r="AH23" s="9">
        <f t="shared" ca="1" si="63"/>
        <v>1662</v>
      </c>
      <c r="AI23" s="9">
        <f t="shared" ca="1" si="63"/>
        <v>2705</v>
      </c>
      <c r="AJ23" s="11">
        <f t="shared" ca="1" si="55"/>
        <v>190.82447826086911</v>
      </c>
      <c r="AK23" s="8">
        <f t="shared" ref="AK23:AK26" si="64">SUM(O14)</f>
        <v>4796</v>
      </c>
      <c r="AL23" s="12">
        <f t="shared" ca="1" si="56"/>
        <v>0.56401167639699745</v>
      </c>
      <c r="AM23" s="13">
        <f t="shared" ref="AM23:AM26" si="65">SUM(Q14)</f>
        <v>1.5</v>
      </c>
      <c r="AN23" s="12">
        <f t="shared" ca="1" si="57"/>
        <v>0.41087913781304092</v>
      </c>
      <c r="AO23" s="14">
        <f t="shared" ca="1" si="58"/>
        <v>0.61631870671956135</v>
      </c>
      <c r="AP23" s="13">
        <f t="shared" ref="AP23:AQ23" ca="1" si="66">SUM(T14)</f>
        <v>117.30803977120836</v>
      </c>
      <c r="AQ23" s="13">
        <f t="shared" ca="1" si="66"/>
        <v>5.1003495552699283</v>
      </c>
      <c r="AR23" s="9">
        <f t="shared" ca="1" si="60"/>
        <v>117.60869565217391</v>
      </c>
      <c r="AS23" s="76"/>
      <c r="AT23" s="76"/>
    </row>
    <row r="24" spans="1:46" ht="15.75" customHeight="1" x14ac:dyDescent="0.2">
      <c r="A24" s="70"/>
      <c r="B24" s="98" t="s">
        <v>33</v>
      </c>
      <c r="C24" s="98">
        <v>18</v>
      </c>
      <c r="D24" s="98">
        <f t="shared" ref="D24:M24" si="67">SUM(D6:D23)</f>
        <v>470</v>
      </c>
      <c r="E24" s="74">
        <f t="shared" ca="1" si="67"/>
        <v>462</v>
      </c>
      <c r="F24" s="99">
        <f t="shared" ca="1" si="67"/>
        <v>88952.610999999946</v>
      </c>
      <c r="G24" s="74">
        <f t="shared" ca="1" si="67"/>
        <v>31479</v>
      </c>
      <c r="H24" s="74">
        <f t="shared" ca="1" si="67"/>
        <v>634</v>
      </c>
      <c r="I24" s="74">
        <f t="shared" ca="1" si="67"/>
        <v>32113</v>
      </c>
      <c r="J24" s="74">
        <f t="shared" ca="1" si="67"/>
        <v>42453</v>
      </c>
      <c r="K24" s="74">
        <f t="shared" ca="1" si="67"/>
        <v>400</v>
      </c>
      <c r="L24" s="74">
        <f t="shared" ca="1" si="67"/>
        <v>42853</v>
      </c>
      <c r="M24" s="74">
        <f t="shared" ca="1" si="67"/>
        <v>74966</v>
      </c>
      <c r="N24" s="99">
        <f t="shared" ca="1" si="15"/>
        <v>192.53811904761892</v>
      </c>
      <c r="O24" s="98">
        <f>SUM(O6:O23)</f>
        <v>126399</v>
      </c>
      <c r="P24" s="69">
        <f t="shared" ca="1" si="16"/>
        <v>0.5930901352067659</v>
      </c>
      <c r="Q24" s="72">
        <v>1.5</v>
      </c>
      <c r="R24" s="69">
        <f t="shared" ca="1" si="17"/>
        <v>0.56184223005363343</v>
      </c>
      <c r="S24" s="73">
        <f t="shared" ca="1" si="18"/>
        <v>0.84276334508045014</v>
      </c>
      <c r="T24" s="72">
        <f ca="1">SUM(T6:T23)</f>
        <v>3279.3408967627142</v>
      </c>
      <c r="U24" s="72">
        <f t="shared" ca="1" si="19"/>
        <v>7.0981404691833641</v>
      </c>
      <c r="V24" s="74">
        <f t="shared" ca="1" si="20"/>
        <v>162.26406926406926</v>
      </c>
      <c r="W24" s="76"/>
      <c r="X24" s="8">
        <v>4</v>
      </c>
      <c r="Y24" s="8" t="s">
        <v>37</v>
      </c>
      <c r="Z24" s="8">
        <f t="shared" ref="Z24:AI24" si="68">SUM(D15)</f>
        <v>24</v>
      </c>
      <c r="AA24" s="9">
        <f t="shared" ca="1" si="68"/>
        <v>24</v>
      </c>
      <c r="AB24" s="10">
        <f t="shared" ca="1" si="68"/>
        <v>4547.7960000000003</v>
      </c>
      <c r="AC24" s="9">
        <f t="shared" ca="1" si="68"/>
        <v>1480</v>
      </c>
      <c r="AD24" s="9">
        <f t="shared" ca="1" si="68"/>
        <v>0</v>
      </c>
      <c r="AE24" s="9">
        <f t="shared" ca="1" si="68"/>
        <v>1480</v>
      </c>
      <c r="AF24" s="9">
        <f t="shared" ca="1" si="68"/>
        <v>2290</v>
      </c>
      <c r="AG24" s="9">
        <f t="shared" ca="1" si="68"/>
        <v>0</v>
      </c>
      <c r="AH24" s="9">
        <f t="shared" ca="1" si="68"/>
        <v>2290</v>
      </c>
      <c r="AI24" s="9">
        <f t="shared" ca="1" si="68"/>
        <v>3770</v>
      </c>
      <c r="AJ24" s="11">
        <f t="shared" ca="1" si="55"/>
        <v>189.4915</v>
      </c>
      <c r="AK24" s="8">
        <f t="shared" si="64"/>
        <v>5887</v>
      </c>
      <c r="AL24" s="12">
        <f t="shared" ca="1" si="56"/>
        <v>0.64039408866995073</v>
      </c>
      <c r="AM24" s="13">
        <f t="shared" si="65"/>
        <v>1.5</v>
      </c>
      <c r="AN24" s="12">
        <f t="shared" ca="1" si="57"/>
        <v>0.55264865295922094</v>
      </c>
      <c r="AO24" s="14">
        <f t="shared" ca="1" si="58"/>
        <v>0.82897297943883141</v>
      </c>
      <c r="AP24" s="13">
        <f t="shared" ref="AP24:AQ24" ca="1" si="69">SUM(T15)</f>
        <v>183.4380445304937</v>
      </c>
      <c r="AQ24" s="13">
        <f t="shared" ca="1" si="69"/>
        <v>7.6432518554372377</v>
      </c>
      <c r="AR24" s="9">
        <f t="shared" ca="1" si="60"/>
        <v>157.08333333333334</v>
      </c>
      <c r="AS24" s="76"/>
      <c r="AT24" s="76"/>
    </row>
    <row r="25" spans="1:46" ht="15.75" customHeight="1" x14ac:dyDescent="0.2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6"/>
      <c r="X25" s="8">
        <v>5</v>
      </c>
      <c r="Y25" s="8" t="s">
        <v>39</v>
      </c>
      <c r="Z25" s="8">
        <f t="shared" ref="Z25:AI25" si="70">SUM(D16)</f>
        <v>22</v>
      </c>
      <c r="AA25" s="9">
        <f t="shared" ca="1" si="70"/>
        <v>22</v>
      </c>
      <c r="AB25" s="10">
        <f t="shared" ca="1" si="70"/>
        <v>3997.5749999999998</v>
      </c>
      <c r="AC25" s="9">
        <f t="shared" ca="1" si="70"/>
        <v>951</v>
      </c>
      <c r="AD25" s="9">
        <f t="shared" ca="1" si="70"/>
        <v>0</v>
      </c>
      <c r="AE25" s="9">
        <f t="shared" ca="1" si="70"/>
        <v>951</v>
      </c>
      <c r="AF25" s="9">
        <f t="shared" ca="1" si="70"/>
        <v>1842</v>
      </c>
      <c r="AG25" s="9">
        <f t="shared" ca="1" si="70"/>
        <v>0</v>
      </c>
      <c r="AH25" s="9">
        <f t="shared" ca="1" si="70"/>
        <v>1842</v>
      </c>
      <c r="AI25" s="9">
        <f t="shared" ca="1" si="70"/>
        <v>2793</v>
      </c>
      <c r="AJ25" s="11">
        <f t="shared" ca="1" si="55"/>
        <v>181.70795454545453</v>
      </c>
      <c r="AK25" s="8">
        <f t="shared" si="64"/>
        <v>3569</v>
      </c>
      <c r="AL25" s="12">
        <f t="shared" ca="1" si="56"/>
        <v>0.78257214906136174</v>
      </c>
      <c r="AM25" s="13">
        <f t="shared" si="65"/>
        <v>1.5</v>
      </c>
      <c r="AN25" s="12">
        <f t="shared" ca="1" si="57"/>
        <v>0.46578238056821952</v>
      </c>
      <c r="AO25" s="14">
        <f t="shared" ca="1" si="58"/>
        <v>0.69867357085232928</v>
      </c>
      <c r="AP25" s="13">
        <f t="shared" ref="AP25:AQ25" ca="1" si="71">SUM(T16)</f>
        <v>186.25425150258582</v>
      </c>
      <c r="AQ25" s="13">
        <f t="shared" ca="1" si="71"/>
        <v>8.4661023410266285</v>
      </c>
      <c r="AR25" s="9">
        <f t="shared" ca="1" si="60"/>
        <v>126.95454545454545</v>
      </c>
      <c r="AS25" s="76"/>
      <c r="AT25" s="76"/>
    </row>
    <row r="26" spans="1:46" ht="15.75" customHeight="1" x14ac:dyDescent="0.2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6"/>
      <c r="X26" s="8">
        <v>6</v>
      </c>
      <c r="Y26" s="8" t="s">
        <v>41</v>
      </c>
      <c r="Z26" s="8">
        <f t="shared" ref="Z26:AI26" si="72">SUM(D17)</f>
        <v>20</v>
      </c>
      <c r="AA26" s="9">
        <f t="shared" ca="1" si="72"/>
        <v>20</v>
      </c>
      <c r="AB26" s="10">
        <f t="shared" ca="1" si="72"/>
        <v>4006.364</v>
      </c>
      <c r="AC26" s="9">
        <f t="shared" ca="1" si="72"/>
        <v>1046</v>
      </c>
      <c r="AD26" s="9">
        <f t="shared" ca="1" si="72"/>
        <v>0</v>
      </c>
      <c r="AE26" s="9">
        <f t="shared" ca="1" si="72"/>
        <v>1046</v>
      </c>
      <c r="AF26" s="9">
        <f t="shared" ca="1" si="72"/>
        <v>1268</v>
      </c>
      <c r="AG26" s="9">
        <f t="shared" ca="1" si="72"/>
        <v>0</v>
      </c>
      <c r="AH26" s="9">
        <f t="shared" ca="1" si="72"/>
        <v>1268</v>
      </c>
      <c r="AI26" s="9">
        <f t="shared" ca="1" si="72"/>
        <v>2314</v>
      </c>
      <c r="AJ26" s="11">
        <f t="shared" ca="1" si="55"/>
        <v>200.31819999999999</v>
      </c>
      <c r="AK26" s="8">
        <f t="shared" si="64"/>
        <v>3801</v>
      </c>
      <c r="AL26" s="12">
        <f t="shared" ca="1" si="56"/>
        <v>0.60878716127334909</v>
      </c>
      <c r="AM26" s="13">
        <f t="shared" si="65"/>
        <v>1.5</v>
      </c>
      <c r="AN26" s="12">
        <f t="shared" ca="1" si="57"/>
        <v>0.3850540456799898</v>
      </c>
      <c r="AO26" s="14">
        <f t="shared" ca="1" si="58"/>
        <v>0.5775810685199847</v>
      </c>
      <c r="AP26" s="13">
        <f t="shared" ref="AP26:AQ26" ca="1" si="73">SUM(T17)</f>
        <v>135.22222222222223</v>
      </c>
      <c r="AQ26" s="13">
        <f t="shared" ca="1" si="73"/>
        <v>6.7611111111111111</v>
      </c>
      <c r="AR26" s="9">
        <f t="shared" ca="1" si="60"/>
        <v>115.7</v>
      </c>
      <c r="AS26" s="76"/>
      <c r="AT26" s="76"/>
    </row>
    <row r="27" spans="1:46" ht="15.75" customHeight="1" x14ac:dyDescent="0.25">
      <c r="A27" s="110" t="s">
        <v>45</v>
      </c>
      <c r="B27" s="76"/>
      <c r="C27" s="76"/>
      <c r="D27" s="75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24" t="s">
        <v>33</v>
      </c>
      <c r="Y27" s="24">
        <v>6</v>
      </c>
      <c r="Z27" s="24">
        <f t="shared" ref="Z27:AI27" si="74">SUM(Z21:Z26)</f>
        <v>138</v>
      </c>
      <c r="AA27" s="25">
        <f t="shared" ca="1" si="74"/>
        <v>137</v>
      </c>
      <c r="AB27" s="27">
        <f t="shared" ca="1" si="74"/>
        <v>26310.737999999979</v>
      </c>
      <c r="AC27" s="25">
        <f t="shared" ca="1" si="74"/>
        <v>9908</v>
      </c>
      <c r="AD27" s="25">
        <f t="shared" ca="1" si="74"/>
        <v>0</v>
      </c>
      <c r="AE27" s="25">
        <f t="shared" ca="1" si="74"/>
        <v>9908</v>
      </c>
      <c r="AF27" s="25">
        <f t="shared" ca="1" si="74"/>
        <v>12504</v>
      </c>
      <c r="AG27" s="25">
        <f t="shared" ca="1" si="74"/>
        <v>15</v>
      </c>
      <c r="AH27" s="25">
        <f t="shared" ca="1" si="74"/>
        <v>12519</v>
      </c>
      <c r="AI27" s="25">
        <f t="shared" ca="1" si="74"/>
        <v>22427</v>
      </c>
      <c r="AJ27" s="27">
        <f t="shared" ca="1" si="55"/>
        <v>192.04918248175167</v>
      </c>
      <c r="AK27" s="24">
        <f>SUM(AK21:AK26)</f>
        <v>37031</v>
      </c>
      <c r="AL27" s="28">
        <f t="shared" ca="1" si="56"/>
        <v>0.60562771731792286</v>
      </c>
      <c r="AM27" s="29">
        <v>1.5</v>
      </c>
      <c r="AN27" s="28">
        <f t="shared" ca="1" si="57"/>
        <v>0.56825974753476494</v>
      </c>
      <c r="AO27" s="30">
        <f t="shared" ca="1" si="58"/>
        <v>0.85238962130214735</v>
      </c>
      <c r="AP27" s="29">
        <f ca="1">SUM(AP21:AP26)</f>
        <v>1080.7972273919142</v>
      </c>
      <c r="AQ27" s="29">
        <f ca="1">AP27/AA27</f>
        <v>7.8890308568752863</v>
      </c>
      <c r="AR27" s="25">
        <f t="shared" ca="1" si="60"/>
        <v>163.7007299270073</v>
      </c>
      <c r="AS27" s="76"/>
      <c r="AT27" s="76"/>
    </row>
    <row r="28" spans="1:46" ht="15.75" customHeight="1" x14ac:dyDescent="0.2">
      <c r="A28" s="110" t="s">
        <v>45</v>
      </c>
      <c r="B28" s="76"/>
      <c r="C28" s="76"/>
      <c r="D28" s="75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7" t="s">
        <v>1</v>
      </c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9"/>
      <c r="AS28" s="76"/>
      <c r="AT28" s="76"/>
    </row>
    <row r="29" spans="1:46" ht="15.75" customHeight="1" x14ac:dyDescent="0.2">
      <c r="A29" s="113">
        <v>46236</v>
      </c>
      <c r="B29" s="80" t="s">
        <v>2</v>
      </c>
      <c r="C29" s="80" t="s">
        <v>3</v>
      </c>
      <c r="D29" s="80" t="s">
        <v>4</v>
      </c>
      <c r="E29" s="80" t="s">
        <v>5</v>
      </c>
      <c r="F29" s="81" t="s">
        <v>6</v>
      </c>
      <c r="G29" s="80" t="s">
        <v>7</v>
      </c>
      <c r="H29" s="80" t="s">
        <v>8</v>
      </c>
      <c r="I29" s="80" t="s">
        <v>9</v>
      </c>
      <c r="J29" s="80" t="s">
        <v>10</v>
      </c>
      <c r="K29" s="80" t="s">
        <v>11</v>
      </c>
      <c r="L29" s="80" t="s">
        <v>12</v>
      </c>
      <c r="M29" s="80" t="s">
        <v>13</v>
      </c>
      <c r="N29" s="81" t="s">
        <v>14</v>
      </c>
      <c r="O29" s="80" t="s">
        <v>15</v>
      </c>
      <c r="P29" s="80" t="s">
        <v>16</v>
      </c>
      <c r="Q29" s="80" t="s">
        <v>17</v>
      </c>
      <c r="R29" s="80" t="s">
        <v>18</v>
      </c>
      <c r="S29" s="106" t="s">
        <v>19</v>
      </c>
      <c r="T29" s="107" t="s">
        <v>20</v>
      </c>
      <c r="U29" s="107" t="s">
        <v>21</v>
      </c>
      <c r="V29" s="105" t="s">
        <v>22</v>
      </c>
      <c r="W29" s="76"/>
      <c r="X29" s="1" t="s">
        <v>2</v>
      </c>
      <c r="Y29" s="1" t="s">
        <v>3</v>
      </c>
      <c r="Z29" s="1" t="s">
        <v>4</v>
      </c>
      <c r="AA29" s="1" t="s">
        <v>5</v>
      </c>
      <c r="AB29" s="2" t="s">
        <v>6</v>
      </c>
      <c r="AC29" s="1" t="s">
        <v>7</v>
      </c>
      <c r="AD29" s="1" t="s">
        <v>8</v>
      </c>
      <c r="AE29" s="1" t="s">
        <v>9</v>
      </c>
      <c r="AF29" s="1" t="s">
        <v>10</v>
      </c>
      <c r="AG29" s="1" t="s">
        <v>11</v>
      </c>
      <c r="AH29" s="1" t="s">
        <v>12</v>
      </c>
      <c r="AI29" s="1" t="s">
        <v>13</v>
      </c>
      <c r="AJ29" s="2" t="s">
        <v>14</v>
      </c>
      <c r="AK29" s="1" t="s">
        <v>15</v>
      </c>
      <c r="AL29" s="1" t="s">
        <v>16</v>
      </c>
      <c r="AM29" s="3" t="s">
        <v>17</v>
      </c>
      <c r="AN29" s="4" t="s">
        <v>18</v>
      </c>
      <c r="AO29" s="5" t="s">
        <v>19</v>
      </c>
      <c r="AP29" s="6" t="s">
        <v>20</v>
      </c>
      <c r="AQ29" s="6" t="s">
        <v>21</v>
      </c>
      <c r="AR29" s="7" t="s">
        <v>22</v>
      </c>
      <c r="AS29" s="76"/>
      <c r="AT29" s="76"/>
    </row>
    <row r="30" spans="1:46" ht="15.75" customHeight="1" x14ac:dyDescent="0.2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6"/>
      <c r="X30" s="8">
        <v>1</v>
      </c>
      <c r="Y30" s="8" t="s">
        <v>23</v>
      </c>
      <c r="Z30" s="8">
        <f t="shared" ref="Z30:AI30" si="75">SUM(D38)</f>
        <v>26</v>
      </c>
      <c r="AA30" s="9">
        <f t="shared" ca="1" si="75"/>
        <v>25</v>
      </c>
      <c r="AB30" s="10">
        <f t="shared" ca="1" si="75"/>
        <v>4993.5199999999904</v>
      </c>
      <c r="AC30" s="9">
        <f t="shared" ca="1" si="75"/>
        <v>1015</v>
      </c>
      <c r="AD30" s="9">
        <f t="shared" ca="1" si="75"/>
        <v>0</v>
      </c>
      <c r="AE30" s="9">
        <f t="shared" ca="1" si="75"/>
        <v>1015</v>
      </c>
      <c r="AF30" s="9">
        <f t="shared" ca="1" si="75"/>
        <v>2016</v>
      </c>
      <c r="AG30" s="9">
        <f t="shared" ca="1" si="75"/>
        <v>0</v>
      </c>
      <c r="AH30" s="9">
        <f t="shared" ca="1" si="75"/>
        <v>2016</v>
      </c>
      <c r="AI30" s="9">
        <f t="shared" ca="1" si="75"/>
        <v>3031</v>
      </c>
      <c r="AJ30" s="11">
        <f t="shared" ref="AJ30:AJ32" ca="1" si="76">AB30/AA30</f>
        <v>199.74079999999961</v>
      </c>
      <c r="AK30" s="8">
        <f>SUM(O38)</f>
        <v>6853</v>
      </c>
      <c r="AL30" s="12">
        <f t="shared" ref="AL30:AL36" ca="1" si="77">AI30/AK30</f>
        <v>0.44228804902962204</v>
      </c>
      <c r="AM30" s="13">
        <f t="shared" ref="AM30:AM32" si="78">SUM(Q38)</f>
        <v>1.5</v>
      </c>
      <c r="AN30" s="12">
        <f t="shared" ref="AN30:AN36" ca="1" si="79">AO30/AM30</f>
        <v>0.40465776980299878</v>
      </c>
      <c r="AO30" s="14">
        <f t="shared" ref="AO30:AO36" ca="1" si="80">AI30/AB30</f>
        <v>0.6069866547044982</v>
      </c>
      <c r="AP30" s="13">
        <f t="shared" ref="AP30:AQ30" ca="1" si="81">SUM(T38)</f>
        <v>147.99999999999972</v>
      </c>
      <c r="AQ30" s="13">
        <f t="shared" ca="1" si="81"/>
        <v>5.9199999999999884</v>
      </c>
      <c r="AR30" s="9">
        <f t="shared" ref="AR30:AR36" ca="1" si="82">AI30/AA30</f>
        <v>121.24</v>
      </c>
      <c r="AS30" s="76"/>
      <c r="AT30" s="76"/>
    </row>
    <row r="31" spans="1:46" ht="15.75" customHeight="1" x14ac:dyDescent="0.2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6"/>
      <c r="X31" s="8">
        <v>2</v>
      </c>
      <c r="Y31" s="8" t="s">
        <v>24</v>
      </c>
      <c r="Z31" s="8">
        <f t="shared" ref="Z31:AI31" si="83">SUM(D39)</f>
        <v>35</v>
      </c>
      <c r="AA31" s="9">
        <f t="shared" ca="1" si="83"/>
        <v>35</v>
      </c>
      <c r="AB31" s="10">
        <f t="shared" ca="1" si="83"/>
        <v>6358.4639999999899</v>
      </c>
      <c r="AC31" s="9">
        <f t="shared" ca="1" si="83"/>
        <v>639</v>
      </c>
      <c r="AD31" s="9">
        <f t="shared" ca="1" si="83"/>
        <v>23</v>
      </c>
      <c r="AE31" s="9">
        <f t="shared" ca="1" si="83"/>
        <v>662</v>
      </c>
      <c r="AF31" s="9">
        <f t="shared" ca="1" si="83"/>
        <v>858</v>
      </c>
      <c r="AG31" s="9">
        <f t="shared" ca="1" si="83"/>
        <v>23</v>
      </c>
      <c r="AH31" s="9">
        <f t="shared" ca="1" si="83"/>
        <v>881</v>
      </c>
      <c r="AI31" s="9">
        <f t="shared" ca="1" si="83"/>
        <v>1543</v>
      </c>
      <c r="AJ31" s="11">
        <f t="shared" ca="1" si="76"/>
        <v>181.67039999999972</v>
      </c>
      <c r="AK31" s="8">
        <v>1580</v>
      </c>
      <c r="AL31" s="12">
        <f t="shared" ca="1" si="77"/>
        <v>0.97658227848101264</v>
      </c>
      <c r="AM31" s="13">
        <f t="shared" si="78"/>
        <v>1.5</v>
      </c>
      <c r="AN31" s="12">
        <f t="shared" ca="1" si="79"/>
        <v>0.16177911311075574</v>
      </c>
      <c r="AO31" s="14">
        <f t="shared" ca="1" si="80"/>
        <v>0.2426686696661336</v>
      </c>
      <c r="AP31" s="13">
        <f t="shared" ref="AP31:AQ31" ca="1" si="84">SUM(T39)</f>
        <v>237.21186345830964</v>
      </c>
      <c r="AQ31" s="13">
        <f t="shared" ca="1" si="84"/>
        <v>6.7774818130945613</v>
      </c>
      <c r="AR31" s="9">
        <f t="shared" ca="1" si="82"/>
        <v>44.085714285714289</v>
      </c>
      <c r="AS31" s="76"/>
      <c r="AT31" s="76"/>
    </row>
    <row r="32" spans="1:46" ht="15.75" customHeight="1" x14ac:dyDescent="0.2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6"/>
      <c r="X32" s="8">
        <v>3</v>
      </c>
      <c r="Y32" s="8" t="s">
        <v>25</v>
      </c>
      <c r="Z32" s="8">
        <f t="shared" ref="Z32:AI32" si="85">SUM(D40)</f>
        <v>26</v>
      </c>
      <c r="AA32" s="9">
        <f t="shared" ca="1" si="85"/>
        <v>25</v>
      </c>
      <c r="AB32" s="10">
        <f t="shared" ca="1" si="85"/>
        <v>4824.0919999999996</v>
      </c>
      <c r="AC32" s="9">
        <f t="shared" ca="1" si="85"/>
        <v>1463</v>
      </c>
      <c r="AD32" s="9">
        <f t="shared" ca="1" si="85"/>
        <v>241</v>
      </c>
      <c r="AE32" s="9">
        <f t="shared" ca="1" si="85"/>
        <v>1704</v>
      </c>
      <c r="AF32" s="9">
        <f t="shared" ca="1" si="85"/>
        <v>2465</v>
      </c>
      <c r="AG32" s="9">
        <f t="shared" ca="1" si="85"/>
        <v>409</v>
      </c>
      <c r="AH32" s="9">
        <f t="shared" ca="1" si="85"/>
        <v>2874</v>
      </c>
      <c r="AI32" s="9">
        <f t="shared" ca="1" si="85"/>
        <v>4578</v>
      </c>
      <c r="AJ32" s="11">
        <f t="shared" ca="1" si="76"/>
        <v>192.96367999999998</v>
      </c>
      <c r="AK32" s="8">
        <f>SUM(O40)</f>
        <v>6622</v>
      </c>
      <c r="AL32" s="12">
        <f t="shared" ca="1" si="77"/>
        <v>0.69133192389006337</v>
      </c>
      <c r="AM32" s="13">
        <f t="shared" si="78"/>
        <v>1.5</v>
      </c>
      <c r="AN32" s="12">
        <f t="shared" ca="1" si="79"/>
        <v>0.6326579178009043</v>
      </c>
      <c r="AO32" s="14">
        <f t="shared" ca="1" si="80"/>
        <v>0.94898687670135651</v>
      </c>
      <c r="AP32" s="13">
        <f t="shared" ref="AP32:AQ32" ca="1" si="86">SUM(T40)</f>
        <v>202.35285234899328</v>
      </c>
      <c r="AQ32" s="13">
        <f t="shared" ca="1" si="86"/>
        <v>8.0941140939597318</v>
      </c>
      <c r="AR32" s="9">
        <f t="shared" ca="1" si="82"/>
        <v>183.12</v>
      </c>
      <c r="AS32" s="76"/>
      <c r="AT32" s="76"/>
    </row>
    <row r="33" spans="1:46" ht="15.75" customHeight="1" x14ac:dyDescent="0.25">
      <c r="A33" s="70"/>
      <c r="B33" s="16">
        <v>1</v>
      </c>
      <c r="C33" s="16" t="s">
        <v>26</v>
      </c>
      <c r="D33" s="17">
        <v>15</v>
      </c>
      <c r="E33" s="18">
        <f ca="1">IFERROR(__xludf.DUMMYFUNCTION("COUNT(IMPORTRANGE(""https://docs.google.com/spreadsheets/d/1iVFEBQOAONhqDIMRa2hQ7WkCQv0dJWSAmc0AzfvSCMg/edit"",""2!d2:d21""))"),14)</f>
        <v>14</v>
      </c>
      <c r="F33" s="19">
        <f ca="1">IFERROR(__xludf.DUMMYFUNCTION("SUM(IMPORTRANGE(""https://docs.google.com/spreadsheets/d/1iVFEBQOAONhqDIMRa2hQ7WkCQv0dJWSAmc0AzfvSCMg/edit"",""2!Q2:Q21""))"),2486.97)</f>
        <v>2486.9699999999998</v>
      </c>
      <c r="G33" s="18">
        <f ca="1">IFERROR(__xludf.DUMMYFUNCTION("IMPORTRANGE(""https://docs.google.com/spreadsheets/d/1iVFEBQOAONhqDIMRa2hQ7WkCQv0dJWSAmc0AzfvSCMg/edit"",""2!e28"")"),1316)</f>
        <v>1316</v>
      </c>
      <c r="H33" s="18">
        <f ca="1">IFERROR(__xludf.DUMMYFUNCTION("IMPORTRANGE(""https://docs.google.com/spreadsheets/d/1iVFEBQOAONhqDIMRa2hQ7WkCQv0dJWSAmc0AzfvSCMg/edit"",""2!e29"")"),77)</f>
        <v>77</v>
      </c>
      <c r="I33" s="18">
        <f t="shared" ref="I33:I50" ca="1" si="87">SUM(G33:H33)</f>
        <v>1393</v>
      </c>
      <c r="J33" s="18">
        <f ca="1">IFERROR(__xludf.DUMMYFUNCTION("IMPORTRANGE(""https://docs.google.com/spreadsheets/d/1iVFEBQOAONhqDIMRa2hQ7WkCQv0dJWSAmc0AzfvSCMg/edit"",""2!e32"")"),1435)</f>
        <v>1435</v>
      </c>
      <c r="K33" s="18">
        <f ca="1">IFERROR(__xludf.DUMMYFUNCTION("IMPORTRANGE(""https://docs.google.com/spreadsheets/d/1iVFEBQOAONhqDIMRa2hQ7WkCQv0dJWSAmc0AzfvSCMg/edit"",""2!e33"")"),0)</f>
        <v>0</v>
      </c>
      <c r="L33" s="18">
        <f t="shared" ref="L33:L39" ca="1" si="88">SUM(J33:K33)</f>
        <v>1435</v>
      </c>
      <c r="M33" s="18">
        <f t="shared" ref="M33:M50" ca="1" si="89">SUM(I33+L33)</f>
        <v>2828</v>
      </c>
      <c r="N33" s="19">
        <f t="shared" ref="N33:N51" ca="1" si="90">F33/E33</f>
        <v>177.64071428571427</v>
      </c>
      <c r="O33" s="16">
        <v>5161</v>
      </c>
      <c r="P33" s="20">
        <f t="shared" ref="P33:P51" ca="1" si="91">M33/O33</f>
        <v>0.54795582251501651</v>
      </c>
      <c r="Q33" s="21">
        <v>1.5</v>
      </c>
      <c r="R33" s="20">
        <f t="shared" ref="R33:R51" ca="1" si="92">S33/Q33</f>
        <v>0.75808446958883036</v>
      </c>
      <c r="S33" s="22">
        <f t="shared" ref="S33:S51" ca="1" si="93">M33/F33</f>
        <v>1.1371267043832456</v>
      </c>
      <c r="T33" s="21">
        <f ca="1">F33/14.415</f>
        <v>172.52653485952132</v>
      </c>
      <c r="U33" s="21">
        <f t="shared" ref="U33:U51" ca="1" si="94">T33/E33</f>
        <v>12.323323918537238</v>
      </c>
      <c r="V33" s="18">
        <f t="shared" ref="V33:V51" ca="1" si="95">M33/E33</f>
        <v>202</v>
      </c>
      <c r="W33" s="76"/>
      <c r="X33" s="8">
        <v>4</v>
      </c>
      <c r="Y33" s="8" t="s">
        <v>27</v>
      </c>
      <c r="Z33" s="8">
        <f t="shared" ref="Z33:AK33" si="96">SUM(D46)</f>
        <v>23</v>
      </c>
      <c r="AA33" s="9">
        <f t="shared" ca="1" si="96"/>
        <v>23</v>
      </c>
      <c r="AB33" s="10">
        <f t="shared" ca="1" si="96"/>
        <v>4340.5769999999902</v>
      </c>
      <c r="AC33" s="9">
        <f t="shared" ca="1" si="96"/>
        <v>1580</v>
      </c>
      <c r="AD33" s="9">
        <f t="shared" ca="1" si="96"/>
        <v>0</v>
      </c>
      <c r="AE33" s="9">
        <f t="shared" ca="1" si="96"/>
        <v>1580</v>
      </c>
      <c r="AF33" s="9">
        <f t="shared" ca="1" si="96"/>
        <v>2079</v>
      </c>
      <c r="AG33" s="9">
        <f t="shared" ca="1" si="96"/>
        <v>0</v>
      </c>
      <c r="AH33" s="9">
        <f t="shared" ca="1" si="96"/>
        <v>2079</v>
      </c>
      <c r="AI33" s="9">
        <f t="shared" ca="1" si="96"/>
        <v>3659</v>
      </c>
      <c r="AJ33" s="11">
        <f t="shared" ca="1" si="96"/>
        <v>188.72073913043437</v>
      </c>
      <c r="AK33" s="8">
        <f t="shared" si="96"/>
        <v>8101</v>
      </c>
      <c r="AL33" s="12">
        <f t="shared" ca="1" si="77"/>
        <v>0.4516726330082706</v>
      </c>
      <c r="AM33" s="13">
        <f>SUM(Q46)</f>
        <v>1.5</v>
      </c>
      <c r="AN33" s="12">
        <f t="shared" ca="1" si="79"/>
        <v>0.56198365639714232</v>
      </c>
      <c r="AO33" s="14">
        <f t="shared" ca="1" si="80"/>
        <v>0.84297548459571348</v>
      </c>
      <c r="AP33" s="13">
        <f t="shared" ref="AP33:AQ33" ca="1" si="97">SUM(T46)</f>
        <v>217.1917438078554</v>
      </c>
      <c r="AQ33" s="13">
        <f t="shared" ca="1" si="97"/>
        <v>9.4431192959937125</v>
      </c>
      <c r="AR33" s="9">
        <f t="shared" ca="1" si="82"/>
        <v>159.08695652173913</v>
      </c>
      <c r="AS33" s="76"/>
      <c r="AT33" s="76"/>
    </row>
    <row r="34" spans="1:46" ht="15.75" customHeight="1" x14ac:dyDescent="0.25">
      <c r="A34" s="70"/>
      <c r="B34" s="16">
        <v>2</v>
      </c>
      <c r="C34" s="16" t="s">
        <v>28</v>
      </c>
      <c r="D34" s="17">
        <v>24</v>
      </c>
      <c r="E34" s="18">
        <f ca="1">IFERROR(__xludf.DUMMYFUNCTION("COUNT(IMPORTRANGE(""https://docs.google.com/spreadsheets/d/1tJCeYclgeJZ4Dc78t_SkhVjtacKW-5-VGim8X1rzUzk/edit"",""2!d2:d34""))"),24)</f>
        <v>24</v>
      </c>
      <c r="F34" s="19">
        <f ca="1">IFERROR(__xludf.DUMMYFUNCTION("SUM(IMPORTRANGE(""https://docs.google.com/spreadsheets/d/1tJCeYclgeJZ4Dc78t_SkhVjtacKW-5-VGim8X1rzUzk/edit"",""2!Q2:Q34""))"),4798.601)</f>
        <v>4798.6009999999997</v>
      </c>
      <c r="G34" s="18">
        <f ca="1">IFERROR(__xludf.DUMMYFUNCTION("IMPORTRANGE(""https://docs.google.com/spreadsheets/d/1tJCeYclgeJZ4Dc78t_SkhVjtacKW-5-VGim8X1rzUzk/edit"",""2!e41"")"),1649)</f>
        <v>1649</v>
      </c>
      <c r="H34" s="18">
        <f ca="1">IFERROR(__xludf.DUMMYFUNCTION("IMPORTRANGE(""https://docs.google.com/spreadsheets/d/1tJCeYclgeJZ4Dc78t_SkhVjtacKW-5-VGim8X1rzUzk/edit"",""2!e42"")"),60)</f>
        <v>60</v>
      </c>
      <c r="I34" s="18">
        <f t="shared" ca="1" si="87"/>
        <v>1709</v>
      </c>
      <c r="J34" s="18">
        <f ca="1">IFERROR(__xludf.DUMMYFUNCTION("IMPORTRANGE(""https://docs.google.com/spreadsheets/d/1tJCeYclgeJZ4Dc78t_SkhVjtacKW-5-VGim8X1rzUzk/edit"",""2!e45"")"),1921)</f>
        <v>1921</v>
      </c>
      <c r="K34" s="18">
        <f ca="1">IFERROR(__xludf.DUMMYFUNCTION("IMPORTRANGE(""https://docs.google.com/spreadsheets/d/1tJCeYclgeJZ4Dc78t_SkhVjtacKW-5-VGim8X1rzUzk/edit"",""2!e46"")"),143)</f>
        <v>143</v>
      </c>
      <c r="L34" s="18">
        <f t="shared" ca="1" si="88"/>
        <v>2064</v>
      </c>
      <c r="M34" s="18">
        <f t="shared" ca="1" si="89"/>
        <v>3773</v>
      </c>
      <c r="N34" s="19">
        <f t="shared" ca="1" si="90"/>
        <v>199.94170833333331</v>
      </c>
      <c r="O34" s="16">
        <v>7315</v>
      </c>
      <c r="P34" s="20">
        <f t="shared" ca="1" si="91"/>
        <v>0.51578947368421058</v>
      </c>
      <c r="Q34" s="21">
        <v>1.5</v>
      </c>
      <c r="R34" s="20">
        <f t="shared" ca="1" si="92"/>
        <v>0.52418055456857815</v>
      </c>
      <c r="S34" s="22">
        <f t="shared" ca="1" si="93"/>
        <v>0.78627083185286717</v>
      </c>
      <c r="T34" s="21">
        <f ca="1">F34/30.897</f>
        <v>155.30960934718581</v>
      </c>
      <c r="U34" s="21">
        <f t="shared" ca="1" si="94"/>
        <v>6.4712337227994086</v>
      </c>
      <c r="V34" s="18">
        <f t="shared" ca="1" si="95"/>
        <v>157.20833333333334</v>
      </c>
      <c r="W34" s="76"/>
      <c r="X34" s="8">
        <v>5</v>
      </c>
      <c r="Y34" s="8" t="s">
        <v>29</v>
      </c>
      <c r="Z34" s="8">
        <f t="shared" ref="Z34:AI34" si="98">SUM(D49)</f>
        <v>23</v>
      </c>
      <c r="AA34" s="9">
        <f t="shared" ca="1" si="98"/>
        <v>22</v>
      </c>
      <c r="AB34" s="10">
        <f t="shared" ca="1" si="98"/>
        <v>4348.3459999999995</v>
      </c>
      <c r="AC34" s="9">
        <f t="shared" ca="1" si="98"/>
        <v>1699</v>
      </c>
      <c r="AD34" s="9">
        <f t="shared" ca="1" si="98"/>
        <v>0</v>
      </c>
      <c r="AE34" s="9">
        <f t="shared" ca="1" si="98"/>
        <v>1699</v>
      </c>
      <c r="AF34" s="9">
        <f t="shared" ca="1" si="98"/>
        <v>2397</v>
      </c>
      <c r="AG34" s="9">
        <f t="shared" ca="1" si="98"/>
        <v>0</v>
      </c>
      <c r="AH34" s="9">
        <f t="shared" ca="1" si="98"/>
        <v>2397</v>
      </c>
      <c r="AI34" s="9">
        <f t="shared" ca="1" si="98"/>
        <v>4096</v>
      </c>
      <c r="AJ34" s="11">
        <f t="shared" ref="AJ34:AJ36" ca="1" si="99">AB34/AA34</f>
        <v>197.6520909090909</v>
      </c>
      <c r="AK34" s="8">
        <f t="shared" ref="AK34:AK35" si="100">SUM(O49)</f>
        <v>9201</v>
      </c>
      <c r="AL34" s="12">
        <f t="shared" ca="1" si="77"/>
        <v>0.44516900336919901</v>
      </c>
      <c r="AM34" s="13">
        <f t="shared" ref="AM34:AM35" si="101">SUM(Q49)</f>
        <v>1.5</v>
      </c>
      <c r="AN34" s="12">
        <f t="shared" ca="1" si="79"/>
        <v>0.62797823969543065</v>
      </c>
      <c r="AO34" s="14">
        <f t="shared" ca="1" si="80"/>
        <v>0.94196735954314592</v>
      </c>
      <c r="AP34" s="13">
        <f t="shared" ref="AP34:AQ34" ca="1" si="102">SUM(T49)</f>
        <v>166.99999999999997</v>
      </c>
      <c r="AQ34" s="13">
        <f t="shared" ca="1" si="102"/>
        <v>7.5909090909090899</v>
      </c>
      <c r="AR34" s="9">
        <f t="shared" ca="1" si="82"/>
        <v>186.18181818181819</v>
      </c>
      <c r="AS34" s="76"/>
      <c r="AT34" s="76"/>
    </row>
    <row r="35" spans="1:46" ht="15.75" customHeight="1" x14ac:dyDescent="0.25">
      <c r="A35" s="70"/>
      <c r="B35" s="16">
        <v>3</v>
      </c>
      <c r="C35" s="16" t="s">
        <v>30</v>
      </c>
      <c r="D35" s="17">
        <v>45</v>
      </c>
      <c r="E35" s="18">
        <f ca="1">IFERROR(__xludf.DUMMYFUNCTION("COUNT(IMPORTRANGE(""https://docs.google.com/spreadsheets/d/130gLEONC13J8KkQ6dk06x3bLRy_jCrAw2hXatQf2W50/edit"",""2!d2:d61""))"),45)</f>
        <v>45</v>
      </c>
      <c r="F35" s="23">
        <f ca="1">IFERROR(__xludf.DUMMYFUNCTION("SUM(IMPORTRANGE(""https://docs.google.com/spreadsheets/d/130gLEONC13J8KkQ6dk06x3bLRy_jCrAw2hXatQf2W50/edit"",""2!Q2:Q61""))"),9071.21699999999)</f>
        <v>9071.2169999999896</v>
      </c>
      <c r="G35" s="18">
        <f ca="1">IFERROR(__xludf.DUMMYFUNCTION("IMPORTRANGE(""https://docs.google.com/spreadsheets/d/130gLEONC13J8KkQ6dk06x3bLRy_jCrAw2hXatQf2W50/edit"",""2!e68"")"),2162)</f>
        <v>2162</v>
      </c>
      <c r="H35" s="18">
        <f ca="1">IFERROR(__xludf.DUMMYFUNCTION("IMPORTRANGE(""https://docs.google.com/spreadsheets/d/130gLEONC13J8KkQ6dk06x3bLRy_jCrAw2hXatQf2W50/edit"",""2!e69"")"),298)</f>
        <v>298</v>
      </c>
      <c r="I35" s="18">
        <f t="shared" ca="1" si="87"/>
        <v>2460</v>
      </c>
      <c r="J35" s="18">
        <f ca="1">IFERROR(__xludf.DUMMYFUNCTION("IMPORTRANGE(""https://docs.google.com/spreadsheets/d/130gLEONC13J8KkQ6dk06x3bLRy_jCrAw2hXatQf2W50/edit"",""2!e72"")"),3931)</f>
        <v>3931</v>
      </c>
      <c r="K35" s="18">
        <f ca="1">IFERROR(__xludf.DUMMYFUNCTION("IMPORTRANGE(""https://docs.google.com/spreadsheets/d/130gLEONC13J8KkQ6dk06x3bLRy_jCrAw2hXatQf2W50/edit"",""2!e73"")"),34)</f>
        <v>34</v>
      </c>
      <c r="L35" s="18">
        <f t="shared" ca="1" si="88"/>
        <v>3965</v>
      </c>
      <c r="M35" s="18">
        <f t="shared" ca="1" si="89"/>
        <v>6425</v>
      </c>
      <c r="N35" s="19">
        <f t="shared" ca="1" si="90"/>
        <v>201.58259999999976</v>
      </c>
      <c r="O35" s="16">
        <v>11164</v>
      </c>
      <c r="P35" s="20">
        <f t="shared" ca="1" si="91"/>
        <v>0.57551056968828374</v>
      </c>
      <c r="Q35" s="21">
        <v>1.5</v>
      </c>
      <c r="R35" s="20">
        <f t="shared" ca="1" si="92"/>
        <v>0.47218949048769732</v>
      </c>
      <c r="S35" s="22">
        <f t="shared" ca="1" si="93"/>
        <v>0.70828423573154597</v>
      </c>
      <c r="T35" s="21">
        <f ca="1">F35/29.603</f>
        <v>306.42897679289223</v>
      </c>
      <c r="U35" s="21">
        <f t="shared" ca="1" si="94"/>
        <v>6.8095328176198269</v>
      </c>
      <c r="V35" s="18">
        <f t="shared" ca="1" si="95"/>
        <v>142.77777777777777</v>
      </c>
      <c r="W35" s="76"/>
      <c r="X35" s="8">
        <v>6</v>
      </c>
      <c r="Y35" s="8" t="s">
        <v>31</v>
      </c>
      <c r="Z35" s="8">
        <f t="shared" ref="Z35:AI35" si="103">SUM(D50)</f>
        <v>11</v>
      </c>
      <c r="AA35" s="9">
        <f t="shared" ca="1" si="103"/>
        <v>11</v>
      </c>
      <c r="AB35" s="11">
        <f t="shared" ca="1" si="103"/>
        <v>2129.7849999999999</v>
      </c>
      <c r="AC35" s="9">
        <f t="shared" ca="1" si="103"/>
        <v>463</v>
      </c>
      <c r="AD35" s="9">
        <f t="shared" ca="1" si="103"/>
        <v>0</v>
      </c>
      <c r="AE35" s="9">
        <f t="shared" ca="1" si="103"/>
        <v>463</v>
      </c>
      <c r="AF35" s="9">
        <f t="shared" ca="1" si="103"/>
        <v>674</v>
      </c>
      <c r="AG35" s="9">
        <f t="shared" ca="1" si="103"/>
        <v>0</v>
      </c>
      <c r="AH35" s="9">
        <f t="shared" ca="1" si="103"/>
        <v>674</v>
      </c>
      <c r="AI35" s="9">
        <f t="shared" ca="1" si="103"/>
        <v>1137</v>
      </c>
      <c r="AJ35" s="11">
        <f t="shared" ca="1" si="99"/>
        <v>193.61681818181816</v>
      </c>
      <c r="AK35" s="8">
        <f t="shared" si="100"/>
        <v>2717</v>
      </c>
      <c r="AL35" s="12">
        <f t="shared" ca="1" si="77"/>
        <v>0.41847626058152376</v>
      </c>
      <c r="AM35" s="13">
        <f t="shared" si="101"/>
        <v>1.5</v>
      </c>
      <c r="AN35" s="12">
        <f t="shared" ca="1" si="79"/>
        <v>0.35590446923046226</v>
      </c>
      <c r="AO35" s="14">
        <f t="shared" ca="1" si="80"/>
        <v>0.53385670384569339</v>
      </c>
      <c r="AP35" s="13">
        <f t="shared" ref="AP35:AQ35" ca="1" si="104">SUM(T50)</f>
        <v>48.999999999999993</v>
      </c>
      <c r="AQ35" s="13">
        <f t="shared" ca="1" si="104"/>
        <v>4.4545454545454541</v>
      </c>
      <c r="AR35" s="9">
        <f t="shared" ca="1" si="82"/>
        <v>103.36363636363636</v>
      </c>
      <c r="AS35" s="76"/>
      <c r="AT35" s="76"/>
    </row>
    <row r="36" spans="1:46" ht="15.75" customHeight="1" x14ac:dyDescent="0.25">
      <c r="A36" s="70"/>
      <c r="B36" s="16">
        <v>4</v>
      </c>
      <c r="C36" s="16" t="s">
        <v>32</v>
      </c>
      <c r="D36" s="17">
        <v>32</v>
      </c>
      <c r="E36" s="18">
        <f ca="1">IFERROR(__xludf.DUMMYFUNCTION("COUNT(IMPORTRANGE(""https://docs.google.com/spreadsheets/d/1gYHli7FuKQLm2Q-5LMR0UtkD-gRRA_p8s-phLPLDLgc/edit"",""2!d2:d43""))"),32)</f>
        <v>32</v>
      </c>
      <c r="F36" s="23">
        <f ca="1">IFERROR(__xludf.DUMMYFUNCTION("SUM(IMPORTRANGE(""https://docs.google.com/spreadsheets/d/1gYHli7FuKQLm2Q-5LMR0UtkD-gRRA_p8s-phLPLDLgc/edit"",""2!Q2:Q43""))"),6060.06799999999)</f>
        <v>6060.0679999999902</v>
      </c>
      <c r="G36" s="16">
        <f ca="1">IFERROR(__xludf.DUMMYFUNCTION("IMPORTRANGE(""https://docs.google.com/spreadsheets/d/1gYHli7FuKQLm2Q-5LMR0UtkD-gRRA_p8s-phLPLDLgc/edit"",""2!e50"")"),2998)</f>
        <v>2998</v>
      </c>
      <c r="H36" s="16">
        <f ca="1">IFERROR(__xludf.DUMMYFUNCTION("IMPORTRANGE(""https://docs.google.com/spreadsheets/d/1gYHli7FuKQLm2Q-5LMR0UtkD-gRRA_p8s-phLPLDLgc/edit"",""2!e51"")"),0)</f>
        <v>0</v>
      </c>
      <c r="I36" s="18">
        <f t="shared" ca="1" si="87"/>
        <v>2998</v>
      </c>
      <c r="J36" s="16">
        <f ca="1">IFERROR(__xludf.DUMMYFUNCTION("IMPORTRANGE(""https://docs.google.com/spreadsheets/d/1gYHli7FuKQLm2Q-5LMR0UtkD-gRRA_p8s-phLPLDLgc/edit"",""2!e54"")"),3632)</f>
        <v>3632</v>
      </c>
      <c r="K36" s="16">
        <f ca="1">IFERROR(__xludf.DUMMYFUNCTION("IMPORTRANGE(""https://docs.google.com/spreadsheets/d/1gYHli7FuKQLm2Q-5LMR0UtkD-gRRA_p8s-phLPLDLgc/edit"",""2!e55"")"),0)</f>
        <v>0</v>
      </c>
      <c r="L36" s="18">
        <f t="shared" ca="1" si="88"/>
        <v>3632</v>
      </c>
      <c r="M36" s="18">
        <f t="shared" ca="1" si="89"/>
        <v>6630</v>
      </c>
      <c r="N36" s="19">
        <f t="shared" ca="1" si="90"/>
        <v>189.37712499999969</v>
      </c>
      <c r="O36" s="16">
        <v>13817</v>
      </c>
      <c r="P36" s="20">
        <f t="shared" ca="1" si="91"/>
        <v>0.47984367084026924</v>
      </c>
      <c r="Q36" s="21">
        <v>1.5</v>
      </c>
      <c r="R36" s="20">
        <f t="shared" ca="1" si="92"/>
        <v>0.72936475300277281</v>
      </c>
      <c r="S36" s="22">
        <f t="shared" ca="1" si="93"/>
        <v>1.0940471295041592</v>
      </c>
      <c r="T36" s="21">
        <f ca="1">F36/25.089</f>
        <v>241.54282753397865</v>
      </c>
      <c r="U36" s="21">
        <f t="shared" ca="1" si="94"/>
        <v>7.5482133604368329</v>
      </c>
      <c r="V36" s="18">
        <f t="shared" ca="1" si="95"/>
        <v>207.1875</v>
      </c>
      <c r="W36" s="76"/>
      <c r="X36" s="24" t="s">
        <v>33</v>
      </c>
      <c r="Y36" s="24">
        <v>6</v>
      </c>
      <c r="Z36" s="24">
        <f t="shared" ref="Z36:AI36" si="105">SUM(Z30:Z35)</f>
        <v>144</v>
      </c>
      <c r="AA36" s="25">
        <f t="shared" ca="1" si="105"/>
        <v>141</v>
      </c>
      <c r="AB36" s="26">
        <f t="shared" ca="1" si="105"/>
        <v>26994.783999999967</v>
      </c>
      <c r="AC36" s="25">
        <f t="shared" ca="1" si="105"/>
        <v>6859</v>
      </c>
      <c r="AD36" s="25">
        <f t="shared" ca="1" si="105"/>
        <v>264</v>
      </c>
      <c r="AE36" s="25">
        <f t="shared" ca="1" si="105"/>
        <v>7123</v>
      </c>
      <c r="AF36" s="25">
        <f t="shared" ca="1" si="105"/>
        <v>10489</v>
      </c>
      <c r="AG36" s="25">
        <f t="shared" ca="1" si="105"/>
        <v>432</v>
      </c>
      <c r="AH36" s="25">
        <f t="shared" ca="1" si="105"/>
        <v>10921</v>
      </c>
      <c r="AI36" s="25">
        <f t="shared" ca="1" si="105"/>
        <v>18044</v>
      </c>
      <c r="AJ36" s="27">
        <f t="shared" ca="1" si="99"/>
        <v>191.45236879432602</v>
      </c>
      <c r="AK36" s="24">
        <f>SUM(AK30:AK35)</f>
        <v>35074</v>
      </c>
      <c r="AL36" s="28">
        <f t="shared" ca="1" si="77"/>
        <v>0.51445515196441804</v>
      </c>
      <c r="AM36" s="29">
        <v>1.5</v>
      </c>
      <c r="AN36" s="28">
        <f t="shared" ca="1" si="79"/>
        <v>0.44561695079069158</v>
      </c>
      <c r="AO36" s="30">
        <f t="shared" ca="1" si="80"/>
        <v>0.6684254261860374</v>
      </c>
      <c r="AP36" s="29">
        <f ca="1">SUM(AP30:AP35)</f>
        <v>1020.7564596151581</v>
      </c>
      <c r="AQ36" s="29">
        <f ca="1">AP36/AA36</f>
        <v>7.2394075150011208</v>
      </c>
      <c r="AR36" s="25">
        <f t="shared" ca="1" si="82"/>
        <v>127.97163120567376</v>
      </c>
      <c r="AS36" s="76"/>
      <c r="AT36" s="76"/>
    </row>
    <row r="37" spans="1:46" ht="15.75" customHeight="1" x14ac:dyDescent="0.25">
      <c r="A37" s="70"/>
      <c r="B37" s="16">
        <v>5</v>
      </c>
      <c r="C37" s="16" t="s">
        <v>34</v>
      </c>
      <c r="D37" s="17">
        <v>30</v>
      </c>
      <c r="E37" s="18">
        <f ca="1">IFERROR(__xludf.DUMMYFUNCTION("COUNT(IMPORTRANGE(""https://docs.google.com/spreadsheets/d/1ptS0qWBCKWkc9h2aXWT_YgMhN7yIv5WgAHRbF8l9Zpo/edit"",""2!d2:d41""))"),30)</f>
        <v>30</v>
      </c>
      <c r="F37" s="23">
        <f ca="1">IFERROR(__xludf.DUMMYFUNCTION("SUM(IMPORTRANGE(""https://docs.google.com/spreadsheets/d/1ptS0qWBCKWkc9h2aXWT_YgMhN7yIv5WgAHRbF8l9Zpo/edit"",""2!Q2:Q41""))"),6009.564)</f>
        <v>6009.5640000000003</v>
      </c>
      <c r="G37" s="18">
        <f ca="1">IFERROR(__xludf.DUMMYFUNCTION("IMPORTRANGE(""https://docs.google.com/spreadsheets/d/1ptS0qWBCKWkc9h2aXWT_YgMhN7yIv5WgAHRbF8l9Zpo/edit"",""2!e48"")"),1785)</f>
        <v>1785</v>
      </c>
      <c r="H37" s="18">
        <f ca="1">IFERROR(__xludf.DUMMYFUNCTION("IMPORTRANGE(""https://docs.google.com/spreadsheets/d/1ptS0qWBCKWkc9h2aXWT_YgMhN7yIv5WgAHRbF8l9Zpo/edit"",""2!e49"")"),0)</f>
        <v>0</v>
      </c>
      <c r="I37" s="18">
        <f t="shared" ca="1" si="87"/>
        <v>1785</v>
      </c>
      <c r="J37" s="18">
        <f ca="1">IFERROR(__xludf.DUMMYFUNCTION("IMPORTRANGE(""https://docs.google.com/spreadsheets/d/1ptS0qWBCKWkc9h2aXWT_YgMhN7yIv5WgAHRbF8l9Zpo/edit"",""2!e52"")"),2297)</f>
        <v>2297</v>
      </c>
      <c r="K37" s="18">
        <f ca="1">IFERROR(__xludf.DUMMYFUNCTION("IMPORTRANGE(""https://docs.google.com/spreadsheets/d/1ptS0qWBCKWkc9h2aXWT_YgMhN7yIv5WgAHRbF8l9Zpo/edit"",""2!e53"")"),75)</f>
        <v>75</v>
      </c>
      <c r="L37" s="18">
        <f t="shared" ca="1" si="88"/>
        <v>2372</v>
      </c>
      <c r="M37" s="18">
        <f t="shared" ca="1" si="89"/>
        <v>4157</v>
      </c>
      <c r="N37" s="19">
        <f t="shared" ca="1" si="90"/>
        <v>200.31880000000001</v>
      </c>
      <c r="O37" s="16">
        <v>9354</v>
      </c>
      <c r="P37" s="20">
        <f t="shared" ca="1" si="91"/>
        <v>0.44440880906564034</v>
      </c>
      <c r="Q37" s="21">
        <v>1.5</v>
      </c>
      <c r="R37" s="20">
        <f t="shared" ca="1" si="92"/>
        <v>0.46115380971620129</v>
      </c>
      <c r="S37" s="22">
        <f t="shared" ca="1" si="93"/>
        <v>0.69173071457430191</v>
      </c>
      <c r="T37" s="21">
        <f ca="1">F37/30.713</f>
        <v>195.66841402663368</v>
      </c>
      <c r="U37" s="21">
        <f t="shared" ca="1" si="94"/>
        <v>6.5222804675544559</v>
      </c>
      <c r="V37" s="18">
        <f t="shared" ca="1" si="95"/>
        <v>138.56666666666666</v>
      </c>
      <c r="W37" s="76"/>
      <c r="X37" s="100" t="s">
        <v>35</v>
      </c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9"/>
      <c r="AS37" s="76"/>
      <c r="AT37" s="76"/>
    </row>
    <row r="38" spans="1:46" ht="15.75" customHeight="1" x14ac:dyDescent="0.25">
      <c r="A38" s="70"/>
      <c r="B38" s="16">
        <v>6</v>
      </c>
      <c r="C38" s="16" t="s">
        <v>23</v>
      </c>
      <c r="D38" s="17">
        <v>26</v>
      </c>
      <c r="E38" s="18">
        <f ca="1">IFERROR(__xludf.DUMMYFUNCTION("COUNT(IMPORTRANGE(""https://docs.google.com/spreadsheets/d/1829CoYW82aTBBUgqkPnJa94KlBWI-DowAnP4ENQCmaQ/edit"",""2!d2:d36""))"),25)</f>
        <v>25</v>
      </c>
      <c r="F38" s="23">
        <f ca="1">IFERROR(__xludf.DUMMYFUNCTION("SUM(IMPORTRANGE(""https://docs.google.com/spreadsheets/d/1829CoYW82aTBBUgqkPnJa94KlBWI-DowAnP4ENQCmaQ/edit"",""2!Q2:Q36""))"),4993.51999999999)</f>
        <v>4993.5199999999904</v>
      </c>
      <c r="G38" s="18">
        <f ca="1">IFERROR(__xludf.DUMMYFUNCTION("IMPORTRANGE(""https://docs.google.com/spreadsheets/d/1829CoYW82aTBBUgqkPnJa94KlBWI-DowAnP4ENQCmaQ/edit"",""2!e43"")"),1015)</f>
        <v>1015</v>
      </c>
      <c r="H38" s="18">
        <f ca="1">IFERROR(__xludf.DUMMYFUNCTION("IMPORTRANGE(""https://docs.google.com/spreadsheets/d/1829CoYW82aTBBUgqkPnJa94KlBWI-DowAnP4ENQCmaQ/edit"",""2!e44"")"),0)</f>
        <v>0</v>
      </c>
      <c r="I38" s="18">
        <f t="shared" ca="1" si="87"/>
        <v>1015</v>
      </c>
      <c r="J38" s="18">
        <f ca="1">IFERROR(__xludf.DUMMYFUNCTION("IMPORTRANGE(""https://docs.google.com/spreadsheets/d/1829CoYW82aTBBUgqkPnJa94KlBWI-DowAnP4ENQCmaQ/edit"",""2!e47"")"),2016)</f>
        <v>2016</v>
      </c>
      <c r="K38" s="18">
        <f ca="1">IFERROR(__xludf.DUMMYFUNCTION("IMPORTRANGE(""https://docs.google.com/spreadsheets/d/1829CoYW82aTBBUgqkPnJa94KlBWI-DowAnP4ENQCmaQ/edit"",""2!e48"")"),0)</f>
        <v>0</v>
      </c>
      <c r="L38" s="18">
        <f t="shared" ca="1" si="88"/>
        <v>2016</v>
      </c>
      <c r="M38" s="18">
        <f t="shared" ca="1" si="89"/>
        <v>3031</v>
      </c>
      <c r="N38" s="19">
        <f t="shared" ca="1" si="90"/>
        <v>199.74079999999961</v>
      </c>
      <c r="O38" s="16">
        <v>6853</v>
      </c>
      <c r="P38" s="20">
        <f t="shared" ca="1" si="91"/>
        <v>0.44228804902962204</v>
      </c>
      <c r="Q38" s="21">
        <v>1.5</v>
      </c>
      <c r="R38" s="20">
        <f t="shared" ca="1" si="92"/>
        <v>0.40465776980299878</v>
      </c>
      <c r="S38" s="22">
        <f t="shared" ca="1" si="93"/>
        <v>0.6069866547044982</v>
      </c>
      <c r="T38" s="21">
        <f ca="1">F38/33.74</f>
        <v>147.99999999999972</v>
      </c>
      <c r="U38" s="21">
        <f t="shared" ca="1" si="94"/>
        <v>5.9199999999999884</v>
      </c>
      <c r="V38" s="18">
        <f t="shared" ca="1" si="95"/>
        <v>121.24</v>
      </c>
      <c r="W38" s="76"/>
      <c r="X38" s="1" t="s">
        <v>2</v>
      </c>
      <c r="Y38" s="1" t="s">
        <v>3</v>
      </c>
      <c r="Z38" s="1" t="s">
        <v>4</v>
      </c>
      <c r="AA38" s="1" t="s">
        <v>5</v>
      </c>
      <c r="AB38" s="2" t="s">
        <v>6</v>
      </c>
      <c r="AC38" s="1" t="s">
        <v>7</v>
      </c>
      <c r="AD38" s="1" t="s">
        <v>8</v>
      </c>
      <c r="AE38" s="1" t="s">
        <v>9</v>
      </c>
      <c r="AF38" s="1" t="s">
        <v>10</v>
      </c>
      <c r="AG38" s="1" t="s">
        <v>11</v>
      </c>
      <c r="AH38" s="1" t="s">
        <v>12</v>
      </c>
      <c r="AI38" s="1" t="s">
        <v>13</v>
      </c>
      <c r="AJ38" s="2" t="s">
        <v>14</v>
      </c>
      <c r="AK38" s="1" t="s">
        <v>15</v>
      </c>
      <c r="AL38" s="1" t="s">
        <v>16</v>
      </c>
      <c r="AM38" s="3" t="s">
        <v>17</v>
      </c>
      <c r="AN38" s="4" t="s">
        <v>18</v>
      </c>
      <c r="AO38" s="5" t="s">
        <v>19</v>
      </c>
      <c r="AP38" s="6" t="s">
        <v>20</v>
      </c>
      <c r="AQ38" s="6" t="s">
        <v>21</v>
      </c>
      <c r="AR38" s="7" t="s">
        <v>22</v>
      </c>
      <c r="AS38" s="76"/>
      <c r="AT38" s="76"/>
    </row>
    <row r="39" spans="1:46" ht="15.75" customHeight="1" x14ac:dyDescent="0.25">
      <c r="A39" s="70"/>
      <c r="B39" s="16">
        <v>7</v>
      </c>
      <c r="C39" s="16" t="s">
        <v>24</v>
      </c>
      <c r="D39" s="17">
        <v>35</v>
      </c>
      <c r="E39" s="31">
        <f ca="1">IFERROR(__xludf.DUMMYFUNCTION("COUNT(IMPORTRANGE(""https://docs.google.com/spreadsheets/d/1E2x4oDZxEIsuC5nl-5Z0--MoN8b1dt9SbpRcCfNP84Q/edit"",""2!d2:d45""))"),35)</f>
        <v>35</v>
      </c>
      <c r="F39" s="32">
        <f ca="1">IFERROR(__xludf.DUMMYFUNCTION("SUM(IMPORTRANGE(""https://docs.google.com/spreadsheets/d/1E2x4oDZxEIsuC5nl-5Z0--MoN8b1dt9SbpRcCfNP84Q/edit"",""2!Q2:Q45""))"),6358.46399999999)</f>
        <v>6358.4639999999899</v>
      </c>
      <c r="G39" s="31">
        <f ca="1">IFERROR(__xludf.DUMMYFUNCTION("IMPORTRANGE(""https://docs.google.com/spreadsheets/d/1E2x4oDZxEIsuC5nl-5Z0--MoN8b1dt9SbpRcCfNP84Q/edit"",""2!e53"")"),639)</f>
        <v>639</v>
      </c>
      <c r="H39" s="31">
        <f ca="1">IFERROR(__xludf.DUMMYFUNCTION("IMPORTRANGE(""https://docs.google.com/spreadsheets/d/1E2x4oDZxEIsuC5nl-5Z0--MoN8b1dt9SbpRcCfNP84Q/edit"",""2!e54"")"),23)</f>
        <v>23</v>
      </c>
      <c r="I39" s="31">
        <f t="shared" ca="1" si="87"/>
        <v>662</v>
      </c>
      <c r="J39" s="31">
        <f ca="1">IFERROR(__xludf.DUMMYFUNCTION("IMPORTRANGE(""https://docs.google.com/spreadsheets/d/1E2x4oDZxEIsuC5nl-5Z0--MoN8b1dt9SbpRcCfNP84Q/edit"",""2!e57"")"),858)</f>
        <v>858</v>
      </c>
      <c r="K39" s="31">
        <f ca="1">IFERROR(__xludf.DUMMYFUNCTION("IMPORTRANGE(""https://docs.google.com/spreadsheets/d/1E2x4oDZxEIsuC5nl-5Z0--MoN8b1dt9SbpRcCfNP84Q/edit"",""2!e58"")"),23)</f>
        <v>23</v>
      </c>
      <c r="L39" s="18">
        <f t="shared" ca="1" si="88"/>
        <v>881</v>
      </c>
      <c r="M39" s="18">
        <f t="shared" ca="1" si="89"/>
        <v>1543</v>
      </c>
      <c r="N39" s="19">
        <f t="shared" ca="1" si="90"/>
        <v>181.67039999999972</v>
      </c>
      <c r="O39" s="16">
        <v>1580</v>
      </c>
      <c r="P39" s="33">
        <f t="shared" ca="1" si="91"/>
        <v>0.97658227848101264</v>
      </c>
      <c r="Q39" s="21">
        <v>1.5</v>
      </c>
      <c r="R39" s="20">
        <f t="shared" ca="1" si="92"/>
        <v>0.16177911311075574</v>
      </c>
      <c r="S39" s="22">
        <f t="shared" ca="1" si="93"/>
        <v>0.2426686696661336</v>
      </c>
      <c r="T39" s="21">
        <f ca="1">F39/26.805</f>
        <v>237.21186345830964</v>
      </c>
      <c r="U39" s="21">
        <f t="shared" ca="1" si="94"/>
        <v>6.7774818130945613</v>
      </c>
      <c r="V39" s="18">
        <f t="shared" ca="1" si="95"/>
        <v>44.085714285714289</v>
      </c>
      <c r="W39" s="76"/>
      <c r="X39" s="8">
        <v>1</v>
      </c>
      <c r="Y39" s="8" t="s">
        <v>28</v>
      </c>
      <c r="Z39" s="8">
        <f t="shared" ref="Z39:AI39" si="106">SUM(D34)</f>
        <v>24</v>
      </c>
      <c r="AA39" s="9">
        <f t="shared" ca="1" si="106"/>
        <v>24</v>
      </c>
      <c r="AB39" s="11">
        <f t="shared" ca="1" si="106"/>
        <v>4798.6009999999997</v>
      </c>
      <c r="AC39" s="9">
        <f t="shared" ca="1" si="106"/>
        <v>1649</v>
      </c>
      <c r="AD39" s="9">
        <f t="shared" ca="1" si="106"/>
        <v>60</v>
      </c>
      <c r="AE39" s="9">
        <f t="shared" ca="1" si="106"/>
        <v>1709</v>
      </c>
      <c r="AF39" s="9">
        <f t="shared" ca="1" si="106"/>
        <v>1921</v>
      </c>
      <c r="AG39" s="9">
        <f t="shared" ca="1" si="106"/>
        <v>143</v>
      </c>
      <c r="AH39" s="9">
        <f t="shared" ca="1" si="106"/>
        <v>2064</v>
      </c>
      <c r="AI39" s="9">
        <f t="shared" ca="1" si="106"/>
        <v>3773</v>
      </c>
      <c r="AJ39" s="11">
        <f t="shared" ref="AJ39:AJ45" ca="1" si="107">AB39/AA39</f>
        <v>199.94170833333331</v>
      </c>
      <c r="AK39" s="8">
        <f t="shared" ref="AK39:AK40" si="108">SUM(O34)</f>
        <v>7315</v>
      </c>
      <c r="AL39" s="12">
        <f t="shared" ref="AL39:AL45" ca="1" si="109">AI39/AK39</f>
        <v>0.51578947368421058</v>
      </c>
      <c r="AM39" s="13">
        <f t="shared" ref="AM39:AM40" si="110">SUM(Q34)</f>
        <v>1.5</v>
      </c>
      <c r="AN39" s="12">
        <f t="shared" ref="AN39:AN45" ca="1" si="111">AO39/AM39</f>
        <v>0.52418055456857815</v>
      </c>
      <c r="AO39" s="14">
        <f t="shared" ref="AO39:AO45" ca="1" si="112">AI39/AB39</f>
        <v>0.78627083185286717</v>
      </c>
      <c r="AP39" s="13">
        <f t="shared" ref="AP39:AQ39" ca="1" si="113">SUM(T34)</f>
        <v>155.30960934718581</v>
      </c>
      <c r="AQ39" s="13">
        <f t="shared" ca="1" si="113"/>
        <v>6.4712337227994086</v>
      </c>
      <c r="AR39" s="9">
        <f t="shared" ref="AR39:AR45" ca="1" si="114">AI39/AA39</f>
        <v>157.20833333333334</v>
      </c>
      <c r="AS39" s="76"/>
      <c r="AT39" s="76"/>
    </row>
    <row r="40" spans="1:46" ht="15.75" customHeight="1" x14ac:dyDescent="0.25">
      <c r="A40" s="70"/>
      <c r="B40" s="16">
        <v>8</v>
      </c>
      <c r="C40" s="16" t="s">
        <v>25</v>
      </c>
      <c r="D40" s="34">
        <v>26</v>
      </c>
      <c r="E40" s="18">
        <f ca="1">IFERROR(__xludf.DUMMYFUNCTION("COUNT(IMPORTRANGE(""https://docs.google.com/spreadsheets/d/1KbRFOEYB0B44J_NSh1MwYQ1sLDlZXUHI-wuMLcZDn5k/edit"",""2!d2:D33""))"),25)</f>
        <v>25</v>
      </c>
      <c r="F40" s="23">
        <f ca="1">IFERROR(__xludf.DUMMYFUNCTION("SUM(IMPORTRANGE(""https://docs.google.com/spreadsheets/d/1KbRFOEYB0B44J_NSh1MwYQ1sLDlZXUHI-wuMLcZDn5k/edit"",""2!Q2:Q33""))"),4824.092)</f>
        <v>4824.0919999999996</v>
      </c>
      <c r="G40" s="18">
        <f ca="1">IFERROR(__xludf.DUMMYFUNCTION("IMPORTRANGE(""https://docs.google.com/spreadsheets/d/1KbRFOEYB0B44J_NSh1MwYQ1sLDlZXUHI-wuMLcZDn5k/edit"",""2!e40"")"),1463)</f>
        <v>1463</v>
      </c>
      <c r="H40" s="18">
        <f ca="1">IFERROR(__xludf.DUMMYFUNCTION("IMPORTRANGE(""https://docs.google.com/spreadsheets/d/1KbRFOEYB0B44J_NSh1MwYQ1sLDlZXUHI-wuMLcZDn5k/edit"",""2!e41"")"),241)</f>
        <v>241</v>
      </c>
      <c r="I40" s="18">
        <f t="shared" ca="1" si="87"/>
        <v>1704</v>
      </c>
      <c r="J40" s="18">
        <f ca="1">IFERROR(__xludf.DUMMYFUNCTION("IMPORTRANGE(""https://docs.google.com/spreadsheets/d/1KbRFOEYB0B44J_NSh1MwYQ1sLDlZXUHI-wuMLcZDn5k/edit"",""2!e44"")"),2465)</f>
        <v>2465</v>
      </c>
      <c r="K40" s="18">
        <f ca="1">IFERROR(__xludf.DUMMYFUNCTION("IMPORTRANGE(""https://docs.google.com/spreadsheets/d/1KbRFOEYB0B44J_NSh1MwYQ1sLDlZXUHI-wuMLcZDn5k/edit"",""2!e45"")"),409)</f>
        <v>409</v>
      </c>
      <c r="L40" s="18">
        <f ca="1">J40+K40</f>
        <v>2874</v>
      </c>
      <c r="M40" s="18">
        <f t="shared" ca="1" si="89"/>
        <v>4578</v>
      </c>
      <c r="N40" s="19">
        <f t="shared" ca="1" si="90"/>
        <v>192.96367999999998</v>
      </c>
      <c r="O40" s="16">
        <v>6622</v>
      </c>
      <c r="P40" s="20">
        <f t="shared" ca="1" si="91"/>
        <v>0.69133192389006337</v>
      </c>
      <c r="Q40" s="21">
        <v>1.5</v>
      </c>
      <c r="R40" s="20">
        <f t="shared" ca="1" si="92"/>
        <v>0.6326579178009043</v>
      </c>
      <c r="S40" s="22">
        <f t="shared" ca="1" si="93"/>
        <v>0.94898687670135651</v>
      </c>
      <c r="T40" s="21">
        <f ca="1">F40/23.84</f>
        <v>202.35285234899328</v>
      </c>
      <c r="U40" s="21">
        <f t="shared" ca="1" si="94"/>
        <v>8.0941140939597318</v>
      </c>
      <c r="V40" s="18">
        <f t="shared" ca="1" si="95"/>
        <v>183.12</v>
      </c>
      <c r="W40" s="76"/>
      <c r="X40" s="8">
        <v>2</v>
      </c>
      <c r="Y40" s="8" t="s">
        <v>30</v>
      </c>
      <c r="Z40" s="8">
        <f t="shared" ref="Z40:AI40" si="115">SUM(D35)</f>
        <v>45</v>
      </c>
      <c r="AA40" s="9">
        <f t="shared" ca="1" si="115"/>
        <v>45</v>
      </c>
      <c r="AB40" s="10">
        <f t="shared" ca="1" si="115"/>
        <v>9071.2169999999896</v>
      </c>
      <c r="AC40" s="9">
        <f t="shared" ca="1" si="115"/>
        <v>2162</v>
      </c>
      <c r="AD40" s="9">
        <f t="shared" ca="1" si="115"/>
        <v>298</v>
      </c>
      <c r="AE40" s="9">
        <f t="shared" ca="1" si="115"/>
        <v>2460</v>
      </c>
      <c r="AF40" s="9">
        <f t="shared" ca="1" si="115"/>
        <v>3931</v>
      </c>
      <c r="AG40" s="9">
        <f t="shared" ca="1" si="115"/>
        <v>34</v>
      </c>
      <c r="AH40" s="9">
        <f t="shared" ca="1" si="115"/>
        <v>3965</v>
      </c>
      <c r="AI40" s="9">
        <f t="shared" ca="1" si="115"/>
        <v>6425</v>
      </c>
      <c r="AJ40" s="11">
        <f t="shared" ca="1" si="107"/>
        <v>201.58259999999976</v>
      </c>
      <c r="AK40" s="8">
        <f t="shared" si="108"/>
        <v>11164</v>
      </c>
      <c r="AL40" s="12">
        <f t="shared" ca="1" si="109"/>
        <v>0.57551056968828374</v>
      </c>
      <c r="AM40" s="13">
        <f t="shared" si="110"/>
        <v>1.5</v>
      </c>
      <c r="AN40" s="12">
        <f t="shared" ca="1" si="111"/>
        <v>0.47218949048769732</v>
      </c>
      <c r="AO40" s="14">
        <f t="shared" ca="1" si="112"/>
        <v>0.70828423573154597</v>
      </c>
      <c r="AP40" s="13">
        <f t="shared" ref="AP40:AQ40" ca="1" si="116">SUM(T35)</f>
        <v>306.42897679289223</v>
      </c>
      <c r="AQ40" s="13">
        <f t="shared" ca="1" si="116"/>
        <v>6.8095328176198269</v>
      </c>
      <c r="AR40" s="9">
        <f t="shared" ca="1" si="114"/>
        <v>142.77777777777777</v>
      </c>
      <c r="AS40" s="76"/>
      <c r="AT40" s="76"/>
    </row>
    <row r="41" spans="1:46" ht="15.75" customHeight="1" x14ac:dyDescent="0.25">
      <c r="A41" s="70"/>
      <c r="B41" s="16">
        <v>9</v>
      </c>
      <c r="C41" s="16" t="s">
        <v>36</v>
      </c>
      <c r="D41" s="34">
        <v>22</v>
      </c>
      <c r="E41" s="18">
        <f ca="1">IFERROR(__xludf.DUMMYFUNCTION("COUNT(IMPORTRANGE(""https://docs.google.com/spreadsheets/d/1VqqqRGfmmkT0JC4ILJva2p8P11jjV0FX-TSKAaqOigw/edit"",""2!d2:d31""))"),22)</f>
        <v>22</v>
      </c>
      <c r="F41" s="23">
        <f ca="1">IFERROR(__xludf.DUMMYFUNCTION("SUM(IMPORTRANGE(""https://docs.google.com/spreadsheets/d/1VqqqRGfmmkT0JC4ILJva2p8P11jjV0FX-TSKAaqOigw/edit"",""2!Q2:Q31""))"),4410.06399999999)</f>
        <v>4410.0639999999903</v>
      </c>
      <c r="G41" s="18">
        <f ca="1">IFERROR(__xludf.DUMMYFUNCTION("IMPORTRANGE(""https://docs.google.com/spreadsheets/d/1VqqqRGfmmkT0JC4ILJva2p8P11jjV0FX-TSKAaqOigw/edit"",""2!e38"")"),884)</f>
        <v>884</v>
      </c>
      <c r="H41" s="18">
        <f ca="1">IFERROR(__xludf.DUMMYFUNCTION("IMPORTRANGE(""https://docs.google.com/spreadsheets/d/1VqqqRGfmmkT0JC4ILJva2p8P11jjV0FX-TSKAaqOigw/edit"",""2!e39"")"),0)</f>
        <v>0</v>
      </c>
      <c r="I41" s="18">
        <f t="shared" ca="1" si="87"/>
        <v>884</v>
      </c>
      <c r="J41" s="18">
        <f ca="1">IFERROR(__xludf.DUMMYFUNCTION("IMPORTRANGE(""https://docs.google.com/spreadsheets/d/1VqqqRGfmmkT0JC4ILJva2p8P11jjV0FX-TSKAaqOigw/edit"",""2!e42"")"),1633)</f>
        <v>1633</v>
      </c>
      <c r="K41" s="18">
        <f ca="1">IFERROR(__xludf.DUMMYFUNCTION("IMPORTRANGE(""https://docs.google.com/spreadsheets/d/1VqqqRGfmmkT0JC4ILJva2p8P11jjV0FX-TSKAaqOigw/edit"",""2!e43"")"),0)</f>
        <v>0</v>
      </c>
      <c r="L41" s="18">
        <f t="shared" ref="L41:L50" ca="1" si="117">SUM(J41:K41)</f>
        <v>1633</v>
      </c>
      <c r="M41" s="18">
        <f t="shared" ca="1" si="89"/>
        <v>2517</v>
      </c>
      <c r="N41" s="19">
        <f t="shared" ca="1" si="90"/>
        <v>200.45745454545411</v>
      </c>
      <c r="O41" s="16">
        <v>4796</v>
      </c>
      <c r="P41" s="20">
        <f t="shared" ca="1" si="91"/>
        <v>0.5248123436196831</v>
      </c>
      <c r="Q41" s="21">
        <v>1.5</v>
      </c>
      <c r="R41" s="20">
        <f t="shared" ca="1" si="92"/>
        <v>0.38049334431427839</v>
      </c>
      <c r="S41" s="22">
        <f t="shared" ca="1" si="93"/>
        <v>0.57074001647141759</v>
      </c>
      <c r="T41" s="21">
        <f ca="1">F41/37.414</f>
        <v>117.87202651413882</v>
      </c>
      <c r="U41" s="21">
        <f t="shared" ca="1" si="94"/>
        <v>5.3578193870063098</v>
      </c>
      <c r="V41" s="18">
        <f t="shared" ca="1" si="95"/>
        <v>114.40909090909091</v>
      </c>
      <c r="W41" s="76"/>
      <c r="X41" s="8">
        <v>3</v>
      </c>
      <c r="Y41" s="8" t="s">
        <v>34</v>
      </c>
      <c r="Z41" s="8">
        <f t="shared" ref="Z41:AI41" si="118">SUM(D37)</f>
        <v>30</v>
      </c>
      <c r="AA41" s="9">
        <f t="shared" ca="1" si="118"/>
        <v>30</v>
      </c>
      <c r="AB41" s="10">
        <f t="shared" ca="1" si="118"/>
        <v>6009.5640000000003</v>
      </c>
      <c r="AC41" s="9">
        <f t="shared" ca="1" si="118"/>
        <v>1785</v>
      </c>
      <c r="AD41" s="9">
        <f t="shared" ca="1" si="118"/>
        <v>0</v>
      </c>
      <c r="AE41" s="9">
        <f t="shared" ca="1" si="118"/>
        <v>1785</v>
      </c>
      <c r="AF41" s="9">
        <f t="shared" ca="1" si="118"/>
        <v>2297</v>
      </c>
      <c r="AG41" s="9">
        <f t="shared" ca="1" si="118"/>
        <v>75</v>
      </c>
      <c r="AH41" s="9">
        <f t="shared" ca="1" si="118"/>
        <v>2372</v>
      </c>
      <c r="AI41" s="9">
        <f t="shared" ca="1" si="118"/>
        <v>4157</v>
      </c>
      <c r="AJ41" s="11">
        <f t="shared" ca="1" si="107"/>
        <v>200.31880000000001</v>
      </c>
      <c r="AK41" s="8">
        <f>SUM(O37)</f>
        <v>9354</v>
      </c>
      <c r="AL41" s="12">
        <f t="shared" ca="1" si="109"/>
        <v>0.44440880906564034</v>
      </c>
      <c r="AM41" s="13">
        <f>SUM(Q37)</f>
        <v>1.5</v>
      </c>
      <c r="AN41" s="12">
        <f t="shared" ca="1" si="111"/>
        <v>0.46115380971620129</v>
      </c>
      <c r="AO41" s="14">
        <f t="shared" ca="1" si="112"/>
        <v>0.69173071457430191</v>
      </c>
      <c r="AP41" s="13">
        <f t="shared" ref="AP41:AQ41" ca="1" si="119">SUM(T37)</f>
        <v>195.66841402663368</v>
      </c>
      <c r="AQ41" s="13">
        <f t="shared" ca="1" si="119"/>
        <v>6.5222804675544559</v>
      </c>
      <c r="AR41" s="9">
        <f t="shared" ca="1" si="114"/>
        <v>138.56666666666666</v>
      </c>
      <c r="AS41" s="76"/>
      <c r="AT41" s="76"/>
    </row>
    <row r="42" spans="1:46" ht="15.75" customHeight="1" x14ac:dyDescent="0.25">
      <c r="A42" s="70"/>
      <c r="B42" s="16">
        <v>10</v>
      </c>
      <c r="C42" s="16" t="s">
        <v>37</v>
      </c>
      <c r="D42" s="17">
        <v>23</v>
      </c>
      <c r="E42" s="18">
        <f ca="1">IFERROR(__xludf.DUMMYFUNCTION("COUNT(IMPORTRANGE(""https://docs.google.com/spreadsheets/d/1IYeRjQd_D6MRqoBKNaky3aSEUloYCJc5XDnPAbdyetk/edit"",""2!d2:d31""))"),23)</f>
        <v>23</v>
      </c>
      <c r="F42" s="23">
        <f ca="1">IFERROR(__xludf.DUMMYFUNCTION("SUM(IMPORTRANGE(""https://docs.google.com/spreadsheets/d/1IYeRjQd_D6MRqoBKNaky3aSEUloYCJc5XDnPAbdyetk/edit"",""2!Q2:Q31""))"),4410.354)</f>
        <v>4410.3540000000003</v>
      </c>
      <c r="G42" s="18">
        <f ca="1">IFERROR(__xludf.DUMMYFUNCTION("(IMPORTRANGE(""https://docs.google.com/spreadsheets/d/1IYeRjQd_D6MRqoBKNaky3aSEUloYCJc5XDnPAbdyetk/edit"",""2!e38""))"),931)</f>
        <v>931</v>
      </c>
      <c r="H42" s="18">
        <f ca="1">IFERROR(__xludf.DUMMYFUNCTION("(IMPORTRANGE(""https://docs.google.com/spreadsheets/d/1IYeRjQd_D6MRqoBKNaky3aSEUloYCJc5XDnPAbdyetk/edit"",""2!e39""))"),65)</f>
        <v>65</v>
      </c>
      <c r="I42" s="18">
        <f t="shared" ca="1" si="87"/>
        <v>996</v>
      </c>
      <c r="J42" s="18">
        <f ca="1">IFERROR(__xludf.DUMMYFUNCTION("(IMPORTRANGE(""https://docs.google.com/spreadsheets/d/1IYeRjQd_D6MRqoBKNaky3aSEUloYCJc5XDnPAbdyetk/edit"",""2!e42""))"),1781)</f>
        <v>1781</v>
      </c>
      <c r="K42" s="18">
        <f ca="1">IFERROR(__xludf.DUMMYFUNCTION("(IMPORTRANGE(""https://docs.google.com/spreadsheets/d/1IYeRjQd_D6MRqoBKNaky3aSEUloYCJc5XDnPAbdyetk/edit"",""2!e43""))"),0)</f>
        <v>0</v>
      </c>
      <c r="L42" s="18">
        <f t="shared" ca="1" si="117"/>
        <v>1781</v>
      </c>
      <c r="M42" s="18">
        <f t="shared" ca="1" si="89"/>
        <v>2777</v>
      </c>
      <c r="N42" s="19">
        <f t="shared" ca="1" si="90"/>
        <v>191.75452173913044</v>
      </c>
      <c r="O42" s="16">
        <v>5887</v>
      </c>
      <c r="P42" s="20">
        <f t="shared" ca="1" si="91"/>
        <v>0.47171734329879395</v>
      </c>
      <c r="Q42" s="21">
        <v>1.5</v>
      </c>
      <c r="R42" s="20">
        <f t="shared" ca="1" si="92"/>
        <v>0.41976978114077307</v>
      </c>
      <c r="S42" s="22">
        <f t="shared" ca="1" si="93"/>
        <v>0.62965467171115963</v>
      </c>
      <c r="T42" s="21">
        <f ca="1">F42/24.792</f>
        <v>177.89424007744432</v>
      </c>
      <c r="U42" s="21">
        <f t="shared" ca="1" si="94"/>
        <v>7.7345321772801876</v>
      </c>
      <c r="V42" s="18">
        <f t="shared" ca="1" si="95"/>
        <v>120.73913043478261</v>
      </c>
      <c r="W42" s="76"/>
      <c r="X42" s="8">
        <v>4</v>
      </c>
      <c r="Y42" s="8" t="s">
        <v>38</v>
      </c>
      <c r="Z42" s="8">
        <f t="shared" ref="Z42:AI42" si="120">SUM(D45)</f>
        <v>23</v>
      </c>
      <c r="AA42" s="9">
        <f t="shared" ca="1" si="120"/>
        <v>23</v>
      </c>
      <c r="AB42" s="10">
        <f t="shared" ca="1" si="120"/>
        <v>4347.643</v>
      </c>
      <c r="AC42" s="9">
        <f t="shared" ca="1" si="120"/>
        <v>1336</v>
      </c>
      <c r="AD42" s="9">
        <f t="shared" ca="1" si="120"/>
        <v>123</v>
      </c>
      <c r="AE42" s="9">
        <f t="shared" ca="1" si="120"/>
        <v>1459</v>
      </c>
      <c r="AF42" s="9">
        <f t="shared" ca="1" si="120"/>
        <v>2099</v>
      </c>
      <c r="AG42" s="9">
        <f t="shared" ca="1" si="120"/>
        <v>0</v>
      </c>
      <c r="AH42" s="9">
        <f t="shared" ca="1" si="120"/>
        <v>2099</v>
      </c>
      <c r="AI42" s="9">
        <f t="shared" ca="1" si="120"/>
        <v>3558</v>
      </c>
      <c r="AJ42" s="11">
        <f t="shared" ca="1" si="107"/>
        <v>189.02795652173913</v>
      </c>
      <c r="AK42" s="8">
        <v>7324</v>
      </c>
      <c r="AL42" s="12">
        <f t="shared" ca="1" si="109"/>
        <v>0.485800109229929</v>
      </c>
      <c r="AM42" s="13">
        <f>SUM(Q45)</f>
        <v>1.5</v>
      </c>
      <c r="AN42" s="12">
        <f t="shared" ca="1" si="111"/>
        <v>0.54558297449905613</v>
      </c>
      <c r="AO42" s="14">
        <f t="shared" ca="1" si="112"/>
        <v>0.81837446174858419</v>
      </c>
      <c r="AP42" s="13">
        <f t="shared" ref="AP42:AQ42" ca="1" si="121">SUM(T45)</f>
        <v>105.5125106176435</v>
      </c>
      <c r="AQ42" s="13">
        <f t="shared" ca="1" si="121"/>
        <v>4.5875004616366741</v>
      </c>
      <c r="AR42" s="9">
        <f t="shared" ca="1" si="114"/>
        <v>154.69565217391303</v>
      </c>
      <c r="AS42" s="76"/>
      <c r="AT42" s="76"/>
    </row>
    <row r="43" spans="1:46" ht="15.75" customHeight="1" x14ac:dyDescent="0.25">
      <c r="A43" s="70"/>
      <c r="B43" s="16">
        <v>12</v>
      </c>
      <c r="C43" s="16" t="s">
        <v>39</v>
      </c>
      <c r="D43" s="17">
        <v>21</v>
      </c>
      <c r="E43" s="18">
        <f ca="1">IFERROR(__xludf.DUMMYFUNCTION("COUNT(IMPORTRANGE(""https://docs.google.com/spreadsheets/d/1TAY2D35yAzyl8a_p5CuZehQvmatfj0b0Q8ICl8GtJBY/edit"",""2!d2:d29""))"),20)</f>
        <v>20</v>
      </c>
      <c r="F43" s="23">
        <f ca="1">IFERROR(__xludf.DUMMYFUNCTION("SUM(IMPORTRANGE(""https://docs.google.com/spreadsheets/d/1TAY2D35yAzyl8a_p5CuZehQvmatfj0b0Q8ICl8GtJBY/edit"",""2!Q2:Q29""))"),3997.575)</f>
        <v>3997.5749999999998</v>
      </c>
      <c r="G43" s="18">
        <f ca="1">IFERROR(__xludf.DUMMYFUNCTION("IMPORTRANGE(""https://docs.google.com/spreadsheets/d/1TAY2D35yAzyl8a_p5CuZehQvmatfj0b0Q8ICl8GtJBY/edit"",""2!e36"")"),819)</f>
        <v>819</v>
      </c>
      <c r="H43" s="18">
        <f ca="1">IFERROR(__xludf.DUMMYFUNCTION("(IMPORTRANGE(""https://docs.google.com/spreadsheets/d/1TAY2D35yAzyl8a_p5CuZehQvmatfj0b0Q8ICl8GtJBY/edit"",""2!e37""))"),0)</f>
        <v>0</v>
      </c>
      <c r="I43" s="18">
        <f t="shared" ca="1" si="87"/>
        <v>819</v>
      </c>
      <c r="J43" s="18">
        <f ca="1">IFERROR(__xludf.DUMMYFUNCTION("IMPORTRANGE(""https://docs.google.com/spreadsheets/d/1TAY2D35yAzyl8a_p5CuZehQvmatfj0b0Q8ICl8GtJBY/edit"",""2!e40"")"),1395)</f>
        <v>1395</v>
      </c>
      <c r="K43" s="18">
        <f ca="1">IFERROR(__xludf.DUMMYFUNCTION("IMPORTRANGE(""https://docs.google.com/spreadsheets/d/1TAY2D35yAzyl8a_p5CuZehQvmatfj0b0Q8ICl8GtJBY/edit"",""2!e41"")"),0)</f>
        <v>0</v>
      </c>
      <c r="L43" s="18">
        <f t="shared" ca="1" si="117"/>
        <v>1395</v>
      </c>
      <c r="M43" s="18">
        <f t="shared" ca="1" si="89"/>
        <v>2214</v>
      </c>
      <c r="N43" s="19">
        <f t="shared" ca="1" si="90"/>
        <v>199.87875</v>
      </c>
      <c r="O43" s="16">
        <v>3569</v>
      </c>
      <c r="P43" s="20">
        <f t="shared" ca="1" si="91"/>
        <v>0.62034183244606333</v>
      </c>
      <c r="Q43" s="21">
        <v>1.5</v>
      </c>
      <c r="R43" s="20">
        <f t="shared" ca="1" si="92"/>
        <v>0.36922384195418473</v>
      </c>
      <c r="S43" s="22">
        <f t="shared" ca="1" si="93"/>
        <v>0.55383576293127712</v>
      </c>
      <c r="T43" s="21">
        <f ca="1">F43/21.463</f>
        <v>186.25425150258582</v>
      </c>
      <c r="U43" s="21">
        <f t="shared" ca="1" si="94"/>
        <v>9.3127125751292912</v>
      </c>
      <c r="V43" s="18">
        <f t="shared" ca="1" si="95"/>
        <v>110.7</v>
      </c>
      <c r="W43" s="76"/>
      <c r="X43" s="8">
        <v>5</v>
      </c>
      <c r="Y43" s="8" t="s">
        <v>40</v>
      </c>
      <c r="Z43" s="8">
        <f t="shared" ref="Z43:AI43" si="122">SUM(D47)</f>
        <v>23</v>
      </c>
      <c r="AA43" s="9">
        <f t="shared" ca="1" si="122"/>
        <v>23</v>
      </c>
      <c r="AB43" s="10">
        <f t="shared" ca="1" si="122"/>
        <v>4323.3360000000002</v>
      </c>
      <c r="AC43" s="9">
        <f t="shared" ca="1" si="122"/>
        <v>2156</v>
      </c>
      <c r="AD43" s="9">
        <f t="shared" ca="1" si="122"/>
        <v>0</v>
      </c>
      <c r="AE43" s="9">
        <f t="shared" ca="1" si="122"/>
        <v>2156</v>
      </c>
      <c r="AF43" s="9">
        <f t="shared" ca="1" si="122"/>
        <v>2742</v>
      </c>
      <c r="AG43" s="9">
        <f t="shared" ca="1" si="122"/>
        <v>0</v>
      </c>
      <c r="AH43" s="9">
        <f t="shared" ca="1" si="122"/>
        <v>2742</v>
      </c>
      <c r="AI43" s="9">
        <f t="shared" ca="1" si="122"/>
        <v>4898</v>
      </c>
      <c r="AJ43" s="11">
        <f t="shared" ca="1" si="107"/>
        <v>187.97113043478262</v>
      </c>
      <c r="AK43" s="8">
        <f t="shared" ref="AK43:AK44" si="123">SUM(O47)</f>
        <v>8239</v>
      </c>
      <c r="AL43" s="12">
        <f t="shared" ca="1" si="109"/>
        <v>0.59448962252700566</v>
      </c>
      <c r="AM43" s="13">
        <f t="shared" ref="AM43:AM44" si="124">SUM(Q47)</f>
        <v>1.5</v>
      </c>
      <c r="AN43" s="12">
        <f t="shared" ca="1" si="111"/>
        <v>0.75528095279509466</v>
      </c>
      <c r="AO43" s="14">
        <f t="shared" ca="1" si="112"/>
        <v>1.1329214291926419</v>
      </c>
      <c r="AP43" s="13">
        <f t="shared" ref="AP43:AQ43" ca="1" si="125">SUM(T47)</f>
        <v>152</v>
      </c>
      <c r="AQ43" s="13">
        <f t="shared" ca="1" si="125"/>
        <v>6.6086956521739131</v>
      </c>
      <c r="AR43" s="9">
        <f t="shared" ca="1" si="114"/>
        <v>212.95652173913044</v>
      </c>
      <c r="AS43" s="76"/>
      <c r="AT43" s="76"/>
    </row>
    <row r="44" spans="1:46" ht="15.75" customHeight="1" x14ac:dyDescent="0.25">
      <c r="A44" s="70"/>
      <c r="B44" s="16">
        <v>12</v>
      </c>
      <c r="C44" s="16" t="s">
        <v>41</v>
      </c>
      <c r="D44" s="17">
        <v>19</v>
      </c>
      <c r="E44" s="18">
        <f ca="1">IFERROR(__xludf.DUMMYFUNCTION("COUNT(IMPORTRANGE(""https://docs.google.com/spreadsheets/d/1VAsUtLQHi7oV9NsI9EIHPnO1bcPJHeRgSbMoxSvPBME/edit"",""2!d2:d25""))"),19)</f>
        <v>19</v>
      </c>
      <c r="F44" s="23">
        <f ca="1">IFERROR(__xludf.DUMMYFUNCTION("SUM(IMPORTRANGE(""https://docs.google.com/spreadsheets/d/1VAsUtLQHi7oV9NsI9EIHPnO1bcPJHeRgSbMoxSvPBME/edit"",""2!Q2:Q25""))"),3812.136)</f>
        <v>3812.136</v>
      </c>
      <c r="G44" s="18">
        <f ca="1">IFERROR(__xludf.DUMMYFUNCTION("IMPORTRANGE(""https://docs.google.com/spreadsheets/d/1VAsUtLQHi7oV9NsI9EIHPnO1bcPJHeRgSbMoxSvPBME/edit"",""2!e32"")"),816)</f>
        <v>816</v>
      </c>
      <c r="H44" s="18">
        <f ca="1">IFERROR(__xludf.DUMMYFUNCTION("IMPORTRANGE(""https://docs.google.com/spreadsheets/d/1VAsUtLQHi7oV9NsI9EIHPnO1bcPJHeRgSbMoxSvPBME/edit"",""2!e33"")"),0)</f>
        <v>0</v>
      </c>
      <c r="I44" s="18">
        <f t="shared" ca="1" si="87"/>
        <v>816</v>
      </c>
      <c r="J44" s="18">
        <f ca="1">IFERROR(__xludf.DUMMYFUNCTION("IMPORTRANGE(""https://docs.google.com/spreadsheets/d/1VAsUtLQHi7oV9NsI9EIHPnO1bcPJHeRgSbMoxSvPBME/edit"",""2!e36"")"),1027)</f>
        <v>1027</v>
      </c>
      <c r="K44" s="18">
        <f ca="1">IFERROR(__xludf.DUMMYFUNCTION("IMPORTRANGE(""https://docs.google.com/spreadsheets/d/1VAsUtLQHi7oV9NsI9EIHPnO1bcPJHeRgSbMoxSvPBME/edit"",""2!e37"")"),0)</f>
        <v>0</v>
      </c>
      <c r="L44" s="18">
        <f t="shared" ca="1" si="117"/>
        <v>1027</v>
      </c>
      <c r="M44" s="18">
        <f t="shared" ca="1" si="89"/>
        <v>1843</v>
      </c>
      <c r="N44" s="19">
        <f t="shared" ca="1" si="90"/>
        <v>200.63873684210526</v>
      </c>
      <c r="O44" s="16">
        <v>3801</v>
      </c>
      <c r="P44" s="20">
        <f t="shared" ca="1" si="91"/>
        <v>0.48487240199947385</v>
      </c>
      <c r="Q44" s="21">
        <v>1.5</v>
      </c>
      <c r="R44" s="20">
        <f t="shared" ca="1" si="92"/>
        <v>0.32230399614984007</v>
      </c>
      <c r="S44" s="22">
        <f t="shared" ca="1" si="93"/>
        <v>0.4834559942247601</v>
      </c>
      <c r="T44" s="21">
        <f ca="1">F44/29.628</f>
        <v>128.66666666666666</v>
      </c>
      <c r="U44" s="21">
        <f t="shared" ca="1" si="94"/>
        <v>6.7719298245614032</v>
      </c>
      <c r="V44" s="18">
        <f t="shared" ca="1" si="95"/>
        <v>97</v>
      </c>
      <c r="W44" s="76"/>
      <c r="X44" s="8">
        <v>6</v>
      </c>
      <c r="Y44" s="8" t="s">
        <v>42</v>
      </c>
      <c r="Z44" s="8">
        <f t="shared" ref="Z44:AI44" si="126">SUM(D48)</f>
        <v>24</v>
      </c>
      <c r="AA44" s="9">
        <f t="shared" ca="1" si="126"/>
        <v>24</v>
      </c>
      <c r="AB44" s="10">
        <f t="shared" ca="1" si="126"/>
        <v>4541.7389999999896</v>
      </c>
      <c r="AC44" s="9">
        <f t="shared" ca="1" si="126"/>
        <v>2182</v>
      </c>
      <c r="AD44" s="9">
        <f t="shared" ca="1" si="126"/>
        <v>0</v>
      </c>
      <c r="AE44" s="9">
        <f t="shared" ca="1" si="126"/>
        <v>2182</v>
      </c>
      <c r="AF44" s="9">
        <f t="shared" ca="1" si="126"/>
        <v>2768</v>
      </c>
      <c r="AG44" s="9">
        <f t="shared" ca="1" si="126"/>
        <v>0</v>
      </c>
      <c r="AH44" s="9">
        <f t="shared" ca="1" si="126"/>
        <v>2768</v>
      </c>
      <c r="AI44" s="9">
        <f t="shared" ca="1" si="126"/>
        <v>4950</v>
      </c>
      <c r="AJ44" s="11">
        <f t="shared" ca="1" si="107"/>
        <v>189.23912499999958</v>
      </c>
      <c r="AK44" s="8">
        <f t="shared" si="123"/>
        <v>9877</v>
      </c>
      <c r="AL44" s="12">
        <f t="shared" ca="1" si="109"/>
        <v>0.50116432115014675</v>
      </c>
      <c r="AM44" s="13">
        <f t="shared" si="124"/>
        <v>1.5</v>
      </c>
      <c r="AN44" s="12">
        <f t="shared" ca="1" si="111"/>
        <v>0.72659393241223402</v>
      </c>
      <c r="AO44" s="14">
        <f t="shared" ca="1" si="112"/>
        <v>1.0898908986183511</v>
      </c>
      <c r="AP44" s="13">
        <f t="shared" ref="AP44:AQ44" ca="1" si="127">SUM(T48)</f>
        <v>173.64706557063619</v>
      </c>
      <c r="AQ44" s="13">
        <f t="shared" ca="1" si="127"/>
        <v>7.2352943987765075</v>
      </c>
      <c r="AR44" s="9">
        <f t="shared" ca="1" si="114"/>
        <v>206.25</v>
      </c>
      <c r="AS44" s="76"/>
      <c r="AT44" s="76"/>
    </row>
    <row r="45" spans="1:46" ht="15.75" customHeight="1" x14ac:dyDescent="0.25">
      <c r="A45" s="70"/>
      <c r="B45" s="16">
        <v>13</v>
      </c>
      <c r="C45" s="16" t="s">
        <v>43</v>
      </c>
      <c r="D45" s="17">
        <v>23</v>
      </c>
      <c r="E45" s="18">
        <f ca="1">IFERROR(__xludf.DUMMYFUNCTION("COUNT(IMPORTRANGE(""https://docs.google.com/spreadsheets/d/1p9Y_DGk7-TpRBFth-ljZceOIGCjQ0ylUeUq6xqnsZ-Q/edit"",""2!d2:d31""))"),23)</f>
        <v>23</v>
      </c>
      <c r="F45" s="23">
        <f ca="1">IFERROR(__xludf.DUMMYFUNCTION("SUM(IMPORTRANGE(""https://docs.google.com/spreadsheets/d/1p9Y_DGk7-TpRBFth-ljZceOIGCjQ0ylUeUq6xqnsZ-Q/edit"",""2!Q2:Q31""))"),4347.643)</f>
        <v>4347.643</v>
      </c>
      <c r="G45" s="18">
        <f ca="1">IFERROR(__xludf.DUMMYFUNCTION("IMPORTRANGE(""https://docs.google.com/spreadsheets/d/1p9Y_DGk7-TpRBFth-ljZceOIGCjQ0ylUeUq6xqnsZ-Q/edit"",""2!e38"")"),1336)</f>
        <v>1336</v>
      </c>
      <c r="H45" s="18">
        <f ca="1">IFERROR(__xludf.DUMMYFUNCTION("IMPORTRANGE(""https://docs.google.com/spreadsheets/d/1p9Y_DGk7-TpRBFth-ljZceOIGCjQ0ylUeUq6xqnsZ-Q/edit"",""2!e39"")"),123)</f>
        <v>123</v>
      </c>
      <c r="I45" s="18">
        <f t="shared" ca="1" si="87"/>
        <v>1459</v>
      </c>
      <c r="J45" s="18">
        <f ca="1">IFERROR(__xludf.DUMMYFUNCTION("IMPORTRANGE(""https://docs.google.com/spreadsheets/d/1p9Y_DGk7-TpRBFth-ljZceOIGCjQ0ylUeUq6xqnsZ-Q/edit"",""2!e42"")"),2099)</f>
        <v>2099</v>
      </c>
      <c r="K45" s="18">
        <f ca="1">IFERROR(__xludf.DUMMYFUNCTION("IMPORTRANGE(""https://docs.google.com/spreadsheets/d/1p9Y_DGk7-TpRBFth-ljZceOIGCjQ0ylUeUq6xqnsZ-Q/edit"",""2!e43"")"),0)</f>
        <v>0</v>
      </c>
      <c r="L45" s="18">
        <f t="shared" ca="1" si="117"/>
        <v>2099</v>
      </c>
      <c r="M45" s="18">
        <f t="shared" ca="1" si="89"/>
        <v>3558</v>
      </c>
      <c r="N45" s="19">
        <f t="shared" ca="1" si="90"/>
        <v>189.02795652173913</v>
      </c>
      <c r="O45" s="16">
        <v>8345</v>
      </c>
      <c r="P45" s="20">
        <f t="shared" ca="1" si="91"/>
        <v>0.4263630916716597</v>
      </c>
      <c r="Q45" s="21">
        <v>1.5</v>
      </c>
      <c r="R45" s="20">
        <f t="shared" ca="1" si="92"/>
        <v>0.54558297449905613</v>
      </c>
      <c r="S45" s="22">
        <f t="shared" ca="1" si="93"/>
        <v>0.81837446174858419</v>
      </c>
      <c r="T45" s="21">
        <f ca="1">F45/41.205</f>
        <v>105.5125106176435</v>
      </c>
      <c r="U45" s="21">
        <f t="shared" ca="1" si="94"/>
        <v>4.5875004616366741</v>
      </c>
      <c r="V45" s="18">
        <f t="shared" ca="1" si="95"/>
        <v>154.69565217391303</v>
      </c>
      <c r="W45" s="76"/>
      <c r="X45" s="24" t="s">
        <v>33</v>
      </c>
      <c r="Y45" s="24">
        <v>6</v>
      </c>
      <c r="Z45" s="24">
        <f t="shared" ref="Z45:AI45" si="128">SUM(Z39:Z44)</f>
        <v>169</v>
      </c>
      <c r="AA45" s="25">
        <f t="shared" ca="1" si="128"/>
        <v>169</v>
      </c>
      <c r="AB45" s="27">
        <f t="shared" ca="1" si="128"/>
        <v>33092.099999999977</v>
      </c>
      <c r="AC45" s="25">
        <f t="shared" ca="1" si="128"/>
        <v>11270</v>
      </c>
      <c r="AD45" s="25">
        <f t="shared" ca="1" si="128"/>
        <v>481</v>
      </c>
      <c r="AE45" s="25">
        <f t="shared" ca="1" si="128"/>
        <v>11751</v>
      </c>
      <c r="AF45" s="25">
        <f t="shared" ca="1" si="128"/>
        <v>15758</v>
      </c>
      <c r="AG45" s="25">
        <f t="shared" ca="1" si="128"/>
        <v>252</v>
      </c>
      <c r="AH45" s="25">
        <f t="shared" ca="1" si="128"/>
        <v>16010</v>
      </c>
      <c r="AI45" s="25">
        <f t="shared" ca="1" si="128"/>
        <v>27761</v>
      </c>
      <c r="AJ45" s="27">
        <f t="shared" ca="1" si="107"/>
        <v>195.81124260355017</v>
      </c>
      <c r="AK45" s="24">
        <f>SUM(AK39:AK44)</f>
        <v>53273</v>
      </c>
      <c r="AL45" s="28">
        <f t="shared" ca="1" si="109"/>
        <v>0.52110825371201175</v>
      </c>
      <c r="AM45" s="29">
        <v>1.5</v>
      </c>
      <c r="AN45" s="28">
        <f t="shared" ca="1" si="111"/>
        <v>0.55926741830628302</v>
      </c>
      <c r="AO45" s="30">
        <f t="shared" ca="1" si="112"/>
        <v>0.83890112745942447</v>
      </c>
      <c r="AP45" s="29">
        <f ca="1">SUM(AP39:AP44)</f>
        <v>1088.5665763549914</v>
      </c>
      <c r="AQ45" s="29">
        <f ca="1">AP45/AA45</f>
        <v>6.4412223452958068</v>
      </c>
      <c r="AR45" s="25">
        <f t="shared" ca="1" si="114"/>
        <v>164.26627218934911</v>
      </c>
      <c r="AS45" s="76"/>
      <c r="AT45" s="76"/>
    </row>
    <row r="46" spans="1:46" ht="15.75" customHeight="1" x14ac:dyDescent="0.25">
      <c r="A46" s="70"/>
      <c r="B46" s="16">
        <v>14</v>
      </c>
      <c r="C46" s="16" t="s">
        <v>27</v>
      </c>
      <c r="D46" s="17">
        <v>23</v>
      </c>
      <c r="E46" s="18">
        <f ca="1">IFERROR(__xludf.DUMMYFUNCTION("COUNT(IMPORTRANGE(""https://docs.google.com/spreadsheets/d/1zJUDEKztv_fercXA0LYNw155qdzS7TJGhWLhquaW5IY/edit"",""2!d2:d31""))"),23)</f>
        <v>23</v>
      </c>
      <c r="F46" s="23">
        <f ca="1">IFERROR(__xludf.DUMMYFUNCTION("SUM(IMPORTRANGE(""https://docs.google.com/spreadsheets/d/1zJUDEKztv_fercXA0LYNw155qdzS7TJGhWLhquaW5IY/edit"",""2!Q2:Q31""))"),4340.57699999999)</f>
        <v>4340.5769999999902</v>
      </c>
      <c r="G46" s="18">
        <f ca="1">IFERROR(__xludf.DUMMYFUNCTION("IMPORTRANGE(""https://docs.google.com/spreadsheets/d/1zJUDEKztv_fercXA0LYNw155qdzS7TJGhWLhquaW5IY/edit"",""2!e38"")"),1580)</f>
        <v>1580</v>
      </c>
      <c r="H46" s="18">
        <f ca="1">IFERROR(__xludf.DUMMYFUNCTION("IMPORTRANGE(""https://docs.google.com/spreadsheets/d/1zJUDEKztv_fercXA0LYNw155qdzS7TJGhWLhquaW5IY/edit"",""2!e39"")"),0)</f>
        <v>0</v>
      </c>
      <c r="I46" s="18">
        <f t="shared" ca="1" si="87"/>
        <v>1580</v>
      </c>
      <c r="J46" s="18">
        <f ca="1">IFERROR(__xludf.DUMMYFUNCTION("IMPORTRANGE(""https://docs.google.com/spreadsheets/d/1zJUDEKztv_fercXA0LYNw155qdzS7TJGhWLhquaW5IY/edit"",""2!e42"")"),2079)</f>
        <v>2079</v>
      </c>
      <c r="K46" s="18">
        <f ca="1">IFERROR(__xludf.DUMMYFUNCTION("IMPORTRANGE(""https://docs.google.com/spreadsheets/d/1zJUDEKztv_fercXA0LYNw155qdzS7TJGhWLhquaW5IY/edit"",""2!e43"")"),0)</f>
        <v>0</v>
      </c>
      <c r="L46" s="18">
        <f t="shared" ca="1" si="117"/>
        <v>2079</v>
      </c>
      <c r="M46" s="18">
        <f t="shared" ca="1" si="89"/>
        <v>3659</v>
      </c>
      <c r="N46" s="19">
        <f t="shared" ca="1" si="90"/>
        <v>188.72073913043437</v>
      </c>
      <c r="O46" s="16">
        <v>8101</v>
      </c>
      <c r="P46" s="20">
        <f t="shared" ca="1" si="91"/>
        <v>0.4516726330082706</v>
      </c>
      <c r="Q46" s="21">
        <v>1.5</v>
      </c>
      <c r="R46" s="20">
        <f t="shared" ca="1" si="92"/>
        <v>0.56198365639714232</v>
      </c>
      <c r="S46" s="22">
        <f t="shared" ca="1" si="93"/>
        <v>0.84297548459571348</v>
      </c>
      <c r="T46" s="21">
        <f ca="1">F46/19.985</f>
        <v>217.1917438078554</v>
      </c>
      <c r="U46" s="21">
        <f t="shared" ca="1" si="94"/>
        <v>9.4431192959937125</v>
      </c>
      <c r="V46" s="18">
        <f t="shared" ca="1" si="95"/>
        <v>159.08695652173913</v>
      </c>
      <c r="W46" s="76"/>
      <c r="X46" s="97" t="s">
        <v>44</v>
      </c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9"/>
      <c r="AS46" s="76"/>
      <c r="AT46" s="76"/>
    </row>
    <row r="47" spans="1:46" ht="15.75" customHeight="1" x14ac:dyDescent="0.25">
      <c r="A47" s="70"/>
      <c r="B47" s="16">
        <v>15</v>
      </c>
      <c r="C47" s="16" t="s">
        <v>40</v>
      </c>
      <c r="D47" s="17">
        <v>23</v>
      </c>
      <c r="E47" s="18">
        <f ca="1">IFERROR(__xludf.DUMMYFUNCTION("COUNT(IMPORTRANGE(""https://docs.google.com/spreadsheets/d/15GJA66Ucb-8RQ5vWVpq5HYaWoZZFX82SCeHChBujbrI/edit"",""2!d2:d31""))"),23)</f>
        <v>23</v>
      </c>
      <c r="F47" s="23">
        <f ca="1">IFERROR(__xludf.DUMMYFUNCTION("SUM(IMPORTRANGE(""https://docs.google.com/spreadsheets/d/15GJA66Ucb-8RQ5vWVpq5HYaWoZZFX82SCeHChBujbrI/edit"",""2!Q2:Q31""))"),4323.336)</f>
        <v>4323.3360000000002</v>
      </c>
      <c r="G47" s="18">
        <f ca="1">IFERROR(__xludf.DUMMYFUNCTION("IMPORTRANGE(""https://docs.google.com/spreadsheets/d/15GJA66Ucb-8RQ5vWVpq5HYaWoZZFX82SCeHChBujbrI/edit"",""2!e38"")"),2156)</f>
        <v>2156</v>
      </c>
      <c r="H47" s="18">
        <f ca="1">IFERROR(__xludf.DUMMYFUNCTION("IMPORTRANGE(""https://docs.google.com/spreadsheets/d/15GJA66Ucb-8RQ5vWVpq5HYaWoZZFX82SCeHChBujbrI/edit"",""2!e39"")"),0)</f>
        <v>0</v>
      </c>
      <c r="I47" s="18">
        <f t="shared" ca="1" si="87"/>
        <v>2156</v>
      </c>
      <c r="J47" s="18">
        <f ca="1">IFERROR(__xludf.DUMMYFUNCTION("IMPORTRANGE(""https://docs.google.com/spreadsheets/d/15GJA66Ucb-8RQ5vWVpq5HYaWoZZFX82SCeHChBujbrI/edit"",""2!e42"")"),2742)</f>
        <v>2742</v>
      </c>
      <c r="K47" s="18">
        <f ca="1">IFERROR(__xludf.DUMMYFUNCTION("IMPORTRANGE(""https://docs.google.com/spreadsheets/d/15GJA66Ucb-8RQ5vWVpq5HYaWoZZFX82SCeHChBujbrI/edit"",""2!e43"")"),0)</f>
        <v>0</v>
      </c>
      <c r="L47" s="18">
        <f t="shared" ca="1" si="117"/>
        <v>2742</v>
      </c>
      <c r="M47" s="18">
        <f t="shared" ca="1" si="89"/>
        <v>4898</v>
      </c>
      <c r="N47" s="19">
        <f t="shared" ca="1" si="90"/>
        <v>187.97113043478262</v>
      </c>
      <c r="O47" s="16">
        <v>8239</v>
      </c>
      <c r="P47" s="20">
        <f t="shared" ca="1" si="91"/>
        <v>0.59448962252700566</v>
      </c>
      <c r="Q47" s="21">
        <v>1.5</v>
      </c>
      <c r="R47" s="20">
        <f t="shared" ca="1" si="92"/>
        <v>0.75528095279509466</v>
      </c>
      <c r="S47" s="22">
        <f t="shared" ca="1" si="93"/>
        <v>1.1329214291926419</v>
      </c>
      <c r="T47" s="21">
        <f ca="1">F47/28.443</f>
        <v>152</v>
      </c>
      <c r="U47" s="21">
        <f t="shared" ca="1" si="94"/>
        <v>6.6086956521739131</v>
      </c>
      <c r="V47" s="18">
        <f t="shared" ca="1" si="95"/>
        <v>212.95652173913044</v>
      </c>
      <c r="W47" s="76"/>
      <c r="X47" s="1" t="s">
        <v>2</v>
      </c>
      <c r="Y47" s="1" t="s">
        <v>3</v>
      </c>
      <c r="Z47" s="1" t="s">
        <v>4</v>
      </c>
      <c r="AA47" s="1" t="s">
        <v>5</v>
      </c>
      <c r="AB47" s="2" t="s">
        <v>6</v>
      </c>
      <c r="AC47" s="1" t="s">
        <v>7</v>
      </c>
      <c r="AD47" s="1" t="s">
        <v>8</v>
      </c>
      <c r="AE47" s="1" t="s">
        <v>9</v>
      </c>
      <c r="AF47" s="1" t="s">
        <v>10</v>
      </c>
      <c r="AG47" s="1" t="s">
        <v>11</v>
      </c>
      <c r="AH47" s="1" t="s">
        <v>12</v>
      </c>
      <c r="AI47" s="1" t="s">
        <v>13</v>
      </c>
      <c r="AJ47" s="2" t="s">
        <v>14</v>
      </c>
      <c r="AK47" s="1" t="s">
        <v>15</v>
      </c>
      <c r="AL47" s="1" t="s">
        <v>16</v>
      </c>
      <c r="AM47" s="3" t="s">
        <v>17</v>
      </c>
      <c r="AN47" s="4" t="s">
        <v>18</v>
      </c>
      <c r="AO47" s="5" t="s">
        <v>19</v>
      </c>
      <c r="AP47" s="6" t="s">
        <v>20</v>
      </c>
      <c r="AQ47" s="6" t="s">
        <v>21</v>
      </c>
      <c r="AR47" s="7" t="s">
        <v>22</v>
      </c>
      <c r="AS47" s="76"/>
      <c r="AT47" s="76"/>
    </row>
    <row r="48" spans="1:46" ht="15.75" customHeight="1" x14ac:dyDescent="0.25">
      <c r="A48" s="70"/>
      <c r="B48" s="16">
        <v>16</v>
      </c>
      <c r="C48" s="16" t="s">
        <v>42</v>
      </c>
      <c r="D48" s="17">
        <v>24</v>
      </c>
      <c r="E48" s="18">
        <f ca="1">IFERROR(__xludf.DUMMYFUNCTION("COUNT(IMPORTRANGE(""https://docs.google.com/spreadsheets/d/14Tu_jFPEdrIQ6DHYu6vRvJKQsbXr-48NY1tKy4-8JKI/edit"",""2!d2:d34""))"),24)</f>
        <v>24</v>
      </c>
      <c r="F48" s="23">
        <f ca="1">IFERROR(__xludf.DUMMYFUNCTION("SUM(IMPORTRANGE(""https://docs.google.com/spreadsheets/d/14Tu_jFPEdrIQ6DHYu6vRvJKQsbXr-48NY1tKy4-8JKI/edit"",""2!Q2:Q34""))"),4541.73899999999)</f>
        <v>4541.7389999999896</v>
      </c>
      <c r="G48" s="18">
        <f ca="1">IFERROR(__xludf.DUMMYFUNCTION("IMPORTRANGE(""https://docs.google.com/spreadsheets/d/14Tu_jFPEdrIQ6DHYu6vRvJKQsbXr-48NY1tKy4-8JKI/edit"",""2!e41"")"),2182)</f>
        <v>2182</v>
      </c>
      <c r="H48" s="18">
        <f ca="1">IFERROR(__xludf.DUMMYFUNCTION("IMPORTRANGE(""https://docs.google.com/spreadsheets/d/14Tu_jFPEdrIQ6DHYu6vRvJKQsbXr-48NY1tKy4-8JKI/edit"",""2!e42"")"),0)</f>
        <v>0</v>
      </c>
      <c r="I48" s="18">
        <f t="shared" ca="1" si="87"/>
        <v>2182</v>
      </c>
      <c r="J48" s="18">
        <f ca="1">IFERROR(__xludf.DUMMYFUNCTION("IMPORTRANGE(""https://docs.google.com/spreadsheets/d/14Tu_jFPEdrIQ6DHYu6vRvJKQsbXr-48NY1tKy4-8JKI/edit"",""2!e45"")"),2768)</f>
        <v>2768</v>
      </c>
      <c r="K48" s="18">
        <f ca="1">IFERROR(__xludf.DUMMYFUNCTION("IMPORTRANGE(""https://docs.google.com/spreadsheets/d/14Tu_jFPEdrIQ6DHYu6vRvJKQsbXr-48NY1tKy4-8JKI/edit"",""2!e46"")"),0)</f>
        <v>0</v>
      </c>
      <c r="L48" s="18">
        <f t="shared" ca="1" si="117"/>
        <v>2768</v>
      </c>
      <c r="M48" s="18">
        <f t="shared" ca="1" si="89"/>
        <v>4950</v>
      </c>
      <c r="N48" s="19">
        <f t="shared" ca="1" si="90"/>
        <v>189.23912499999958</v>
      </c>
      <c r="O48" s="16">
        <v>9877</v>
      </c>
      <c r="P48" s="20">
        <f t="shared" ca="1" si="91"/>
        <v>0.50116432115014675</v>
      </c>
      <c r="Q48" s="21">
        <v>1.5</v>
      </c>
      <c r="R48" s="20">
        <f t="shared" ca="1" si="92"/>
        <v>0.72659393241223402</v>
      </c>
      <c r="S48" s="22">
        <f t="shared" ca="1" si="93"/>
        <v>1.0898908986183511</v>
      </c>
      <c r="T48" s="21">
        <f ca="1">F48/26.155</f>
        <v>173.64706557063619</v>
      </c>
      <c r="U48" s="21">
        <f t="shared" ca="1" si="94"/>
        <v>7.2352943987765075</v>
      </c>
      <c r="V48" s="18">
        <f t="shared" ca="1" si="95"/>
        <v>206.25</v>
      </c>
      <c r="W48" s="76"/>
      <c r="X48" s="8">
        <v>1</v>
      </c>
      <c r="Y48" s="8" t="s">
        <v>26</v>
      </c>
      <c r="Z48" s="8">
        <f t="shared" ref="Z48:AI48" si="129">SUM(D33)</f>
        <v>15</v>
      </c>
      <c r="AA48" s="9">
        <f t="shared" ca="1" si="129"/>
        <v>14</v>
      </c>
      <c r="AB48" s="11">
        <f t="shared" ca="1" si="129"/>
        <v>2486.9699999999998</v>
      </c>
      <c r="AC48" s="9">
        <f t="shared" ca="1" si="129"/>
        <v>1316</v>
      </c>
      <c r="AD48" s="9">
        <f t="shared" ca="1" si="129"/>
        <v>77</v>
      </c>
      <c r="AE48" s="9">
        <f t="shared" ca="1" si="129"/>
        <v>1393</v>
      </c>
      <c r="AF48" s="9">
        <f t="shared" ca="1" si="129"/>
        <v>1435</v>
      </c>
      <c r="AG48" s="9">
        <f t="shared" ca="1" si="129"/>
        <v>0</v>
      </c>
      <c r="AH48" s="9">
        <f t="shared" ca="1" si="129"/>
        <v>1435</v>
      </c>
      <c r="AI48" s="9">
        <f t="shared" ca="1" si="129"/>
        <v>2828</v>
      </c>
      <c r="AJ48" s="11">
        <f t="shared" ref="AJ48:AJ54" ca="1" si="130">AB48/AA48</f>
        <v>177.64071428571427</v>
      </c>
      <c r="AK48" s="8">
        <f>SUM(O33)</f>
        <v>5161</v>
      </c>
      <c r="AL48" s="12">
        <f t="shared" ref="AL48:AL54" ca="1" si="131">AI48/AK48</f>
        <v>0.54795582251501651</v>
      </c>
      <c r="AM48" s="13">
        <f>SUM(Q33)</f>
        <v>1.5</v>
      </c>
      <c r="AN48" s="12">
        <f t="shared" ref="AN48:AN54" ca="1" si="132">AO48/AM48</f>
        <v>0.75808446958883036</v>
      </c>
      <c r="AO48" s="14">
        <f t="shared" ref="AO48:AO54" ca="1" si="133">AI48/AB48</f>
        <v>1.1371267043832456</v>
      </c>
      <c r="AP48" s="13">
        <f t="shared" ref="AP48:AQ48" ca="1" si="134">SUM(T33)</f>
        <v>172.52653485952132</v>
      </c>
      <c r="AQ48" s="13">
        <f t="shared" ca="1" si="134"/>
        <v>12.323323918537238</v>
      </c>
      <c r="AR48" s="9">
        <f t="shared" ref="AR48:AR54" ca="1" si="135">AI48/AA48</f>
        <v>202</v>
      </c>
      <c r="AS48" s="76"/>
      <c r="AT48" s="76"/>
    </row>
    <row r="49" spans="1:46" ht="15.75" customHeight="1" x14ac:dyDescent="0.25">
      <c r="A49" s="70"/>
      <c r="B49" s="16">
        <v>17</v>
      </c>
      <c r="C49" s="16" t="s">
        <v>29</v>
      </c>
      <c r="D49" s="17">
        <v>23</v>
      </c>
      <c r="E49" s="18">
        <f ca="1">IFERROR(__xludf.DUMMYFUNCTION("COUNT(IMPORTRANGE(""https://docs.google.com/spreadsheets/d/1ja_RQYsP0p5wRrACHojay4CW1wLx0QdS5tSwp-vYQ-s/edit"",""2!d2:d31""))"),22)</f>
        <v>22</v>
      </c>
      <c r="F49" s="23">
        <f ca="1">IFERROR(__xludf.DUMMYFUNCTION("SUM(IMPORTRANGE(""https://docs.google.com/spreadsheets/d/1ja_RQYsP0p5wRrACHojay4CW1wLx0QdS5tSwp-vYQ-s/edit"",""2!Q2:Q31""))"),4348.346)</f>
        <v>4348.3459999999995</v>
      </c>
      <c r="G49" s="18">
        <f ca="1">IFERROR(__xludf.DUMMYFUNCTION("IMPORTRANGE(""https://docs.google.com/spreadsheets/d/1ja_RQYsP0p5wRrACHojay4CW1wLx0QdS5tSwp-vYQ-s/edit"",""2!e38"")"),1699)</f>
        <v>1699</v>
      </c>
      <c r="H49" s="18">
        <f ca="1">IFERROR(__xludf.DUMMYFUNCTION("IMPORTRANGE(""https://docs.google.com/spreadsheets/d/1ja_RQYsP0p5wRrACHojay4CW1wLx0QdS5tSwp-vYQ-s/edit"",""2!e39"")"),0)</f>
        <v>0</v>
      </c>
      <c r="I49" s="18">
        <f t="shared" ca="1" si="87"/>
        <v>1699</v>
      </c>
      <c r="J49" s="18">
        <f ca="1">IFERROR(__xludf.DUMMYFUNCTION("IMPORTRANGE(""https://docs.google.com/spreadsheets/d/1ja_RQYsP0p5wRrACHojay4CW1wLx0QdS5tSwp-vYQ-s/edit"",""2!e42"")"),2397)</f>
        <v>2397</v>
      </c>
      <c r="K49" s="18">
        <f ca="1">IFERROR(__xludf.DUMMYFUNCTION("IMPORTRANGE(""https://docs.google.com/spreadsheets/d/1ja_RQYsP0p5wRrACHojay4CW1wLx0QdS5tSwp-vYQ-s/edit"",""2!e43"")"),0)</f>
        <v>0</v>
      </c>
      <c r="L49" s="18">
        <f t="shared" ca="1" si="117"/>
        <v>2397</v>
      </c>
      <c r="M49" s="18">
        <f t="shared" ca="1" si="89"/>
        <v>4096</v>
      </c>
      <c r="N49" s="19">
        <f t="shared" ca="1" si="90"/>
        <v>197.6520909090909</v>
      </c>
      <c r="O49" s="16">
        <v>9201</v>
      </c>
      <c r="P49" s="20">
        <f t="shared" ca="1" si="91"/>
        <v>0.44516900336919901</v>
      </c>
      <c r="Q49" s="21">
        <v>1.5</v>
      </c>
      <c r="R49" s="20">
        <f t="shared" ca="1" si="92"/>
        <v>0.62797823969543065</v>
      </c>
      <c r="S49" s="22">
        <f t="shared" ca="1" si="93"/>
        <v>0.94196735954314592</v>
      </c>
      <c r="T49" s="21">
        <f ca="1">F49/26.038</f>
        <v>166.99999999999997</v>
      </c>
      <c r="U49" s="21">
        <f t="shared" ca="1" si="94"/>
        <v>7.5909090909090899</v>
      </c>
      <c r="V49" s="18">
        <f t="shared" ca="1" si="95"/>
        <v>186.18181818181819</v>
      </c>
      <c r="W49" s="76"/>
      <c r="X49" s="8">
        <v>2</v>
      </c>
      <c r="Y49" s="8" t="s">
        <v>32</v>
      </c>
      <c r="Z49" s="8">
        <f t="shared" ref="Z49:AI49" si="136">SUM(D36)</f>
        <v>32</v>
      </c>
      <c r="AA49" s="9">
        <f t="shared" ca="1" si="136"/>
        <v>32</v>
      </c>
      <c r="AB49" s="10">
        <f t="shared" ca="1" si="136"/>
        <v>6060.0679999999902</v>
      </c>
      <c r="AC49" s="8">
        <f t="shared" ca="1" si="136"/>
        <v>2998</v>
      </c>
      <c r="AD49" s="8">
        <f t="shared" ca="1" si="136"/>
        <v>0</v>
      </c>
      <c r="AE49" s="9">
        <f t="shared" ca="1" si="136"/>
        <v>2998</v>
      </c>
      <c r="AF49" s="8">
        <f t="shared" ca="1" si="136"/>
        <v>3632</v>
      </c>
      <c r="AG49" s="8">
        <f t="shared" ca="1" si="136"/>
        <v>0</v>
      </c>
      <c r="AH49" s="9">
        <f t="shared" ca="1" si="136"/>
        <v>3632</v>
      </c>
      <c r="AI49" s="9">
        <f t="shared" ca="1" si="136"/>
        <v>6630</v>
      </c>
      <c r="AJ49" s="11">
        <f t="shared" ca="1" si="130"/>
        <v>189.37712499999969</v>
      </c>
      <c r="AK49" s="8">
        <f>SUM(O36)</f>
        <v>13817</v>
      </c>
      <c r="AL49" s="12">
        <f t="shared" ca="1" si="131"/>
        <v>0.47984367084026924</v>
      </c>
      <c r="AM49" s="13">
        <f>SUM(Q36)</f>
        <v>1.5</v>
      </c>
      <c r="AN49" s="12">
        <f t="shared" ca="1" si="132"/>
        <v>0.72936475300277281</v>
      </c>
      <c r="AO49" s="14">
        <f t="shared" ca="1" si="133"/>
        <v>1.0940471295041592</v>
      </c>
      <c r="AP49" s="13">
        <f t="shared" ref="AP49:AQ49" ca="1" si="137">SUM(T36)</f>
        <v>241.54282753397865</v>
      </c>
      <c r="AQ49" s="13">
        <f t="shared" ca="1" si="137"/>
        <v>7.5482133604368329</v>
      </c>
      <c r="AR49" s="9">
        <f t="shared" ca="1" si="135"/>
        <v>207.1875</v>
      </c>
      <c r="AS49" s="76"/>
      <c r="AT49" s="76"/>
    </row>
    <row r="50" spans="1:46" ht="15.75" customHeight="1" x14ac:dyDescent="0.25">
      <c r="A50" s="70"/>
      <c r="B50" s="16">
        <v>18</v>
      </c>
      <c r="C50" s="16" t="s">
        <v>31</v>
      </c>
      <c r="D50" s="17">
        <v>11</v>
      </c>
      <c r="E50" s="18">
        <f ca="1">IFERROR(__xludf.DUMMYFUNCTION("COUNT(IMPORTRANGE(""https://docs.google.com/spreadsheets/d/1ObnK1oSznTOmyW9Zcd2kxExl7TOnO2MNq_0giEKc_mE/edit"",""2!d2:d16""))"),11)</f>
        <v>11</v>
      </c>
      <c r="F50" s="19">
        <f ca="1">IFERROR(__xludf.DUMMYFUNCTION("SUM(IMPORTRANGE(""https://docs.google.com/spreadsheets/d/1ObnK1oSznTOmyW9Zcd2kxExl7TOnO2MNq_0giEKc_mE/edit"",""2!Q2:Q16""))"),2129.785)</f>
        <v>2129.7849999999999</v>
      </c>
      <c r="G50" s="18">
        <f ca="1">IFERROR(__xludf.DUMMYFUNCTION("IMPORTRANGE(""https://docs.google.com/spreadsheets/d/1ObnK1oSznTOmyW9Zcd2kxExl7TOnO2MNq_0giEKc_mE/edit"",""2!e23"")"),463)</f>
        <v>463</v>
      </c>
      <c r="H50" s="18">
        <f ca="1">IFERROR(__xludf.DUMMYFUNCTION("IMPORTRANGE(""https://docs.google.com/spreadsheets/d/1ObnK1oSznTOmyW9Zcd2kxExl7TOnO2MNq_0giEKc_mE/edit"",""2!e24"")"),0)</f>
        <v>0</v>
      </c>
      <c r="I50" s="18">
        <f t="shared" ca="1" si="87"/>
        <v>463</v>
      </c>
      <c r="J50" s="18">
        <f ca="1">IFERROR(__xludf.DUMMYFUNCTION("IMPORTRANGE(""https://docs.google.com/spreadsheets/d/1ObnK1oSznTOmyW9Zcd2kxExl7TOnO2MNq_0giEKc_mE/edit"",""2!e27"")"),674)</f>
        <v>674</v>
      </c>
      <c r="K50" s="18">
        <f ca="1">IFERROR(__xludf.DUMMYFUNCTION("IMPORTRANGE(""https://docs.google.com/spreadsheets/d/1ObnK1oSznTOmyW9Zcd2kxExl7TOnO2MNq_0giEKc_mE/edit"",""2!e28"")"),0)</f>
        <v>0</v>
      </c>
      <c r="L50" s="18">
        <f t="shared" ca="1" si="117"/>
        <v>674</v>
      </c>
      <c r="M50" s="18">
        <f t="shared" ca="1" si="89"/>
        <v>1137</v>
      </c>
      <c r="N50" s="19">
        <f t="shared" ca="1" si="90"/>
        <v>193.61681818181816</v>
      </c>
      <c r="O50" s="16">
        <v>2717</v>
      </c>
      <c r="P50" s="20">
        <f t="shared" ca="1" si="91"/>
        <v>0.41847626058152376</v>
      </c>
      <c r="Q50" s="21">
        <v>1.5</v>
      </c>
      <c r="R50" s="20">
        <f t="shared" ca="1" si="92"/>
        <v>0.35590446923046226</v>
      </c>
      <c r="S50" s="22">
        <f t="shared" ca="1" si="93"/>
        <v>0.53385670384569339</v>
      </c>
      <c r="T50" s="21">
        <f ca="1">F50/43.465</f>
        <v>48.999999999999993</v>
      </c>
      <c r="U50" s="21">
        <f t="shared" ca="1" si="94"/>
        <v>4.4545454545454541</v>
      </c>
      <c r="V50" s="18">
        <f t="shared" ca="1" si="95"/>
        <v>103.36363636363636</v>
      </c>
      <c r="W50" s="76"/>
      <c r="X50" s="8">
        <v>3</v>
      </c>
      <c r="Y50" s="8" t="s">
        <v>36</v>
      </c>
      <c r="Z50" s="8">
        <f t="shared" ref="Z50:AI50" si="138">SUM(D41)</f>
        <v>22</v>
      </c>
      <c r="AA50" s="9">
        <f t="shared" ca="1" si="138"/>
        <v>22</v>
      </c>
      <c r="AB50" s="10">
        <f t="shared" ca="1" si="138"/>
        <v>4410.0639999999903</v>
      </c>
      <c r="AC50" s="9">
        <f t="shared" ca="1" si="138"/>
        <v>884</v>
      </c>
      <c r="AD50" s="9">
        <f t="shared" ca="1" si="138"/>
        <v>0</v>
      </c>
      <c r="AE50" s="9">
        <f t="shared" ca="1" si="138"/>
        <v>884</v>
      </c>
      <c r="AF50" s="9">
        <f t="shared" ca="1" si="138"/>
        <v>1633</v>
      </c>
      <c r="AG50" s="9">
        <f t="shared" ca="1" si="138"/>
        <v>0</v>
      </c>
      <c r="AH50" s="9">
        <f t="shared" ca="1" si="138"/>
        <v>1633</v>
      </c>
      <c r="AI50" s="9">
        <f t="shared" ca="1" si="138"/>
        <v>2517</v>
      </c>
      <c r="AJ50" s="11">
        <f t="shared" ca="1" si="130"/>
        <v>200.45745454545411</v>
      </c>
      <c r="AK50" s="8">
        <f t="shared" ref="AK50:AK53" si="139">SUM(O41)</f>
        <v>4796</v>
      </c>
      <c r="AL50" s="12">
        <f t="shared" ca="1" si="131"/>
        <v>0.5248123436196831</v>
      </c>
      <c r="AM50" s="13">
        <f t="shared" ref="AM50:AM53" si="140">SUM(Q41)</f>
        <v>1.5</v>
      </c>
      <c r="AN50" s="12">
        <f t="shared" ca="1" si="132"/>
        <v>0.38049334431427839</v>
      </c>
      <c r="AO50" s="14">
        <f t="shared" ca="1" si="133"/>
        <v>0.57074001647141759</v>
      </c>
      <c r="AP50" s="13">
        <f t="shared" ref="AP50:AQ50" ca="1" si="141">SUM(T41)</f>
        <v>117.87202651413882</v>
      </c>
      <c r="AQ50" s="13">
        <f t="shared" ca="1" si="141"/>
        <v>5.3578193870063098</v>
      </c>
      <c r="AR50" s="9">
        <f t="shared" ca="1" si="135"/>
        <v>114.40909090909091</v>
      </c>
      <c r="AS50" s="76"/>
      <c r="AT50" s="76"/>
    </row>
    <row r="51" spans="1:46" ht="15.75" customHeight="1" x14ac:dyDescent="0.2">
      <c r="A51" s="70"/>
      <c r="B51" s="98" t="s">
        <v>33</v>
      </c>
      <c r="C51" s="98">
        <v>18</v>
      </c>
      <c r="D51" s="98">
        <f t="shared" ref="D51:M51" si="142">SUM(D33:D50)</f>
        <v>445</v>
      </c>
      <c r="E51" s="74">
        <f t="shared" ca="1" si="142"/>
        <v>440</v>
      </c>
      <c r="F51" s="99">
        <f t="shared" ca="1" si="142"/>
        <v>85264.050999999919</v>
      </c>
      <c r="G51" s="74">
        <f t="shared" ca="1" si="142"/>
        <v>25893</v>
      </c>
      <c r="H51" s="74">
        <f t="shared" ca="1" si="142"/>
        <v>887</v>
      </c>
      <c r="I51" s="74">
        <f t="shared" ca="1" si="142"/>
        <v>26780</v>
      </c>
      <c r="J51" s="74">
        <f t="shared" ca="1" si="142"/>
        <v>37150</v>
      </c>
      <c r="K51" s="74">
        <f t="shared" ca="1" si="142"/>
        <v>684</v>
      </c>
      <c r="L51" s="74">
        <f t="shared" ca="1" si="142"/>
        <v>37834</v>
      </c>
      <c r="M51" s="74">
        <f t="shared" ca="1" si="142"/>
        <v>64614</v>
      </c>
      <c r="N51" s="99">
        <f t="shared" ca="1" si="90"/>
        <v>193.78193409090892</v>
      </c>
      <c r="O51" s="98">
        <f>SUM(O33:O50)</f>
        <v>126399</v>
      </c>
      <c r="P51" s="69">
        <f t="shared" ca="1" si="91"/>
        <v>0.51119075309140105</v>
      </c>
      <c r="Q51" s="72">
        <v>1.5</v>
      </c>
      <c r="R51" s="69">
        <f t="shared" ca="1" si="92"/>
        <v>0.50520705379105246</v>
      </c>
      <c r="S51" s="73">
        <f t="shared" ca="1" si="93"/>
        <v>0.75781058068657869</v>
      </c>
      <c r="T51" s="72">
        <f ca="1">SUM(T33:T50)</f>
        <v>3134.0795831244845</v>
      </c>
      <c r="U51" s="72">
        <f t="shared" ca="1" si="94"/>
        <v>7.1229081434647377</v>
      </c>
      <c r="V51" s="74">
        <f t="shared" ca="1" si="95"/>
        <v>146.85</v>
      </c>
      <c r="W51" s="76"/>
      <c r="X51" s="8">
        <v>4</v>
      </c>
      <c r="Y51" s="8" t="s">
        <v>37</v>
      </c>
      <c r="Z51" s="8">
        <f t="shared" ref="Z51:AI51" si="143">SUM(D42)</f>
        <v>23</v>
      </c>
      <c r="AA51" s="9">
        <f t="shared" ca="1" si="143"/>
        <v>23</v>
      </c>
      <c r="AB51" s="10">
        <f t="shared" ca="1" si="143"/>
        <v>4410.3540000000003</v>
      </c>
      <c r="AC51" s="9">
        <f t="shared" ca="1" si="143"/>
        <v>931</v>
      </c>
      <c r="AD51" s="9">
        <f t="shared" ca="1" si="143"/>
        <v>65</v>
      </c>
      <c r="AE51" s="9">
        <f t="shared" ca="1" si="143"/>
        <v>996</v>
      </c>
      <c r="AF51" s="9">
        <f t="shared" ca="1" si="143"/>
        <v>1781</v>
      </c>
      <c r="AG51" s="9">
        <f t="shared" ca="1" si="143"/>
        <v>0</v>
      </c>
      <c r="AH51" s="9">
        <f t="shared" ca="1" si="143"/>
        <v>1781</v>
      </c>
      <c r="AI51" s="9">
        <f t="shared" ca="1" si="143"/>
        <v>2777</v>
      </c>
      <c r="AJ51" s="11">
        <f t="shared" ca="1" si="130"/>
        <v>191.75452173913044</v>
      </c>
      <c r="AK51" s="8">
        <f t="shared" si="139"/>
        <v>5887</v>
      </c>
      <c r="AL51" s="12">
        <f t="shared" ca="1" si="131"/>
        <v>0.47171734329879395</v>
      </c>
      <c r="AM51" s="13">
        <f t="shared" si="140"/>
        <v>1.5</v>
      </c>
      <c r="AN51" s="12">
        <f t="shared" ca="1" si="132"/>
        <v>0.41976978114077307</v>
      </c>
      <c r="AO51" s="14">
        <f t="shared" ca="1" si="133"/>
        <v>0.62965467171115963</v>
      </c>
      <c r="AP51" s="13">
        <f t="shared" ref="AP51:AQ51" ca="1" si="144">SUM(T42)</f>
        <v>177.89424007744432</v>
      </c>
      <c r="AQ51" s="13">
        <f t="shared" ca="1" si="144"/>
        <v>7.7345321772801876</v>
      </c>
      <c r="AR51" s="9">
        <f t="shared" ca="1" si="135"/>
        <v>120.73913043478261</v>
      </c>
      <c r="AS51" s="76"/>
      <c r="AT51" s="76"/>
    </row>
    <row r="52" spans="1:46" ht="15.75" customHeight="1" x14ac:dyDescent="0.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6"/>
      <c r="X52" s="8">
        <v>5</v>
      </c>
      <c r="Y52" s="8" t="s">
        <v>39</v>
      </c>
      <c r="Z52" s="8">
        <f t="shared" ref="Z52:AI52" si="145">SUM(D43)</f>
        <v>21</v>
      </c>
      <c r="AA52" s="9">
        <f t="shared" ca="1" si="145"/>
        <v>20</v>
      </c>
      <c r="AB52" s="10">
        <f t="shared" ca="1" si="145"/>
        <v>3997.5749999999998</v>
      </c>
      <c r="AC52" s="9">
        <f t="shared" ca="1" si="145"/>
        <v>819</v>
      </c>
      <c r="AD52" s="9">
        <f t="shared" ca="1" si="145"/>
        <v>0</v>
      </c>
      <c r="AE52" s="9">
        <f t="shared" ca="1" si="145"/>
        <v>819</v>
      </c>
      <c r="AF52" s="9">
        <f t="shared" ca="1" si="145"/>
        <v>1395</v>
      </c>
      <c r="AG52" s="9">
        <f t="shared" ca="1" si="145"/>
        <v>0</v>
      </c>
      <c r="AH52" s="9">
        <f t="shared" ca="1" si="145"/>
        <v>1395</v>
      </c>
      <c r="AI52" s="9">
        <f t="shared" ca="1" si="145"/>
        <v>2214</v>
      </c>
      <c r="AJ52" s="11">
        <f t="shared" ca="1" si="130"/>
        <v>199.87875</v>
      </c>
      <c r="AK52" s="8">
        <f t="shared" si="139"/>
        <v>3569</v>
      </c>
      <c r="AL52" s="12">
        <f t="shared" ca="1" si="131"/>
        <v>0.62034183244606333</v>
      </c>
      <c r="AM52" s="13">
        <f t="shared" si="140"/>
        <v>1.5</v>
      </c>
      <c r="AN52" s="12">
        <f t="shared" ca="1" si="132"/>
        <v>0.36922384195418473</v>
      </c>
      <c r="AO52" s="14">
        <f t="shared" ca="1" si="133"/>
        <v>0.55383576293127712</v>
      </c>
      <c r="AP52" s="13">
        <f t="shared" ref="AP52:AQ52" ca="1" si="146">SUM(T43)</f>
        <v>186.25425150258582</v>
      </c>
      <c r="AQ52" s="13">
        <f t="shared" ca="1" si="146"/>
        <v>9.3127125751292912</v>
      </c>
      <c r="AR52" s="9">
        <f t="shared" ca="1" si="135"/>
        <v>110.7</v>
      </c>
      <c r="AS52" s="76"/>
      <c r="AT52" s="76"/>
    </row>
    <row r="53" spans="1:46" ht="15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6"/>
      <c r="X53" s="8">
        <v>6</v>
      </c>
      <c r="Y53" s="8" t="s">
        <v>41</v>
      </c>
      <c r="Z53" s="8">
        <f t="shared" ref="Z53:AI53" si="147">SUM(D44)</f>
        <v>19</v>
      </c>
      <c r="AA53" s="9">
        <f t="shared" ca="1" si="147"/>
        <v>19</v>
      </c>
      <c r="AB53" s="10">
        <f t="shared" ca="1" si="147"/>
        <v>3812.136</v>
      </c>
      <c r="AC53" s="9">
        <f t="shared" ca="1" si="147"/>
        <v>816</v>
      </c>
      <c r="AD53" s="9">
        <f t="shared" ca="1" si="147"/>
        <v>0</v>
      </c>
      <c r="AE53" s="9">
        <f t="shared" ca="1" si="147"/>
        <v>816</v>
      </c>
      <c r="AF53" s="9">
        <f t="shared" ca="1" si="147"/>
        <v>1027</v>
      </c>
      <c r="AG53" s="9">
        <f t="shared" ca="1" si="147"/>
        <v>0</v>
      </c>
      <c r="AH53" s="9">
        <f t="shared" ca="1" si="147"/>
        <v>1027</v>
      </c>
      <c r="AI53" s="9">
        <f t="shared" ca="1" si="147"/>
        <v>1843</v>
      </c>
      <c r="AJ53" s="11">
        <f t="shared" ca="1" si="130"/>
        <v>200.63873684210526</v>
      </c>
      <c r="AK53" s="8">
        <f t="shared" si="139"/>
        <v>3801</v>
      </c>
      <c r="AL53" s="12">
        <f t="shared" ca="1" si="131"/>
        <v>0.48487240199947385</v>
      </c>
      <c r="AM53" s="13">
        <f t="shared" si="140"/>
        <v>1.5</v>
      </c>
      <c r="AN53" s="12">
        <f t="shared" ca="1" si="132"/>
        <v>0.32230399614984007</v>
      </c>
      <c r="AO53" s="14">
        <f t="shared" ca="1" si="133"/>
        <v>0.4834559942247601</v>
      </c>
      <c r="AP53" s="13">
        <f t="shared" ref="AP53:AQ53" ca="1" si="148">SUM(T44)</f>
        <v>128.66666666666666</v>
      </c>
      <c r="AQ53" s="13">
        <f t="shared" ca="1" si="148"/>
        <v>6.7719298245614032</v>
      </c>
      <c r="AR53" s="9">
        <f t="shared" ca="1" si="135"/>
        <v>97</v>
      </c>
      <c r="AS53" s="76"/>
      <c r="AT53" s="76"/>
    </row>
    <row r="54" spans="1:46" ht="15.75" customHeight="1" x14ac:dyDescent="0.25">
      <c r="A54" s="110" t="s">
        <v>45</v>
      </c>
      <c r="B54" s="76"/>
      <c r="C54" s="76"/>
      <c r="D54" s="75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24" t="s">
        <v>33</v>
      </c>
      <c r="Y54" s="24">
        <v>6</v>
      </c>
      <c r="Z54" s="24">
        <f t="shared" ref="Z54:AI54" si="149">SUM(Z48:Z53)</f>
        <v>132</v>
      </c>
      <c r="AA54" s="25">
        <f t="shared" ca="1" si="149"/>
        <v>130</v>
      </c>
      <c r="AB54" s="27">
        <f t="shared" ca="1" si="149"/>
        <v>25177.166999999979</v>
      </c>
      <c r="AC54" s="25">
        <f t="shared" ca="1" si="149"/>
        <v>7764</v>
      </c>
      <c r="AD54" s="25">
        <f t="shared" ca="1" si="149"/>
        <v>142</v>
      </c>
      <c r="AE54" s="25">
        <f t="shared" ca="1" si="149"/>
        <v>7906</v>
      </c>
      <c r="AF54" s="25">
        <f t="shared" ca="1" si="149"/>
        <v>10903</v>
      </c>
      <c r="AG54" s="25">
        <f t="shared" ca="1" si="149"/>
        <v>0</v>
      </c>
      <c r="AH54" s="25">
        <f t="shared" ca="1" si="149"/>
        <v>10903</v>
      </c>
      <c r="AI54" s="25">
        <f t="shared" ca="1" si="149"/>
        <v>18809</v>
      </c>
      <c r="AJ54" s="27">
        <f t="shared" ca="1" si="130"/>
        <v>193.67051538461521</v>
      </c>
      <c r="AK54" s="24">
        <f>SUM(AK48:AK53)</f>
        <v>37031</v>
      </c>
      <c r="AL54" s="28">
        <f t="shared" ca="1" si="131"/>
        <v>0.50792579190408038</v>
      </c>
      <c r="AM54" s="29">
        <v>1.5</v>
      </c>
      <c r="AN54" s="28">
        <f t="shared" ca="1" si="132"/>
        <v>0.49804385590060013</v>
      </c>
      <c r="AO54" s="30">
        <f t="shared" ca="1" si="133"/>
        <v>0.74706578385090017</v>
      </c>
      <c r="AP54" s="29">
        <f ca="1">SUM(AP48:AP53)</f>
        <v>1024.7565471543357</v>
      </c>
      <c r="AQ54" s="29">
        <f ca="1">AP54/AA54</f>
        <v>7.8827426704179677</v>
      </c>
      <c r="AR54" s="25">
        <f t="shared" ca="1" si="135"/>
        <v>144.6846153846154</v>
      </c>
      <c r="AS54" s="76"/>
      <c r="AT54" s="76"/>
    </row>
    <row r="55" spans="1:46" ht="15.75" customHeight="1" x14ac:dyDescent="0.2">
      <c r="A55" s="110" t="s">
        <v>45</v>
      </c>
      <c r="B55" s="76"/>
      <c r="C55" s="76"/>
      <c r="D55" s="75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7" t="s">
        <v>1</v>
      </c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9"/>
      <c r="AS55" s="76"/>
      <c r="AT55" s="76"/>
    </row>
    <row r="56" spans="1:46" ht="15.75" customHeight="1" x14ac:dyDescent="0.2">
      <c r="A56" s="109">
        <v>46237</v>
      </c>
      <c r="B56" s="80" t="s">
        <v>2</v>
      </c>
      <c r="C56" s="80" t="s">
        <v>3</v>
      </c>
      <c r="D56" s="80" t="s">
        <v>4</v>
      </c>
      <c r="E56" s="80" t="s">
        <v>5</v>
      </c>
      <c r="F56" s="81" t="s">
        <v>6</v>
      </c>
      <c r="G56" s="80" t="s">
        <v>7</v>
      </c>
      <c r="H56" s="80" t="s">
        <v>8</v>
      </c>
      <c r="I56" s="80" t="s">
        <v>9</v>
      </c>
      <c r="J56" s="80" t="s">
        <v>10</v>
      </c>
      <c r="K56" s="80" t="s">
        <v>11</v>
      </c>
      <c r="L56" s="80" t="s">
        <v>12</v>
      </c>
      <c r="M56" s="80" t="s">
        <v>13</v>
      </c>
      <c r="N56" s="81" t="s">
        <v>14</v>
      </c>
      <c r="O56" s="80" t="s">
        <v>15</v>
      </c>
      <c r="P56" s="80" t="s">
        <v>16</v>
      </c>
      <c r="Q56" s="80" t="s">
        <v>17</v>
      </c>
      <c r="R56" s="80" t="s">
        <v>18</v>
      </c>
      <c r="S56" s="106" t="s">
        <v>19</v>
      </c>
      <c r="T56" s="107" t="s">
        <v>20</v>
      </c>
      <c r="U56" s="107" t="s">
        <v>21</v>
      </c>
      <c r="V56" s="105" t="s">
        <v>22</v>
      </c>
      <c r="W56" s="76"/>
      <c r="X56" s="1" t="s">
        <v>2</v>
      </c>
      <c r="Y56" s="1" t="s">
        <v>3</v>
      </c>
      <c r="Z56" s="1" t="s">
        <v>4</v>
      </c>
      <c r="AA56" s="1" t="s">
        <v>5</v>
      </c>
      <c r="AB56" s="2" t="s">
        <v>6</v>
      </c>
      <c r="AC56" s="1" t="s">
        <v>7</v>
      </c>
      <c r="AD56" s="1" t="s">
        <v>8</v>
      </c>
      <c r="AE56" s="1" t="s">
        <v>9</v>
      </c>
      <c r="AF56" s="1" t="s">
        <v>10</v>
      </c>
      <c r="AG56" s="1" t="s">
        <v>11</v>
      </c>
      <c r="AH56" s="1" t="s">
        <v>12</v>
      </c>
      <c r="AI56" s="1" t="s">
        <v>13</v>
      </c>
      <c r="AJ56" s="2" t="s">
        <v>14</v>
      </c>
      <c r="AK56" s="1" t="s">
        <v>15</v>
      </c>
      <c r="AL56" s="1" t="s">
        <v>16</v>
      </c>
      <c r="AM56" s="3" t="s">
        <v>17</v>
      </c>
      <c r="AN56" s="4" t="s">
        <v>18</v>
      </c>
      <c r="AO56" s="5" t="s">
        <v>19</v>
      </c>
      <c r="AP56" s="6" t="s">
        <v>20</v>
      </c>
      <c r="AQ56" s="6" t="s">
        <v>21</v>
      </c>
      <c r="AR56" s="7" t="s">
        <v>22</v>
      </c>
      <c r="AS56" s="76"/>
      <c r="AT56" s="76"/>
    </row>
    <row r="57" spans="1:46" ht="15.75" customHeight="1" x14ac:dyDescent="0.2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6"/>
      <c r="X57" s="8">
        <v>1</v>
      </c>
      <c r="Y57" s="8" t="s">
        <v>23</v>
      </c>
      <c r="Z57" s="8">
        <f t="shared" ref="Z57:AI57" si="150">SUM(D65)</f>
        <v>35</v>
      </c>
      <c r="AA57" s="9">
        <f t="shared" ca="1" si="150"/>
        <v>34</v>
      </c>
      <c r="AB57" s="10">
        <f t="shared" ca="1" si="150"/>
        <v>6496.7439999999897</v>
      </c>
      <c r="AC57" s="9">
        <f t="shared" ca="1" si="150"/>
        <v>1845</v>
      </c>
      <c r="AD57" s="9">
        <f t="shared" ca="1" si="150"/>
        <v>0</v>
      </c>
      <c r="AE57" s="9">
        <f t="shared" ca="1" si="150"/>
        <v>1845</v>
      </c>
      <c r="AF57" s="9">
        <f t="shared" ca="1" si="150"/>
        <v>3093</v>
      </c>
      <c r="AG57" s="9">
        <f t="shared" ca="1" si="150"/>
        <v>0</v>
      </c>
      <c r="AH57" s="9">
        <f t="shared" ca="1" si="150"/>
        <v>3093</v>
      </c>
      <c r="AI57" s="9">
        <f t="shared" ca="1" si="150"/>
        <v>4938</v>
      </c>
      <c r="AJ57" s="11">
        <f t="shared" ref="AJ57:AJ59" ca="1" si="151">AB57/AA57</f>
        <v>191.08070588235265</v>
      </c>
      <c r="AK57" s="8">
        <f>SUM(O65)</f>
        <v>6853</v>
      </c>
      <c r="AL57" s="12">
        <f t="shared" ref="AL57:AL63" ca="1" si="152">AI57/AK57</f>
        <v>0.72056033853786661</v>
      </c>
      <c r="AM57" s="13">
        <f t="shared" ref="AM57:AM59" si="153">SUM(Q65)</f>
        <v>1.5</v>
      </c>
      <c r="AN57" s="12">
        <f t="shared" ref="AN57:AN63" ca="1" si="154">AO57/AM57</f>
        <v>0.50671536388073857</v>
      </c>
      <c r="AO57" s="14">
        <f t="shared" ref="AO57:AO63" ca="1" si="155">AI57/AB57</f>
        <v>0.76007304582110791</v>
      </c>
      <c r="AP57" s="13">
        <f t="shared" ref="AP57:AQ57" ca="1" si="156">SUM(T65)</f>
        <v>192.55317131001746</v>
      </c>
      <c r="AQ57" s="13">
        <f t="shared" ca="1" si="156"/>
        <v>5.66332856794169</v>
      </c>
      <c r="AR57" s="9">
        <f t="shared" ref="AR57:AR63" ca="1" si="157">AI57/AA57</f>
        <v>145.23529411764707</v>
      </c>
      <c r="AS57" s="76"/>
      <c r="AT57" s="76"/>
    </row>
    <row r="58" spans="1:46" ht="15.75" customHeight="1" x14ac:dyDescent="0.2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6"/>
      <c r="X58" s="8">
        <v>2</v>
      </c>
      <c r="Y58" s="8" t="s">
        <v>24</v>
      </c>
      <c r="Z58" s="8">
        <f t="shared" ref="Z58:AI58" si="158">SUM(D66)</f>
        <v>44</v>
      </c>
      <c r="AA58" s="9">
        <f t="shared" ca="1" si="158"/>
        <v>42</v>
      </c>
      <c r="AB58" s="10">
        <f t="shared" ca="1" si="158"/>
        <v>8214.4109999999891</v>
      </c>
      <c r="AC58" s="9">
        <f t="shared" ca="1" si="158"/>
        <v>987</v>
      </c>
      <c r="AD58" s="9">
        <f t="shared" ca="1" si="158"/>
        <v>25</v>
      </c>
      <c r="AE58" s="9">
        <f t="shared" ca="1" si="158"/>
        <v>1012</v>
      </c>
      <c r="AF58" s="9">
        <f t="shared" ca="1" si="158"/>
        <v>1450</v>
      </c>
      <c r="AG58" s="9">
        <f t="shared" ca="1" si="158"/>
        <v>0</v>
      </c>
      <c r="AH58" s="9">
        <f t="shared" ca="1" si="158"/>
        <v>1450</v>
      </c>
      <c r="AI58" s="9">
        <f t="shared" ca="1" si="158"/>
        <v>2462</v>
      </c>
      <c r="AJ58" s="11">
        <f t="shared" ca="1" si="151"/>
        <v>195.58121428571403</v>
      </c>
      <c r="AK58" s="8">
        <v>1580</v>
      </c>
      <c r="AL58" s="15">
        <f t="shared" ca="1" si="152"/>
        <v>1.5582278481012659</v>
      </c>
      <c r="AM58" s="13">
        <f t="shared" si="153"/>
        <v>1.5</v>
      </c>
      <c r="AN58" s="12">
        <f t="shared" ca="1" si="154"/>
        <v>0.19981144519471153</v>
      </c>
      <c r="AO58" s="14">
        <f t="shared" ca="1" si="155"/>
        <v>0.29971716779206731</v>
      </c>
      <c r="AP58" s="13">
        <f t="shared" ref="AP58:AQ58" ca="1" si="159">SUM(T66)</f>
        <v>306.45069949636223</v>
      </c>
      <c r="AQ58" s="13">
        <f t="shared" ca="1" si="159"/>
        <v>7.296445226103863</v>
      </c>
      <c r="AR58" s="9">
        <f t="shared" ca="1" si="157"/>
        <v>58.61904761904762</v>
      </c>
      <c r="AS58" s="76"/>
      <c r="AT58" s="76"/>
    </row>
    <row r="59" spans="1:46" ht="15.75" customHeight="1" x14ac:dyDescent="0.2">
      <c r="A59" s="70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6"/>
      <c r="X59" s="8">
        <v>3</v>
      </c>
      <c r="Y59" s="8" t="s">
        <v>25</v>
      </c>
      <c r="Z59" s="8">
        <f t="shared" ref="Z59:AI59" si="160">SUM(D67)</f>
        <v>32</v>
      </c>
      <c r="AA59" s="9">
        <f t="shared" ca="1" si="160"/>
        <v>32</v>
      </c>
      <c r="AB59" s="10">
        <f t="shared" ca="1" si="160"/>
        <v>6259.7960000000003</v>
      </c>
      <c r="AC59" s="9">
        <f t="shared" ca="1" si="160"/>
        <v>2505</v>
      </c>
      <c r="AD59" s="9">
        <f t="shared" ca="1" si="160"/>
        <v>324</v>
      </c>
      <c r="AE59" s="9">
        <f t="shared" ca="1" si="160"/>
        <v>2829</v>
      </c>
      <c r="AF59" s="9">
        <f t="shared" ca="1" si="160"/>
        <v>3280</v>
      </c>
      <c r="AG59" s="9">
        <f t="shared" ca="1" si="160"/>
        <v>174</v>
      </c>
      <c r="AH59" s="9">
        <f t="shared" ca="1" si="160"/>
        <v>3454</v>
      </c>
      <c r="AI59" s="9">
        <f t="shared" ca="1" si="160"/>
        <v>6283</v>
      </c>
      <c r="AJ59" s="11">
        <f t="shared" ca="1" si="151"/>
        <v>195.61862500000001</v>
      </c>
      <c r="AK59" s="8">
        <f>SUM(O67)</f>
        <v>6622</v>
      </c>
      <c r="AL59" s="12">
        <f t="shared" ca="1" si="152"/>
        <v>0.94880700694654185</v>
      </c>
      <c r="AM59" s="13">
        <f t="shared" si="153"/>
        <v>1.5</v>
      </c>
      <c r="AN59" s="12">
        <f t="shared" ca="1" si="154"/>
        <v>0.66913788670855512</v>
      </c>
      <c r="AO59" s="14">
        <f t="shared" ca="1" si="155"/>
        <v>1.0037068300628327</v>
      </c>
      <c r="AP59" s="13">
        <f t="shared" ref="AP59:AQ59" ca="1" si="161">SUM(T67)</f>
        <v>262.5753355704698</v>
      </c>
      <c r="AQ59" s="13">
        <f t="shared" ca="1" si="161"/>
        <v>8.2054792365771814</v>
      </c>
      <c r="AR59" s="9">
        <f t="shared" ca="1" si="157"/>
        <v>196.34375</v>
      </c>
      <c r="AS59" s="76"/>
      <c r="AT59" s="76"/>
    </row>
    <row r="60" spans="1:46" ht="15.75" customHeight="1" x14ac:dyDescent="0.25">
      <c r="A60" s="70"/>
      <c r="B60" s="16">
        <v>1</v>
      </c>
      <c r="C60" s="16" t="s">
        <v>26</v>
      </c>
      <c r="D60" s="17">
        <v>20</v>
      </c>
      <c r="E60" s="18">
        <f ca="1">IFERROR(__xludf.DUMMYFUNCTION("COUNT(IMPORTRANGE(""https://docs.google.com/spreadsheets/d/1iVFEBQOAONhqDIMRa2hQ7WkCQv0dJWSAmc0AzfvSCMg/edit"",""3!d2:d21""))"),20)</f>
        <v>20</v>
      </c>
      <c r="F60" s="19">
        <f ca="1">IFERROR(__xludf.DUMMYFUNCTION("SUM(IMPORTRANGE(""https://docs.google.com/spreadsheets/d/1iVFEBQOAONhqDIMRa2hQ7WkCQv0dJWSAmc0AzfvSCMg/edit"",""3!Q2:Q21""))"),3805.56)</f>
        <v>3805.56</v>
      </c>
      <c r="G60" s="18">
        <f ca="1">IFERROR(__xludf.DUMMYFUNCTION("IMPORTRANGE(""https://docs.google.com/spreadsheets/d/1iVFEBQOAONhqDIMRa2hQ7WkCQv0dJWSAmc0AzfvSCMg/edit"",""3!e28"")"),2384)</f>
        <v>2384</v>
      </c>
      <c r="H60" s="18">
        <f ca="1">IFERROR(__xludf.DUMMYFUNCTION("IMPORTRANGE(""https://docs.google.com/spreadsheets/d/1iVFEBQOAONhqDIMRa2hQ7WkCQv0dJWSAmc0AzfvSCMg/edit"",""3!e29"")"),65)</f>
        <v>65</v>
      </c>
      <c r="I60" s="18">
        <f t="shared" ref="I60:I77" ca="1" si="162">SUM(G60:H60)</f>
        <v>2449</v>
      </c>
      <c r="J60" s="18">
        <f ca="1">IFERROR(__xludf.DUMMYFUNCTION("IMPORTRANGE(""https://docs.google.com/spreadsheets/d/1iVFEBQOAONhqDIMRa2hQ7WkCQv0dJWSAmc0AzfvSCMg/edit"",""3!e32"")"),2797)</f>
        <v>2797</v>
      </c>
      <c r="K60" s="18">
        <f ca="1">IFERROR(__xludf.DUMMYFUNCTION("IMPORTRANGE(""https://docs.google.com/spreadsheets/d/1iVFEBQOAONhqDIMRa2hQ7WkCQv0dJWSAmc0AzfvSCMg/edit"",""3!e33"")"),0)</f>
        <v>0</v>
      </c>
      <c r="L60" s="18">
        <f t="shared" ref="L60:L66" ca="1" si="163">SUM(J60:K60)</f>
        <v>2797</v>
      </c>
      <c r="M60" s="18">
        <f t="shared" ref="M60:M77" ca="1" si="164">SUM(I60+L60)</f>
        <v>5246</v>
      </c>
      <c r="N60" s="19">
        <f t="shared" ref="N60:N78" ca="1" si="165">F60/E60</f>
        <v>190.27799999999999</v>
      </c>
      <c r="O60" s="16">
        <v>5161</v>
      </c>
      <c r="P60" s="33">
        <f t="shared" ref="P60:P78" ca="1" si="166">M60/O60</f>
        <v>1.0164696764192986</v>
      </c>
      <c r="Q60" s="21">
        <v>1.5</v>
      </c>
      <c r="R60" s="20">
        <f t="shared" ref="R60:R78" ca="1" si="167">S60/Q60</f>
        <v>0.91900622597813031</v>
      </c>
      <c r="S60" s="22">
        <f t="shared" ref="S60:S78" ca="1" si="168">M60/F60</f>
        <v>1.3785093389671954</v>
      </c>
      <c r="T60" s="21">
        <f ca="1">F60/14.415</f>
        <v>264</v>
      </c>
      <c r="U60" s="21">
        <f t="shared" ref="U60:U78" ca="1" si="169">T60/E60</f>
        <v>13.2</v>
      </c>
      <c r="V60" s="18">
        <f t="shared" ref="V60:V78" ca="1" si="170">M60/E60</f>
        <v>262.3</v>
      </c>
      <c r="W60" s="76"/>
      <c r="X60" s="8">
        <v>4</v>
      </c>
      <c r="Y60" s="8" t="s">
        <v>27</v>
      </c>
      <c r="Z60" s="8">
        <f t="shared" ref="Z60:AK60" si="171">SUM(D73)</f>
        <v>30</v>
      </c>
      <c r="AA60" s="9">
        <f t="shared" ca="1" si="171"/>
        <v>30</v>
      </c>
      <c r="AB60" s="10">
        <f t="shared" ca="1" si="171"/>
        <v>5753.4889999999996</v>
      </c>
      <c r="AC60" s="9">
        <f t="shared" ca="1" si="171"/>
        <v>2703</v>
      </c>
      <c r="AD60" s="9">
        <f t="shared" ca="1" si="171"/>
        <v>0</v>
      </c>
      <c r="AE60" s="9">
        <f t="shared" ca="1" si="171"/>
        <v>2703</v>
      </c>
      <c r="AF60" s="9">
        <f t="shared" ca="1" si="171"/>
        <v>3659</v>
      </c>
      <c r="AG60" s="9">
        <f t="shared" ca="1" si="171"/>
        <v>0</v>
      </c>
      <c r="AH60" s="9">
        <f t="shared" ca="1" si="171"/>
        <v>3659</v>
      </c>
      <c r="AI60" s="9">
        <f t="shared" ca="1" si="171"/>
        <v>6362</v>
      </c>
      <c r="AJ60" s="11">
        <f t="shared" ca="1" si="171"/>
        <v>191.78296666666665</v>
      </c>
      <c r="AK60" s="8">
        <f t="shared" si="171"/>
        <v>8101</v>
      </c>
      <c r="AL60" s="12">
        <f t="shared" ca="1" si="152"/>
        <v>0.78533514380940628</v>
      </c>
      <c r="AM60" s="13">
        <f>SUM(Q73)</f>
        <v>1.5</v>
      </c>
      <c r="AN60" s="12">
        <f t="shared" ca="1" si="154"/>
        <v>0.73717588290050318</v>
      </c>
      <c r="AO60" s="14">
        <f t="shared" ca="1" si="155"/>
        <v>1.1057638243507548</v>
      </c>
      <c r="AP60" s="13">
        <f t="shared" ref="AP60:AQ60" ca="1" si="172">SUM(T73)</f>
        <v>287.89036777583186</v>
      </c>
      <c r="AQ60" s="13">
        <f t="shared" ca="1" si="172"/>
        <v>9.5963455925277295</v>
      </c>
      <c r="AR60" s="9">
        <f t="shared" ca="1" si="157"/>
        <v>212.06666666666666</v>
      </c>
      <c r="AS60" s="76"/>
      <c r="AT60" s="76"/>
    </row>
    <row r="61" spans="1:46" ht="15.75" customHeight="1" x14ac:dyDescent="0.25">
      <c r="A61" s="70"/>
      <c r="B61" s="16">
        <v>2</v>
      </c>
      <c r="C61" s="16" t="s">
        <v>28</v>
      </c>
      <c r="D61" s="17">
        <v>33</v>
      </c>
      <c r="E61" s="18">
        <f ca="1">IFERROR(__xludf.DUMMYFUNCTION("COUNT(IMPORTRANGE(""https://docs.google.com/spreadsheets/d/1tJCeYclgeJZ4Dc78t_SkhVjtacKW-5-VGim8X1rzUzk/edit"",""3!d2:d34""))"),33)</f>
        <v>33</v>
      </c>
      <c r="F61" s="19">
        <f ca="1">IFERROR(__xludf.DUMMYFUNCTION("SUM(IMPORTRANGE(""https://docs.google.com/spreadsheets/d/1tJCeYclgeJZ4Dc78t_SkhVjtacKW-5-VGim8X1rzUzk/edit"",""3!Q2:Q34""))"),6559.73)</f>
        <v>6559.73</v>
      </c>
      <c r="G61" s="18">
        <f ca="1">IFERROR(__xludf.DUMMYFUNCTION("IMPORTRANGE(""https://docs.google.com/spreadsheets/d/1tJCeYclgeJZ4Dc78t_SkhVjtacKW-5-VGim8X1rzUzk/edit"",""3!e41"")"),2760)</f>
        <v>2760</v>
      </c>
      <c r="H61" s="18">
        <f ca="1">IFERROR(__xludf.DUMMYFUNCTION("IMPORTRANGE(""https://docs.google.com/spreadsheets/d/1tJCeYclgeJZ4Dc78t_SkhVjtacKW-5-VGim8X1rzUzk/edit"",""3!e42"")"),72)</f>
        <v>72</v>
      </c>
      <c r="I61" s="18">
        <f t="shared" ca="1" si="162"/>
        <v>2832</v>
      </c>
      <c r="J61" s="18">
        <f ca="1">IFERROR(__xludf.DUMMYFUNCTION("IMPORTRANGE(""https://docs.google.com/spreadsheets/d/1tJCeYclgeJZ4Dc78t_SkhVjtacKW-5-VGim8X1rzUzk/edit"",""3!e45"")"),2988)</f>
        <v>2988</v>
      </c>
      <c r="K61" s="18">
        <f ca="1">IFERROR(__xludf.DUMMYFUNCTION("IMPORTRANGE(""https://docs.google.com/spreadsheets/d/1tJCeYclgeJZ4Dc78t_SkhVjtacKW-5-VGim8X1rzUzk/edit"",""3!e46"")"),257)</f>
        <v>257</v>
      </c>
      <c r="L61" s="18">
        <f t="shared" ca="1" si="163"/>
        <v>3245</v>
      </c>
      <c r="M61" s="18">
        <f t="shared" ca="1" si="164"/>
        <v>6077</v>
      </c>
      <c r="N61" s="19">
        <f t="shared" ca="1" si="165"/>
        <v>198.77969696969694</v>
      </c>
      <c r="O61" s="16">
        <v>7315</v>
      </c>
      <c r="P61" s="20">
        <f t="shared" ca="1" si="166"/>
        <v>0.83075871496924125</v>
      </c>
      <c r="Q61" s="21">
        <v>1.5</v>
      </c>
      <c r="R61" s="20">
        <f t="shared" ca="1" si="167"/>
        <v>0.61760672060181343</v>
      </c>
      <c r="S61" s="22">
        <f t="shared" ca="1" si="168"/>
        <v>0.92641008090272015</v>
      </c>
      <c r="T61" s="21">
        <f ca="1">F61/30.897</f>
        <v>212.30960934718581</v>
      </c>
      <c r="U61" s="21">
        <f t="shared" ca="1" si="169"/>
        <v>6.4336245256722977</v>
      </c>
      <c r="V61" s="18">
        <f t="shared" ca="1" si="170"/>
        <v>184.15151515151516</v>
      </c>
      <c r="W61" s="76"/>
      <c r="X61" s="8">
        <v>5</v>
      </c>
      <c r="Y61" s="8" t="s">
        <v>29</v>
      </c>
      <c r="Z61" s="8">
        <f t="shared" ref="Z61:AI61" si="173">SUM(D76)</f>
        <v>30</v>
      </c>
      <c r="AA61" s="9">
        <f t="shared" ca="1" si="173"/>
        <v>29</v>
      </c>
      <c r="AB61" s="10">
        <f t="shared" ca="1" si="173"/>
        <v>5754.3980000000001</v>
      </c>
      <c r="AC61" s="9">
        <f t="shared" ca="1" si="173"/>
        <v>2958</v>
      </c>
      <c r="AD61" s="9">
        <f t="shared" ca="1" si="173"/>
        <v>0</v>
      </c>
      <c r="AE61" s="9">
        <f t="shared" ca="1" si="173"/>
        <v>2958</v>
      </c>
      <c r="AF61" s="9">
        <f t="shared" ca="1" si="173"/>
        <v>4116</v>
      </c>
      <c r="AG61" s="9">
        <f t="shared" ca="1" si="173"/>
        <v>0</v>
      </c>
      <c r="AH61" s="9">
        <f t="shared" ca="1" si="173"/>
        <v>4116</v>
      </c>
      <c r="AI61" s="9">
        <f t="shared" ca="1" si="173"/>
        <v>7074</v>
      </c>
      <c r="AJ61" s="11">
        <f t="shared" ref="AJ61:AJ63" ca="1" si="174">AB61/AA61</f>
        <v>198.42751724137932</v>
      </c>
      <c r="AK61" s="8">
        <f t="shared" ref="AK61:AK62" si="175">SUM(O76)</f>
        <v>9201</v>
      </c>
      <c r="AL61" s="12">
        <f t="shared" ca="1" si="152"/>
        <v>0.76882947505705901</v>
      </c>
      <c r="AM61" s="13">
        <f t="shared" ref="AM61:AM62" si="176">SUM(Q76)</f>
        <v>1.5</v>
      </c>
      <c r="AN61" s="12">
        <f t="shared" ca="1" si="154"/>
        <v>0.81954706643509878</v>
      </c>
      <c r="AO61" s="14">
        <f t="shared" ca="1" si="155"/>
        <v>1.2293205996526482</v>
      </c>
      <c r="AP61" s="13">
        <f t="shared" ref="AP61:AQ61" ca="1" si="177">SUM(T76)</f>
        <v>221</v>
      </c>
      <c r="AQ61" s="13">
        <f t="shared" ca="1" si="177"/>
        <v>7.6206896551724137</v>
      </c>
      <c r="AR61" s="9">
        <f t="shared" ca="1" si="157"/>
        <v>243.93103448275863</v>
      </c>
      <c r="AS61" s="76"/>
      <c r="AT61" s="76"/>
    </row>
    <row r="62" spans="1:46" ht="15.75" customHeight="1" x14ac:dyDescent="0.25">
      <c r="A62" s="70"/>
      <c r="B62" s="16">
        <v>3</v>
      </c>
      <c r="C62" s="16" t="s">
        <v>30</v>
      </c>
      <c r="D62" s="17">
        <v>60</v>
      </c>
      <c r="E62" s="18">
        <f ca="1">IFERROR(__xludf.DUMMYFUNCTION("COUNT(IMPORTRANGE(""https://docs.google.com/spreadsheets/d/130gLEONC13J8KkQ6dk06x3bLRy_jCrAw2hXatQf2W50/edit"",""3!d2:d61""))"),58)</f>
        <v>58</v>
      </c>
      <c r="F62" s="23">
        <f ca="1">IFERROR(__xludf.DUMMYFUNCTION("SUM(IMPORTRANGE(""https://docs.google.com/spreadsheets/d/130gLEONC13J8KkQ6dk06x3bLRy_jCrAw2hXatQf2W50/edit"",""3!Q2:Q61""))"),11578.9779999999)</f>
        <v>11578.977999999899</v>
      </c>
      <c r="G62" s="18">
        <f ca="1">IFERROR(__xludf.DUMMYFUNCTION("IMPORTRANGE(""https://docs.google.com/spreadsheets/d/130gLEONC13J8KkQ6dk06x3bLRy_jCrAw2hXatQf2W50/edit"",""3!e68"")"),3523)</f>
        <v>3523</v>
      </c>
      <c r="H62" s="18">
        <f ca="1">IFERROR(__xludf.DUMMYFUNCTION("IMPORTRANGE(""https://docs.google.com/spreadsheets/d/130gLEONC13J8KkQ6dk06x3bLRy_jCrAw2hXatQf2W50/edit"",""3!e69"")"),35)</f>
        <v>35</v>
      </c>
      <c r="I62" s="18">
        <f t="shared" ca="1" si="162"/>
        <v>3558</v>
      </c>
      <c r="J62" s="18">
        <f ca="1">IFERROR(__xludf.DUMMYFUNCTION("IMPORTRANGE(""https://docs.google.com/spreadsheets/d/130gLEONC13J8KkQ6dk06x3bLRy_jCrAw2hXatQf2W50/edit"",""3!e72"")"),6051)</f>
        <v>6051</v>
      </c>
      <c r="K62" s="18">
        <f ca="1">IFERROR(__xludf.DUMMYFUNCTION("IMPORTRANGE(""https://docs.google.com/spreadsheets/d/130gLEONC13J8KkQ6dk06x3bLRy_jCrAw2hXatQf2W50/edit"",""3!e73"")"),31)</f>
        <v>31</v>
      </c>
      <c r="L62" s="18">
        <f t="shared" ca="1" si="163"/>
        <v>6082</v>
      </c>
      <c r="M62" s="18">
        <f t="shared" ca="1" si="164"/>
        <v>9640</v>
      </c>
      <c r="N62" s="19">
        <f t="shared" ca="1" si="165"/>
        <v>199.63755172413619</v>
      </c>
      <c r="O62" s="16">
        <v>11164</v>
      </c>
      <c r="P62" s="20">
        <f t="shared" ca="1" si="166"/>
        <v>0.86348978860623438</v>
      </c>
      <c r="Q62" s="21">
        <v>1.5</v>
      </c>
      <c r="R62" s="20">
        <f t="shared" ca="1" si="167"/>
        <v>0.55502883472675413</v>
      </c>
      <c r="S62" s="22">
        <f t="shared" ca="1" si="168"/>
        <v>0.83254325209013125</v>
      </c>
      <c r="T62" s="21">
        <f ca="1">F62/29.603</f>
        <v>391.14204641421134</v>
      </c>
      <c r="U62" s="21">
        <f t="shared" ca="1" si="169"/>
        <v>6.74382838645192</v>
      </c>
      <c r="V62" s="18">
        <f t="shared" ca="1" si="170"/>
        <v>166.20689655172413</v>
      </c>
      <c r="W62" s="76"/>
      <c r="X62" s="8">
        <v>6</v>
      </c>
      <c r="Y62" s="8" t="s">
        <v>31</v>
      </c>
      <c r="Z62" s="8">
        <f t="shared" ref="Z62:AI62" si="178">SUM(D77)</f>
        <v>15</v>
      </c>
      <c r="AA62" s="9">
        <f t="shared" ca="1" si="178"/>
        <v>14</v>
      </c>
      <c r="AB62" s="11">
        <f t="shared" ca="1" si="178"/>
        <v>2738.2950000000001</v>
      </c>
      <c r="AC62" s="9">
        <f t="shared" ca="1" si="178"/>
        <v>810</v>
      </c>
      <c r="AD62" s="9">
        <f t="shared" ca="1" si="178"/>
        <v>0</v>
      </c>
      <c r="AE62" s="9">
        <f t="shared" ca="1" si="178"/>
        <v>810</v>
      </c>
      <c r="AF62" s="9">
        <f t="shared" ca="1" si="178"/>
        <v>1056</v>
      </c>
      <c r="AG62" s="9">
        <f t="shared" ca="1" si="178"/>
        <v>0</v>
      </c>
      <c r="AH62" s="9">
        <f t="shared" ca="1" si="178"/>
        <v>1056</v>
      </c>
      <c r="AI62" s="9">
        <f t="shared" ca="1" si="178"/>
        <v>1866</v>
      </c>
      <c r="AJ62" s="11">
        <f t="shared" ca="1" si="174"/>
        <v>195.5925</v>
      </c>
      <c r="AK62" s="8">
        <f t="shared" si="175"/>
        <v>2717</v>
      </c>
      <c r="AL62" s="12">
        <f t="shared" ca="1" si="152"/>
        <v>0.68678689731321307</v>
      </c>
      <c r="AM62" s="13">
        <f t="shared" si="176"/>
        <v>1.5</v>
      </c>
      <c r="AN62" s="12">
        <f t="shared" ca="1" si="154"/>
        <v>0.45429729083243403</v>
      </c>
      <c r="AO62" s="14">
        <f t="shared" ca="1" si="155"/>
        <v>0.68144593624865102</v>
      </c>
      <c r="AP62" s="13">
        <f t="shared" ref="AP62:AQ62" ca="1" si="179">SUM(T77)</f>
        <v>63</v>
      </c>
      <c r="AQ62" s="13">
        <f t="shared" ca="1" si="179"/>
        <v>4.5</v>
      </c>
      <c r="AR62" s="9">
        <f t="shared" ca="1" si="157"/>
        <v>133.28571428571428</v>
      </c>
      <c r="AS62" s="76"/>
      <c r="AT62" s="76"/>
    </row>
    <row r="63" spans="1:46" ht="15.75" customHeight="1" x14ac:dyDescent="0.25">
      <c r="A63" s="70"/>
      <c r="B63" s="16">
        <v>4</v>
      </c>
      <c r="C63" s="16" t="s">
        <v>32</v>
      </c>
      <c r="D63" s="17">
        <v>42</v>
      </c>
      <c r="E63" s="18">
        <f ca="1">IFERROR(__xludf.DUMMYFUNCTION("COUNT(IMPORTRANGE(""https://docs.google.com/spreadsheets/d/1gYHli7FuKQLm2Q-5LMR0UtkD-gRRA_p8s-phLPLDLgc/edit"",""3!d2:d43""))"),41)</f>
        <v>41</v>
      </c>
      <c r="F63" s="23">
        <f ca="1">IFERROR(__xludf.DUMMYFUNCTION("SUM(IMPORTRANGE(""https://docs.google.com/spreadsheets/d/1gYHli7FuKQLm2Q-5LMR0UtkD-gRRA_p8s-phLPLDLgc/edit"",""3!Q2:Q43""))"),8003.39099999999)</f>
        <v>8003.3909999999896</v>
      </c>
      <c r="G63" s="16">
        <f ca="1">IFERROR(__xludf.DUMMYFUNCTION("IMPORTRANGE(""https://docs.google.com/spreadsheets/d/1gYHli7FuKQLm2Q-5LMR0UtkD-gRRA_p8s-phLPLDLgc/edit"",""3!e50"")"),4261)</f>
        <v>4261</v>
      </c>
      <c r="H63" s="16">
        <f ca="1">IFERROR(__xludf.DUMMYFUNCTION("IMPORTRANGE(""https://docs.google.com/spreadsheets/d/1gYHli7FuKQLm2Q-5LMR0UtkD-gRRA_p8s-phLPLDLgc/edit"",""3!e51"")"),0)</f>
        <v>0</v>
      </c>
      <c r="I63" s="18">
        <f t="shared" ca="1" si="162"/>
        <v>4261</v>
      </c>
      <c r="J63" s="16">
        <f ca="1">IFERROR(__xludf.DUMMYFUNCTION("IMPORTRANGE(""https://docs.google.com/spreadsheets/d/1gYHli7FuKQLm2Q-5LMR0UtkD-gRRA_p8s-phLPLDLgc/edit"",""3!e54"")"),5609)</f>
        <v>5609</v>
      </c>
      <c r="K63" s="16">
        <f ca="1">IFERROR(__xludf.DUMMYFUNCTION("IMPORTRANGE(""https://docs.google.com/spreadsheets/d/1gYHli7FuKQLm2Q-5LMR0UtkD-gRRA_p8s-phLPLDLgc/edit"",""3!e55"")"),0)</f>
        <v>0</v>
      </c>
      <c r="L63" s="18">
        <f t="shared" ca="1" si="163"/>
        <v>5609</v>
      </c>
      <c r="M63" s="18">
        <f t="shared" ca="1" si="164"/>
        <v>9870</v>
      </c>
      <c r="N63" s="19">
        <f t="shared" ca="1" si="165"/>
        <v>195.2046585365851</v>
      </c>
      <c r="O63" s="16">
        <v>13817</v>
      </c>
      <c r="P63" s="20">
        <f t="shared" ca="1" si="166"/>
        <v>0.71433741043641885</v>
      </c>
      <c r="Q63" s="21">
        <v>1.5</v>
      </c>
      <c r="R63" s="20">
        <f t="shared" ca="1" si="167"/>
        <v>0.82215151052847579</v>
      </c>
      <c r="S63" s="22">
        <f t="shared" ca="1" si="168"/>
        <v>1.2332272657927137</v>
      </c>
      <c r="T63" s="21">
        <f ca="1">F63/25.089</f>
        <v>318.9999999999996</v>
      </c>
      <c r="U63" s="21">
        <f t="shared" ca="1" si="169"/>
        <v>7.7804878048780388</v>
      </c>
      <c r="V63" s="18">
        <f t="shared" ca="1" si="170"/>
        <v>240.73170731707316</v>
      </c>
      <c r="W63" s="76"/>
      <c r="X63" s="24" t="s">
        <v>33</v>
      </c>
      <c r="Y63" s="24">
        <v>6</v>
      </c>
      <c r="Z63" s="24">
        <f t="shared" ref="Z63:AI63" si="180">SUM(Z57:Z62)</f>
        <v>186</v>
      </c>
      <c r="AA63" s="25">
        <f t="shared" ca="1" si="180"/>
        <v>181</v>
      </c>
      <c r="AB63" s="26">
        <f t="shared" ca="1" si="180"/>
        <v>35217.13299999998</v>
      </c>
      <c r="AC63" s="25">
        <f t="shared" ca="1" si="180"/>
        <v>11808</v>
      </c>
      <c r="AD63" s="25">
        <f t="shared" ca="1" si="180"/>
        <v>349</v>
      </c>
      <c r="AE63" s="25">
        <f t="shared" ca="1" si="180"/>
        <v>12157</v>
      </c>
      <c r="AF63" s="25">
        <f t="shared" ca="1" si="180"/>
        <v>16654</v>
      </c>
      <c r="AG63" s="25">
        <f t="shared" ca="1" si="180"/>
        <v>174</v>
      </c>
      <c r="AH63" s="25">
        <f t="shared" ca="1" si="180"/>
        <v>16828</v>
      </c>
      <c r="AI63" s="25">
        <f t="shared" ca="1" si="180"/>
        <v>28985</v>
      </c>
      <c r="AJ63" s="27">
        <f t="shared" ca="1" si="174"/>
        <v>194.56979558011039</v>
      </c>
      <c r="AK63" s="24">
        <f>SUM(AK57:AK62)</f>
        <v>35074</v>
      </c>
      <c r="AL63" s="28">
        <f t="shared" ca="1" si="152"/>
        <v>0.8263956206876889</v>
      </c>
      <c r="AM63" s="29">
        <v>1.5</v>
      </c>
      <c r="AN63" s="28">
        <f t="shared" ca="1" si="154"/>
        <v>0.54869126721171047</v>
      </c>
      <c r="AO63" s="30">
        <f t="shared" ca="1" si="155"/>
        <v>0.82303690081756564</v>
      </c>
      <c r="AP63" s="29">
        <f ca="1">SUM(AP57:AP62)</f>
        <v>1333.4695741526814</v>
      </c>
      <c r="AQ63" s="29">
        <f ca="1">AP63/AA63</f>
        <v>7.3672352163131567</v>
      </c>
      <c r="AR63" s="25">
        <f t="shared" ca="1" si="157"/>
        <v>160.13812154696132</v>
      </c>
      <c r="AS63" s="76"/>
      <c r="AT63" s="76"/>
    </row>
    <row r="64" spans="1:46" ht="15.75" customHeight="1" x14ac:dyDescent="0.25">
      <c r="A64" s="70"/>
      <c r="B64" s="16">
        <v>5</v>
      </c>
      <c r="C64" s="16" t="s">
        <v>34</v>
      </c>
      <c r="D64" s="17">
        <v>40</v>
      </c>
      <c r="E64" s="18">
        <f ca="1">IFERROR(__xludf.DUMMYFUNCTION("COUNT(IMPORTRANGE(""https://docs.google.com/spreadsheets/d/1ptS0qWBCKWkc9h2aXWT_YgMhN7yIv5WgAHRbF8l9Zpo/edit"",""3!d2:d41""))"),39)</f>
        <v>39</v>
      </c>
      <c r="F64" s="23">
        <f ca="1">IFERROR(__xludf.DUMMYFUNCTION("SUM(IMPORTRANGE(""https://docs.google.com/spreadsheets/d/1ptS0qWBCKWkc9h2aXWT_YgMhN7yIv5WgAHRbF8l9Zpo/edit"",""3!Q2:Q41""))"),7780.548)</f>
        <v>7780.5479999999998</v>
      </c>
      <c r="G64" s="18">
        <f ca="1">IFERROR(__xludf.DUMMYFUNCTION("IMPORTRANGE(""https://docs.google.com/spreadsheets/d/1ptS0qWBCKWkc9h2aXWT_YgMhN7yIv5WgAHRbF8l9Zpo/edit"",""3!e48"")"),2602)</f>
        <v>2602</v>
      </c>
      <c r="H64" s="18">
        <f ca="1">IFERROR(__xludf.DUMMYFUNCTION("IMPORTRANGE(""https://docs.google.com/spreadsheets/d/1ptS0qWBCKWkc9h2aXWT_YgMhN7yIv5WgAHRbF8l9Zpo/edit"",""3!e49"")"),0)</f>
        <v>0</v>
      </c>
      <c r="I64" s="18">
        <f t="shared" ca="1" si="162"/>
        <v>2602</v>
      </c>
      <c r="J64" s="18">
        <f ca="1">IFERROR(__xludf.DUMMYFUNCTION("IMPORTRANGE(""https://docs.google.com/spreadsheets/d/1ptS0qWBCKWkc9h2aXWT_YgMhN7yIv5WgAHRbF8l9Zpo/edit"",""3!e52"")"),3647)</f>
        <v>3647</v>
      </c>
      <c r="K64" s="18">
        <f ca="1">IFERROR(__xludf.DUMMYFUNCTION("IMPORTRANGE(""https://docs.google.com/spreadsheets/d/1ptS0qWBCKWkc9h2aXWT_YgMhN7yIv5WgAHRbF8l9Zpo/edit"",""3!e53"")"),0)</f>
        <v>0</v>
      </c>
      <c r="L64" s="18">
        <f t="shared" ca="1" si="163"/>
        <v>3647</v>
      </c>
      <c r="M64" s="18">
        <f t="shared" ca="1" si="164"/>
        <v>6249</v>
      </c>
      <c r="N64" s="19">
        <f t="shared" ca="1" si="165"/>
        <v>199.50123076923077</v>
      </c>
      <c r="O64" s="16">
        <v>9354</v>
      </c>
      <c r="P64" s="20">
        <f t="shared" ca="1" si="166"/>
        <v>0.66805644644002571</v>
      </c>
      <c r="Q64" s="21">
        <v>1.5</v>
      </c>
      <c r="R64" s="20">
        <f t="shared" ca="1" si="167"/>
        <v>0.53543786375972491</v>
      </c>
      <c r="S64" s="22">
        <f t="shared" ca="1" si="168"/>
        <v>0.80315679563958742</v>
      </c>
      <c r="T64" s="21">
        <f ca="1">F64/30.713</f>
        <v>253.33077198580403</v>
      </c>
      <c r="U64" s="21">
        <f t="shared" ca="1" si="169"/>
        <v>6.4956608201488217</v>
      </c>
      <c r="V64" s="18">
        <f t="shared" ca="1" si="170"/>
        <v>160.23076923076923</v>
      </c>
      <c r="W64" s="76"/>
      <c r="X64" s="100" t="s">
        <v>35</v>
      </c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9"/>
      <c r="AS64" s="76"/>
      <c r="AT64" s="76"/>
    </row>
    <row r="65" spans="1:46" ht="15.75" customHeight="1" x14ac:dyDescent="0.25">
      <c r="A65" s="70"/>
      <c r="B65" s="16">
        <v>6</v>
      </c>
      <c r="C65" s="16" t="s">
        <v>23</v>
      </c>
      <c r="D65" s="17">
        <v>35</v>
      </c>
      <c r="E65" s="18">
        <f ca="1">IFERROR(__xludf.DUMMYFUNCTION("COUNT(IMPORTRANGE(""https://docs.google.com/spreadsheets/d/1829CoYW82aTBBUgqkPnJa94KlBWI-DowAnP4ENQCmaQ/edit"",""3!d2:d36""))"),34)</f>
        <v>34</v>
      </c>
      <c r="F65" s="23">
        <f ca="1">IFERROR(__xludf.DUMMYFUNCTION("SUM(IMPORTRANGE(""https://docs.google.com/spreadsheets/d/1829CoYW82aTBBUgqkPnJa94KlBWI-DowAnP4ENQCmaQ/edit"",""3!Q2:Q36""))"),6496.74399999999)</f>
        <v>6496.7439999999897</v>
      </c>
      <c r="G65" s="18">
        <f ca="1">IFERROR(__xludf.DUMMYFUNCTION("IMPORTRANGE(""https://docs.google.com/spreadsheets/d/1829CoYW82aTBBUgqkPnJa94KlBWI-DowAnP4ENQCmaQ/edit"",""3!e43"")"),1845)</f>
        <v>1845</v>
      </c>
      <c r="H65" s="18">
        <f ca="1">IFERROR(__xludf.DUMMYFUNCTION("IMPORTRANGE(""https://docs.google.com/spreadsheets/d/1829CoYW82aTBBUgqkPnJa94KlBWI-DowAnP4ENQCmaQ/edit"",""3!e44"")"),0)</f>
        <v>0</v>
      </c>
      <c r="I65" s="18">
        <f t="shared" ca="1" si="162"/>
        <v>1845</v>
      </c>
      <c r="J65" s="18">
        <f ca="1">IFERROR(__xludf.DUMMYFUNCTION("IMPORTRANGE(""https://docs.google.com/spreadsheets/d/1829CoYW82aTBBUgqkPnJa94KlBWI-DowAnP4ENQCmaQ/edit"",""3!e47"")"),3093)</f>
        <v>3093</v>
      </c>
      <c r="K65" s="18">
        <f ca="1">IFERROR(__xludf.DUMMYFUNCTION("IMPORTRANGE(""https://docs.google.com/spreadsheets/d/1829CoYW82aTBBUgqkPnJa94KlBWI-DowAnP4ENQCmaQ/edit"",""3!e48"")"),0)</f>
        <v>0</v>
      </c>
      <c r="L65" s="18">
        <f t="shared" ca="1" si="163"/>
        <v>3093</v>
      </c>
      <c r="M65" s="18">
        <f t="shared" ca="1" si="164"/>
        <v>4938</v>
      </c>
      <c r="N65" s="19">
        <f t="shared" ca="1" si="165"/>
        <v>191.08070588235265</v>
      </c>
      <c r="O65" s="16">
        <v>6853</v>
      </c>
      <c r="P65" s="20">
        <f t="shared" ca="1" si="166"/>
        <v>0.72056033853786661</v>
      </c>
      <c r="Q65" s="21">
        <v>1.5</v>
      </c>
      <c r="R65" s="20">
        <f t="shared" ca="1" si="167"/>
        <v>0.50671536388073857</v>
      </c>
      <c r="S65" s="22">
        <f t="shared" ca="1" si="168"/>
        <v>0.76007304582110791</v>
      </c>
      <c r="T65" s="21">
        <f ca="1">F65/33.74</f>
        <v>192.55317131001746</v>
      </c>
      <c r="U65" s="21">
        <f t="shared" ca="1" si="169"/>
        <v>5.66332856794169</v>
      </c>
      <c r="V65" s="18">
        <f t="shared" ca="1" si="170"/>
        <v>145.23529411764707</v>
      </c>
      <c r="W65" s="76"/>
      <c r="X65" s="1" t="s">
        <v>2</v>
      </c>
      <c r="Y65" s="1" t="s">
        <v>3</v>
      </c>
      <c r="Z65" s="1" t="s">
        <v>4</v>
      </c>
      <c r="AA65" s="1" t="s">
        <v>5</v>
      </c>
      <c r="AB65" s="2" t="s">
        <v>6</v>
      </c>
      <c r="AC65" s="1" t="s">
        <v>7</v>
      </c>
      <c r="AD65" s="1" t="s">
        <v>8</v>
      </c>
      <c r="AE65" s="1" t="s">
        <v>9</v>
      </c>
      <c r="AF65" s="1" t="s">
        <v>10</v>
      </c>
      <c r="AG65" s="1" t="s">
        <v>11</v>
      </c>
      <c r="AH65" s="1" t="s">
        <v>12</v>
      </c>
      <c r="AI65" s="1" t="s">
        <v>13</v>
      </c>
      <c r="AJ65" s="2" t="s">
        <v>14</v>
      </c>
      <c r="AK65" s="1" t="s">
        <v>15</v>
      </c>
      <c r="AL65" s="1" t="s">
        <v>16</v>
      </c>
      <c r="AM65" s="3" t="s">
        <v>17</v>
      </c>
      <c r="AN65" s="4" t="s">
        <v>18</v>
      </c>
      <c r="AO65" s="5" t="s">
        <v>19</v>
      </c>
      <c r="AP65" s="6" t="s">
        <v>20</v>
      </c>
      <c r="AQ65" s="6" t="s">
        <v>21</v>
      </c>
      <c r="AR65" s="7" t="s">
        <v>22</v>
      </c>
      <c r="AS65" s="76"/>
      <c r="AT65" s="76"/>
    </row>
    <row r="66" spans="1:46" ht="15.75" customHeight="1" x14ac:dyDescent="0.25">
      <c r="A66" s="70"/>
      <c r="B66" s="16">
        <v>7</v>
      </c>
      <c r="C66" s="16" t="s">
        <v>24</v>
      </c>
      <c r="D66" s="17">
        <v>44</v>
      </c>
      <c r="E66" s="31">
        <f ca="1">IFERROR(__xludf.DUMMYFUNCTION("COUNT(IMPORTRANGE(""https://docs.google.com/spreadsheets/d/1E2x4oDZxEIsuC5nl-5Z0--MoN8b1dt9SbpRcCfNP84Q/edit"",""3!d2:d45""))"),42)</f>
        <v>42</v>
      </c>
      <c r="F66" s="32">
        <f ca="1">IFERROR(__xludf.DUMMYFUNCTION("SUM(IMPORTRANGE(""https://docs.google.com/spreadsheets/d/1E2x4oDZxEIsuC5nl-5Z0--MoN8b1dt9SbpRcCfNP84Q/edit"",""3!Q2:Q45""))"),8214.41099999999)</f>
        <v>8214.4109999999891</v>
      </c>
      <c r="G66" s="31">
        <f ca="1">IFERROR(__xludf.DUMMYFUNCTION("IMPORTRANGE(""https://docs.google.com/spreadsheets/d/1E2x4oDZxEIsuC5nl-5Z0--MoN8b1dt9SbpRcCfNP84Q/edit"",""3!e53"")"),987)</f>
        <v>987</v>
      </c>
      <c r="H66" s="31">
        <f ca="1">IFERROR(__xludf.DUMMYFUNCTION("IMPORTRANGE(""https://docs.google.com/spreadsheets/d/1E2x4oDZxEIsuC5nl-5Z0--MoN8b1dt9SbpRcCfNP84Q/edit"",""3!e54"")"),25)</f>
        <v>25</v>
      </c>
      <c r="I66" s="31">
        <f t="shared" ca="1" si="162"/>
        <v>1012</v>
      </c>
      <c r="J66" s="31">
        <f ca="1">IFERROR(__xludf.DUMMYFUNCTION("IMPORTRANGE(""https://docs.google.com/spreadsheets/d/1E2x4oDZxEIsuC5nl-5Z0--MoN8b1dt9SbpRcCfNP84Q/edit"",""3!e57"")"),1450)</f>
        <v>1450</v>
      </c>
      <c r="K66" s="31">
        <f ca="1">IFERROR(__xludf.DUMMYFUNCTION("IMPORTRANGE(""https://docs.google.com/spreadsheets/d/1E2x4oDZxEIsuC5nl-5Z0--MoN8b1dt9SbpRcCfNP84Q/edit"",""3!e58"")"),0)</f>
        <v>0</v>
      </c>
      <c r="L66" s="18">
        <f t="shared" ca="1" si="163"/>
        <v>1450</v>
      </c>
      <c r="M66" s="18">
        <f t="shared" ca="1" si="164"/>
        <v>2462</v>
      </c>
      <c r="N66" s="19">
        <f t="shared" ca="1" si="165"/>
        <v>195.58121428571403</v>
      </c>
      <c r="O66" s="16">
        <v>1580</v>
      </c>
      <c r="P66" s="33">
        <f t="shared" ca="1" si="166"/>
        <v>1.5582278481012659</v>
      </c>
      <c r="Q66" s="21">
        <v>1.5</v>
      </c>
      <c r="R66" s="20">
        <f t="shared" ca="1" si="167"/>
        <v>0.19981144519471153</v>
      </c>
      <c r="S66" s="22">
        <f t="shared" ca="1" si="168"/>
        <v>0.29971716779206731</v>
      </c>
      <c r="T66" s="21">
        <f ca="1">F66/26.805</f>
        <v>306.45069949636223</v>
      </c>
      <c r="U66" s="21">
        <f t="shared" ca="1" si="169"/>
        <v>7.296445226103863</v>
      </c>
      <c r="V66" s="18">
        <f t="shared" ca="1" si="170"/>
        <v>58.61904761904762</v>
      </c>
      <c r="W66" s="76"/>
      <c r="X66" s="8">
        <v>1</v>
      </c>
      <c r="Y66" s="8" t="s">
        <v>28</v>
      </c>
      <c r="Z66" s="8">
        <f t="shared" ref="Z66:AI66" si="181">SUM(D61)</f>
        <v>33</v>
      </c>
      <c r="AA66" s="9">
        <f t="shared" ca="1" si="181"/>
        <v>33</v>
      </c>
      <c r="AB66" s="11">
        <f t="shared" ca="1" si="181"/>
        <v>6559.73</v>
      </c>
      <c r="AC66" s="9">
        <f t="shared" ca="1" si="181"/>
        <v>2760</v>
      </c>
      <c r="AD66" s="9">
        <f t="shared" ca="1" si="181"/>
        <v>72</v>
      </c>
      <c r="AE66" s="9">
        <f t="shared" ca="1" si="181"/>
        <v>2832</v>
      </c>
      <c r="AF66" s="9">
        <f t="shared" ca="1" si="181"/>
        <v>2988</v>
      </c>
      <c r="AG66" s="9">
        <f t="shared" ca="1" si="181"/>
        <v>257</v>
      </c>
      <c r="AH66" s="9">
        <f t="shared" ca="1" si="181"/>
        <v>3245</v>
      </c>
      <c r="AI66" s="9">
        <f t="shared" ca="1" si="181"/>
        <v>6077</v>
      </c>
      <c r="AJ66" s="11">
        <f t="shared" ref="AJ66:AJ72" ca="1" si="182">AB66/AA66</f>
        <v>198.77969696969694</v>
      </c>
      <c r="AK66" s="8">
        <f t="shared" ref="AK66:AK67" si="183">SUM(O61)</f>
        <v>7315</v>
      </c>
      <c r="AL66" s="12">
        <f t="shared" ref="AL66:AL72" ca="1" si="184">AI66/AK66</f>
        <v>0.83075871496924125</v>
      </c>
      <c r="AM66" s="13">
        <f t="shared" ref="AM66:AM67" si="185">SUM(Q61)</f>
        <v>1.5</v>
      </c>
      <c r="AN66" s="12">
        <f t="shared" ref="AN66:AN72" ca="1" si="186">AO66/AM66</f>
        <v>0.61760672060181343</v>
      </c>
      <c r="AO66" s="14">
        <f t="shared" ref="AO66:AO72" ca="1" si="187">AI66/AB66</f>
        <v>0.92641008090272015</v>
      </c>
      <c r="AP66" s="13">
        <f t="shared" ref="AP66:AQ66" ca="1" si="188">SUM(T61)</f>
        <v>212.30960934718581</v>
      </c>
      <c r="AQ66" s="13">
        <f t="shared" ca="1" si="188"/>
        <v>6.4336245256722977</v>
      </c>
      <c r="AR66" s="9">
        <f t="shared" ref="AR66:AR72" ca="1" si="189">AI66/AA66</f>
        <v>184.15151515151516</v>
      </c>
      <c r="AS66" s="76"/>
      <c r="AT66" s="76"/>
    </row>
    <row r="67" spans="1:46" ht="15.75" customHeight="1" x14ac:dyDescent="0.25">
      <c r="A67" s="70"/>
      <c r="B67" s="16">
        <v>8</v>
      </c>
      <c r="C67" s="16" t="s">
        <v>25</v>
      </c>
      <c r="D67" s="34">
        <v>32</v>
      </c>
      <c r="E67" s="18">
        <f ca="1">IFERROR(__xludf.DUMMYFUNCTION("COUNT(IMPORTRANGE(""https://docs.google.com/spreadsheets/d/1KbRFOEYB0B44J_NSh1MwYQ1sLDlZXUHI-wuMLcZDn5k/edit"",""3!d2:D33""))"),32)</f>
        <v>32</v>
      </c>
      <c r="F67" s="23">
        <f ca="1">IFERROR(__xludf.DUMMYFUNCTION("SUM(IMPORTRANGE(""https://docs.google.com/spreadsheets/d/1KbRFOEYB0B44J_NSh1MwYQ1sLDlZXUHI-wuMLcZDn5k/edit"",""3!Q2:Q33""))"),6259.796)</f>
        <v>6259.7960000000003</v>
      </c>
      <c r="G67" s="18">
        <f ca="1">IFERROR(__xludf.DUMMYFUNCTION("IMPORTRANGE(""https://docs.google.com/spreadsheets/d/1KbRFOEYB0B44J_NSh1MwYQ1sLDlZXUHI-wuMLcZDn5k/edit"",""3!e40"")"),2505)</f>
        <v>2505</v>
      </c>
      <c r="H67" s="18">
        <f ca="1">IFERROR(__xludf.DUMMYFUNCTION("IMPORTRANGE(""https://docs.google.com/spreadsheets/d/1KbRFOEYB0B44J_NSh1MwYQ1sLDlZXUHI-wuMLcZDn5k/edit"",""3!e41"")"),324)</f>
        <v>324</v>
      </c>
      <c r="I67" s="18">
        <f t="shared" ca="1" si="162"/>
        <v>2829</v>
      </c>
      <c r="J67" s="18">
        <f ca="1">IFERROR(__xludf.DUMMYFUNCTION("IMPORTRANGE(""https://docs.google.com/spreadsheets/d/1KbRFOEYB0B44J_NSh1MwYQ1sLDlZXUHI-wuMLcZDn5k/edit"",""3!e44"")"),3280)</f>
        <v>3280</v>
      </c>
      <c r="K67" s="18">
        <f ca="1">IFERROR(__xludf.DUMMYFUNCTION("IMPORTRANGE(""https://docs.google.com/spreadsheets/d/1KbRFOEYB0B44J_NSh1MwYQ1sLDlZXUHI-wuMLcZDn5k/edit"",""3!e45"")"),174)</f>
        <v>174</v>
      </c>
      <c r="L67" s="18">
        <f ca="1">J67+K67</f>
        <v>3454</v>
      </c>
      <c r="M67" s="18">
        <f t="shared" ca="1" si="164"/>
        <v>6283</v>
      </c>
      <c r="N67" s="19">
        <f t="shared" ca="1" si="165"/>
        <v>195.61862500000001</v>
      </c>
      <c r="O67" s="16">
        <v>6622</v>
      </c>
      <c r="P67" s="20">
        <f t="shared" ca="1" si="166"/>
        <v>0.94880700694654185</v>
      </c>
      <c r="Q67" s="21">
        <v>1.5</v>
      </c>
      <c r="R67" s="20">
        <f t="shared" ca="1" si="167"/>
        <v>0.66913788670855512</v>
      </c>
      <c r="S67" s="22">
        <f t="shared" ca="1" si="168"/>
        <v>1.0037068300628327</v>
      </c>
      <c r="T67" s="21">
        <f ca="1">F67/23.84</f>
        <v>262.5753355704698</v>
      </c>
      <c r="U67" s="21">
        <f t="shared" ca="1" si="169"/>
        <v>8.2054792365771814</v>
      </c>
      <c r="V67" s="18">
        <f t="shared" ca="1" si="170"/>
        <v>196.34375</v>
      </c>
      <c r="W67" s="76"/>
      <c r="X67" s="8">
        <v>2</v>
      </c>
      <c r="Y67" s="8" t="s">
        <v>30</v>
      </c>
      <c r="Z67" s="8">
        <f t="shared" ref="Z67:AI67" si="190">SUM(D62)</f>
        <v>60</v>
      </c>
      <c r="AA67" s="9">
        <f t="shared" ca="1" si="190"/>
        <v>58</v>
      </c>
      <c r="AB67" s="10">
        <f t="shared" ca="1" si="190"/>
        <v>11578.977999999899</v>
      </c>
      <c r="AC67" s="9">
        <f t="shared" ca="1" si="190"/>
        <v>3523</v>
      </c>
      <c r="AD67" s="9">
        <f t="shared" ca="1" si="190"/>
        <v>35</v>
      </c>
      <c r="AE67" s="9">
        <f t="shared" ca="1" si="190"/>
        <v>3558</v>
      </c>
      <c r="AF67" s="9">
        <f t="shared" ca="1" si="190"/>
        <v>6051</v>
      </c>
      <c r="AG67" s="9">
        <f t="shared" ca="1" si="190"/>
        <v>31</v>
      </c>
      <c r="AH67" s="9">
        <f t="shared" ca="1" si="190"/>
        <v>6082</v>
      </c>
      <c r="AI67" s="9">
        <f t="shared" ca="1" si="190"/>
        <v>9640</v>
      </c>
      <c r="AJ67" s="11">
        <f t="shared" ca="1" si="182"/>
        <v>199.63755172413619</v>
      </c>
      <c r="AK67" s="8">
        <f t="shared" si="183"/>
        <v>11164</v>
      </c>
      <c r="AL67" s="12">
        <f t="shared" ca="1" si="184"/>
        <v>0.86348978860623438</v>
      </c>
      <c r="AM67" s="13">
        <f t="shared" si="185"/>
        <v>1.5</v>
      </c>
      <c r="AN67" s="12">
        <f t="shared" ca="1" si="186"/>
        <v>0.55502883472675413</v>
      </c>
      <c r="AO67" s="14">
        <f t="shared" ca="1" si="187"/>
        <v>0.83254325209013125</v>
      </c>
      <c r="AP67" s="13">
        <f t="shared" ref="AP67:AQ67" ca="1" si="191">SUM(T62)</f>
        <v>391.14204641421134</v>
      </c>
      <c r="AQ67" s="13">
        <f t="shared" ca="1" si="191"/>
        <v>6.74382838645192</v>
      </c>
      <c r="AR67" s="9">
        <f t="shared" ca="1" si="189"/>
        <v>166.20689655172413</v>
      </c>
      <c r="AS67" s="76"/>
      <c r="AT67" s="76"/>
    </row>
    <row r="68" spans="1:46" ht="15.75" customHeight="1" x14ac:dyDescent="0.25">
      <c r="A68" s="70"/>
      <c r="B68" s="16">
        <v>9</v>
      </c>
      <c r="C68" s="16" t="s">
        <v>36</v>
      </c>
      <c r="D68" s="34">
        <v>29</v>
      </c>
      <c r="E68" s="18">
        <f ca="1">IFERROR(__xludf.DUMMYFUNCTION("COUNT(IMPORTRANGE(""https://docs.google.com/spreadsheets/d/1VqqqRGfmmkT0JC4ILJva2p8P11jjV0FX-TSKAaqOigw/edit"",""3!d2:d31""))"),29)</f>
        <v>29</v>
      </c>
      <c r="F68" s="23">
        <f ca="1">IFERROR(__xludf.DUMMYFUNCTION("SUM(IMPORTRANGE(""https://docs.google.com/spreadsheets/d/1VqqqRGfmmkT0JC4ILJva2p8P11jjV0FX-TSKAaqOigw/edit"",""3!Q2:Q31""))"),5791.19)</f>
        <v>5791.19</v>
      </c>
      <c r="G68" s="18">
        <f ca="1">IFERROR(__xludf.DUMMYFUNCTION("IMPORTRANGE(""https://docs.google.com/spreadsheets/d/1VqqqRGfmmkT0JC4ILJva2p8P11jjV0FX-TSKAaqOigw/edit"",""3!e38"")"),1567)</f>
        <v>1567</v>
      </c>
      <c r="H68" s="18">
        <f ca="1">IFERROR(__xludf.DUMMYFUNCTION("IMPORTRANGE(""https://docs.google.com/spreadsheets/d/1VqqqRGfmmkT0JC4ILJva2p8P11jjV0FX-TSKAaqOigw/edit"",""3!e39"")"),0)</f>
        <v>0</v>
      </c>
      <c r="I68" s="18">
        <f t="shared" ca="1" si="162"/>
        <v>1567</v>
      </c>
      <c r="J68" s="18">
        <f ca="1">IFERROR(__xludf.DUMMYFUNCTION("IMPORTRANGE(""https://docs.google.com/spreadsheets/d/1VqqqRGfmmkT0JC4ILJva2p8P11jjV0FX-TSKAaqOigw/edit"",""3!e42"")"),2387)</f>
        <v>2387</v>
      </c>
      <c r="K68" s="18">
        <f ca="1">IFERROR(__xludf.DUMMYFUNCTION("IMPORTRANGE(""https://docs.google.com/spreadsheets/d/1VqqqRGfmmkT0JC4ILJva2p8P11jjV0FX-TSKAaqOigw/edit"",""3!e43"")"),0)</f>
        <v>0</v>
      </c>
      <c r="L68" s="18">
        <f t="shared" ref="L68:L77" ca="1" si="192">SUM(J68:K68)</f>
        <v>2387</v>
      </c>
      <c r="M68" s="18">
        <f t="shared" ca="1" si="164"/>
        <v>3954</v>
      </c>
      <c r="N68" s="19">
        <f t="shared" ca="1" si="165"/>
        <v>199.6962068965517</v>
      </c>
      <c r="O68" s="16">
        <v>4796</v>
      </c>
      <c r="P68" s="20">
        <f t="shared" ca="1" si="166"/>
        <v>0.82443703085904918</v>
      </c>
      <c r="Q68" s="21">
        <v>1.5</v>
      </c>
      <c r="R68" s="20">
        <f t="shared" ca="1" si="167"/>
        <v>0.45517415246262</v>
      </c>
      <c r="S68" s="22">
        <f t="shared" ca="1" si="168"/>
        <v>0.68276122869392997</v>
      </c>
      <c r="T68" s="21">
        <f ca="1">F68/37.414</f>
        <v>154.78671085689848</v>
      </c>
      <c r="U68" s="21">
        <f t="shared" ca="1" si="169"/>
        <v>5.3374727881689132</v>
      </c>
      <c r="V68" s="18">
        <f t="shared" ca="1" si="170"/>
        <v>136.34482758620689</v>
      </c>
      <c r="W68" s="76"/>
      <c r="X68" s="8">
        <v>3</v>
      </c>
      <c r="Y68" s="8" t="s">
        <v>34</v>
      </c>
      <c r="Z68" s="8">
        <f t="shared" ref="Z68:AI68" si="193">SUM(D64)</f>
        <v>40</v>
      </c>
      <c r="AA68" s="9">
        <f t="shared" ca="1" si="193"/>
        <v>39</v>
      </c>
      <c r="AB68" s="10">
        <f t="shared" ca="1" si="193"/>
        <v>7780.5479999999998</v>
      </c>
      <c r="AC68" s="9">
        <f t="shared" ca="1" si="193"/>
        <v>2602</v>
      </c>
      <c r="AD68" s="9">
        <f t="shared" ca="1" si="193"/>
        <v>0</v>
      </c>
      <c r="AE68" s="9">
        <f t="shared" ca="1" si="193"/>
        <v>2602</v>
      </c>
      <c r="AF68" s="9">
        <f t="shared" ca="1" si="193"/>
        <v>3647</v>
      </c>
      <c r="AG68" s="9">
        <f t="shared" ca="1" si="193"/>
        <v>0</v>
      </c>
      <c r="AH68" s="9">
        <f t="shared" ca="1" si="193"/>
        <v>3647</v>
      </c>
      <c r="AI68" s="9">
        <f t="shared" ca="1" si="193"/>
        <v>6249</v>
      </c>
      <c r="AJ68" s="11">
        <f t="shared" ca="1" si="182"/>
        <v>199.50123076923077</v>
      </c>
      <c r="AK68" s="8">
        <f>SUM(O64)</f>
        <v>9354</v>
      </c>
      <c r="AL68" s="12">
        <f t="shared" ca="1" si="184"/>
        <v>0.66805644644002571</v>
      </c>
      <c r="AM68" s="13">
        <f>SUM(Q64)</f>
        <v>1.5</v>
      </c>
      <c r="AN68" s="12">
        <f t="shared" ca="1" si="186"/>
        <v>0.53543786375972491</v>
      </c>
      <c r="AO68" s="14">
        <f t="shared" ca="1" si="187"/>
        <v>0.80315679563958742</v>
      </c>
      <c r="AP68" s="13">
        <f t="shared" ref="AP68:AQ68" ca="1" si="194">SUM(T64)</f>
        <v>253.33077198580403</v>
      </c>
      <c r="AQ68" s="13">
        <f t="shared" ca="1" si="194"/>
        <v>6.4956608201488217</v>
      </c>
      <c r="AR68" s="9">
        <f t="shared" ca="1" si="189"/>
        <v>160.23076923076923</v>
      </c>
      <c r="AS68" s="76"/>
      <c r="AT68" s="76"/>
    </row>
    <row r="69" spans="1:46" ht="15.75" customHeight="1" x14ac:dyDescent="0.25">
      <c r="A69" s="70"/>
      <c r="B69" s="16">
        <v>10</v>
      </c>
      <c r="C69" s="16" t="s">
        <v>37</v>
      </c>
      <c r="D69" s="17">
        <v>30</v>
      </c>
      <c r="E69" s="18">
        <f ca="1">IFERROR(__xludf.DUMMYFUNCTION("COUNT(IMPORTRANGE(""https://docs.google.com/spreadsheets/d/1IYeRjQd_D6MRqoBKNaky3aSEUloYCJc5XDnPAbdyetk/edit"",""3!d2:d31""))"),30)</f>
        <v>30</v>
      </c>
      <c r="F69" s="23">
        <f ca="1">IFERROR(__xludf.DUMMYFUNCTION("SUM(IMPORTRANGE(""https://docs.google.com/spreadsheets/d/1IYeRjQd_D6MRqoBKNaky3aSEUloYCJc5XDnPAbdyetk/edit"",""3!Q2:Q31""))"),5861.772)</f>
        <v>5861.7719999999999</v>
      </c>
      <c r="G69" s="18">
        <f ca="1">IFERROR(__xludf.DUMMYFUNCTION("(IMPORTRANGE(""https://docs.google.com/spreadsheets/d/1IYeRjQd_D6MRqoBKNaky3aSEUloYCJc5XDnPAbdyetk/edit"",""3!e38""))"),2041)</f>
        <v>2041</v>
      </c>
      <c r="H69" s="18">
        <f ca="1">IFERROR(__xludf.DUMMYFUNCTION("(IMPORTRANGE(""https://docs.google.com/spreadsheets/d/1IYeRjQd_D6MRqoBKNaky3aSEUloYCJc5XDnPAbdyetk/edit"",""3!e39""))"),75)</f>
        <v>75</v>
      </c>
      <c r="I69" s="18">
        <f t="shared" ca="1" si="162"/>
        <v>2116</v>
      </c>
      <c r="J69" s="18">
        <f ca="1">IFERROR(__xludf.DUMMYFUNCTION("(IMPORTRANGE(""https://docs.google.com/spreadsheets/d/1IYeRjQd_D6MRqoBKNaky3aSEUloYCJc5XDnPAbdyetk/edit"",""3!e42""))"),2998)</f>
        <v>2998</v>
      </c>
      <c r="K69" s="18">
        <f ca="1">IFERROR(__xludf.DUMMYFUNCTION("(IMPORTRANGE(""https://docs.google.com/spreadsheets/d/1IYeRjQd_D6MRqoBKNaky3aSEUloYCJc5XDnPAbdyetk/edit"",""3!e43""))"),0)</f>
        <v>0</v>
      </c>
      <c r="L69" s="18">
        <f t="shared" ca="1" si="192"/>
        <v>2998</v>
      </c>
      <c r="M69" s="18">
        <f t="shared" ca="1" si="164"/>
        <v>5114</v>
      </c>
      <c r="N69" s="19">
        <f t="shared" ca="1" si="165"/>
        <v>195.39240000000001</v>
      </c>
      <c r="O69" s="16">
        <v>5887</v>
      </c>
      <c r="P69" s="20">
        <f t="shared" ca="1" si="166"/>
        <v>0.86869373195175814</v>
      </c>
      <c r="Q69" s="21">
        <v>1.5</v>
      </c>
      <c r="R69" s="20">
        <f t="shared" ca="1" si="167"/>
        <v>0.58162162112981075</v>
      </c>
      <c r="S69" s="22">
        <f t="shared" ca="1" si="168"/>
        <v>0.87243243169471618</v>
      </c>
      <c r="T69" s="21">
        <f ca="1">F69/24.792</f>
        <v>236.4380445304937</v>
      </c>
      <c r="U69" s="21">
        <f t="shared" ca="1" si="169"/>
        <v>7.8812681510164566</v>
      </c>
      <c r="V69" s="18">
        <f t="shared" ca="1" si="170"/>
        <v>170.46666666666667</v>
      </c>
      <c r="W69" s="76"/>
      <c r="X69" s="8">
        <v>4</v>
      </c>
      <c r="Y69" s="8" t="s">
        <v>38</v>
      </c>
      <c r="Z69" s="8">
        <f t="shared" ref="Z69:AI69" si="195">SUM(D72)</f>
        <v>30</v>
      </c>
      <c r="AA69" s="9">
        <f t="shared" ca="1" si="195"/>
        <v>30</v>
      </c>
      <c r="AB69" s="10">
        <f t="shared" ca="1" si="195"/>
        <v>6395.0229999999901</v>
      </c>
      <c r="AC69" s="9">
        <f t="shared" ca="1" si="195"/>
        <v>1990</v>
      </c>
      <c r="AD69" s="9">
        <f t="shared" ca="1" si="195"/>
        <v>97</v>
      </c>
      <c r="AE69" s="9">
        <f t="shared" ca="1" si="195"/>
        <v>2087</v>
      </c>
      <c r="AF69" s="9">
        <f t="shared" ca="1" si="195"/>
        <v>3197</v>
      </c>
      <c r="AG69" s="9">
        <f t="shared" ca="1" si="195"/>
        <v>0</v>
      </c>
      <c r="AH69" s="9">
        <f t="shared" ca="1" si="195"/>
        <v>3197</v>
      </c>
      <c r="AI69" s="9">
        <f t="shared" ca="1" si="195"/>
        <v>5284</v>
      </c>
      <c r="AJ69" s="11">
        <f t="shared" ca="1" si="182"/>
        <v>213.16743333333301</v>
      </c>
      <c r="AK69" s="8">
        <v>7324</v>
      </c>
      <c r="AL69" s="12">
        <f t="shared" ca="1" si="184"/>
        <v>0.72146368104860736</v>
      </c>
      <c r="AM69" s="13">
        <f>SUM(Q72)</f>
        <v>1.5</v>
      </c>
      <c r="AN69" s="12">
        <f t="shared" ca="1" si="186"/>
        <v>0.55084503475072288</v>
      </c>
      <c r="AO69" s="14">
        <f t="shared" ca="1" si="187"/>
        <v>0.82626755212608427</v>
      </c>
      <c r="AP69" s="13">
        <f t="shared" ref="AP69:AQ69" ca="1" si="196">SUM(T72)</f>
        <v>155.2001698822956</v>
      </c>
      <c r="AQ69" s="13">
        <f t="shared" ca="1" si="196"/>
        <v>5.1733389960765201</v>
      </c>
      <c r="AR69" s="9">
        <f t="shared" ca="1" si="189"/>
        <v>176.13333333333333</v>
      </c>
      <c r="AS69" s="76"/>
      <c r="AT69" s="76"/>
    </row>
    <row r="70" spans="1:46" ht="15.75" customHeight="1" x14ac:dyDescent="0.25">
      <c r="A70" s="70"/>
      <c r="B70" s="16">
        <v>12</v>
      </c>
      <c r="C70" s="16" t="s">
        <v>39</v>
      </c>
      <c r="D70" s="17">
        <v>28</v>
      </c>
      <c r="E70" s="18">
        <f ca="1">IFERROR(__xludf.DUMMYFUNCTION("COUNT(IMPORTRANGE(""https://docs.google.com/spreadsheets/d/1TAY2D35yAzyl8a_p5CuZehQvmatfj0b0Q8ICl8GtJBY/edit"",""3!d2:d29""))"),26)</f>
        <v>26</v>
      </c>
      <c r="F70" s="23">
        <f ca="1">IFERROR(__xludf.DUMMYFUNCTION("SUM(IMPORTRANGE(""https://docs.google.com/spreadsheets/d/1TAY2D35yAzyl8a_p5CuZehQvmatfj0b0Q8ICl8GtJBY/edit"",""3!Q2:Q29""))"),4772.062)</f>
        <v>4772.0619999999999</v>
      </c>
      <c r="G70" s="18">
        <f ca="1">IFERROR(__xludf.DUMMYFUNCTION("IMPORTRANGE(""https://docs.google.com/spreadsheets/d/1TAY2D35yAzyl8a_p5CuZehQvmatfj0b0Q8ICl8GtJBY/edit"",""3!e36"")"),1214)</f>
        <v>1214</v>
      </c>
      <c r="H70" s="18">
        <f ca="1">IFERROR(__xludf.DUMMYFUNCTION("(IMPORTRANGE(""https://docs.google.com/spreadsheets/d/1TAY2D35yAzyl8a_p5CuZehQvmatfj0b0Q8ICl8GtJBY/edit"",""3!e37""))"),0)</f>
        <v>0</v>
      </c>
      <c r="I70" s="18">
        <f t="shared" ca="1" si="162"/>
        <v>1214</v>
      </c>
      <c r="J70" s="18">
        <f ca="1">IFERROR(__xludf.DUMMYFUNCTION("IMPORTRANGE(""https://docs.google.com/spreadsheets/d/1TAY2D35yAzyl8a_p5CuZehQvmatfj0b0Q8ICl8GtJBY/edit"",""3!e40"")"),1724)</f>
        <v>1724</v>
      </c>
      <c r="K70" s="18">
        <f ca="1">IFERROR(__xludf.DUMMYFUNCTION("IMPORTRANGE(""https://docs.google.com/spreadsheets/d/1TAY2D35yAzyl8a_p5CuZehQvmatfj0b0Q8ICl8GtJBY/edit"",""3!e41"")"),0)</f>
        <v>0</v>
      </c>
      <c r="L70" s="18">
        <f t="shared" ca="1" si="192"/>
        <v>1724</v>
      </c>
      <c r="M70" s="18">
        <f t="shared" ca="1" si="164"/>
        <v>2938</v>
      </c>
      <c r="N70" s="19">
        <f t="shared" ca="1" si="165"/>
        <v>183.54084615384616</v>
      </c>
      <c r="O70" s="16">
        <v>3569</v>
      </c>
      <c r="P70" s="20">
        <f t="shared" ca="1" si="166"/>
        <v>0.82319977584757631</v>
      </c>
      <c r="Q70" s="21">
        <v>1.5</v>
      </c>
      <c r="R70" s="20">
        <f t="shared" ca="1" si="167"/>
        <v>0.41044451364350815</v>
      </c>
      <c r="S70" s="22">
        <f t="shared" ca="1" si="168"/>
        <v>0.61566677046526219</v>
      </c>
      <c r="T70" s="21">
        <f ca="1">F70/21.463</f>
        <v>222.33900200344777</v>
      </c>
      <c r="U70" s="21">
        <f t="shared" ca="1" si="169"/>
        <v>8.5515000770556835</v>
      </c>
      <c r="V70" s="18">
        <f t="shared" ca="1" si="170"/>
        <v>113</v>
      </c>
      <c r="W70" s="76"/>
      <c r="X70" s="8">
        <v>5</v>
      </c>
      <c r="Y70" s="8" t="s">
        <v>40</v>
      </c>
      <c r="Z70" s="8">
        <f t="shared" ref="Z70:AI70" si="197">SUM(D74)</f>
        <v>30</v>
      </c>
      <c r="AA70" s="9">
        <f t="shared" ca="1" si="197"/>
        <v>29</v>
      </c>
      <c r="AB70" s="10">
        <f t="shared" ca="1" si="197"/>
        <v>5745.4859999999899</v>
      </c>
      <c r="AC70" s="9">
        <f t="shared" ca="1" si="197"/>
        <v>3290</v>
      </c>
      <c r="AD70" s="9">
        <f t="shared" ca="1" si="197"/>
        <v>0</v>
      </c>
      <c r="AE70" s="9">
        <f t="shared" ca="1" si="197"/>
        <v>3290</v>
      </c>
      <c r="AF70" s="9">
        <f t="shared" ca="1" si="197"/>
        <v>3846</v>
      </c>
      <c r="AG70" s="9">
        <f t="shared" ca="1" si="197"/>
        <v>0</v>
      </c>
      <c r="AH70" s="9">
        <f t="shared" ca="1" si="197"/>
        <v>3846</v>
      </c>
      <c r="AI70" s="9">
        <f t="shared" ca="1" si="197"/>
        <v>7136</v>
      </c>
      <c r="AJ70" s="11">
        <f t="shared" ca="1" si="182"/>
        <v>198.12020689655137</v>
      </c>
      <c r="AK70" s="8">
        <f t="shared" ref="AK70:AK71" si="198">SUM(O74)</f>
        <v>8239</v>
      </c>
      <c r="AL70" s="12">
        <f t="shared" ca="1" si="184"/>
        <v>0.86612452967593156</v>
      </c>
      <c r="AM70" s="13">
        <f t="shared" ref="AM70:AM71" si="199">SUM(Q74)</f>
        <v>1.5</v>
      </c>
      <c r="AN70" s="12">
        <f t="shared" ca="1" si="186"/>
        <v>0.82801234453157513</v>
      </c>
      <c r="AO70" s="14">
        <f t="shared" ca="1" si="187"/>
        <v>1.2420185167973627</v>
      </c>
      <c r="AP70" s="13">
        <f t="shared" ref="AP70:AQ70" ca="1" si="200">SUM(T74)</f>
        <v>201.99999999999963</v>
      </c>
      <c r="AQ70" s="13">
        <f t="shared" ca="1" si="200"/>
        <v>6.9655172413792972</v>
      </c>
      <c r="AR70" s="9">
        <f t="shared" ca="1" si="189"/>
        <v>246.06896551724137</v>
      </c>
      <c r="AS70" s="76"/>
      <c r="AT70" s="76"/>
    </row>
    <row r="71" spans="1:46" ht="15.75" customHeight="1" x14ac:dyDescent="0.25">
      <c r="A71" s="70"/>
      <c r="B71" s="16">
        <v>12</v>
      </c>
      <c r="C71" s="16" t="s">
        <v>41</v>
      </c>
      <c r="D71" s="17">
        <v>24</v>
      </c>
      <c r="E71" s="18">
        <f ca="1">IFERROR(__xludf.DUMMYFUNCTION("COUNT(IMPORTRANGE(""https://docs.google.com/spreadsheets/d/1VAsUtLQHi7oV9NsI9EIHPnO1bcPJHeRgSbMoxSvPBME/edit"",""3!d2:d25""))"),24)</f>
        <v>24</v>
      </c>
      <c r="F71" s="23">
        <f ca="1">IFERROR(__xludf.DUMMYFUNCTION("SUM(IMPORTRANGE(""https://docs.google.com/spreadsheets/d/1VAsUtLQHi7oV9NsI9EIHPnO1bcPJHeRgSbMoxSvPBME/edit"",""3!Q2:Q25""))"),4621.968)</f>
        <v>4621.9679999999998</v>
      </c>
      <c r="G71" s="18">
        <f ca="1">IFERROR(__xludf.DUMMYFUNCTION("IMPORTRANGE(""https://docs.google.com/spreadsheets/d/1VAsUtLQHi7oV9NsI9EIHPnO1bcPJHeRgSbMoxSvPBME/edit"",""3!e32"")"),1246)</f>
        <v>1246</v>
      </c>
      <c r="H71" s="18">
        <f ca="1">IFERROR(__xludf.DUMMYFUNCTION("IMPORTRANGE(""https://docs.google.com/spreadsheets/d/1VAsUtLQHi7oV9NsI9EIHPnO1bcPJHeRgSbMoxSvPBME/edit"",""3!e33"")"),0)</f>
        <v>0</v>
      </c>
      <c r="I71" s="18">
        <f t="shared" ca="1" si="162"/>
        <v>1246</v>
      </c>
      <c r="J71" s="18">
        <f ca="1">IFERROR(__xludf.DUMMYFUNCTION("IMPORTRANGE(""https://docs.google.com/spreadsheets/d/1VAsUtLQHi7oV9NsI9EIHPnO1bcPJHeRgSbMoxSvPBME/edit"",""3!e36"")"),1816)</f>
        <v>1816</v>
      </c>
      <c r="K71" s="18">
        <f ca="1">IFERROR(__xludf.DUMMYFUNCTION("IMPORTRANGE(""https://docs.google.com/spreadsheets/d/1VAsUtLQHi7oV9NsI9EIHPnO1bcPJHeRgSbMoxSvPBME/edit"",""3!e37"")"),0)</f>
        <v>0</v>
      </c>
      <c r="L71" s="18">
        <f t="shared" ca="1" si="192"/>
        <v>1816</v>
      </c>
      <c r="M71" s="18">
        <f t="shared" ca="1" si="164"/>
        <v>3062</v>
      </c>
      <c r="N71" s="19">
        <f t="shared" ca="1" si="165"/>
        <v>192.58199999999999</v>
      </c>
      <c r="O71" s="16">
        <v>3801</v>
      </c>
      <c r="P71" s="20">
        <f t="shared" ca="1" si="166"/>
        <v>0.80557747961062875</v>
      </c>
      <c r="Q71" s="21">
        <v>1.5</v>
      </c>
      <c r="R71" s="20">
        <f t="shared" ca="1" si="167"/>
        <v>0.44165890662447976</v>
      </c>
      <c r="S71" s="22">
        <f t="shared" ca="1" si="168"/>
        <v>0.66248835993671962</v>
      </c>
      <c r="T71" s="21">
        <f ca="1">F71/29.628</f>
        <v>156</v>
      </c>
      <c r="U71" s="21">
        <f t="shared" ca="1" si="169"/>
        <v>6.5</v>
      </c>
      <c r="V71" s="18">
        <f t="shared" ca="1" si="170"/>
        <v>127.58333333333333</v>
      </c>
      <c r="W71" s="76"/>
      <c r="X71" s="8">
        <v>6</v>
      </c>
      <c r="Y71" s="8" t="s">
        <v>42</v>
      </c>
      <c r="Z71" s="8">
        <f t="shared" ref="Z71:AI71" si="201">SUM(D75)</f>
        <v>33</v>
      </c>
      <c r="AA71" s="9">
        <f t="shared" ca="1" si="201"/>
        <v>33</v>
      </c>
      <c r="AB71" s="10">
        <f t="shared" ca="1" si="201"/>
        <v>6380.2819999999901</v>
      </c>
      <c r="AC71" s="9">
        <f t="shared" ca="1" si="201"/>
        <v>3431</v>
      </c>
      <c r="AD71" s="9">
        <f t="shared" ca="1" si="201"/>
        <v>0</v>
      </c>
      <c r="AE71" s="9">
        <f t="shared" ca="1" si="201"/>
        <v>3431</v>
      </c>
      <c r="AF71" s="9">
        <f t="shared" ca="1" si="201"/>
        <v>4376</v>
      </c>
      <c r="AG71" s="9">
        <f t="shared" ca="1" si="201"/>
        <v>0</v>
      </c>
      <c r="AH71" s="9">
        <f t="shared" ca="1" si="201"/>
        <v>4376</v>
      </c>
      <c r="AI71" s="9">
        <f t="shared" ca="1" si="201"/>
        <v>7807</v>
      </c>
      <c r="AJ71" s="11">
        <f t="shared" ca="1" si="182"/>
        <v>193.3418787878785</v>
      </c>
      <c r="AK71" s="8">
        <f t="shared" si="198"/>
        <v>9877</v>
      </c>
      <c r="AL71" s="12">
        <f t="shared" ca="1" si="184"/>
        <v>0.79042219297357497</v>
      </c>
      <c r="AM71" s="13">
        <f t="shared" si="199"/>
        <v>1.5</v>
      </c>
      <c r="AN71" s="12">
        <f t="shared" ca="1" si="186"/>
        <v>0.81574241807284931</v>
      </c>
      <c r="AO71" s="14">
        <f t="shared" ca="1" si="187"/>
        <v>1.2236136271092739</v>
      </c>
      <c r="AP71" s="13">
        <f t="shared" ref="AP71:AQ71" ca="1" si="202">SUM(T75)</f>
        <v>243.94119671190938</v>
      </c>
      <c r="AQ71" s="13">
        <f t="shared" ca="1" si="202"/>
        <v>7.3921574761184665</v>
      </c>
      <c r="AR71" s="9">
        <f t="shared" ca="1" si="189"/>
        <v>236.57575757575756</v>
      </c>
      <c r="AS71" s="76"/>
      <c r="AT71" s="76"/>
    </row>
    <row r="72" spans="1:46" ht="15.75" customHeight="1" x14ac:dyDescent="0.25">
      <c r="A72" s="70"/>
      <c r="B72" s="16">
        <v>13</v>
      </c>
      <c r="C72" s="16" t="s">
        <v>43</v>
      </c>
      <c r="D72" s="17">
        <v>30</v>
      </c>
      <c r="E72" s="18">
        <f ca="1">IFERROR(__xludf.DUMMYFUNCTION("COUNT(IMPORTRANGE(""https://docs.google.com/spreadsheets/d/1p9Y_DGk7-TpRBFth-ljZceOIGCjQ0ylUeUq6xqnsZ-Q/edit"",""3!d2:d31""))"),30)</f>
        <v>30</v>
      </c>
      <c r="F72" s="23">
        <f ca="1">IFERROR(__xludf.DUMMYFUNCTION("SUM(IMPORTRANGE(""https://docs.google.com/spreadsheets/d/1p9Y_DGk7-TpRBFth-ljZceOIGCjQ0ylUeUq6xqnsZ-Q/edit"",""3!Q2:Q31""))"),6395.02299999999)</f>
        <v>6395.0229999999901</v>
      </c>
      <c r="G72" s="18">
        <f ca="1">IFERROR(__xludf.DUMMYFUNCTION("IMPORTRANGE(""https://docs.google.com/spreadsheets/d/1p9Y_DGk7-TpRBFth-ljZceOIGCjQ0ylUeUq6xqnsZ-Q/edit"",""3!e38"")"),1990)</f>
        <v>1990</v>
      </c>
      <c r="H72" s="18">
        <f ca="1">IFERROR(__xludf.DUMMYFUNCTION("IMPORTRANGE(""https://docs.google.com/spreadsheets/d/1p9Y_DGk7-TpRBFth-ljZceOIGCjQ0ylUeUq6xqnsZ-Q/edit"",""3!e39"")"),97)</f>
        <v>97</v>
      </c>
      <c r="I72" s="18">
        <f t="shared" ca="1" si="162"/>
        <v>2087</v>
      </c>
      <c r="J72" s="18">
        <f ca="1">IFERROR(__xludf.DUMMYFUNCTION("IMPORTRANGE(""https://docs.google.com/spreadsheets/d/1p9Y_DGk7-TpRBFth-ljZceOIGCjQ0ylUeUq6xqnsZ-Q/edit"",""3!e42"")"),3197)</f>
        <v>3197</v>
      </c>
      <c r="K72" s="18">
        <f ca="1">IFERROR(__xludf.DUMMYFUNCTION("IMPORTRANGE(""https://docs.google.com/spreadsheets/d/1p9Y_DGk7-TpRBFth-ljZceOIGCjQ0ylUeUq6xqnsZ-Q/edit"",""3!e43"")"),0)</f>
        <v>0</v>
      </c>
      <c r="L72" s="18">
        <f t="shared" ca="1" si="192"/>
        <v>3197</v>
      </c>
      <c r="M72" s="18">
        <f t="shared" ca="1" si="164"/>
        <v>5284</v>
      </c>
      <c r="N72" s="19">
        <f t="shared" ca="1" si="165"/>
        <v>213.16743333333301</v>
      </c>
      <c r="O72" s="16">
        <v>8345</v>
      </c>
      <c r="P72" s="20">
        <f t="shared" ca="1" si="166"/>
        <v>0.63319352905931692</v>
      </c>
      <c r="Q72" s="21">
        <v>1.5</v>
      </c>
      <c r="R72" s="20">
        <f t="shared" ca="1" si="167"/>
        <v>0.55084503475072288</v>
      </c>
      <c r="S72" s="22">
        <f t="shared" ca="1" si="168"/>
        <v>0.82626755212608427</v>
      </c>
      <c r="T72" s="21">
        <f ca="1">F72/41.205</f>
        <v>155.2001698822956</v>
      </c>
      <c r="U72" s="21">
        <f t="shared" ca="1" si="169"/>
        <v>5.1733389960765201</v>
      </c>
      <c r="V72" s="18">
        <f t="shared" ca="1" si="170"/>
        <v>176.13333333333333</v>
      </c>
      <c r="W72" s="76"/>
      <c r="X72" s="24" t="s">
        <v>33</v>
      </c>
      <c r="Y72" s="24">
        <v>6</v>
      </c>
      <c r="Z72" s="24">
        <f t="shared" ref="Z72:AI72" si="203">SUM(Z66:Z71)</f>
        <v>226</v>
      </c>
      <c r="AA72" s="25">
        <f t="shared" ca="1" si="203"/>
        <v>222</v>
      </c>
      <c r="AB72" s="27">
        <f t="shared" ca="1" si="203"/>
        <v>44440.046999999868</v>
      </c>
      <c r="AC72" s="25">
        <f t="shared" ca="1" si="203"/>
        <v>17596</v>
      </c>
      <c r="AD72" s="25">
        <f t="shared" ca="1" si="203"/>
        <v>204</v>
      </c>
      <c r="AE72" s="25">
        <f t="shared" ca="1" si="203"/>
        <v>17800</v>
      </c>
      <c r="AF72" s="25">
        <f t="shared" ca="1" si="203"/>
        <v>24105</v>
      </c>
      <c r="AG72" s="25">
        <f t="shared" ca="1" si="203"/>
        <v>288</v>
      </c>
      <c r="AH72" s="25">
        <f t="shared" ca="1" si="203"/>
        <v>24393</v>
      </c>
      <c r="AI72" s="25">
        <f t="shared" ca="1" si="203"/>
        <v>42193</v>
      </c>
      <c r="AJ72" s="27">
        <f t="shared" ca="1" si="182"/>
        <v>200.1803918918913</v>
      </c>
      <c r="AK72" s="24">
        <f>SUM(AK66:AK71)</f>
        <v>53273</v>
      </c>
      <c r="AL72" s="28">
        <f t="shared" ca="1" si="184"/>
        <v>0.79201471664820833</v>
      </c>
      <c r="AM72" s="29">
        <v>1.5</v>
      </c>
      <c r="AN72" s="28">
        <f t="shared" ca="1" si="186"/>
        <v>0.6329576264099529</v>
      </c>
      <c r="AO72" s="30">
        <f t="shared" ca="1" si="187"/>
        <v>0.94943643961492941</v>
      </c>
      <c r="AP72" s="29">
        <f ca="1">SUM(AP66:AP71)</f>
        <v>1457.9237943414059</v>
      </c>
      <c r="AQ72" s="29">
        <f ca="1">AP72/AA72</f>
        <v>6.5672242988351615</v>
      </c>
      <c r="AR72" s="25">
        <f t="shared" ca="1" si="189"/>
        <v>190.05855855855856</v>
      </c>
      <c r="AS72" s="76"/>
      <c r="AT72" s="76"/>
    </row>
    <row r="73" spans="1:46" ht="15.75" customHeight="1" x14ac:dyDescent="0.25">
      <c r="A73" s="70"/>
      <c r="B73" s="16">
        <v>14</v>
      </c>
      <c r="C73" s="16" t="s">
        <v>27</v>
      </c>
      <c r="D73" s="17">
        <v>30</v>
      </c>
      <c r="E73" s="18">
        <f ca="1">IFERROR(__xludf.DUMMYFUNCTION("COUNT(IMPORTRANGE(""https://docs.google.com/spreadsheets/d/1zJUDEKztv_fercXA0LYNw155qdzS7TJGhWLhquaW5IY/edit"",""3!d2:d31""))"),30)</f>
        <v>30</v>
      </c>
      <c r="F73" s="23">
        <f ca="1">IFERROR(__xludf.DUMMYFUNCTION("SUM(IMPORTRANGE(""https://docs.google.com/spreadsheets/d/1zJUDEKztv_fercXA0LYNw155qdzS7TJGhWLhquaW5IY/edit"",""3!Q2:Q31""))"),5753.489)</f>
        <v>5753.4889999999996</v>
      </c>
      <c r="G73" s="18">
        <f ca="1">IFERROR(__xludf.DUMMYFUNCTION("IMPORTRANGE(""https://docs.google.com/spreadsheets/d/1zJUDEKztv_fercXA0LYNw155qdzS7TJGhWLhquaW5IY/edit"",""3!e38"")"),2703)</f>
        <v>2703</v>
      </c>
      <c r="H73" s="18">
        <f ca="1">IFERROR(__xludf.DUMMYFUNCTION("IMPORTRANGE(""https://docs.google.com/spreadsheets/d/1zJUDEKztv_fercXA0LYNw155qdzS7TJGhWLhquaW5IY/edit"",""3!e39"")"),0)</f>
        <v>0</v>
      </c>
      <c r="I73" s="18">
        <f t="shared" ca="1" si="162"/>
        <v>2703</v>
      </c>
      <c r="J73" s="18">
        <f ca="1">IFERROR(__xludf.DUMMYFUNCTION("IMPORTRANGE(""https://docs.google.com/spreadsheets/d/1zJUDEKztv_fercXA0LYNw155qdzS7TJGhWLhquaW5IY/edit"",""3!e42"")"),3659)</f>
        <v>3659</v>
      </c>
      <c r="K73" s="18">
        <f ca="1">IFERROR(__xludf.DUMMYFUNCTION("IMPORTRANGE(""https://docs.google.com/spreadsheets/d/1zJUDEKztv_fercXA0LYNw155qdzS7TJGhWLhquaW5IY/edit"",""3!e43"")"),0)</f>
        <v>0</v>
      </c>
      <c r="L73" s="18">
        <f t="shared" ca="1" si="192"/>
        <v>3659</v>
      </c>
      <c r="M73" s="18">
        <f t="shared" ca="1" si="164"/>
        <v>6362</v>
      </c>
      <c r="N73" s="19">
        <f t="shared" ca="1" si="165"/>
        <v>191.78296666666665</v>
      </c>
      <c r="O73" s="16">
        <v>8101</v>
      </c>
      <c r="P73" s="20">
        <f t="shared" ca="1" si="166"/>
        <v>0.78533514380940628</v>
      </c>
      <c r="Q73" s="21">
        <v>1.5</v>
      </c>
      <c r="R73" s="20">
        <f t="shared" ca="1" si="167"/>
        <v>0.73717588290050318</v>
      </c>
      <c r="S73" s="22">
        <f t="shared" ca="1" si="168"/>
        <v>1.1057638243507548</v>
      </c>
      <c r="T73" s="21">
        <f ca="1">F73/19.985</f>
        <v>287.89036777583186</v>
      </c>
      <c r="U73" s="21">
        <f t="shared" ca="1" si="169"/>
        <v>9.5963455925277295</v>
      </c>
      <c r="V73" s="18">
        <f t="shared" ca="1" si="170"/>
        <v>212.06666666666666</v>
      </c>
      <c r="W73" s="76"/>
      <c r="X73" s="97" t="s">
        <v>44</v>
      </c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9"/>
      <c r="AS73" s="76"/>
      <c r="AT73" s="76"/>
    </row>
    <row r="74" spans="1:46" ht="15.75" customHeight="1" x14ac:dyDescent="0.25">
      <c r="A74" s="70"/>
      <c r="B74" s="16">
        <v>15</v>
      </c>
      <c r="C74" s="16" t="s">
        <v>40</v>
      </c>
      <c r="D74" s="17">
        <v>30</v>
      </c>
      <c r="E74" s="18">
        <f ca="1">IFERROR(__xludf.DUMMYFUNCTION("COUNT(IMPORTRANGE(""https://docs.google.com/spreadsheets/d/15GJA66Ucb-8RQ5vWVpq5HYaWoZZFX82SCeHChBujbrI/edit"",""3!d2:d31""))"),29)</f>
        <v>29</v>
      </c>
      <c r="F74" s="23">
        <f ca="1">IFERROR(__xludf.DUMMYFUNCTION("SUM(IMPORTRANGE(""https://docs.google.com/spreadsheets/d/15GJA66Ucb-8RQ5vWVpq5HYaWoZZFX82SCeHChBujbrI/edit"",""3!Q2:Q31""))"),5745.48599999999)</f>
        <v>5745.4859999999899</v>
      </c>
      <c r="G74" s="18">
        <f ca="1">IFERROR(__xludf.DUMMYFUNCTION("IMPORTRANGE(""https://docs.google.com/spreadsheets/d/15GJA66Ucb-8RQ5vWVpq5HYaWoZZFX82SCeHChBujbrI/edit"",""3!e38"")"),3290)</f>
        <v>3290</v>
      </c>
      <c r="H74" s="18">
        <f ca="1">IFERROR(__xludf.DUMMYFUNCTION("IMPORTRANGE(""https://docs.google.com/spreadsheets/d/15GJA66Ucb-8RQ5vWVpq5HYaWoZZFX82SCeHChBujbrI/edit"",""3!e39"")"),0)</f>
        <v>0</v>
      </c>
      <c r="I74" s="18">
        <f t="shared" ca="1" si="162"/>
        <v>3290</v>
      </c>
      <c r="J74" s="18">
        <f ca="1">IFERROR(__xludf.DUMMYFUNCTION("IMPORTRANGE(""https://docs.google.com/spreadsheets/d/15GJA66Ucb-8RQ5vWVpq5HYaWoZZFX82SCeHChBujbrI/edit"",""3!e42"")"),3846)</f>
        <v>3846</v>
      </c>
      <c r="K74" s="18">
        <f ca="1">IFERROR(__xludf.DUMMYFUNCTION("IMPORTRANGE(""https://docs.google.com/spreadsheets/d/15GJA66Ucb-8RQ5vWVpq5HYaWoZZFX82SCeHChBujbrI/edit"",""3!e43"")"),0)</f>
        <v>0</v>
      </c>
      <c r="L74" s="18">
        <f t="shared" ca="1" si="192"/>
        <v>3846</v>
      </c>
      <c r="M74" s="18">
        <f t="shared" ca="1" si="164"/>
        <v>7136</v>
      </c>
      <c r="N74" s="19">
        <f t="shared" ca="1" si="165"/>
        <v>198.12020689655137</v>
      </c>
      <c r="O74" s="16">
        <v>8239</v>
      </c>
      <c r="P74" s="20">
        <f t="shared" ca="1" si="166"/>
        <v>0.86612452967593156</v>
      </c>
      <c r="Q74" s="21">
        <v>1.5</v>
      </c>
      <c r="R74" s="20">
        <f t="shared" ca="1" si="167"/>
        <v>0.82801234453157513</v>
      </c>
      <c r="S74" s="22">
        <f t="shared" ca="1" si="168"/>
        <v>1.2420185167973627</v>
      </c>
      <c r="T74" s="21">
        <f ca="1">F74/28.443</f>
        <v>201.99999999999963</v>
      </c>
      <c r="U74" s="21">
        <f t="shared" ca="1" si="169"/>
        <v>6.9655172413792972</v>
      </c>
      <c r="V74" s="18">
        <f t="shared" ca="1" si="170"/>
        <v>246.06896551724137</v>
      </c>
      <c r="W74" s="76"/>
      <c r="X74" s="1" t="s">
        <v>2</v>
      </c>
      <c r="Y74" s="1" t="s">
        <v>3</v>
      </c>
      <c r="Z74" s="1" t="s">
        <v>4</v>
      </c>
      <c r="AA74" s="1" t="s">
        <v>5</v>
      </c>
      <c r="AB74" s="2" t="s">
        <v>6</v>
      </c>
      <c r="AC74" s="1" t="s">
        <v>7</v>
      </c>
      <c r="AD74" s="1" t="s">
        <v>8</v>
      </c>
      <c r="AE74" s="1" t="s">
        <v>9</v>
      </c>
      <c r="AF74" s="1" t="s">
        <v>10</v>
      </c>
      <c r="AG74" s="1" t="s">
        <v>11</v>
      </c>
      <c r="AH74" s="1" t="s">
        <v>12</v>
      </c>
      <c r="AI74" s="1" t="s">
        <v>13</v>
      </c>
      <c r="AJ74" s="2" t="s">
        <v>14</v>
      </c>
      <c r="AK74" s="1" t="s">
        <v>15</v>
      </c>
      <c r="AL74" s="1" t="s">
        <v>16</v>
      </c>
      <c r="AM74" s="3" t="s">
        <v>17</v>
      </c>
      <c r="AN74" s="4" t="s">
        <v>18</v>
      </c>
      <c r="AO74" s="5" t="s">
        <v>19</v>
      </c>
      <c r="AP74" s="6" t="s">
        <v>20</v>
      </c>
      <c r="AQ74" s="6" t="s">
        <v>21</v>
      </c>
      <c r="AR74" s="7" t="s">
        <v>22</v>
      </c>
      <c r="AS74" s="76"/>
      <c r="AT74" s="76"/>
    </row>
    <row r="75" spans="1:46" ht="15.75" customHeight="1" x14ac:dyDescent="0.25">
      <c r="A75" s="70"/>
      <c r="B75" s="16">
        <v>16</v>
      </c>
      <c r="C75" s="16" t="s">
        <v>42</v>
      </c>
      <c r="D75" s="17">
        <v>33</v>
      </c>
      <c r="E75" s="18">
        <f ca="1">IFERROR(__xludf.DUMMYFUNCTION("COUNT(IMPORTRANGE(""https://docs.google.com/spreadsheets/d/14Tu_jFPEdrIQ6DHYu6vRvJKQsbXr-48NY1tKy4-8JKI/edit"",""3!d2:d34""))"),33)</f>
        <v>33</v>
      </c>
      <c r="F75" s="23">
        <f ca="1">IFERROR(__xludf.DUMMYFUNCTION("SUM(IMPORTRANGE(""https://docs.google.com/spreadsheets/d/14Tu_jFPEdrIQ6DHYu6vRvJKQsbXr-48NY1tKy4-8JKI/edit"",""3!Q2:Q34""))"),6380.28199999999)</f>
        <v>6380.2819999999901</v>
      </c>
      <c r="G75" s="18">
        <f ca="1">IFERROR(__xludf.DUMMYFUNCTION("IMPORTRANGE(""https://docs.google.com/spreadsheets/d/14Tu_jFPEdrIQ6DHYu6vRvJKQsbXr-48NY1tKy4-8JKI/edit"",""3!e41"")"),3431)</f>
        <v>3431</v>
      </c>
      <c r="H75" s="18">
        <f ca="1">IFERROR(__xludf.DUMMYFUNCTION("IMPORTRANGE(""https://docs.google.com/spreadsheets/d/14Tu_jFPEdrIQ6DHYu6vRvJKQsbXr-48NY1tKy4-8JKI/edit"",""3!e42"")"),0)</f>
        <v>0</v>
      </c>
      <c r="I75" s="18">
        <f t="shared" ca="1" si="162"/>
        <v>3431</v>
      </c>
      <c r="J75" s="18">
        <f ca="1">IFERROR(__xludf.DUMMYFUNCTION("IMPORTRANGE(""https://docs.google.com/spreadsheets/d/14Tu_jFPEdrIQ6DHYu6vRvJKQsbXr-48NY1tKy4-8JKI/edit"",""3!e45"")"),4376)</f>
        <v>4376</v>
      </c>
      <c r="K75" s="18">
        <f ca="1">IFERROR(__xludf.DUMMYFUNCTION("IMPORTRANGE(""https://docs.google.com/spreadsheets/d/14Tu_jFPEdrIQ6DHYu6vRvJKQsbXr-48NY1tKy4-8JKI/edit"",""3!e46"")"),0)</f>
        <v>0</v>
      </c>
      <c r="L75" s="18">
        <f t="shared" ca="1" si="192"/>
        <v>4376</v>
      </c>
      <c r="M75" s="18">
        <f t="shared" ca="1" si="164"/>
        <v>7807</v>
      </c>
      <c r="N75" s="19">
        <f t="shared" ca="1" si="165"/>
        <v>193.3418787878785</v>
      </c>
      <c r="O75" s="16">
        <v>9877</v>
      </c>
      <c r="P75" s="20">
        <f t="shared" ca="1" si="166"/>
        <v>0.79042219297357497</v>
      </c>
      <c r="Q75" s="21">
        <v>1.5</v>
      </c>
      <c r="R75" s="20">
        <f t="shared" ca="1" si="167"/>
        <v>0.81574241807284931</v>
      </c>
      <c r="S75" s="22">
        <f t="shared" ca="1" si="168"/>
        <v>1.2236136271092739</v>
      </c>
      <c r="T75" s="21">
        <f ca="1">F75/26.155</f>
        <v>243.94119671190938</v>
      </c>
      <c r="U75" s="21">
        <f t="shared" ca="1" si="169"/>
        <v>7.3921574761184665</v>
      </c>
      <c r="V75" s="18">
        <f t="shared" ca="1" si="170"/>
        <v>236.57575757575756</v>
      </c>
      <c r="W75" s="76"/>
      <c r="X75" s="8">
        <v>1</v>
      </c>
      <c r="Y75" s="8" t="s">
        <v>26</v>
      </c>
      <c r="Z75" s="8">
        <f t="shared" ref="Z75:AI75" si="204">SUM(D60)</f>
        <v>20</v>
      </c>
      <c r="AA75" s="9">
        <f t="shared" ca="1" si="204"/>
        <v>20</v>
      </c>
      <c r="AB75" s="11">
        <f t="shared" ca="1" si="204"/>
        <v>3805.56</v>
      </c>
      <c r="AC75" s="9">
        <f t="shared" ca="1" si="204"/>
        <v>2384</v>
      </c>
      <c r="AD75" s="9">
        <f t="shared" ca="1" si="204"/>
        <v>65</v>
      </c>
      <c r="AE75" s="9">
        <f t="shared" ca="1" si="204"/>
        <v>2449</v>
      </c>
      <c r="AF75" s="9">
        <f t="shared" ca="1" si="204"/>
        <v>2797</v>
      </c>
      <c r="AG75" s="9">
        <f t="shared" ca="1" si="204"/>
        <v>0</v>
      </c>
      <c r="AH75" s="9">
        <f t="shared" ca="1" si="204"/>
        <v>2797</v>
      </c>
      <c r="AI75" s="9">
        <f t="shared" ca="1" si="204"/>
        <v>5246</v>
      </c>
      <c r="AJ75" s="11">
        <f t="shared" ref="AJ75:AJ81" ca="1" si="205">AB75/AA75</f>
        <v>190.27799999999999</v>
      </c>
      <c r="AK75" s="8">
        <f>SUM(O60)</f>
        <v>5161</v>
      </c>
      <c r="AL75" s="15">
        <f t="shared" ref="AL75:AL81" ca="1" si="206">AI75/AK75</f>
        <v>1.0164696764192986</v>
      </c>
      <c r="AM75" s="13">
        <f>SUM(Q60)</f>
        <v>1.5</v>
      </c>
      <c r="AN75" s="12">
        <f t="shared" ref="AN75:AN81" ca="1" si="207">AO75/AM75</f>
        <v>0.91900622597813031</v>
      </c>
      <c r="AO75" s="14">
        <f t="shared" ref="AO75:AO81" ca="1" si="208">AI75/AB75</f>
        <v>1.3785093389671954</v>
      </c>
      <c r="AP75" s="13">
        <f t="shared" ref="AP75:AQ75" ca="1" si="209">SUM(T60)</f>
        <v>264</v>
      </c>
      <c r="AQ75" s="13">
        <f t="shared" ca="1" si="209"/>
        <v>13.2</v>
      </c>
      <c r="AR75" s="9">
        <f t="shared" ref="AR75:AR81" ca="1" si="210">AI75/AA75</f>
        <v>262.3</v>
      </c>
      <c r="AS75" s="76"/>
      <c r="AT75" s="76"/>
    </row>
    <row r="76" spans="1:46" ht="15.75" customHeight="1" x14ac:dyDescent="0.25">
      <c r="A76" s="70"/>
      <c r="B76" s="16">
        <v>17</v>
      </c>
      <c r="C76" s="16" t="s">
        <v>29</v>
      </c>
      <c r="D76" s="17">
        <v>30</v>
      </c>
      <c r="E76" s="18">
        <f ca="1">IFERROR(__xludf.DUMMYFUNCTION("COUNT(IMPORTRANGE(""https://docs.google.com/spreadsheets/d/1ja_RQYsP0p5wRrACHojay4CW1wLx0QdS5tSwp-vYQ-s/edit"",""3!d2:d31""))"),29)</f>
        <v>29</v>
      </c>
      <c r="F76" s="23">
        <f ca="1">IFERROR(__xludf.DUMMYFUNCTION("SUM(IMPORTRANGE(""https://docs.google.com/spreadsheets/d/1ja_RQYsP0p5wRrACHojay4CW1wLx0QdS5tSwp-vYQ-s/edit"",""3!Q2:Q31""))"),5754.398)</f>
        <v>5754.3980000000001</v>
      </c>
      <c r="G76" s="18">
        <f ca="1">IFERROR(__xludf.DUMMYFUNCTION("IMPORTRANGE(""https://docs.google.com/spreadsheets/d/1ja_RQYsP0p5wRrACHojay4CW1wLx0QdS5tSwp-vYQ-s/edit"",""3!e38"")"),2958)</f>
        <v>2958</v>
      </c>
      <c r="H76" s="18">
        <f ca="1">IFERROR(__xludf.DUMMYFUNCTION("IMPORTRANGE(""https://docs.google.com/spreadsheets/d/1ja_RQYsP0p5wRrACHojay4CW1wLx0QdS5tSwp-vYQ-s/edit"",""3!e39"")"),0)</f>
        <v>0</v>
      </c>
      <c r="I76" s="18">
        <f t="shared" ca="1" si="162"/>
        <v>2958</v>
      </c>
      <c r="J76" s="18">
        <f ca="1">IFERROR(__xludf.DUMMYFUNCTION("IMPORTRANGE(""https://docs.google.com/spreadsheets/d/1ja_RQYsP0p5wRrACHojay4CW1wLx0QdS5tSwp-vYQ-s/edit"",""3!e42"")"),4116)</f>
        <v>4116</v>
      </c>
      <c r="K76" s="18">
        <f ca="1">IFERROR(__xludf.DUMMYFUNCTION("IMPORTRANGE(""https://docs.google.com/spreadsheets/d/1ja_RQYsP0p5wRrACHojay4CW1wLx0QdS5tSwp-vYQ-s/edit"",""3!e43"")"),0)</f>
        <v>0</v>
      </c>
      <c r="L76" s="18">
        <f t="shared" ca="1" si="192"/>
        <v>4116</v>
      </c>
      <c r="M76" s="18">
        <f t="shared" ca="1" si="164"/>
        <v>7074</v>
      </c>
      <c r="N76" s="19">
        <f t="shared" ca="1" si="165"/>
        <v>198.42751724137932</v>
      </c>
      <c r="O76" s="16">
        <v>9201</v>
      </c>
      <c r="P76" s="20">
        <f t="shared" ca="1" si="166"/>
        <v>0.76882947505705901</v>
      </c>
      <c r="Q76" s="21">
        <v>1.5</v>
      </c>
      <c r="R76" s="20">
        <f t="shared" ca="1" si="167"/>
        <v>0.81954706643509878</v>
      </c>
      <c r="S76" s="22">
        <f t="shared" ca="1" si="168"/>
        <v>1.2293205996526482</v>
      </c>
      <c r="T76" s="21">
        <f ca="1">F76/26.038</f>
        <v>221</v>
      </c>
      <c r="U76" s="21">
        <f t="shared" ca="1" si="169"/>
        <v>7.6206896551724137</v>
      </c>
      <c r="V76" s="18">
        <f t="shared" ca="1" si="170"/>
        <v>243.93103448275863</v>
      </c>
      <c r="W76" s="76"/>
      <c r="X76" s="8">
        <v>2</v>
      </c>
      <c r="Y76" s="8" t="s">
        <v>32</v>
      </c>
      <c r="Z76" s="8">
        <f t="shared" ref="Z76:AI76" si="211">SUM(D63)</f>
        <v>42</v>
      </c>
      <c r="AA76" s="9">
        <f t="shared" ca="1" si="211"/>
        <v>41</v>
      </c>
      <c r="AB76" s="10">
        <f t="shared" ca="1" si="211"/>
        <v>8003.3909999999896</v>
      </c>
      <c r="AC76" s="8">
        <f t="shared" ca="1" si="211"/>
        <v>4261</v>
      </c>
      <c r="AD76" s="8">
        <f t="shared" ca="1" si="211"/>
        <v>0</v>
      </c>
      <c r="AE76" s="9">
        <f t="shared" ca="1" si="211"/>
        <v>4261</v>
      </c>
      <c r="AF76" s="8">
        <f t="shared" ca="1" si="211"/>
        <v>5609</v>
      </c>
      <c r="AG76" s="8">
        <f t="shared" ca="1" si="211"/>
        <v>0</v>
      </c>
      <c r="AH76" s="9">
        <f t="shared" ca="1" si="211"/>
        <v>5609</v>
      </c>
      <c r="AI76" s="9">
        <f t="shared" ca="1" si="211"/>
        <v>9870</v>
      </c>
      <c r="AJ76" s="11">
        <f t="shared" ca="1" si="205"/>
        <v>195.2046585365851</v>
      </c>
      <c r="AK76" s="8">
        <f>SUM(O63)</f>
        <v>13817</v>
      </c>
      <c r="AL76" s="12">
        <f t="shared" ca="1" si="206"/>
        <v>0.71433741043641885</v>
      </c>
      <c r="AM76" s="13">
        <f>SUM(Q63)</f>
        <v>1.5</v>
      </c>
      <c r="AN76" s="12">
        <f t="shared" ca="1" si="207"/>
        <v>0.82215151052847579</v>
      </c>
      <c r="AO76" s="14">
        <f t="shared" ca="1" si="208"/>
        <v>1.2332272657927137</v>
      </c>
      <c r="AP76" s="13">
        <f t="shared" ref="AP76:AQ76" ca="1" si="212">SUM(T63)</f>
        <v>318.9999999999996</v>
      </c>
      <c r="AQ76" s="13">
        <f t="shared" ca="1" si="212"/>
        <v>7.7804878048780388</v>
      </c>
      <c r="AR76" s="9">
        <f t="shared" ca="1" si="210"/>
        <v>240.73170731707316</v>
      </c>
      <c r="AS76" s="76"/>
      <c r="AT76" s="76"/>
    </row>
    <row r="77" spans="1:46" ht="15.75" customHeight="1" x14ac:dyDescent="0.25">
      <c r="A77" s="70"/>
      <c r="B77" s="16">
        <v>18</v>
      </c>
      <c r="C77" s="16" t="s">
        <v>31</v>
      </c>
      <c r="D77" s="17">
        <v>15</v>
      </c>
      <c r="E77" s="18">
        <f ca="1">IFERROR(__xludf.DUMMYFUNCTION("COUNT(IMPORTRANGE(""https://docs.google.com/spreadsheets/d/1ObnK1oSznTOmyW9Zcd2kxExl7TOnO2MNq_0giEKc_mE/edit"",""3!d2:d16""))"),14)</f>
        <v>14</v>
      </c>
      <c r="F77" s="19">
        <f ca="1">IFERROR(__xludf.DUMMYFUNCTION("SUM(IMPORTRANGE(""https://docs.google.com/spreadsheets/d/1ObnK1oSznTOmyW9Zcd2kxExl7TOnO2MNq_0giEKc_mE/edit"",""3!Q2:Q16""))"),2738.295)</f>
        <v>2738.2950000000001</v>
      </c>
      <c r="G77" s="18">
        <f ca="1">IFERROR(__xludf.DUMMYFUNCTION("IMPORTRANGE(""https://docs.google.com/spreadsheets/d/1ObnK1oSznTOmyW9Zcd2kxExl7TOnO2MNq_0giEKc_mE/edit"",""3!e23"")"),810)</f>
        <v>810</v>
      </c>
      <c r="H77" s="18">
        <f ca="1">IFERROR(__xludf.DUMMYFUNCTION("IMPORTRANGE(""https://docs.google.com/spreadsheets/d/1ObnK1oSznTOmyW9Zcd2kxExl7TOnO2MNq_0giEKc_mE/edit"",""3!e24"")"),0)</f>
        <v>0</v>
      </c>
      <c r="I77" s="18">
        <f t="shared" ca="1" si="162"/>
        <v>810</v>
      </c>
      <c r="J77" s="18">
        <f ca="1">IFERROR(__xludf.DUMMYFUNCTION("IMPORTRANGE(""https://docs.google.com/spreadsheets/d/1ObnK1oSznTOmyW9Zcd2kxExl7TOnO2MNq_0giEKc_mE/edit"",""3!e27"")"),1056)</f>
        <v>1056</v>
      </c>
      <c r="K77" s="18">
        <f ca="1">IFERROR(__xludf.DUMMYFUNCTION("IMPORTRANGE(""https://docs.google.com/spreadsheets/d/1ObnK1oSznTOmyW9Zcd2kxExl7TOnO2MNq_0giEKc_mE/edit"",""3!e28"")"),0)</f>
        <v>0</v>
      </c>
      <c r="L77" s="18">
        <f t="shared" ca="1" si="192"/>
        <v>1056</v>
      </c>
      <c r="M77" s="18">
        <f t="shared" ca="1" si="164"/>
        <v>1866</v>
      </c>
      <c r="N77" s="19">
        <f t="shared" ca="1" si="165"/>
        <v>195.5925</v>
      </c>
      <c r="O77" s="16">
        <v>2717</v>
      </c>
      <c r="P77" s="20">
        <f t="shared" ca="1" si="166"/>
        <v>0.68678689731321307</v>
      </c>
      <c r="Q77" s="21">
        <v>1.5</v>
      </c>
      <c r="R77" s="20">
        <f t="shared" ca="1" si="167"/>
        <v>0.45429729083243403</v>
      </c>
      <c r="S77" s="22">
        <f t="shared" ca="1" si="168"/>
        <v>0.68144593624865102</v>
      </c>
      <c r="T77" s="21">
        <f ca="1">F77/43.465</f>
        <v>63</v>
      </c>
      <c r="U77" s="21">
        <f t="shared" ca="1" si="169"/>
        <v>4.5</v>
      </c>
      <c r="V77" s="18">
        <f t="shared" ca="1" si="170"/>
        <v>133.28571428571428</v>
      </c>
      <c r="W77" s="76"/>
      <c r="X77" s="8">
        <v>3</v>
      </c>
      <c r="Y77" s="8" t="s">
        <v>36</v>
      </c>
      <c r="Z77" s="8">
        <f t="shared" ref="Z77:AI77" si="213">SUM(D68)</f>
        <v>29</v>
      </c>
      <c r="AA77" s="9">
        <f t="shared" ca="1" si="213"/>
        <v>29</v>
      </c>
      <c r="AB77" s="10">
        <f t="shared" ca="1" si="213"/>
        <v>5791.19</v>
      </c>
      <c r="AC77" s="9">
        <f t="shared" ca="1" si="213"/>
        <v>1567</v>
      </c>
      <c r="AD77" s="9">
        <f t="shared" ca="1" si="213"/>
        <v>0</v>
      </c>
      <c r="AE77" s="9">
        <f t="shared" ca="1" si="213"/>
        <v>1567</v>
      </c>
      <c r="AF77" s="9">
        <f t="shared" ca="1" si="213"/>
        <v>2387</v>
      </c>
      <c r="AG77" s="9">
        <f t="shared" ca="1" si="213"/>
        <v>0</v>
      </c>
      <c r="AH77" s="9">
        <f t="shared" ca="1" si="213"/>
        <v>2387</v>
      </c>
      <c r="AI77" s="9">
        <f t="shared" ca="1" si="213"/>
        <v>3954</v>
      </c>
      <c r="AJ77" s="11">
        <f t="shared" ca="1" si="205"/>
        <v>199.6962068965517</v>
      </c>
      <c r="AK77" s="8">
        <f t="shared" ref="AK77:AK80" si="214">SUM(O68)</f>
        <v>4796</v>
      </c>
      <c r="AL77" s="12">
        <f t="shared" ca="1" si="206"/>
        <v>0.82443703085904918</v>
      </c>
      <c r="AM77" s="13">
        <f t="shared" ref="AM77:AM80" si="215">SUM(Q68)</f>
        <v>1.5</v>
      </c>
      <c r="AN77" s="12">
        <f t="shared" ca="1" si="207"/>
        <v>0.45517415246262</v>
      </c>
      <c r="AO77" s="14">
        <f t="shared" ca="1" si="208"/>
        <v>0.68276122869392997</v>
      </c>
      <c r="AP77" s="13">
        <f t="shared" ref="AP77:AQ77" ca="1" si="216">SUM(T68)</f>
        <v>154.78671085689848</v>
      </c>
      <c r="AQ77" s="13">
        <f t="shared" ca="1" si="216"/>
        <v>5.3374727881689132</v>
      </c>
      <c r="AR77" s="9">
        <f t="shared" ca="1" si="210"/>
        <v>136.34482758620689</v>
      </c>
      <c r="AS77" s="76"/>
      <c r="AT77" s="76"/>
    </row>
    <row r="78" spans="1:46" ht="15.75" customHeight="1" x14ac:dyDescent="0.2">
      <c r="A78" s="70"/>
      <c r="B78" s="98" t="s">
        <v>33</v>
      </c>
      <c r="C78" s="98">
        <v>18</v>
      </c>
      <c r="D78" s="98">
        <f t="shared" ref="D78:M78" si="217">SUM(D60:D77)</f>
        <v>585</v>
      </c>
      <c r="E78" s="74">
        <f t="shared" ca="1" si="217"/>
        <v>573</v>
      </c>
      <c r="F78" s="99">
        <f t="shared" ca="1" si="217"/>
        <v>112513.12299999983</v>
      </c>
      <c r="G78" s="74">
        <f t="shared" ca="1" si="217"/>
        <v>42117</v>
      </c>
      <c r="H78" s="74">
        <f t="shared" ca="1" si="217"/>
        <v>693</v>
      </c>
      <c r="I78" s="74">
        <f t="shared" ca="1" si="217"/>
        <v>42810</v>
      </c>
      <c r="J78" s="74">
        <f t="shared" ca="1" si="217"/>
        <v>58090</v>
      </c>
      <c r="K78" s="74">
        <f t="shared" ca="1" si="217"/>
        <v>462</v>
      </c>
      <c r="L78" s="74">
        <f t="shared" ca="1" si="217"/>
        <v>58552</v>
      </c>
      <c r="M78" s="74">
        <f t="shared" ca="1" si="217"/>
        <v>101362</v>
      </c>
      <c r="N78" s="99">
        <f t="shared" ca="1" si="165"/>
        <v>196.35798080279204</v>
      </c>
      <c r="O78" s="98">
        <f>SUM(O60:O77)</f>
        <v>126399</v>
      </c>
      <c r="P78" s="69">
        <f t="shared" ca="1" si="166"/>
        <v>0.80192090127295312</v>
      </c>
      <c r="Q78" s="72">
        <v>1.5</v>
      </c>
      <c r="R78" s="69">
        <f t="shared" ca="1" si="167"/>
        <v>0.60059364512232738</v>
      </c>
      <c r="S78" s="73">
        <f t="shared" ca="1" si="168"/>
        <v>0.90089046768349101</v>
      </c>
      <c r="T78" s="72">
        <f ca="1">SUM(T60:T77)</f>
        <v>4143.9571258849264</v>
      </c>
      <c r="U78" s="72">
        <f t="shared" ca="1" si="169"/>
        <v>7.2320368689091215</v>
      </c>
      <c r="V78" s="74">
        <f t="shared" ca="1" si="170"/>
        <v>176.89703315881326</v>
      </c>
      <c r="W78" s="76"/>
      <c r="X78" s="8">
        <v>4</v>
      </c>
      <c r="Y78" s="8" t="s">
        <v>37</v>
      </c>
      <c r="Z78" s="8">
        <f t="shared" ref="Z78:AI78" si="218">SUM(D69)</f>
        <v>30</v>
      </c>
      <c r="AA78" s="9">
        <f t="shared" ca="1" si="218"/>
        <v>30</v>
      </c>
      <c r="AB78" s="10">
        <f t="shared" ca="1" si="218"/>
        <v>5861.7719999999999</v>
      </c>
      <c r="AC78" s="9">
        <f t="shared" ca="1" si="218"/>
        <v>2041</v>
      </c>
      <c r="AD78" s="9">
        <f t="shared" ca="1" si="218"/>
        <v>75</v>
      </c>
      <c r="AE78" s="9">
        <f t="shared" ca="1" si="218"/>
        <v>2116</v>
      </c>
      <c r="AF78" s="9">
        <f t="shared" ca="1" si="218"/>
        <v>2998</v>
      </c>
      <c r="AG78" s="9">
        <f t="shared" ca="1" si="218"/>
        <v>0</v>
      </c>
      <c r="AH78" s="9">
        <f t="shared" ca="1" si="218"/>
        <v>2998</v>
      </c>
      <c r="AI78" s="9">
        <f t="shared" ca="1" si="218"/>
        <v>5114</v>
      </c>
      <c r="AJ78" s="11">
        <f t="shared" ca="1" si="205"/>
        <v>195.39240000000001</v>
      </c>
      <c r="AK78" s="8">
        <f t="shared" si="214"/>
        <v>5887</v>
      </c>
      <c r="AL78" s="12">
        <f t="shared" ca="1" si="206"/>
        <v>0.86869373195175814</v>
      </c>
      <c r="AM78" s="13">
        <f t="shared" si="215"/>
        <v>1.5</v>
      </c>
      <c r="AN78" s="12">
        <f t="shared" ca="1" si="207"/>
        <v>0.58162162112981075</v>
      </c>
      <c r="AO78" s="14">
        <f t="shared" ca="1" si="208"/>
        <v>0.87243243169471618</v>
      </c>
      <c r="AP78" s="13">
        <f t="shared" ref="AP78:AQ78" ca="1" si="219">SUM(T69)</f>
        <v>236.4380445304937</v>
      </c>
      <c r="AQ78" s="13">
        <f t="shared" ca="1" si="219"/>
        <v>7.8812681510164566</v>
      </c>
      <c r="AR78" s="9">
        <f t="shared" ca="1" si="210"/>
        <v>170.46666666666667</v>
      </c>
      <c r="AS78" s="76"/>
      <c r="AT78" s="76"/>
    </row>
    <row r="79" spans="1:46" ht="15.75" customHeight="1" x14ac:dyDescent="0.2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6"/>
      <c r="X79" s="8">
        <v>5</v>
      </c>
      <c r="Y79" s="8" t="s">
        <v>39</v>
      </c>
      <c r="Z79" s="8">
        <f t="shared" ref="Z79:AI79" si="220">SUM(D70)</f>
        <v>28</v>
      </c>
      <c r="AA79" s="9">
        <f t="shared" ca="1" si="220"/>
        <v>26</v>
      </c>
      <c r="AB79" s="10">
        <f t="shared" ca="1" si="220"/>
        <v>4772.0619999999999</v>
      </c>
      <c r="AC79" s="9">
        <f t="shared" ca="1" si="220"/>
        <v>1214</v>
      </c>
      <c r="AD79" s="9">
        <f t="shared" ca="1" si="220"/>
        <v>0</v>
      </c>
      <c r="AE79" s="9">
        <f t="shared" ca="1" si="220"/>
        <v>1214</v>
      </c>
      <c r="AF79" s="9">
        <f t="shared" ca="1" si="220"/>
        <v>1724</v>
      </c>
      <c r="AG79" s="9">
        <f t="shared" ca="1" si="220"/>
        <v>0</v>
      </c>
      <c r="AH79" s="9">
        <f t="shared" ca="1" si="220"/>
        <v>1724</v>
      </c>
      <c r="AI79" s="9">
        <f t="shared" ca="1" si="220"/>
        <v>2938</v>
      </c>
      <c r="AJ79" s="11">
        <f t="shared" ca="1" si="205"/>
        <v>183.54084615384616</v>
      </c>
      <c r="AK79" s="8">
        <f t="shared" si="214"/>
        <v>3569</v>
      </c>
      <c r="AL79" s="12">
        <f t="shared" ca="1" si="206"/>
        <v>0.82319977584757631</v>
      </c>
      <c r="AM79" s="13">
        <f t="shared" si="215"/>
        <v>1.5</v>
      </c>
      <c r="AN79" s="12">
        <f t="shared" ca="1" si="207"/>
        <v>0.41044451364350815</v>
      </c>
      <c r="AO79" s="14">
        <f t="shared" ca="1" si="208"/>
        <v>0.61566677046526219</v>
      </c>
      <c r="AP79" s="13">
        <f t="shared" ref="AP79:AQ79" ca="1" si="221">SUM(T70)</f>
        <v>222.33900200344777</v>
      </c>
      <c r="AQ79" s="13">
        <f t="shared" ca="1" si="221"/>
        <v>8.5515000770556835</v>
      </c>
      <c r="AR79" s="9">
        <f t="shared" ca="1" si="210"/>
        <v>113</v>
      </c>
      <c r="AS79" s="76"/>
      <c r="AT79" s="76"/>
    </row>
    <row r="80" spans="1:46" ht="15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6"/>
      <c r="X80" s="8">
        <v>6</v>
      </c>
      <c r="Y80" s="8" t="s">
        <v>41</v>
      </c>
      <c r="Z80" s="8">
        <f t="shared" ref="Z80:AI80" si="222">SUM(D71)</f>
        <v>24</v>
      </c>
      <c r="AA80" s="9">
        <f t="shared" ca="1" si="222"/>
        <v>24</v>
      </c>
      <c r="AB80" s="10">
        <f t="shared" ca="1" si="222"/>
        <v>4621.9679999999998</v>
      </c>
      <c r="AC80" s="9">
        <f t="shared" ca="1" si="222"/>
        <v>1246</v>
      </c>
      <c r="AD80" s="9">
        <f t="shared" ca="1" si="222"/>
        <v>0</v>
      </c>
      <c r="AE80" s="9">
        <f t="shared" ca="1" si="222"/>
        <v>1246</v>
      </c>
      <c r="AF80" s="9">
        <f t="shared" ca="1" si="222"/>
        <v>1816</v>
      </c>
      <c r="AG80" s="9">
        <f t="shared" ca="1" si="222"/>
        <v>0</v>
      </c>
      <c r="AH80" s="9">
        <f t="shared" ca="1" si="222"/>
        <v>1816</v>
      </c>
      <c r="AI80" s="9">
        <f t="shared" ca="1" si="222"/>
        <v>3062</v>
      </c>
      <c r="AJ80" s="11">
        <f t="shared" ca="1" si="205"/>
        <v>192.58199999999999</v>
      </c>
      <c r="AK80" s="8">
        <f t="shared" si="214"/>
        <v>3801</v>
      </c>
      <c r="AL80" s="12">
        <f t="shared" ca="1" si="206"/>
        <v>0.80557747961062875</v>
      </c>
      <c r="AM80" s="13">
        <f t="shared" si="215"/>
        <v>1.5</v>
      </c>
      <c r="AN80" s="12">
        <f t="shared" ca="1" si="207"/>
        <v>0.44165890662447976</v>
      </c>
      <c r="AO80" s="14">
        <f t="shared" ca="1" si="208"/>
        <v>0.66248835993671962</v>
      </c>
      <c r="AP80" s="13">
        <f t="shared" ref="AP80:AQ80" ca="1" si="223">SUM(T71)</f>
        <v>156</v>
      </c>
      <c r="AQ80" s="13">
        <f t="shared" ca="1" si="223"/>
        <v>6.5</v>
      </c>
      <c r="AR80" s="9">
        <f t="shared" ca="1" si="210"/>
        <v>127.58333333333333</v>
      </c>
      <c r="AS80" s="76"/>
      <c r="AT80" s="76"/>
    </row>
    <row r="81" spans="1:46" ht="15.75" customHeight="1" x14ac:dyDescent="0.25">
      <c r="A81" s="110" t="s">
        <v>45</v>
      </c>
      <c r="B81" s="76"/>
      <c r="C81" s="76"/>
      <c r="D81" s="75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24" t="s">
        <v>33</v>
      </c>
      <c r="Y81" s="24">
        <v>6</v>
      </c>
      <c r="Z81" s="24">
        <f t="shared" ref="Z81:AI81" si="224">SUM(Z75:Z80)</f>
        <v>173</v>
      </c>
      <c r="AA81" s="25">
        <f t="shared" ca="1" si="224"/>
        <v>170</v>
      </c>
      <c r="AB81" s="27">
        <f t="shared" ca="1" si="224"/>
        <v>32855.942999999992</v>
      </c>
      <c r="AC81" s="25">
        <f t="shared" ca="1" si="224"/>
        <v>12713</v>
      </c>
      <c r="AD81" s="25">
        <f t="shared" ca="1" si="224"/>
        <v>140</v>
      </c>
      <c r="AE81" s="25">
        <f t="shared" ca="1" si="224"/>
        <v>12853</v>
      </c>
      <c r="AF81" s="25">
        <f t="shared" ca="1" si="224"/>
        <v>17331</v>
      </c>
      <c r="AG81" s="25">
        <f t="shared" ca="1" si="224"/>
        <v>0</v>
      </c>
      <c r="AH81" s="25">
        <f t="shared" ca="1" si="224"/>
        <v>17331</v>
      </c>
      <c r="AI81" s="25">
        <f t="shared" ca="1" si="224"/>
        <v>30184</v>
      </c>
      <c r="AJ81" s="27">
        <f t="shared" ca="1" si="205"/>
        <v>193.27025294117644</v>
      </c>
      <c r="AK81" s="24">
        <f>SUM(AK75:AK80)</f>
        <v>37031</v>
      </c>
      <c r="AL81" s="28">
        <f t="shared" ca="1" si="206"/>
        <v>0.81510086144041483</v>
      </c>
      <c r="AM81" s="29">
        <v>1.5</v>
      </c>
      <c r="AN81" s="28">
        <f t="shared" ca="1" si="207"/>
        <v>0.61245135063287248</v>
      </c>
      <c r="AO81" s="30">
        <f t="shared" ca="1" si="208"/>
        <v>0.91867702594930867</v>
      </c>
      <c r="AP81" s="29">
        <f ca="1">SUM(AP75:AP80)</f>
        <v>1352.5637573908396</v>
      </c>
      <c r="AQ81" s="29">
        <f ca="1">AP81/AA81</f>
        <v>7.9562573964167029</v>
      </c>
      <c r="AR81" s="25">
        <f t="shared" ca="1" si="210"/>
        <v>177.5529411764706</v>
      </c>
      <c r="AS81" s="76"/>
      <c r="AT81" s="76"/>
    </row>
    <row r="82" spans="1:46" ht="15.75" customHeight="1" x14ac:dyDescent="0.2">
      <c r="A82" s="110" t="s">
        <v>45</v>
      </c>
      <c r="B82" s="76"/>
      <c r="C82" s="76"/>
      <c r="D82" s="75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7" t="s">
        <v>1</v>
      </c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9"/>
      <c r="AS82" s="76"/>
      <c r="AT82" s="76"/>
    </row>
    <row r="83" spans="1:46" ht="15.75" customHeight="1" x14ac:dyDescent="0.2">
      <c r="A83" s="109">
        <v>46238</v>
      </c>
      <c r="B83" s="80" t="s">
        <v>2</v>
      </c>
      <c r="C83" s="80" t="s">
        <v>3</v>
      </c>
      <c r="D83" s="80" t="s">
        <v>4</v>
      </c>
      <c r="E83" s="80" t="s">
        <v>5</v>
      </c>
      <c r="F83" s="81" t="s">
        <v>6</v>
      </c>
      <c r="G83" s="80" t="s">
        <v>7</v>
      </c>
      <c r="H83" s="80" t="s">
        <v>8</v>
      </c>
      <c r="I83" s="80" t="s">
        <v>9</v>
      </c>
      <c r="J83" s="80" t="s">
        <v>10</v>
      </c>
      <c r="K83" s="80" t="s">
        <v>11</v>
      </c>
      <c r="L83" s="80" t="s">
        <v>12</v>
      </c>
      <c r="M83" s="80" t="s">
        <v>13</v>
      </c>
      <c r="N83" s="81" t="s">
        <v>14</v>
      </c>
      <c r="O83" s="80" t="s">
        <v>15</v>
      </c>
      <c r="P83" s="80" t="s">
        <v>16</v>
      </c>
      <c r="Q83" s="80" t="s">
        <v>17</v>
      </c>
      <c r="R83" s="80" t="s">
        <v>18</v>
      </c>
      <c r="S83" s="106" t="s">
        <v>19</v>
      </c>
      <c r="T83" s="107" t="s">
        <v>20</v>
      </c>
      <c r="U83" s="107" t="s">
        <v>21</v>
      </c>
      <c r="V83" s="105" t="s">
        <v>22</v>
      </c>
      <c r="W83" s="76"/>
      <c r="X83" s="1" t="s">
        <v>2</v>
      </c>
      <c r="Y83" s="1" t="s">
        <v>3</v>
      </c>
      <c r="Z83" s="1" t="s">
        <v>4</v>
      </c>
      <c r="AA83" s="1" t="s">
        <v>5</v>
      </c>
      <c r="AB83" s="2" t="s">
        <v>6</v>
      </c>
      <c r="AC83" s="1" t="s">
        <v>7</v>
      </c>
      <c r="AD83" s="1" t="s">
        <v>8</v>
      </c>
      <c r="AE83" s="1" t="s">
        <v>9</v>
      </c>
      <c r="AF83" s="1" t="s">
        <v>10</v>
      </c>
      <c r="AG83" s="1" t="s">
        <v>11</v>
      </c>
      <c r="AH83" s="1" t="s">
        <v>12</v>
      </c>
      <c r="AI83" s="1" t="s">
        <v>13</v>
      </c>
      <c r="AJ83" s="2" t="s">
        <v>14</v>
      </c>
      <c r="AK83" s="1" t="s">
        <v>15</v>
      </c>
      <c r="AL83" s="1" t="s">
        <v>16</v>
      </c>
      <c r="AM83" s="3" t="s">
        <v>17</v>
      </c>
      <c r="AN83" s="4" t="s">
        <v>18</v>
      </c>
      <c r="AO83" s="5" t="s">
        <v>19</v>
      </c>
      <c r="AP83" s="6" t="s">
        <v>20</v>
      </c>
      <c r="AQ83" s="6" t="s">
        <v>21</v>
      </c>
      <c r="AR83" s="7" t="s">
        <v>22</v>
      </c>
      <c r="AS83" s="76"/>
      <c r="AT83" s="76"/>
    </row>
    <row r="84" spans="1:46" ht="15.75" customHeight="1" x14ac:dyDescent="0.2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6"/>
      <c r="X84" s="8">
        <v>1</v>
      </c>
      <c r="Y84" s="8" t="s">
        <v>23</v>
      </c>
      <c r="Z84" s="8">
        <f t="shared" ref="Z84:AI84" si="225">SUM(D92)</f>
        <v>35</v>
      </c>
      <c r="AA84" s="9">
        <f t="shared" ca="1" si="225"/>
        <v>35</v>
      </c>
      <c r="AB84" s="10">
        <f t="shared" ca="1" si="225"/>
        <v>6515.4079999999904</v>
      </c>
      <c r="AC84" s="9">
        <f t="shared" ca="1" si="225"/>
        <v>1779</v>
      </c>
      <c r="AD84" s="9">
        <f t="shared" ca="1" si="225"/>
        <v>0</v>
      </c>
      <c r="AE84" s="9">
        <f t="shared" ca="1" si="225"/>
        <v>1779</v>
      </c>
      <c r="AF84" s="9">
        <f t="shared" ca="1" si="225"/>
        <v>3241</v>
      </c>
      <c r="AG84" s="9">
        <f t="shared" ca="1" si="225"/>
        <v>0</v>
      </c>
      <c r="AH84" s="9">
        <f t="shared" ca="1" si="225"/>
        <v>3241</v>
      </c>
      <c r="AI84" s="9">
        <f t="shared" ca="1" si="225"/>
        <v>5020</v>
      </c>
      <c r="AJ84" s="11">
        <f t="shared" ref="AJ84:AJ86" ca="1" si="226">AB84/AA84</f>
        <v>186.15451428571401</v>
      </c>
      <c r="AK84" s="8">
        <f>SUM(O92)</f>
        <v>6853</v>
      </c>
      <c r="AL84" s="12">
        <f t="shared" ref="AL84:AL90" ca="1" si="227">AI84/AK84</f>
        <v>0.73252590106522686</v>
      </c>
      <c r="AM84" s="13">
        <f t="shared" ref="AM84:AM86" si="228">SUM(Q92)</f>
        <v>1.5</v>
      </c>
      <c r="AN84" s="12">
        <f t="shared" ref="AN84:AN90" ca="1" si="229">AO84/AM84</f>
        <v>0.5136541973529013</v>
      </c>
      <c r="AO84" s="14">
        <f t="shared" ref="AO84:AO90" ca="1" si="230">AI84/AB84</f>
        <v>0.77048129602935189</v>
      </c>
      <c r="AP84" s="13">
        <f t="shared" ref="AP84:AQ84" ca="1" si="231">SUM(T92)</f>
        <v>193.10634262003526</v>
      </c>
      <c r="AQ84" s="13">
        <f t="shared" ca="1" si="231"/>
        <v>5.5173240748581502</v>
      </c>
      <c r="AR84" s="9">
        <f t="shared" ref="AR84:AR90" ca="1" si="232">AI84/AA84</f>
        <v>143.42857142857142</v>
      </c>
      <c r="AS84" s="76"/>
      <c r="AT84" s="76"/>
    </row>
    <row r="85" spans="1:46" ht="15.75" customHeight="1" x14ac:dyDescent="0.2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6"/>
      <c r="X85" s="8">
        <v>2</v>
      </c>
      <c r="Y85" s="8" t="s">
        <v>24</v>
      </c>
      <c r="Z85" s="8">
        <f t="shared" ref="Z85:AI85" si="233">SUM(D93)</f>
        <v>44</v>
      </c>
      <c r="AA85" s="9">
        <f t="shared" ca="1" si="233"/>
        <v>43</v>
      </c>
      <c r="AB85" s="10">
        <f t="shared" ca="1" si="233"/>
        <v>8110.6929999999902</v>
      </c>
      <c r="AC85" s="9">
        <f t="shared" ca="1" si="233"/>
        <v>995</v>
      </c>
      <c r="AD85" s="9">
        <f t="shared" ca="1" si="233"/>
        <v>26</v>
      </c>
      <c r="AE85" s="9">
        <f t="shared" ca="1" si="233"/>
        <v>1021</v>
      </c>
      <c r="AF85" s="9">
        <f t="shared" ca="1" si="233"/>
        <v>942</v>
      </c>
      <c r="AG85" s="9">
        <f t="shared" ca="1" si="233"/>
        <v>49</v>
      </c>
      <c r="AH85" s="9">
        <f t="shared" ca="1" si="233"/>
        <v>991</v>
      </c>
      <c r="AI85" s="9">
        <f t="shared" ca="1" si="233"/>
        <v>2012</v>
      </c>
      <c r="AJ85" s="11">
        <f t="shared" ca="1" si="226"/>
        <v>188.62076744186024</v>
      </c>
      <c r="AK85" s="8">
        <v>1580</v>
      </c>
      <c r="AL85" s="15">
        <f t="shared" ca="1" si="227"/>
        <v>1.2734177215189872</v>
      </c>
      <c r="AM85" s="13">
        <f t="shared" si="228"/>
        <v>1.5</v>
      </c>
      <c r="AN85" s="12">
        <f t="shared" ca="1" si="229"/>
        <v>0.16537838792977802</v>
      </c>
      <c r="AO85" s="14">
        <f t="shared" ca="1" si="230"/>
        <v>0.24806758189466702</v>
      </c>
      <c r="AP85" s="13">
        <f t="shared" ref="AP85:AQ85" ca="1" si="234">SUM(T93)</f>
        <v>302.58134676366313</v>
      </c>
      <c r="AQ85" s="13">
        <f t="shared" ca="1" si="234"/>
        <v>7.0367755061317006</v>
      </c>
      <c r="AR85" s="9">
        <f t="shared" ca="1" si="232"/>
        <v>46.790697674418603</v>
      </c>
      <c r="AS85" s="76"/>
      <c r="AT85" s="76"/>
    </row>
    <row r="86" spans="1:46" ht="15.75" customHeight="1" x14ac:dyDescent="0.2">
      <c r="A86" s="70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6"/>
      <c r="X86" s="8">
        <v>3</v>
      </c>
      <c r="Y86" s="8" t="s">
        <v>25</v>
      </c>
      <c r="Z86" s="8">
        <f t="shared" ref="Z86:AI86" si="235">SUM(D94)</f>
        <v>32</v>
      </c>
      <c r="AA86" s="9">
        <f t="shared" ca="1" si="235"/>
        <v>32</v>
      </c>
      <c r="AB86" s="10">
        <f t="shared" ca="1" si="235"/>
        <v>6062.4319999999998</v>
      </c>
      <c r="AC86" s="9">
        <f t="shared" ca="1" si="235"/>
        <v>2333</v>
      </c>
      <c r="AD86" s="9">
        <f t="shared" ca="1" si="235"/>
        <v>389</v>
      </c>
      <c r="AE86" s="9">
        <f t="shared" ca="1" si="235"/>
        <v>2722</v>
      </c>
      <c r="AF86" s="9">
        <f t="shared" ca="1" si="235"/>
        <v>3312</v>
      </c>
      <c r="AG86" s="9">
        <f t="shared" ca="1" si="235"/>
        <v>290</v>
      </c>
      <c r="AH86" s="9">
        <f t="shared" ca="1" si="235"/>
        <v>3602</v>
      </c>
      <c r="AI86" s="9">
        <f t="shared" ca="1" si="235"/>
        <v>6324</v>
      </c>
      <c r="AJ86" s="11">
        <f t="shared" ca="1" si="226"/>
        <v>189.45099999999999</v>
      </c>
      <c r="AK86" s="8">
        <f>SUM(O94)</f>
        <v>6622</v>
      </c>
      <c r="AL86" s="12">
        <f t="shared" ca="1" si="227"/>
        <v>0.95499848988221081</v>
      </c>
      <c r="AM86" s="13">
        <f t="shared" si="228"/>
        <v>1.5</v>
      </c>
      <c r="AN86" s="12">
        <f t="shared" ca="1" si="229"/>
        <v>0.69543048070477331</v>
      </c>
      <c r="AO86" s="14">
        <f t="shared" ca="1" si="230"/>
        <v>1.04314572105716</v>
      </c>
      <c r="AP86" s="13">
        <f t="shared" ref="AP86:AQ86" ca="1" si="236">SUM(T94)</f>
        <v>254.296644295302</v>
      </c>
      <c r="AQ86" s="13">
        <f t="shared" ca="1" si="236"/>
        <v>7.9467701342281876</v>
      </c>
      <c r="AR86" s="9">
        <f t="shared" ca="1" si="232"/>
        <v>197.625</v>
      </c>
      <c r="AS86" s="76"/>
      <c r="AT86" s="76"/>
    </row>
    <row r="87" spans="1:46" ht="15.75" customHeight="1" x14ac:dyDescent="0.25">
      <c r="A87" s="70"/>
      <c r="B87" s="16">
        <v>1</v>
      </c>
      <c r="C87" s="16" t="s">
        <v>26</v>
      </c>
      <c r="D87" s="17">
        <v>20</v>
      </c>
      <c r="E87" s="18">
        <f ca="1">IFERROR(__xludf.DUMMYFUNCTION("COUNT(IMPORTRANGE(""https://docs.google.com/spreadsheets/d/1iVFEBQOAONhqDIMRa2hQ7WkCQv0dJWSAmc0AzfvSCMg/edit"",""4!d2:d21""))"),20)</f>
        <v>20</v>
      </c>
      <c r="F87" s="19">
        <f ca="1">IFERROR(__xludf.DUMMYFUNCTION("SUM(IMPORTRANGE(""https://docs.google.com/spreadsheets/d/1iVFEBQOAONhqDIMRa2hQ7WkCQv0dJWSAmc0AzfvSCMg/edit"",""4!Q2:Q21""))"),3856.548)</f>
        <v>3856.5479999999998</v>
      </c>
      <c r="G87" s="18">
        <f ca="1">IFERROR(__xludf.DUMMYFUNCTION("IMPORTRANGE(""https://docs.google.com/spreadsheets/d/1iVFEBQOAONhqDIMRa2hQ7WkCQv0dJWSAmc0AzfvSCMg/edit"",""4!e28"")"),2472)</f>
        <v>2472</v>
      </c>
      <c r="H87" s="18">
        <f ca="1">IFERROR(__xludf.DUMMYFUNCTION("IMPORTRANGE(""https://docs.google.com/spreadsheets/d/1iVFEBQOAONhqDIMRa2hQ7WkCQv0dJWSAmc0AzfvSCMg/edit"",""4!e29"")"),0)</f>
        <v>0</v>
      </c>
      <c r="I87" s="18">
        <f t="shared" ref="I87:I104" ca="1" si="237">SUM(G87:H87)</f>
        <v>2472</v>
      </c>
      <c r="J87" s="18">
        <f ca="1">IFERROR(__xludf.DUMMYFUNCTION("IMPORTRANGE(""https://docs.google.com/spreadsheets/d/1iVFEBQOAONhqDIMRa2hQ7WkCQv0dJWSAmc0AzfvSCMg/edit"",""4!e32"")"),2541)</f>
        <v>2541</v>
      </c>
      <c r="K87" s="18">
        <f ca="1">IFERROR(__xludf.DUMMYFUNCTION("IMPORTRANGE(""https://docs.google.com/spreadsheets/d/1iVFEBQOAONhqDIMRa2hQ7WkCQv0dJWSAmc0AzfvSCMg/edit"",""4!e33"")"),0)</f>
        <v>0</v>
      </c>
      <c r="L87" s="18">
        <f t="shared" ref="L87:L93" ca="1" si="238">SUM(J87:K87)</f>
        <v>2541</v>
      </c>
      <c r="M87" s="18">
        <f t="shared" ref="M87:M104" ca="1" si="239">SUM(I87+L87)</f>
        <v>5013</v>
      </c>
      <c r="N87" s="19">
        <f t="shared" ref="N87:N105" ca="1" si="240">F87/E87</f>
        <v>192.82739999999998</v>
      </c>
      <c r="O87" s="16">
        <v>5161</v>
      </c>
      <c r="P87" s="20">
        <f t="shared" ref="P87:P105" ca="1" si="241">M87/O87</f>
        <v>0.97132338694051545</v>
      </c>
      <c r="Q87" s="21">
        <v>1.5</v>
      </c>
      <c r="R87" s="20">
        <f t="shared" ref="R87:R105" ca="1" si="242">S87/Q87</f>
        <v>0.86657809004322006</v>
      </c>
      <c r="S87" s="22">
        <f t="shared" ref="S87:S105" ca="1" si="243">M87/F87</f>
        <v>1.2998671350648301</v>
      </c>
      <c r="T87" s="21">
        <f ca="1">F87/14.415</f>
        <v>267.53714880332984</v>
      </c>
      <c r="U87" s="21">
        <f t="shared" ref="U87:U105" ca="1" si="244">T87/E87</f>
        <v>13.376857440166493</v>
      </c>
      <c r="V87" s="18">
        <f t="shared" ref="V87:V105" ca="1" si="245">M87/E87</f>
        <v>250.65</v>
      </c>
      <c r="W87" s="76"/>
      <c r="X87" s="8">
        <v>4</v>
      </c>
      <c r="Y87" s="8" t="s">
        <v>27</v>
      </c>
      <c r="Z87" s="8">
        <f t="shared" ref="Z87:AK87" si="246">SUM(D100)</f>
        <v>30</v>
      </c>
      <c r="AA87" s="9">
        <f t="shared" ca="1" si="246"/>
        <v>30</v>
      </c>
      <c r="AB87" s="10">
        <f t="shared" ca="1" si="246"/>
        <v>5825.49</v>
      </c>
      <c r="AC87" s="9">
        <f t="shared" ca="1" si="246"/>
        <v>2530</v>
      </c>
      <c r="AD87" s="9">
        <f t="shared" ca="1" si="246"/>
        <v>0</v>
      </c>
      <c r="AE87" s="9">
        <f t="shared" ca="1" si="246"/>
        <v>2530</v>
      </c>
      <c r="AF87" s="9">
        <f t="shared" ca="1" si="246"/>
        <v>3382</v>
      </c>
      <c r="AG87" s="9">
        <f t="shared" ca="1" si="246"/>
        <v>0</v>
      </c>
      <c r="AH87" s="9">
        <f t="shared" ca="1" si="246"/>
        <v>3382</v>
      </c>
      <c r="AI87" s="9">
        <f t="shared" ca="1" si="246"/>
        <v>5912</v>
      </c>
      <c r="AJ87" s="11">
        <f t="shared" ca="1" si="246"/>
        <v>194.18299999999999</v>
      </c>
      <c r="AK87" s="8">
        <f t="shared" si="246"/>
        <v>8101</v>
      </c>
      <c r="AL87" s="12">
        <f t="shared" ca="1" si="227"/>
        <v>0.72978644611776322</v>
      </c>
      <c r="AM87" s="13">
        <f>SUM(Q100)</f>
        <v>1.5</v>
      </c>
      <c r="AN87" s="12">
        <f t="shared" ca="1" si="229"/>
        <v>0.67656683529339734</v>
      </c>
      <c r="AO87" s="14">
        <f t="shared" ca="1" si="230"/>
        <v>1.014850252940096</v>
      </c>
      <c r="AP87" s="13">
        <f t="shared" ref="AP87:AQ87" ca="1" si="247">SUM(T100)</f>
        <v>291.49311983987991</v>
      </c>
      <c r="AQ87" s="13">
        <f t="shared" ca="1" si="247"/>
        <v>9.7164373279959975</v>
      </c>
      <c r="AR87" s="9">
        <f t="shared" ca="1" si="232"/>
        <v>197.06666666666666</v>
      </c>
      <c r="AS87" s="76"/>
      <c r="AT87" s="76"/>
    </row>
    <row r="88" spans="1:46" ht="15.75" customHeight="1" x14ac:dyDescent="0.25">
      <c r="A88" s="70"/>
      <c r="B88" s="16">
        <v>2</v>
      </c>
      <c r="C88" s="16" t="s">
        <v>28</v>
      </c>
      <c r="D88" s="17">
        <v>33</v>
      </c>
      <c r="E88" s="18">
        <f ca="1">IFERROR(__xludf.DUMMYFUNCTION("COUNT(IMPORTRANGE(""https://docs.google.com/spreadsheets/d/1tJCeYclgeJZ4Dc78t_SkhVjtacKW-5-VGim8X1rzUzk/edit"",""4!d2:d34""))"),32)</f>
        <v>32</v>
      </c>
      <c r="F88" s="19">
        <f ca="1">IFERROR(__xludf.DUMMYFUNCTION("SUM(IMPORTRANGE(""https://docs.google.com/spreadsheets/d/1tJCeYclgeJZ4Dc78t_SkhVjtacKW-5-VGim8X1rzUzk/edit"",""4!Q2:Q34""))"),6188.966)</f>
        <v>6188.9660000000003</v>
      </c>
      <c r="G88" s="18">
        <f ca="1">IFERROR(__xludf.DUMMYFUNCTION("IMPORTRANGE(""https://docs.google.com/spreadsheets/d/1tJCeYclgeJZ4Dc78t_SkhVjtacKW-5-VGim8X1rzUzk/edit"",""4!e41"")"),2582)</f>
        <v>2582</v>
      </c>
      <c r="H88" s="18">
        <f ca="1">IFERROR(__xludf.DUMMYFUNCTION("IMPORTRANGE(""https://docs.google.com/spreadsheets/d/1tJCeYclgeJZ4Dc78t_SkhVjtacKW-5-VGim8X1rzUzk/edit"",""4!e42"")"),237)</f>
        <v>237</v>
      </c>
      <c r="I88" s="18">
        <f t="shared" ca="1" si="237"/>
        <v>2819</v>
      </c>
      <c r="J88" s="18">
        <f ca="1">IFERROR(__xludf.DUMMYFUNCTION("IMPORTRANGE(""https://docs.google.com/spreadsheets/d/1tJCeYclgeJZ4Dc78t_SkhVjtacKW-5-VGim8X1rzUzk/edit"",""4!e45"")"),3013)</f>
        <v>3013</v>
      </c>
      <c r="K88" s="18">
        <f ca="1">IFERROR(__xludf.DUMMYFUNCTION("IMPORTRANGE(""https://docs.google.com/spreadsheets/d/1tJCeYclgeJZ4Dc78t_SkhVjtacKW-5-VGim8X1rzUzk/edit"",""4!e46"")"),257)</f>
        <v>257</v>
      </c>
      <c r="L88" s="18">
        <f t="shared" ca="1" si="238"/>
        <v>3270</v>
      </c>
      <c r="M88" s="18">
        <f t="shared" ca="1" si="239"/>
        <v>6089</v>
      </c>
      <c r="N88" s="19">
        <f t="shared" ca="1" si="240"/>
        <v>193.40518750000001</v>
      </c>
      <c r="O88" s="16">
        <v>7315</v>
      </c>
      <c r="P88" s="20">
        <f t="shared" ca="1" si="241"/>
        <v>0.83239917976760081</v>
      </c>
      <c r="Q88" s="21">
        <v>1.5</v>
      </c>
      <c r="R88" s="20">
        <f t="shared" ca="1" si="242"/>
        <v>0.65589847049302474</v>
      </c>
      <c r="S88" s="22">
        <f t="shared" ca="1" si="243"/>
        <v>0.98384770573953706</v>
      </c>
      <c r="T88" s="21">
        <f ca="1">F88/30.897</f>
        <v>200.30960934718584</v>
      </c>
      <c r="U88" s="21">
        <f t="shared" ca="1" si="244"/>
        <v>6.2596752920995575</v>
      </c>
      <c r="V88" s="18">
        <f t="shared" ca="1" si="245"/>
        <v>190.28125</v>
      </c>
      <c r="W88" s="76"/>
      <c r="X88" s="8">
        <v>5</v>
      </c>
      <c r="Y88" s="8" t="s">
        <v>29</v>
      </c>
      <c r="Z88" s="8">
        <f t="shared" ref="Z88:AI88" si="248">SUM(D103)</f>
        <v>30</v>
      </c>
      <c r="AA88" s="9">
        <f t="shared" ca="1" si="248"/>
        <v>29</v>
      </c>
      <c r="AB88" s="10">
        <f t="shared" ca="1" si="248"/>
        <v>5858.55</v>
      </c>
      <c r="AC88" s="9">
        <f t="shared" ca="1" si="248"/>
        <v>2803</v>
      </c>
      <c r="AD88" s="9">
        <f t="shared" ca="1" si="248"/>
        <v>196</v>
      </c>
      <c r="AE88" s="9">
        <f t="shared" ca="1" si="248"/>
        <v>2999</v>
      </c>
      <c r="AF88" s="9">
        <f t="shared" ca="1" si="248"/>
        <v>4312</v>
      </c>
      <c r="AG88" s="9">
        <f t="shared" ca="1" si="248"/>
        <v>0</v>
      </c>
      <c r="AH88" s="9">
        <f t="shared" ca="1" si="248"/>
        <v>4312</v>
      </c>
      <c r="AI88" s="9">
        <f t="shared" ca="1" si="248"/>
        <v>7311</v>
      </c>
      <c r="AJ88" s="11">
        <f t="shared" ref="AJ88:AJ90" ca="1" si="249">AB88/AA88</f>
        <v>202.01896551724138</v>
      </c>
      <c r="AK88" s="8">
        <f t="shared" ref="AK88:AK89" si="250">SUM(O103)</f>
        <v>9201</v>
      </c>
      <c r="AL88" s="12">
        <f t="shared" ca="1" si="227"/>
        <v>0.79458754483208349</v>
      </c>
      <c r="AM88" s="13">
        <f t="shared" ref="AM88:AM89" si="251">SUM(Q103)</f>
        <v>1.5</v>
      </c>
      <c r="AN88" s="12">
        <f t="shared" ca="1" si="229"/>
        <v>0.83194647139650602</v>
      </c>
      <c r="AO88" s="14">
        <f t="shared" ca="1" si="230"/>
        <v>1.247919707094759</v>
      </c>
      <c r="AP88" s="13">
        <f t="shared" ref="AP88:AQ88" ca="1" si="252">SUM(T103)</f>
        <v>225</v>
      </c>
      <c r="AQ88" s="13">
        <f t="shared" ca="1" si="252"/>
        <v>7.7586206896551726</v>
      </c>
      <c r="AR88" s="9">
        <f t="shared" ca="1" si="232"/>
        <v>252.10344827586206</v>
      </c>
      <c r="AS88" s="76"/>
      <c r="AT88" s="76"/>
    </row>
    <row r="89" spans="1:46" ht="15.75" customHeight="1" x14ac:dyDescent="0.25">
      <c r="A89" s="70"/>
      <c r="B89" s="16">
        <v>3</v>
      </c>
      <c r="C89" s="16" t="s">
        <v>30</v>
      </c>
      <c r="D89" s="17">
        <v>60</v>
      </c>
      <c r="E89" s="18">
        <f ca="1">IFERROR(__xludf.DUMMYFUNCTION("COUNT(IMPORTRANGE(""https://docs.google.com/spreadsheets/d/130gLEONC13J8KkQ6dk06x3bLRy_jCrAw2hXatQf2W50/edit"",""4!d2:d61""))"),60)</f>
        <v>60</v>
      </c>
      <c r="F89" s="23">
        <f ca="1">IFERROR(__xludf.DUMMYFUNCTION("SUM(IMPORTRANGE(""https://docs.google.com/spreadsheets/d/130gLEONC13J8KkQ6dk06x3bLRy_jCrAw2hXatQf2W50/edit"",""4!Q2:Q61""))"),11972.3109999999)</f>
        <v>11972.3109999999</v>
      </c>
      <c r="G89" s="18">
        <f ca="1">IFERROR(__xludf.DUMMYFUNCTION("IMPORTRANGE(""https://docs.google.com/spreadsheets/d/130gLEONC13J8KkQ6dk06x3bLRy_jCrAw2hXatQf2W50/edit"",""4!e68"")"),3466)</f>
        <v>3466</v>
      </c>
      <c r="H89" s="18">
        <f ca="1">IFERROR(__xludf.DUMMYFUNCTION("IMPORTRANGE(""https://docs.google.com/spreadsheets/d/130gLEONC13J8KkQ6dk06x3bLRy_jCrAw2hXatQf2W50/edit"",""4!e69"")"),46)</f>
        <v>46</v>
      </c>
      <c r="I89" s="18">
        <f t="shared" ca="1" si="237"/>
        <v>3512</v>
      </c>
      <c r="J89" s="18">
        <f ca="1">IFERROR(__xludf.DUMMYFUNCTION("IMPORTRANGE(""https://docs.google.com/spreadsheets/d/130gLEONC13J8KkQ6dk06x3bLRy_jCrAw2hXatQf2W50/edit"",""4!e72"")"),6014)</f>
        <v>6014</v>
      </c>
      <c r="K89" s="18">
        <f ca="1">IFERROR(__xludf.DUMMYFUNCTION("IMPORTRANGE(""https://docs.google.com/spreadsheets/d/130gLEONC13J8KkQ6dk06x3bLRy_jCrAw2hXatQf2W50/edit"",""4!e73"")"),57)</f>
        <v>57</v>
      </c>
      <c r="L89" s="18">
        <f t="shared" ca="1" si="238"/>
        <v>6071</v>
      </c>
      <c r="M89" s="18">
        <f t="shared" ca="1" si="239"/>
        <v>9583</v>
      </c>
      <c r="N89" s="19">
        <f t="shared" ca="1" si="240"/>
        <v>199.538516666665</v>
      </c>
      <c r="O89" s="16">
        <v>11164</v>
      </c>
      <c r="P89" s="20">
        <f t="shared" ca="1" si="241"/>
        <v>0.85838409172339658</v>
      </c>
      <c r="Q89" s="21">
        <v>1.5</v>
      </c>
      <c r="R89" s="20">
        <f t="shared" ca="1" si="242"/>
        <v>0.53362017296967312</v>
      </c>
      <c r="S89" s="22">
        <f t="shared" ca="1" si="243"/>
        <v>0.80043025945450974</v>
      </c>
      <c r="T89" s="21">
        <f ca="1">F89/29.603</f>
        <v>404.42897679288922</v>
      </c>
      <c r="U89" s="21">
        <f t="shared" ca="1" si="244"/>
        <v>6.7404829465481537</v>
      </c>
      <c r="V89" s="18">
        <f t="shared" ca="1" si="245"/>
        <v>159.71666666666667</v>
      </c>
      <c r="W89" s="76"/>
      <c r="X89" s="8">
        <v>6</v>
      </c>
      <c r="Y89" s="8" t="s">
        <v>31</v>
      </c>
      <c r="Z89" s="8">
        <f t="shared" ref="Z89:AI89" si="253">SUM(D104)</f>
        <v>15</v>
      </c>
      <c r="AA89" s="9">
        <f t="shared" ca="1" si="253"/>
        <v>14</v>
      </c>
      <c r="AB89" s="11">
        <f t="shared" ca="1" si="253"/>
        <v>2694.8299999999899</v>
      </c>
      <c r="AC89" s="9">
        <f t="shared" ca="1" si="253"/>
        <v>847</v>
      </c>
      <c r="AD89" s="9">
        <f t="shared" ca="1" si="253"/>
        <v>0</v>
      </c>
      <c r="AE89" s="9">
        <f t="shared" ca="1" si="253"/>
        <v>847</v>
      </c>
      <c r="AF89" s="9">
        <f t="shared" ca="1" si="253"/>
        <v>1099</v>
      </c>
      <c r="AG89" s="9">
        <f t="shared" ca="1" si="253"/>
        <v>23</v>
      </c>
      <c r="AH89" s="9">
        <f t="shared" ca="1" si="253"/>
        <v>1122</v>
      </c>
      <c r="AI89" s="9">
        <f t="shared" ca="1" si="253"/>
        <v>1969</v>
      </c>
      <c r="AJ89" s="11">
        <f t="shared" ca="1" si="249"/>
        <v>192.48785714285643</v>
      </c>
      <c r="AK89" s="8">
        <f t="shared" si="250"/>
        <v>2717</v>
      </c>
      <c r="AL89" s="12">
        <f t="shared" ca="1" si="227"/>
        <v>0.7246963562753036</v>
      </c>
      <c r="AM89" s="13">
        <f t="shared" si="251"/>
        <v>1.5</v>
      </c>
      <c r="AN89" s="12">
        <f t="shared" ca="1" si="229"/>
        <v>0.48710555644202852</v>
      </c>
      <c r="AO89" s="14">
        <f t="shared" ca="1" si="230"/>
        <v>0.73065833466304275</v>
      </c>
      <c r="AP89" s="13">
        <f t="shared" ref="AP89:AQ89" ca="1" si="254">SUM(T104)</f>
        <v>61.999999999999766</v>
      </c>
      <c r="AQ89" s="13">
        <f t="shared" ca="1" si="254"/>
        <v>4.4285714285714119</v>
      </c>
      <c r="AR89" s="9">
        <f t="shared" ca="1" si="232"/>
        <v>140.64285714285714</v>
      </c>
      <c r="AS89" s="76"/>
      <c r="AT89" s="76"/>
    </row>
    <row r="90" spans="1:46" ht="15.75" customHeight="1" x14ac:dyDescent="0.25">
      <c r="A90" s="70"/>
      <c r="B90" s="16">
        <v>4</v>
      </c>
      <c r="C90" s="16" t="s">
        <v>32</v>
      </c>
      <c r="D90" s="17">
        <v>42</v>
      </c>
      <c r="E90" s="18">
        <f ca="1">IFERROR(__xludf.DUMMYFUNCTION("COUNT(IMPORTRANGE(""https://docs.google.com/spreadsheets/d/1gYHli7FuKQLm2Q-5LMR0UtkD-gRRA_p8s-phLPLDLgc/edit"",""4!d2:d43""))"),42)</f>
        <v>42</v>
      </c>
      <c r="F90" s="23">
        <f ca="1">IFERROR(__xludf.DUMMYFUNCTION("SUM(IMPORTRANGE(""https://docs.google.com/spreadsheets/d/1gYHli7FuKQLm2Q-5LMR0UtkD-gRRA_p8s-phLPLDLgc/edit"",""4!Q2:Q43""))"),8267.89999999999)</f>
        <v>8267.8999999999905</v>
      </c>
      <c r="G90" s="16">
        <f ca="1">IFERROR(__xludf.DUMMYFUNCTION("IMPORTRANGE(""https://docs.google.com/spreadsheets/d/1gYHli7FuKQLm2Q-5LMR0UtkD-gRRA_p8s-phLPLDLgc/edit"",""4!e50"")"),4583)</f>
        <v>4583</v>
      </c>
      <c r="H90" s="16">
        <f ca="1">IFERROR(__xludf.DUMMYFUNCTION("IMPORTRANGE(""https://docs.google.com/spreadsheets/d/1gYHli7FuKQLm2Q-5LMR0UtkD-gRRA_p8s-phLPLDLgc/edit"",""4!e51"")"),0)</f>
        <v>0</v>
      </c>
      <c r="I90" s="18">
        <f t="shared" ca="1" si="237"/>
        <v>4583</v>
      </c>
      <c r="J90" s="16">
        <f ca="1">IFERROR(__xludf.DUMMYFUNCTION("IMPORTRANGE(""https://docs.google.com/spreadsheets/d/1gYHli7FuKQLm2Q-5LMR0UtkD-gRRA_p8s-phLPLDLgc/edit"",""4!e54"")"),5680)</f>
        <v>5680</v>
      </c>
      <c r="K90" s="16">
        <f ca="1">IFERROR(__xludf.DUMMYFUNCTION("IMPORTRANGE(""https://docs.google.com/spreadsheets/d/1gYHli7FuKQLm2Q-5LMR0UtkD-gRRA_p8s-phLPLDLgc/edit"",""4!e55"")"),0)</f>
        <v>0</v>
      </c>
      <c r="L90" s="18">
        <f t="shared" ca="1" si="238"/>
        <v>5680</v>
      </c>
      <c r="M90" s="18">
        <f t="shared" ca="1" si="239"/>
        <v>10263</v>
      </c>
      <c r="N90" s="19">
        <f t="shared" ca="1" si="240"/>
        <v>196.85476190476169</v>
      </c>
      <c r="O90" s="16">
        <v>13817</v>
      </c>
      <c r="P90" s="20">
        <f t="shared" ca="1" si="241"/>
        <v>0.74278063255409998</v>
      </c>
      <c r="Q90" s="21">
        <v>1.5</v>
      </c>
      <c r="R90" s="20">
        <f t="shared" ca="1" si="242"/>
        <v>0.82753782701774437</v>
      </c>
      <c r="S90" s="22">
        <f t="shared" ca="1" si="243"/>
        <v>1.2413067405266165</v>
      </c>
      <c r="T90" s="21">
        <f ca="1">F90/25.089</f>
        <v>329.54282753397865</v>
      </c>
      <c r="U90" s="21">
        <f t="shared" ca="1" si="244"/>
        <v>7.8462577984280628</v>
      </c>
      <c r="V90" s="18">
        <f t="shared" ca="1" si="245"/>
        <v>244.35714285714286</v>
      </c>
      <c r="W90" s="76"/>
      <c r="X90" s="24" t="s">
        <v>33</v>
      </c>
      <c r="Y90" s="24">
        <v>6</v>
      </c>
      <c r="Z90" s="24">
        <f t="shared" ref="Z90:AI90" si="255">SUM(Z84:Z89)</f>
        <v>186</v>
      </c>
      <c r="AA90" s="25">
        <f t="shared" ca="1" si="255"/>
        <v>183</v>
      </c>
      <c r="AB90" s="26">
        <f t="shared" ca="1" si="255"/>
        <v>35067.402999999969</v>
      </c>
      <c r="AC90" s="25">
        <f t="shared" ca="1" si="255"/>
        <v>11287</v>
      </c>
      <c r="AD90" s="25">
        <f t="shared" ca="1" si="255"/>
        <v>611</v>
      </c>
      <c r="AE90" s="25">
        <f t="shared" ca="1" si="255"/>
        <v>11898</v>
      </c>
      <c r="AF90" s="25">
        <f t="shared" ca="1" si="255"/>
        <v>16288</v>
      </c>
      <c r="AG90" s="25">
        <f t="shared" ca="1" si="255"/>
        <v>362</v>
      </c>
      <c r="AH90" s="25">
        <f t="shared" ca="1" si="255"/>
        <v>16650</v>
      </c>
      <c r="AI90" s="25">
        <f t="shared" ca="1" si="255"/>
        <v>28548</v>
      </c>
      <c r="AJ90" s="27">
        <f t="shared" ca="1" si="249"/>
        <v>191.62515300546431</v>
      </c>
      <c r="AK90" s="24">
        <f>SUM(AK84:AK89)</f>
        <v>35074</v>
      </c>
      <c r="AL90" s="28">
        <f t="shared" ca="1" si="227"/>
        <v>0.81393624907338769</v>
      </c>
      <c r="AM90" s="29">
        <v>1.5</v>
      </c>
      <c r="AN90" s="28">
        <f t="shared" ca="1" si="229"/>
        <v>0.54272624636617706</v>
      </c>
      <c r="AO90" s="30">
        <f t="shared" ca="1" si="230"/>
        <v>0.81408936954926558</v>
      </c>
      <c r="AP90" s="29">
        <f ca="1">SUM(AP84:AP89)</f>
        <v>1328.4774535188801</v>
      </c>
      <c r="AQ90" s="29">
        <f ca="1">AP90/AA90</f>
        <v>7.2594396367151921</v>
      </c>
      <c r="AR90" s="25">
        <f t="shared" ca="1" si="232"/>
        <v>156</v>
      </c>
      <c r="AS90" s="76"/>
      <c r="AT90" s="76"/>
    </row>
    <row r="91" spans="1:46" ht="15.75" customHeight="1" x14ac:dyDescent="0.25">
      <c r="A91" s="70"/>
      <c r="B91" s="16">
        <v>5</v>
      </c>
      <c r="C91" s="16" t="s">
        <v>34</v>
      </c>
      <c r="D91" s="17">
        <v>40</v>
      </c>
      <c r="E91" s="18">
        <f ca="1">IFERROR(__xludf.DUMMYFUNCTION("COUNT(IMPORTRANGE(""https://docs.google.com/spreadsheets/d/1ptS0qWBCKWkc9h2aXWT_YgMhN7yIv5WgAHRbF8l9Zpo/edit"",""4!d2:d41""))"),39)</f>
        <v>39</v>
      </c>
      <c r="F91" s="23">
        <f ca="1">IFERROR(__xludf.DUMMYFUNCTION("SUM(IMPORTRANGE(""https://docs.google.com/spreadsheets/d/1ptS0qWBCKWkc9h2aXWT_YgMhN7yIv5WgAHRbF8l9Zpo/edit"",""4!Q2:Q41""))"),7665.753)</f>
        <v>7665.7529999999997</v>
      </c>
      <c r="G91" s="18">
        <f ca="1">IFERROR(__xludf.DUMMYFUNCTION("IMPORTRANGE(""https://docs.google.com/spreadsheets/d/1ptS0qWBCKWkc9h2aXWT_YgMhN7yIv5WgAHRbF8l9Zpo/edit"",""4!e48"")"),3098)</f>
        <v>3098</v>
      </c>
      <c r="H91" s="18">
        <f ca="1">IFERROR(__xludf.DUMMYFUNCTION("IMPORTRANGE(""https://docs.google.com/spreadsheets/d/1ptS0qWBCKWkc9h2aXWT_YgMhN7yIv5WgAHRbF8l9Zpo/edit"",""4!e49"")"),0)</f>
        <v>0</v>
      </c>
      <c r="I91" s="18">
        <f t="shared" ca="1" si="237"/>
        <v>3098</v>
      </c>
      <c r="J91" s="18">
        <f ca="1">IFERROR(__xludf.DUMMYFUNCTION("IMPORTRANGE(""https://docs.google.com/spreadsheets/d/1ptS0qWBCKWkc9h2aXWT_YgMhN7yIv5WgAHRbF8l9Zpo/edit"",""4!e52"")"),3596)</f>
        <v>3596</v>
      </c>
      <c r="K91" s="18">
        <f ca="1">IFERROR(__xludf.DUMMYFUNCTION("IMPORTRANGE(""https://docs.google.com/spreadsheets/d/1ptS0qWBCKWkc9h2aXWT_YgMhN7yIv5WgAHRbF8l9Zpo/edit"",""4!e53"")"),114)</f>
        <v>114</v>
      </c>
      <c r="L91" s="18">
        <f t="shared" ca="1" si="238"/>
        <v>3710</v>
      </c>
      <c r="M91" s="18">
        <f t="shared" ca="1" si="239"/>
        <v>6808</v>
      </c>
      <c r="N91" s="19">
        <f t="shared" ca="1" si="240"/>
        <v>196.55776923076922</v>
      </c>
      <c r="O91" s="16">
        <v>9354</v>
      </c>
      <c r="P91" s="20">
        <f t="shared" ca="1" si="241"/>
        <v>0.72781697669446221</v>
      </c>
      <c r="Q91" s="21">
        <v>1.5</v>
      </c>
      <c r="R91" s="20">
        <f t="shared" ca="1" si="242"/>
        <v>0.59207055936535746</v>
      </c>
      <c r="S91" s="22">
        <f t="shared" ca="1" si="243"/>
        <v>0.88810583904803619</v>
      </c>
      <c r="T91" s="21">
        <f ca="1">F91/30.713</f>
        <v>249.59310389737243</v>
      </c>
      <c r="U91" s="21">
        <f t="shared" ca="1" si="244"/>
        <v>6.399823176855703</v>
      </c>
      <c r="V91" s="18">
        <f t="shared" ca="1" si="245"/>
        <v>174.56410256410257</v>
      </c>
      <c r="W91" s="76"/>
      <c r="X91" s="100" t="s">
        <v>35</v>
      </c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9"/>
      <c r="AS91" s="76"/>
      <c r="AT91" s="76"/>
    </row>
    <row r="92" spans="1:46" ht="15.75" customHeight="1" x14ac:dyDescent="0.25">
      <c r="A92" s="70"/>
      <c r="B92" s="16">
        <v>6</v>
      </c>
      <c r="C92" s="16" t="s">
        <v>23</v>
      </c>
      <c r="D92" s="17">
        <v>35</v>
      </c>
      <c r="E92" s="18">
        <f ca="1">IFERROR(__xludf.DUMMYFUNCTION("COUNT(IMPORTRANGE(""https://docs.google.com/spreadsheets/d/1829CoYW82aTBBUgqkPnJa94KlBWI-DowAnP4ENQCmaQ/edit"",""4!d2:d36""))"),35)</f>
        <v>35</v>
      </c>
      <c r="F92" s="23">
        <f ca="1">IFERROR(__xludf.DUMMYFUNCTION("SUM(IMPORTRANGE(""https://docs.google.com/spreadsheets/d/1829CoYW82aTBBUgqkPnJa94KlBWI-DowAnP4ENQCmaQ/edit"",""4!Q2:Q36""))"),6515.40799999999)</f>
        <v>6515.4079999999904</v>
      </c>
      <c r="G92" s="18">
        <f ca="1">IFERROR(__xludf.DUMMYFUNCTION("IMPORTRANGE(""https://docs.google.com/spreadsheets/d/1829CoYW82aTBBUgqkPnJa94KlBWI-DowAnP4ENQCmaQ/edit"",""4!e43"")"),1779)</f>
        <v>1779</v>
      </c>
      <c r="H92" s="18">
        <f ca="1">IFERROR(__xludf.DUMMYFUNCTION("IMPORTRANGE(""https://docs.google.com/spreadsheets/d/1829CoYW82aTBBUgqkPnJa94KlBWI-DowAnP4ENQCmaQ/edit"",""4!e44"")"),0)</f>
        <v>0</v>
      </c>
      <c r="I92" s="18">
        <f t="shared" ca="1" si="237"/>
        <v>1779</v>
      </c>
      <c r="J92" s="18">
        <f ca="1">IFERROR(__xludf.DUMMYFUNCTION("IMPORTRANGE(""https://docs.google.com/spreadsheets/d/1829CoYW82aTBBUgqkPnJa94KlBWI-DowAnP4ENQCmaQ/edit"",""4!e47"")"),3241)</f>
        <v>3241</v>
      </c>
      <c r="K92" s="18">
        <f ca="1">IFERROR(__xludf.DUMMYFUNCTION("IMPORTRANGE(""https://docs.google.com/spreadsheets/d/1829CoYW82aTBBUgqkPnJa94KlBWI-DowAnP4ENQCmaQ/edit"",""4!e48"")"),0)</f>
        <v>0</v>
      </c>
      <c r="L92" s="18">
        <f t="shared" ca="1" si="238"/>
        <v>3241</v>
      </c>
      <c r="M92" s="18">
        <f t="shared" ca="1" si="239"/>
        <v>5020</v>
      </c>
      <c r="N92" s="19">
        <f t="shared" ca="1" si="240"/>
        <v>186.15451428571401</v>
      </c>
      <c r="O92" s="16">
        <v>6853</v>
      </c>
      <c r="P92" s="20">
        <f t="shared" ca="1" si="241"/>
        <v>0.73252590106522686</v>
      </c>
      <c r="Q92" s="21">
        <v>1.5</v>
      </c>
      <c r="R92" s="20">
        <f t="shared" ca="1" si="242"/>
        <v>0.5136541973529013</v>
      </c>
      <c r="S92" s="22">
        <f t="shared" ca="1" si="243"/>
        <v>0.77048129602935189</v>
      </c>
      <c r="T92" s="21">
        <f ca="1">F92/33.74</f>
        <v>193.10634262003526</v>
      </c>
      <c r="U92" s="21">
        <f t="shared" ca="1" si="244"/>
        <v>5.5173240748581502</v>
      </c>
      <c r="V92" s="18">
        <f t="shared" ca="1" si="245"/>
        <v>143.42857142857142</v>
      </c>
      <c r="W92" s="76"/>
      <c r="X92" s="1" t="s">
        <v>2</v>
      </c>
      <c r="Y92" s="1" t="s">
        <v>3</v>
      </c>
      <c r="Z92" s="1" t="s">
        <v>4</v>
      </c>
      <c r="AA92" s="1" t="s">
        <v>5</v>
      </c>
      <c r="AB92" s="2" t="s">
        <v>6</v>
      </c>
      <c r="AC92" s="1" t="s">
        <v>7</v>
      </c>
      <c r="AD92" s="1" t="s">
        <v>8</v>
      </c>
      <c r="AE92" s="1" t="s">
        <v>9</v>
      </c>
      <c r="AF92" s="1" t="s">
        <v>10</v>
      </c>
      <c r="AG92" s="1" t="s">
        <v>11</v>
      </c>
      <c r="AH92" s="1" t="s">
        <v>12</v>
      </c>
      <c r="AI92" s="1" t="s">
        <v>13</v>
      </c>
      <c r="AJ92" s="2" t="s">
        <v>14</v>
      </c>
      <c r="AK92" s="1" t="s">
        <v>15</v>
      </c>
      <c r="AL92" s="1" t="s">
        <v>16</v>
      </c>
      <c r="AM92" s="3" t="s">
        <v>17</v>
      </c>
      <c r="AN92" s="4" t="s">
        <v>18</v>
      </c>
      <c r="AO92" s="5" t="s">
        <v>19</v>
      </c>
      <c r="AP92" s="6" t="s">
        <v>20</v>
      </c>
      <c r="AQ92" s="6" t="s">
        <v>21</v>
      </c>
      <c r="AR92" s="7" t="s">
        <v>22</v>
      </c>
      <c r="AS92" s="76"/>
      <c r="AT92" s="76"/>
    </row>
    <row r="93" spans="1:46" ht="15.75" customHeight="1" x14ac:dyDescent="0.25">
      <c r="A93" s="70"/>
      <c r="B93" s="16">
        <v>7</v>
      </c>
      <c r="C93" s="16" t="s">
        <v>24</v>
      </c>
      <c r="D93" s="17">
        <v>44</v>
      </c>
      <c r="E93" s="31">
        <f ca="1">IFERROR(__xludf.DUMMYFUNCTION("COUNT(IMPORTRANGE(""https://docs.google.com/spreadsheets/d/1E2x4oDZxEIsuC5nl-5Z0--MoN8b1dt9SbpRcCfNP84Q/edit"",""4!d2:d45""))"),43)</f>
        <v>43</v>
      </c>
      <c r="F93" s="32">
        <f ca="1">IFERROR(__xludf.DUMMYFUNCTION("SUM(IMPORTRANGE(""https://docs.google.com/spreadsheets/d/1E2x4oDZxEIsuC5nl-5Z0--MoN8b1dt9SbpRcCfNP84Q/edit"",""4!Q2:Q45""))"),8110.69299999999)</f>
        <v>8110.6929999999902</v>
      </c>
      <c r="G93" s="31">
        <f ca="1">IFERROR(__xludf.DUMMYFUNCTION("IMPORTRANGE(""https://docs.google.com/spreadsheets/d/1E2x4oDZxEIsuC5nl-5Z0--MoN8b1dt9SbpRcCfNP84Q/edit"",""4!e53"")"),995)</f>
        <v>995</v>
      </c>
      <c r="H93" s="31">
        <f ca="1">IFERROR(__xludf.DUMMYFUNCTION("IMPORTRANGE(""https://docs.google.com/spreadsheets/d/1E2x4oDZxEIsuC5nl-5Z0--MoN8b1dt9SbpRcCfNP84Q/edit"",""4!e54"")"),26)</f>
        <v>26</v>
      </c>
      <c r="I93" s="31">
        <f t="shared" ca="1" si="237"/>
        <v>1021</v>
      </c>
      <c r="J93" s="31">
        <f ca="1">IFERROR(__xludf.DUMMYFUNCTION("IMPORTRANGE(""https://docs.google.com/spreadsheets/d/1E2x4oDZxEIsuC5nl-5Z0--MoN8b1dt9SbpRcCfNP84Q/edit"",""4!e57"")"),942)</f>
        <v>942</v>
      </c>
      <c r="K93" s="31">
        <f ca="1">IFERROR(__xludf.DUMMYFUNCTION("IMPORTRANGE(""https://docs.google.com/spreadsheets/d/1E2x4oDZxEIsuC5nl-5Z0--MoN8b1dt9SbpRcCfNP84Q/edit"",""4!e58"")"),49)</f>
        <v>49</v>
      </c>
      <c r="L93" s="18">
        <f t="shared" ca="1" si="238"/>
        <v>991</v>
      </c>
      <c r="M93" s="18">
        <f t="shared" ca="1" si="239"/>
        <v>2012</v>
      </c>
      <c r="N93" s="19">
        <f t="shared" ca="1" si="240"/>
        <v>188.62076744186024</v>
      </c>
      <c r="O93" s="16">
        <v>1580</v>
      </c>
      <c r="P93" s="33">
        <f t="shared" ca="1" si="241"/>
        <v>1.2734177215189872</v>
      </c>
      <c r="Q93" s="21">
        <v>1.5</v>
      </c>
      <c r="R93" s="20">
        <f t="shared" ca="1" si="242"/>
        <v>0.16537838792977802</v>
      </c>
      <c r="S93" s="22">
        <f t="shared" ca="1" si="243"/>
        <v>0.24806758189466702</v>
      </c>
      <c r="T93" s="21">
        <f ca="1">F93/26.805</f>
        <v>302.58134676366313</v>
      </c>
      <c r="U93" s="21">
        <f t="shared" ca="1" si="244"/>
        <v>7.0367755061317006</v>
      </c>
      <c r="V93" s="18">
        <f t="shared" ca="1" si="245"/>
        <v>46.790697674418603</v>
      </c>
      <c r="W93" s="76"/>
      <c r="X93" s="8">
        <v>1</v>
      </c>
      <c r="Y93" s="8" t="s">
        <v>28</v>
      </c>
      <c r="Z93" s="8">
        <f t="shared" ref="Z93:AI93" si="256">SUM(D88)</f>
        <v>33</v>
      </c>
      <c r="AA93" s="9">
        <f t="shared" ca="1" si="256"/>
        <v>32</v>
      </c>
      <c r="AB93" s="11">
        <f t="shared" ca="1" si="256"/>
        <v>6188.9660000000003</v>
      </c>
      <c r="AC93" s="9">
        <f t="shared" ca="1" si="256"/>
        <v>2582</v>
      </c>
      <c r="AD93" s="9">
        <f t="shared" ca="1" si="256"/>
        <v>237</v>
      </c>
      <c r="AE93" s="9">
        <f t="shared" ca="1" si="256"/>
        <v>2819</v>
      </c>
      <c r="AF93" s="9">
        <f t="shared" ca="1" si="256"/>
        <v>3013</v>
      </c>
      <c r="AG93" s="9">
        <f t="shared" ca="1" si="256"/>
        <v>257</v>
      </c>
      <c r="AH93" s="9">
        <f t="shared" ca="1" si="256"/>
        <v>3270</v>
      </c>
      <c r="AI93" s="9">
        <f t="shared" ca="1" si="256"/>
        <v>6089</v>
      </c>
      <c r="AJ93" s="11">
        <f t="shared" ref="AJ93:AJ99" ca="1" si="257">AB93/AA93</f>
        <v>193.40518750000001</v>
      </c>
      <c r="AK93" s="8">
        <f t="shared" ref="AK93:AK94" si="258">SUM(O88)</f>
        <v>7315</v>
      </c>
      <c r="AL93" s="12">
        <f t="shared" ref="AL93:AL99" ca="1" si="259">AI93/AK93</f>
        <v>0.83239917976760081</v>
      </c>
      <c r="AM93" s="13">
        <f t="shared" ref="AM93:AM94" si="260">SUM(Q88)</f>
        <v>1.5</v>
      </c>
      <c r="AN93" s="12">
        <f t="shared" ref="AN93:AN99" ca="1" si="261">AO93/AM93</f>
        <v>0.65589847049302474</v>
      </c>
      <c r="AO93" s="14">
        <f t="shared" ref="AO93:AO99" ca="1" si="262">AI93/AB93</f>
        <v>0.98384770573953706</v>
      </c>
      <c r="AP93" s="13">
        <f t="shared" ref="AP93:AQ93" ca="1" si="263">SUM(T88)</f>
        <v>200.30960934718584</v>
      </c>
      <c r="AQ93" s="13">
        <f t="shared" ca="1" si="263"/>
        <v>6.2596752920995575</v>
      </c>
      <c r="AR93" s="9">
        <f t="shared" ref="AR93:AR99" ca="1" si="264">AI93/AA93</f>
        <v>190.28125</v>
      </c>
      <c r="AS93" s="76"/>
      <c r="AT93" s="76"/>
    </row>
    <row r="94" spans="1:46" ht="15.75" customHeight="1" x14ac:dyDescent="0.25">
      <c r="A94" s="70"/>
      <c r="B94" s="16">
        <v>8</v>
      </c>
      <c r="C94" s="16" t="s">
        <v>25</v>
      </c>
      <c r="D94" s="34">
        <v>32</v>
      </c>
      <c r="E94" s="18">
        <f ca="1">IFERROR(__xludf.DUMMYFUNCTION("COUNT(IMPORTRANGE(""https://docs.google.com/spreadsheets/d/1KbRFOEYB0B44J_NSh1MwYQ1sLDlZXUHI-wuMLcZDn5k/edit"",""4!d2:D33""))"),32)</f>
        <v>32</v>
      </c>
      <c r="F94" s="23">
        <f ca="1">IFERROR(__xludf.DUMMYFUNCTION("SUM(IMPORTRANGE(""https://docs.google.com/spreadsheets/d/1KbRFOEYB0B44J_NSh1MwYQ1sLDlZXUHI-wuMLcZDn5k/edit"",""4!Q2:Q33""))"),6062.432)</f>
        <v>6062.4319999999998</v>
      </c>
      <c r="G94" s="18">
        <f ca="1">IFERROR(__xludf.DUMMYFUNCTION("IMPORTRANGE(""https://docs.google.com/spreadsheets/d/1KbRFOEYB0B44J_NSh1MwYQ1sLDlZXUHI-wuMLcZDn5k/edit"",""4!e40"")"),2333)</f>
        <v>2333</v>
      </c>
      <c r="H94" s="18">
        <f ca="1">IFERROR(__xludf.DUMMYFUNCTION("IMPORTRANGE(""https://docs.google.com/spreadsheets/d/1KbRFOEYB0B44J_NSh1MwYQ1sLDlZXUHI-wuMLcZDn5k/edit"",""4!e41"")"),389)</f>
        <v>389</v>
      </c>
      <c r="I94" s="18">
        <f t="shared" ca="1" si="237"/>
        <v>2722</v>
      </c>
      <c r="J94" s="18">
        <f ca="1">IFERROR(__xludf.DUMMYFUNCTION("IMPORTRANGE(""https://docs.google.com/spreadsheets/d/1KbRFOEYB0B44J_NSh1MwYQ1sLDlZXUHI-wuMLcZDn5k/edit"",""4!e44"")"),3312)</f>
        <v>3312</v>
      </c>
      <c r="K94" s="18">
        <f ca="1">IFERROR(__xludf.DUMMYFUNCTION("IMPORTRANGE(""https://docs.google.com/spreadsheets/d/1KbRFOEYB0B44J_NSh1MwYQ1sLDlZXUHI-wuMLcZDn5k/edit"",""4!e45"")"),290)</f>
        <v>290</v>
      </c>
      <c r="L94" s="18">
        <f ca="1">J94+K94</f>
        <v>3602</v>
      </c>
      <c r="M94" s="18">
        <f t="shared" ca="1" si="239"/>
        <v>6324</v>
      </c>
      <c r="N94" s="19">
        <f t="shared" ca="1" si="240"/>
        <v>189.45099999999999</v>
      </c>
      <c r="O94" s="16">
        <v>6622</v>
      </c>
      <c r="P94" s="20">
        <f t="shared" ca="1" si="241"/>
        <v>0.95499848988221081</v>
      </c>
      <c r="Q94" s="21">
        <v>1.5</v>
      </c>
      <c r="R94" s="20">
        <f t="shared" ca="1" si="242"/>
        <v>0.69543048070477331</v>
      </c>
      <c r="S94" s="22">
        <f t="shared" ca="1" si="243"/>
        <v>1.04314572105716</v>
      </c>
      <c r="T94" s="21">
        <f ca="1">F94/23.84</f>
        <v>254.296644295302</v>
      </c>
      <c r="U94" s="21">
        <f t="shared" ca="1" si="244"/>
        <v>7.9467701342281876</v>
      </c>
      <c r="V94" s="18">
        <f t="shared" ca="1" si="245"/>
        <v>197.625</v>
      </c>
      <c r="W94" s="76"/>
      <c r="X94" s="8">
        <v>2</v>
      </c>
      <c r="Y94" s="8" t="s">
        <v>30</v>
      </c>
      <c r="Z94" s="8">
        <f t="shared" ref="Z94:AI94" si="265">SUM(D89)</f>
        <v>60</v>
      </c>
      <c r="AA94" s="9">
        <f t="shared" ca="1" si="265"/>
        <v>60</v>
      </c>
      <c r="AB94" s="10">
        <f t="shared" ca="1" si="265"/>
        <v>11972.3109999999</v>
      </c>
      <c r="AC94" s="9">
        <f t="shared" ca="1" si="265"/>
        <v>3466</v>
      </c>
      <c r="AD94" s="9">
        <f t="shared" ca="1" si="265"/>
        <v>46</v>
      </c>
      <c r="AE94" s="9">
        <f t="shared" ca="1" si="265"/>
        <v>3512</v>
      </c>
      <c r="AF94" s="9">
        <f t="shared" ca="1" si="265"/>
        <v>6014</v>
      </c>
      <c r="AG94" s="9">
        <f t="shared" ca="1" si="265"/>
        <v>57</v>
      </c>
      <c r="AH94" s="9">
        <f t="shared" ca="1" si="265"/>
        <v>6071</v>
      </c>
      <c r="AI94" s="9">
        <f t="shared" ca="1" si="265"/>
        <v>9583</v>
      </c>
      <c r="AJ94" s="11">
        <f t="shared" ca="1" si="257"/>
        <v>199.538516666665</v>
      </c>
      <c r="AK94" s="8">
        <f t="shared" si="258"/>
        <v>11164</v>
      </c>
      <c r="AL94" s="12">
        <f t="shared" ca="1" si="259"/>
        <v>0.85838409172339658</v>
      </c>
      <c r="AM94" s="13">
        <f t="shared" si="260"/>
        <v>1.5</v>
      </c>
      <c r="AN94" s="12">
        <f t="shared" ca="1" si="261"/>
        <v>0.53362017296967312</v>
      </c>
      <c r="AO94" s="14">
        <f t="shared" ca="1" si="262"/>
        <v>0.80043025945450974</v>
      </c>
      <c r="AP94" s="13">
        <f t="shared" ref="AP94:AQ94" ca="1" si="266">SUM(T89)</f>
        <v>404.42897679288922</v>
      </c>
      <c r="AQ94" s="13">
        <f t="shared" ca="1" si="266"/>
        <v>6.7404829465481537</v>
      </c>
      <c r="AR94" s="9">
        <f t="shared" ca="1" si="264"/>
        <v>159.71666666666667</v>
      </c>
      <c r="AS94" s="76"/>
      <c r="AT94" s="76"/>
    </row>
    <row r="95" spans="1:46" ht="15.75" customHeight="1" x14ac:dyDescent="0.25">
      <c r="A95" s="70"/>
      <c r="B95" s="16">
        <v>9</v>
      </c>
      <c r="C95" s="16" t="s">
        <v>36</v>
      </c>
      <c r="D95" s="34">
        <v>29</v>
      </c>
      <c r="E95" s="18">
        <f ca="1">IFERROR(__xludf.DUMMYFUNCTION("COUNT(IMPORTRANGE(""https://docs.google.com/spreadsheets/d/1VqqqRGfmmkT0JC4ILJva2p8P11jjV0FX-TSKAaqOigw/edit"",""4!d2:d31""))"),28)</f>
        <v>28</v>
      </c>
      <c r="F95" s="23">
        <f ca="1">IFERROR(__xludf.DUMMYFUNCTION("SUM(IMPORTRANGE(""https://docs.google.com/spreadsheets/d/1VqqqRGfmmkT0JC4ILJva2p8P11jjV0FX-TSKAaqOigw/edit"",""4!Q2:Q31""))"),5747.392)</f>
        <v>5747.3919999999998</v>
      </c>
      <c r="G95" s="18">
        <f ca="1">IFERROR(__xludf.DUMMYFUNCTION("IMPORTRANGE(""https://docs.google.com/spreadsheets/d/1VqqqRGfmmkT0JC4ILJva2p8P11jjV0FX-TSKAaqOigw/edit"",""4!e38"")"),1592)</f>
        <v>1592</v>
      </c>
      <c r="H95" s="18">
        <f ca="1">IFERROR(__xludf.DUMMYFUNCTION("IMPORTRANGE(""https://docs.google.com/spreadsheets/d/1VqqqRGfmmkT0JC4ILJva2p8P11jjV0FX-TSKAaqOigw/edit"",""4!e39"")"),0)</f>
        <v>0</v>
      </c>
      <c r="I95" s="18">
        <f t="shared" ca="1" si="237"/>
        <v>1592</v>
      </c>
      <c r="J95" s="18">
        <f ca="1">IFERROR(__xludf.DUMMYFUNCTION("IMPORTRANGE(""https://docs.google.com/spreadsheets/d/1VqqqRGfmmkT0JC4ILJva2p8P11jjV0FX-TSKAaqOigw/edit"",""4!e42"")"),2401)</f>
        <v>2401</v>
      </c>
      <c r="K95" s="18">
        <f ca="1">IFERROR(__xludf.DUMMYFUNCTION("IMPORTRANGE(""https://docs.google.com/spreadsheets/d/1VqqqRGfmmkT0JC4ILJva2p8P11jjV0FX-TSKAaqOigw/edit"",""4!e43"")"),0)</f>
        <v>0</v>
      </c>
      <c r="L95" s="18">
        <f t="shared" ref="L95:L104" ca="1" si="267">SUM(J95:K95)</f>
        <v>2401</v>
      </c>
      <c r="M95" s="18">
        <f t="shared" ca="1" si="239"/>
        <v>3993</v>
      </c>
      <c r="N95" s="19">
        <f t="shared" ca="1" si="240"/>
        <v>205.26399999999998</v>
      </c>
      <c r="O95" s="16">
        <v>4796</v>
      </c>
      <c r="P95" s="20">
        <f t="shared" ca="1" si="241"/>
        <v>0.83256880733944949</v>
      </c>
      <c r="Q95" s="21">
        <v>1.5</v>
      </c>
      <c r="R95" s="20">
        <f t="shared" ca="1" si="242"/>
        <v>0.46316659799783971</v>
      </c>
      <c r="S95" s="22">
        <f t="shared" ca="1" si="243"/>
        <v>0.6947498969967596</v>
      </c>
      <c r="T95" s="21">
        <f ca="1">F95/37.414</f>
        <v>153.61607954241725</v>
      </c>
      <c r="U95" s="21">
        <f t="shared" ca="1" si="244"/>
        <v>5.4862885550863307</v>
      </c>
      <c r="V95" s="18">
        <f t="shared" ca="1" si="245"/>
        <v>142.60714285714286</v>
      </c>
      <c r="W95" s="76"/>
      <c r="X95" s="8">
        <v>3</v>
      </c>
      <c r="Y95" s="8" t="s">
        <v>34</v>
      </c>
      <c r="Z95" s="8">
        <f t="shared" ref="Z95:AI95" si="268">SUM(D91)</f>
        <v>40</v>
      </c>
      <c r="AA95" s="9">
        <f t="shared" ca="1" si="268"/>
        <v>39</v>
      </c>
      <c r="AB95" s="10">
        <f t="shared" ca="1" si="268"/>
        <v>7665.7529999999997</v>
      </c>
      <c r="AC95" s="9">
        <f t="shared" ca="1" si="268"/>
        <v>3098</v>
      </c>
      <c r="AD95" s="9">
        <f t="shared" ca="1" si="268"/>
        <v>0</v>
      </c>
      <c r="AE95" s="9">
        <f t="shared" ca="1" si="268"/>
        <v>3098</v>
      </c>
      <c r="AF95" s="9">
        <f t="shared" ca="1" si="268"/>
        <v>3596</v>
      </c>
      <c r="AG95" s="9">
        <f t="shared" ca="1" si="268"/>
        <v>114</v>
      </c>
      <c r="AH95" s="9">
        <f t="shared" ca="1" si="268"/>
        <v>3710</v>
      </c>
      <c r="AI95" s="9">
        <f t="shared" ca="1" si="268"/>
        <v>6808</v>
      </c>
      <c r="AJ95" s="11">
        <f t="shared" ca="1" si="257"/>
        <v>196.55776923076922</v>
      </c>
      <c r="AK95" s="8">
        <f>SUM(O91)</f>
        <v>9354</v>
      </c>
      <c r="AL95" s="12">
        <f t="shared" ca="1" si="259"/>
        <v>0.72781697669446221</v>
      </c>
      <c r="AM95" s="13">
        <f>SUM(Q91)</f>
        <v>1.5</v>
      </c>
      <c r="AN95" s="12">
        <f t="shared" ca="1" si="261"/>
        <v>0.59207055936535746</v>
      </c>
      <c r="AO95" s="14">
        <f t="shared" ca="1" si="262"/>
        <v>0.88810583904803619</v>
      </c>
      <c r="AP95" s="13">
        <f t="shared" ref="AP95:AQ95" ca="1" si="269">SUM(T91)</f>
        <v>249.59310389737243</v>
      </c>
      <c r="AQ95" s="13">
        <f t="shared" ca="1" si="269"/>
        <v>6.399823176855703</v>
      </c>
      <c r="AR95" s="9">
        <f t="shared" ca="1" si="264"/>
        <v>174.56410256410257</v>
      </c>
      <c r="AS95" s="76"/>
      <c r="AT95" s="76"/>
    </row>
    <row r="96" spans="1:46" ht="15.75" customHeight="1" x14ac:dyDescent="0.25">
      <c r="A96" s="70"/>
      <c r="B96" s="16">
        <v>10</v>
      </c>
      <c r="C96" s="16" t="s">
        <v>37</v>
      </c>
      <c r="D96" s="17">
        <v>30</v>
      </c>
      <c r="E96" s="18">
        <f ca="1">IFERROR(__xludf.DUMMYFUNCTION("COUNT(IMPORTRANGE(""https://docs.google.com/spreadsheets/d/1IYeRjQd_D6MRqoBKNaky3aSEUloYCJc5XDnPAbdyetk/edit"",""4!d2:d31""))"),30)</f>
        <v>30</v>
      </c>
      <c r="F96" s="23">
        <f ca="1">IFERROR(__xludf.DUMMYFUNCTION("SUM(IMPORTRANGE(""https://docs.google.com/spreadsheets/d/1IYeRjQd_D6MRqoBKNaky3aSEUloYCJc5XDnPAbdyetk/edit"",""4!Q2:Q31""))"),5985.732)</f>
        <v>5985.732</v>
      </c>
      <c r="G96" s="18">
        <f ca="1">IFERROR(__xludf.DUMMYFUNCTION("(IMPORTRANGE(""https://docs.google.com/spreadsheets/d/1IYeRjQd_D6MRqoBKNaky3aSEUloYCJc5XDnPAbdyetk/edit"",""4!e38""))"),2118)</f>
        <v>2118</v>
      </c>
      <c r="H96" s="18">
        <f ca="1">IFERROR(__xludf.DUMMYFUNCTION("(IMPORTRANGE(""https://docs.google.com/spreadsheets/d/1IYeRjQd_D6MRqoBKNaky3aSEUloYCJc5XDnPAbdyetk/edit"",""4!e39""))"),60)</f>
        <v>60</v>
      </c>
      <c r="I96" s="18">
        <f t="shared" ca="1" si="237"/>
        <v>2178</v>
      </c>
      <c r="J96" s="18">
        <f ca="1">IFERROR(__xludf.DUMMYFUNCTION("(IMPORTRANGE(""https://docs.google.com/spreadsheets/d/1IYeRjQd_D6MRqoBKNaky3aSEUloYCJc5XDnPAbdyetk/edit"",""4!e42""))"),3047)</f>
        <v>3047</v>
      </c>
      <c r="K96" s="18">
        <f ca="1">IFERROR(__xludf.DUMMYFUNCTION("(IMPORTRANGE(""https://docs.google.com/spreadsheets/d/1IYeRjQd_D6MRqoBKNaky3aSEUloYCJc5XDnPAbdyetk/edit"",""4!e43""))"),114)</f>
        <v>114</v>
      </c>
      <c r="L96" s="18">
        <f t="shared" ca="1" si="267"/>
        <v>3161</v>
      </c>
      <c r="M96" s="18">
        <f t="shared" ca="1" si="239"/>
        <v>5339</v>
      </c>
      <c r="N96" s="19">
        <f t="shared" ca="1" si="240"/>
        <v>199.52439999999999</v>
      </c>
      <c r="O96" s="16">
        <v>5887</v>
      </c>
      <c r="P96" s="20">
        <f t="shared" ca="1" si="241"/>
        <v>0.90691353830473931</v>
      </c>
      <c r="Q96" s="21">
        <v>1.5</v>
      </c>
      <c r="R96" s="20">
        <f t="shared" ca="1" si="242"/>
        <v>0.59463626726578023</v>
      </c>
      <c r="S96" s="22">
        <f t="shared" ca="1" si="243"/>
        <v>0.8919544008986704</v>
      </c>
      <c r="T96" s="21">
        <f ca="1">F96/24.792</f>
        <v>241.4380445304937</v>
      </c>
      <c r="U96" s="21">
        <f t="shared" ca="1" si="244"/>
        <v>8.0479348176831227</v>
      </c>
      <c r="V96" s="18">
        <f t="shared" ca="1" si="245"/>
        <v>177.96666666666667</v>
      </c>
      <c r="W96" s="76"/>
      <c r="X96" s="8">
        <v>4</v>
      </c>
      <c r="Y96" s="8" t="s">
        <v>38</v>
      </c>
      <c r="Z96" s="8">
        <f t="shared" ref="Z96:AI96" si="270">SUM(D99)</f>
        <v>30</v>
      </c>
      <c r="AA96" s="9">
        <f t="shared" ca="1" si="270"/>
        <v>30</v>
      </c>
      <c r="AB96" s="10">
        <f t="shared" ca="1" si="270"/>
        <v>6366.6879999999901</v>
      </c>
      <c r="AC96" s="9">
        <f t="shared" ca="1" si="270"/>
        <v>1915</v>
      </c>
      <c r="AD96" s="9">
        <f t="shared" ca="1" si="270"/>
        <v>111</v>
      </c>
      <c r="AE96" s="9">
        <f t="shared" ca="1" si="270"/>
        <v>2026</v>
      </c>
      <c r="AF96" s="9">
        <f t="shared" ca="1" si="270"/>
        <v>2843</v>
      </c>
      <c r="AG96" s="9">
        <f t="shared" ca="1" si="270"/>
        <v>179</v>
      </c>
      <c r="AH96" s="9">
        <f t="shared" ca="1" si="270"/>
        <v>3022</v>
      </c>
      <c r="AI96" s="9">
        <f t="shared" ca="1" si="270"/>
        <v>5048</v>
      </c>
      <c r="AJ96" s="11">
        <f t="shared" ca="1" si="257"/>
        <v>212.222933333333</v>
      </c>
      <c r="AK96" s="8">
        <v>7324</v>
      </c>
      <c r="AL96" s="12">
        <f t="shared" ca="1" si="259"/>
        <v>0.6892408519934462</v>
      </c>
      <c r="AM96" s="13">
        <f>SUM(Q99)</f>
        <v>1.5</v>
      </c>
      <c r="AN96" s="12">
        <f t="shared" ca="1" si="261"/>
        <v>0.52858461626097253</v>
      </c>
      <c r="AO96" s="14">
        <f t="shared" ca="1" si="262"/>
        <v>0.79287692439145874</v>
      </c>
      <c r="AP96" s="13">
        <f t="shared" ref="AP96:AQ96" ca="1" si="271">SUM(T99)</f>
        <v>154.51251061764324</v>
      </c>
      <c r="AQ96" s="13">
        <f t="shared" ca="1" si="271"/>
        <v>5.1504170205881081</v>
      </c>
      <c r="AR96" s="9">
        <f t="shared" ca="1" si="264"/>
        <v>168.26666666666668</v>
      </c>
      <c r="AS96" s="76"/>
      <c r="AT96" s="76"/>
    </row>
    <row r="97" spans="1:46" ht="15.75" customHeight="1" x14ac:dyDescent="0.25">
      <c r="A97" s="70"/>
      <c r="B97" s="16">
        <v>12</v>
      </c>
      <c r="C97" s="16" t="s">
        <v>39</v>
      </c>
      <c r="D97" s="17">
        <v>28</v>
      </c>
      <c r="E97" s="18">
        <f ca="1">IFERROR(__xludf.DUMMYFUNCTION("COUNT(IMPORTRANGE(""https://docs.google.com/spreadsheets/d/1TAY2D35yAzyl8a_p5CuZehQvmatfj0b0Q8ICl8GtJBY/edit"",""4!d2:d29""))"),26)</f>
        <v>26</v>
      </c>
      <c r="F97" s="23">
        <f ca="1">IFERROR(__xludf.DUMMYFUNCTION("SUM(IMPORTRANGE(""https://docs.google.com/spreadsheets/d/1TAY2D35yAzyl8a_p5CuZehQvmatfj0b0Q8ICl8GtJBY/edit"",""4!Q2:Q29""))"),4941.947)</f>
        <v>4941.9470000000001</v>
      </c>
      <c r="G97" s="18">
        <f ca="1">IFERROR(__xludf.DUMMYFUNCTION("IMPORTRANGE(""https://docs.google.com/spreadsheets/d/1TAY2D35yAzyl8a_p5CuZehQvmatfj0b0Q8ICl8GtJBY/edit"",""4!e36"")"),1128)</f>
        <v>1128</v>
      </c>
      <c r="H97" s="18">
        <f ca="1">IFERROR(__xludf.DUMMYFUNCTION("(IMPORTRANGE(""https://docs.google.com/spreadsheets/d/1TAY2D35yAzyl8a_p5CuZehQvmatfj0b0Q8ICl8GtJBY/edit"",""4!e37""))"),0)</f>
        <v>0</v>
      </c>
      <c r="I97" s="18">
        <f t="shared" ca="1" si="237"/>
        <v>1128</v>
      </c>
      <c r="J97" s="18">
        <f ca="1">IFERROR(__xludf.DUMMYFUNCTION("IMPORTRANGE(""https://docs.google.com/spreadsheets/d/1TAY2D35yAzyl8a_p5CuZehQvmatfj0b0Q8ICl8GtJBY/edit"",""4!e40"")"),1771)</f>
        <v>1771</v>
      </c>
      <c r="K97" s="18">
        <f ca="1">IFERROR(__xludf.DUMMYFUNCTION("IMPORTRANGE(""https://docs.google.com/spreadsheets/d/1TAY2D35yAzyl8a_p5CuZehQvmatfj0b0Q8ICl8GtJBY/edit"",""4!e41"")"),0)</f>
        <v>0</v>
      </c>
      <c r="L97" s="18">
        <f t="shared" ca="1" si="267"/>
        <v>1771</v>
      </c>
      <c r="M97" s="18">
        <f t="shared" ca="1" si="239"/>
        <v>2899</v>
      </c>
      <c r="N97" s="19">
        <f t="shared" ca="1" si="240"/>
        <v>190.07488461538463</v>
      </c>
      <c r="O97" s="16">
        <v>3569</v>
      </c>
      <c r="P97" s="20">
        <f t="shared" ca="1" si="241"/>
        <v>0.81227234519473246</v>
      </c>
      <c r="Q97" s="21">
        <v>1.5</v>
      </c>
      <c r="R97" s="20">
        <f t="shared" ca="1" si="242"/>
        <v>0.39107393637905602</v>
      </c>
      <c r="S97" s="22">
        <f t="shared" ca="1" si="243"/>
        <v>0.586610904568584</v>
      </c>
      <c r="T97" s="21">
        <f ca="1">F97/21.463</f>
        <v>230.25425150258584</v>
      </c>
      <c r="U97" s="21">
        <f t="shared" ca="1" si="244"/>
        <v>8.8559327500994556</v>
      </c>
      <c r="V97" s="18">
        <f t="shared" ca="1" si="245"/>
        <v>111.5</v>
      </c>
      <c r="W97" s="76"/>
      <c r="X97" s="8">
        <v>5</v>
      </c>
      <c r="Y97" s="8" t="s">
        <v>40</v>
      </c>
      <c r="Z97" s="8">
        <f t="shared" ref="Z97:AI97" si="272">SUM(D101)</f>
        <v>30</v>
      </c>
      <c r="AA97" s="9">
        <f t="shared" ca="1" si="272"/>
        <v>29</v>
      </c>
      <c r="AB97" s="10">
        <f t="shared" ca="1" si="272"/>
        <v>5717.0429999999897</v>
      </c>
      <c r="AC97" s="9">
        <f t="shared" ca="1" si="272"/>
        <v>3181</v>
      </c>
      <c r="AD97" s="9">
        <f t="shared" ca="1" si="272"/>
        <v>9</v>
      </c>
      <c r="AE97" s="9">
        <f t="shared" ca="1" si="272"/>
        <v>3190</v>
      </c>
      <c r="AF97" s="9">
        <f t="shared" ca="1" si="272"/>
        <v>3867</v>
      </c>
      <c r="AG97" s="9">
        <f t="shared" ca="1" si="272"/>
        <v>20</v>
      </c>
      <c r="AH97" s="9">
        <f t="shared" ca="1" si="272"/>
        <v>3887</v>
      </c>
      <c r="AI97" s="9">
        <f t="shared" ca="1" si="272"/>
        <v>7077</v>
      </c>
      <c r="AJ97" s="11">
        <f t="shared" ca="1" si="257"/>
        <v>197.1394137931031</v>
      </c>
      <c r="AK97" s="8">
        <f t="shared" ref="AK97:AK98" si="273">SUM(O101)</f>
        <v>8239</v>
      </c>
      <c r="AL97" s="12">
        <f t="shared" ca="1" si="259"/>
        <v>0.85896346644010191</v>
      </c>
      <c r="AM97" s="13">
        <f t="shared" ref="AM97:AM98" si="274">SUM(Q101)</f>
        <v>1.5</v>
      </c>
      <c r="AN97" s="12">
        <f t="shared" ca="1" si="261"/>
        <v>0.82525179537743698</v>
      </c>
      <c r="AO97" s="14">
        <f t="shared" ca="1" si="262"/>
        <v>1.2378776930661555</v>
      </c>
      <c r="AP97" s="13">
        <f t="shared" ref="AP97:AQ97" ca="1" si="275">SUM(T101)</f>
        <v>200.99999999999963</v>
      </c>
      <c r="AQ97" s="13">
        <f t="shared" ca="1" si="275"/>
        <v>6.9310344827586077</v>
      </c>
      <c r="AR97" s="9">
        <f t="shared" ca="1" si="264"/>
        <v>244.0344827586207</v>
      </c>
      <c r="AS97" s="76"/>
      <c r="AT97" s="76"/>
    </row>
    <row r="98" spans="1:46" ht="15.75" customHeight="1" x14ac:dyDescent="0.25">
      <c r="A98" s="70"/>
      <c r="B98" s="16">
        <v>12</v>
      </c>
      <c r="C98" s="16" t="s">
        <v>41</v>
      </c>
      <c r="D98" s="17">
        <v>24</v>
      </c>
      <c r="E98" s="18">
        <f ca="1">IFERROR(__xludf.DUMMYFUNCTION("COUNT(IMPORTRANGE(""https://docs.google.com/spreadsheets/d/1VAsUtLQHi7oV9NsI9EIHPnO1bcPJHeRgSbMoxSvPBME/edit"",""4!d2:d25""))"),24)</f>
        <v>24</v>
      </c>
      <c r="F98" s="23">
        <f ca="1">IFERROR(__xludf.DUMMYFUNCTION("SUM(IMPORTRANGE(""https://docs.google.com/spreadsheets/d/1VAsUtLQHi7oV9NsI9EIHPnO1bcPJHeRgSbMoxSvPBME/edit"",""4!Q2:Q25""))"),4750.356)</f>
        <v>4750.3559999999998</v>
      </c>
      <c r="G98" s="18">
        <f ca="1">IFERROR(__xludf.DUMMYFUNCTION("IMPORTRANGE(""https://docs.google.com/spreadsheets/d/1VAsUtLQHi7oV9NsI9EIHPnO1bcPJHeRgSbMoxSvPBME/edit"",""4!e32"")"),1245)</f>
        <v>1245</v>
      </c>
      <c r="H98" s="18">
        <f ca="1">IFERROR(__xludf.DUMMYFUNCTION("IMPORTRANGE(""https://docs.google.com/spreadsheets/d/1VAsUtLQHi7oV9NsI9EIHPnO1bcPJHeRgSbMoxSvPBME/edit"",""4!e33"")"),0)</f>
        <v>0</v>
      </c>
      <c r="I98" s="18">
        <f t="shared" ca="1" si="237"/>
        <v>1245</v>
      </c>
      <c r="J98" s="18">
        <f ca="1">IFERROR(__xludf.DUMMYFUNCTION("IMPORTRANGE(""https://docs.google.com/spreadsheets/d/1VAsUtLQHi7oV9NsI9EIHPnO1bcPJHeRgSbMoxSvPBME/edit"",""4!e36"")"),1684)</f>
        <v>1684</v>
      </c>
      <c r="K98" s="18">
        <f ca="1">IFERROR(__xludf.DUMMYFUNCTION("IMPORTRANGE(""https://docs.google.com/spreadsheets/d/1VAsUtLQHi7oV9NsI9EIHPnO1bcPJHeRgSbMoxSvPBME/edit"",""4!e37"")"),0)</f>
        <v>0</v>
      </c>
      <c r="L98" s="18">
        <f t="shared" ca="1" si="267"/>
        <v>1684</v>
      </c>
      <c r="M98" s="18">
        <f t="shared" ca="1" si="239"/>
        <v>2929</v>
      </c>
      <c r="N98" s="19">
        <f t="shared" ca="1" si="240"/>
        <v>197.9315</v>
      </c>
      <c r="O98" s="16">
        <v>3801</v>
      </c>
      <c r="P98" s="20">
        <f t="shared" ca="1" si="241"/>
        <v>0.77058668771375949</v>
      </c>
      <c r="Q98" s="21">
        <v>1.5</v>
      </c>
      <c r="R98" s="20">
        <f t="shared" ca="1" si="242"/>
        <v>0.41105691166444513</v>
      </c>
      <c r="S98" s="22">
        <f t="shared" ca="1" si="243"/>
        <v>0.6165853674966677</v>
      </c>
      <c r="T98" s="21">
        <f ca="1">F98/29.628</f>
        <v>160.33333333333331</v>
      </c>
      <c r="U98" s="21">
        <f t="shared" ca="1" si="244"/>
        <v>6.6805555555555545</v>
      </c>
      <c r="V98" s="18">
        <f t="shared" ca="1" si="245"/>
        <v>122.04166666666667</v>
      </c>
      <c r="W98" s="76"/>
      <c r="X98" s="8">
        <v>6</v>
      </c>
      <c r="Y98" s="8" t="s">
        <v>42</v>
      </c>
      <c r="Z98" s="8">
        <f t="shared" ref="Z98:AI98" si="276">SUM(D102)</f>
        <v>33</v>
      </c>
      <c r="AA98" s="9">
        <f t="shared" ca="1" si="276"/>
        <v>33</v>
      </c>
      <c r="AB98" s="10">
        <f t="shared" ca="1" si="276"/>
        <v>6378.7439999999897</v>
      </c>
      <c r="AC98" s="9">
        <f t="shared" ca="1" si="276"/>
        <v>2973</v>
      </c>
      <c r="AD98" s="9">
        <f t="shared" ca="1" si="276"/>
        <v>0</v>
      </c>
      <c r="AE98" s="9">
        <f t="shared" ca="1" si="276"/>
        <v>2973</v>
      </c>
      <c r="AF98" s="9">
        <f t="shared" ca="1" si="276"/>
        <v>4629</v>
      </c>
      <c r="AG98" s="9">
        <f t="shared" ca="1" si="276"/>
        <v>0</v>
      </c>
      <c r="AH98" s="9">
        <f t="shared" ca="1" si="276"/>
        <v>4629</v>
      </c>
      <c r="AI98" s="9">
        <f t="shared" ca="1" si="276"/>
        <v>7602</v>
      </c>
      <c r="AJ98" s="11">
        <f t="shared" ca="1" si="257"/>
        <v>193.29527272727242</v>
      </c>
      <c r="AK98" s="8">
        <f t="shared" si="273"/>
        <v>9877</v>
      </c>
      <c r="AL98" s="12">
        <f t="shared" ca="1" si="259"/>
        <v>0.76966690290574058</v>
      </c>
      <c r="AM98" s="13">
        <f t="shared" si="274"/>
        <v>1.5</v>
      </c>
      <c r="AN98" s="12">
        <f t="shared" ca="1" si="261"/>
        <v>0.79451377888813346</v>
      </c>
      <c r="AO98" s="14">
        <f t="shared" ca="1" si="262"/>
        <v>1.1917706683322002</v>
      </c>
      <c r="AP98" s="13">
        <f t="shared" ref="AP98:AQ98" ca="1" si="277">SUM(T102)</f>
        <v>243.88239342381914</v>
      </c>
      <c r="AQ98" s="13">
        <f t="shared" ca="1" si="277"/>
        <v>7.3903755582975492</v>
      </c>
      <c r="AR98" s="9">
        <f t="shared" ca="1" si="264"/>
        <v>230.36363636363637</v>
      </c>
      <c r="AS98" s="76"/>
      <c r="AT98" s="76"/>
    </row>
    <row r="99" spans="1:46" ht="15.75" customHeight="1" x14ac:dyDescent="0.25">
      <c r="A99" s="70"/>
      <c r="B99" s="16">
        <v>13</v>
      </c>
      <c r="C99" s="16" t="s">
        <v>43</v>
      </c>
      <c r="D99" s="17">
        <v>30</v>
      </c>
      <c r="E99" s="18">
        <f ca="1">IFERROR(__xludf.DUMMYFUNCTION("COUNT(IMPORTRANGE(""https://docs.google.com/spreadsheets/d/1p9Y_DGk7-TpRBFth-ljZceOIGCjQ0ylUeUq6xqnsZ-Q/edit"",""4!d2:d31""))"),30)</f>
        <v>30</v>
      </c>
      <c r="F99" s="23">
        <f ca="1">IFERROR(__xludf.DUMMYFUNCTION("SUM(IMPORTRANGE(""https://docs.google.com/spreadsheets/d/1p9Y_DGk7-TpRBFth-ljZceOIGCjQ0ylUeUq6xqnsZ-Q/edit"",""4!Q2:Q31""))"),6366.68799999999)</f>
        <v>6366.6879999999901</v>
      </c>
      <c r="G99" s="18">
        <f ca="1">IFERROR(__xludf.DUMMYFUNCTION("IMPORTRANGE(""https://docs.google.com/spreadsheets/d/1p9Y_DGk7-TpRBFth-ljZceOIGCjQ0ylUeUq6xqnsZ-Q/edit"",""4!e38"")"),1915)</f>
        <v>1915</v>
      </c>
      <c r="H99" s="18">
        <f ca="1">IFERROR(__xludf.DUMMYFUNCTION("IMPORTRANGE(""https://docs.google.com/spreadsheets/d/1p9Y_DGk7-TpRBFth-ljZceOIGCjQ0ylUeUq6xqnsZ-Q/edit"",""4!e39"")"),111)</f>
        <v>111</v>
      </c>
      <c r="I99" s="18">
        <f t="shared" ca="1" si="237"/>
        <v>2026</v>
      </c>
      <c r="J99" s="18">
        <f ca="1">IFERROR(__xludf.DUMMYFUNCTION("IMPORTRANGE(""https://docs.google.com/spreadsheets/d/1p9Y_DGk7-TpRBFth-ljZceOIGCjQ0ylUeUq6xqnsZ-Q/edit"",""4!e42"")"),2843)</f>
        <v>2843</v>
      </c>
      <c r="K99" s="18">
        <f ca="1">IFERROR(__xludf.DUMMYFUNCTION("IMPORTRANGE(""https://docs.google.com/spreadsheets/d/1p9Y_DGk7-TpRBFth-ljZceOIGCjQ0ylUeUq6xqnsZ-Q/edit"",""4!e43"")"),179)</f>
        <v>179</v>
      </c>
      <c r="L99" s="18">
        <f t="shared" ca="1" si="267"/>
        <v>3022</v>
      </c>
      <c r="M99" s="18">
        <f t="shared" ca="1" si="239"/>
        <v>5048</v>
      </c>
      <c r="N99" s="19">
        <f t="shared" ca="1" si="240"/>
        <v>212.222933333333</v>
      </c>
      <c r="O99" s="16">
        <v>8345</v>
      </c>
      <c r="P99" s="20">
        <f t="shared" ca="1" si="241"/>
        <v>0.60491312162971844</v>
      </c>
      <c r="Q99" s="21">
        <v>1.5</v>
      </c>
      <c r="R99" s="20">
        <f t="shared" ca="1" si="242"/>
        <v>0.52858461626097253</v>
      </c>
      <c r="S99" s="22">
        <f t="shared" ca="1" si="243"/>
        <v>0.79287692439145874</v>
      </c>
      <c r="T99" s="21">
        <f ca="1">F99/41.205</f>
        <v>154.51251061764324</v>
      </c>
      <c r="U99" s="21">
        <f t="shared" ca="1" si="244"/>
        <v>5.1504170205881081</v>
      </c>
      <c r="V99" s="18">
        <f t="shared" ca="1" si="245"/>
        <v>168.26666666666668</v>
      </c>
      <c r="W99" s="76"/>
      <c r="X99" s="24" t="s">
        <v>33</v>
      </c>
      <c r="Y99" s="24">
        <v>6</v>
      </c>
      <c r="Z99" s="24">
        <f t="shared" ref="Z99:AI99" si="278">SUM(Z93:Z98)</f>
        <v>226</v>
      </c>
      <c r="AA99" s="25">
        <f t="shared" ca="1" si="278"/>
        <v>223</v>
      </c>
      <c r="AB99" s="27">
        <f t="shared" ca="1" si="278"/>
        <v>44289.504999999874</v>
      </c>
      <c r="AC99" s="25">
        <f t="shared" ca="1" si="278"/>
        <v>17215</v>
      </c>
      <c r="AD99" s="25">
        <f t="shared" ca="1" si="278"/>
        <v>403</v>
      </c>
      <c r="AE99" s="25">
        <f t="shared" ca="1" si="278"/>
        <v>17618</v>
      </c>
      <c r="AF99" s="25">
        <f t="shared" ca="1" si="278"/>
        <v>23962</v>
      </c>
      <c r="AG99" s="25">
        <f t="shared" ca="1" si="278"/>
        <v>627</v>
      </c>
      <c r="AH99" s="25">
        <f t="shared" ca="1" si="278"/>
        <v>24589</v>
      </c>
      <c r="AI99" s="25">
        <f t="shared" ca="1" si="278"/>
        <v>42207</v>
      </c>
      <c r="AJ99" s="27">
        <f t="shared" ca="1" si="257"/>
        <v>198.60764573990974</v>
      </c>
      <c r="AK99" s="24">
        <f>SUM(AK93:AK98)</f>
        <v>53273</v>
      </c>
      <c r="AL99" s="28">
        <f t="shared" ca="1" si="259"/>
        <v>0.79227751393764201</v>
      </c>
      <c r="AM99" s="29">
        <v>1.5</v>
      </c>
      <c r="AN99" s="28">
        <f t="shared" ca="1" si="261"/>
        <v>0.6353198122218815</v>
      </c>
      <c r="AO99" s="30">
        <f t="shared" ca="1" si="262"/>
        <v>0.95297971833282225</v>
      </c>
      <c r="AP99" s="29">
        <f ca="1">SUM(AP93:AP98)</f>
        <v>1453.7265940789096</v>
      </c>
      <c r="AQ99" s="29">
        <f ca="1">AP99/AA99</f>
        <v>6.5189533366767245</v>
      </c>
      <c r="AR99" s="25">
        <f t="shared" ca="1" si="264"/>
        <v>189.26905829596413</v>
      </c>
      <c r="AS99" s="76"/>
      <c r="AT99" s="76"/>
    </row>
    <row r="100" spans="1:46" ht="15.75" customHeight="1" x14ac:dyDescent="0.25">
      <c r="A100" s="70"/>
      <c r="B100" s="16">
        <v>14</v>
      </c>
      <c r="C100" s="16" t="s">
        <v>27</v>
      </c>
      <c r="D100" s="17">
        <v>30</v>
      </c>
      <c r="E100" s="18">
        <f ca="1">IFERROR(__xludf.DUMMYFUNCTION("COUNT(IMPORTRANGE(""https://docs.google.com/spreadsheets/d/1zJUDEKztv_fercXA0LYNw155qdzS7TJGhWLhquaW5IY/edit"",""4!d2:d31""))"),30)</f>
        <v>30</v>
      </c>
      <c r="F100" s="23">
        <f ca="1">IFERROR(__xludf.DUMMYFUNCTION("SUM(IMPORTRANGE(""https://docs.google.com/spreadsheets/d/1zJUDEKztv_fercXA0LYNw155qdzS7TJGhWLhquaW5IY/edit"",""4!Q2:Q31""))"),5825.49)</f>
        <v>5825.49</v>
      </c>
      <c r="G100" s="18">
        <f ca="1">IFERROR(__xludf.DUMMYFUNCTION("IMPORTRANGE(""https://docs.google.com/spreadsheets/d/1zJUDEKztv_fercXA0LYNw155qdzS7TJGhWLhquaW5IY/edit"",""4!e38"")"),2530)</f>
        <v>2530</v>
      </c>
      <c r="H100" s="18">
        <f ca="1">IFERROR(__xludf.DUMMYFUNCTION("IMPORTRANGE(""https://docs.google.com/spreadsheets/d/1zJUDEKztv_fercXA0LYNw155qdzS7TJGhWLhquaW5IY/edit"",""4!e39"")"),0)</f>
        <v>0</v>
      </c>
      <c r="I100" s="18">
        <f t="shared" ca="1" si="237"/>
        <v>2530</v>
      </c>
      <c r="J100" s="18">
        <f ca="1">IFERROR(__xludf.DUMMYFUNCTION("IMPORTRANGE(""https://docs.google.com/spreadsheets/d/1zJUDEKztv_fercXA0LYNw155qdzS7TJGhWLhquaW5IY/edit"",""4!e42"")"),3382)</f>
        <v>3382</v>
      </c>
      <c r="K100" s="18">
        <f ca="1">IFERROR(__xludf.DUMMYFUNCTION("IMPORTRANGE(""https://docs.google.com/spreadsheets/d/1zJUDEKztv_fercXA0LYNw155qdzS7TJGhWLhquaW5IY/edit"",""4!e43"")"),0)</f>
        <v>0</v>
      </c>
      <c r="L100" s="18">
        <f t="shared" ca="1" si="267"/>
        <v>3382</v>
      </c>
      <c r="M100" s="18">
        <f t="shared" ca="1" si="239"/>
        <v>5912</v>
      </c>
      <c r="N100" s="19">
        <f t="shared" ca="1" si="240"/>
        <v>194.18299999999999</v>
      </c>
      <c r="O100" s="16">
        <v>8101</v>
      </c>
      <c r="P100" s="20">
        <f t="shared" ca="1" si="241"/>
        <v>0.72978644611776322</v>
      </c>
      <c r="Q100" s="21">
        <v>1.5</v>
      </c>
      <c r="R100" s="20">
        <f t="shared" ca="1" si="242"/>
        <v>0.67656683529339734</v>
      </c>
      <c r="S100" s="22">
        <f t="shared" ca="1" si="243"/>
        <v>1.014850252940096</v>
      </c>
      <c r="T100" s="21">
        <f ca="1">F100/19.985</f>
        <v>291.49311983987991</v>
      </c>
      <c r="U100" s="21">
        <f t="shared" ca="1" si="244"/>
        <v>9.7164373279959975</v>
      </c>
      <c r="V100" s="18">
        <f t="shared" ca="1" si="245"/>
        <v>197.06666666666666</v>
      </c>
      <c r="W100" s="76"/>
      <c r="X100" s="97" t="s">
        <v>44</v>
      </c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9"/>
      <c r="AS100" s="76"/>
      <c r="AT100" s="76"/>
    </row>
    <row r="101" spans="1:46" ht="15.75" customHeight="1" x14ac:dyDescent="0.25">
      <c r="A101" s="70"/>
      <c r="B101" s="16">
        <v>15</v>
      </c>
      <c r="C101" s="16" t="s">
        <v>40</v>
      </c>
      <c r="D101" s="17">
        <v>30</v>
      </c>
      <c r="E101" s="18">
        <f ca="1">IFERROR(__xludf.DUMMYFUNCTION("COUNT(IMPORTRANGE(""https://docs.google.com/spreadsheets/d/15GJA66Ucb-8RQ5vWVpq5HYaWoZZFX82SCeHChBujbrI/edit"",""4!d2:d31""))"),29)</f>
        <v>29</v>
      </c>
      <c r="F101" s="23">
        <f ca="1">IFERROR(__xludf.DUMMYFUNCTION("SUM(IMPORTRANGE(""https://docs.google.com/spreadsheets/d/15GJA66Ucb-8RQ5vWVpq5HYaWoZZFX82SCeHChBujbrI/edit"",""4!Q2:Q31""))"),5717.04299999999)</f>
        <v>5717.0429999999897</v>
      </c>
      <c r="G101" s="18">
        <f ca="1">IFERROR(__xludf.DUMMYFUNCTION("IMPORTRANGE(""https://docs.google.com/spreadsheets/d/15GJA66Ucb-8RQ5vWVpq5HYaWoZZFX82SCeHChBujbrI/edit"",""4!e38"")"),3181)</f>
        <v>3181</v>
      </c>
      <c r="H101" s="18">
        <f ca="1">IFERROR(__xludf.DUMMYFUNCTION("IMPORTRANGE(""https://docs.google.com/spreadsheets/d/15GJA66Ucb-8RQ5vWVpq5HYaWoZZFX82SCeHChBujbrI/edit"",""4!e39"")"),9)</f>
        <v>9</v>
      </c>
      <c r="I101" s="18">
        <f t="shared" ca="1" si="237"/>
        <v>3190</v>
      </c>
      <c r="J101" s="18">
        <f ca="1">IFERROR(__xludf.DUMMYFUNCTION("IMPORTRANGE(""https://docs.google.com/spreadsheets/d/15GJA66Ucb-8RQ5vWVpq5HYaWoZZFX82SCeHChBujbrI/edit"",""4!e42"")"),3867)</f>
        <v>3867</v>
      </c>
      <c r="K101" s="18">
        <f ca="1">IFERROR(__xludf.DUMMYFUNCTION("IMPORTRANGE(""https://docs.google.com/spreadsheets/d/15GJA66Ucb-8RQ5vWVpq5HYaWoZZFX82SCeHChBujbrI/edit"",""4!e43"")"),20)</f>
        <v>20</v>
      </c>
      <c r="L101" s="18">
        <f t="shared" ca="1" si="267"/>
        <v>3887</v>
      </c>
      <c r="M101" s="18">
        <f t="shared" ca="1" si="239"/>
        <v>7077</v>
      </c>
      <c r="N101" s="19">
        <f t="shared" ca="1" si="240"/>
        <v>197.1394137931031</v>
      </c>
      <c r="O101" s="16">
        <v>8239</v>
      </c>
      <c r="P101" s="20">
        <f t="shared" ca="1" si="241"/>
        <v>0.85896346644010191</v>
      </c>
      <c r="Q101" s="21">
        <v>1.5</v>
      </c>
      <c r="R101" s="20">
        <f t="shared" ca="1" si="242"/>
        <v>0.82525179537743698</v>
      </c>
      <c r="S101" s="22">
        <f t="shared" ca="1" si="243"/>
        <v>1.2378776930661555</v>
      </c>
      <c r="T101" s="21">
        <f ca="1">F101/28.443</f>
        <v>200.99999999999963</v>
      </c>
      <c r="U101" s="21">
        <f t="shared" ca="1" si="244"/>
        <v>6.9310344827586077</v>
      </c>
      <c r="V101" s="18">
        <f t="shared" ca="1" si="245"/>
        <v>244.0344827586207</v>
      </c>
      <c r="W101" s="76"/>
      <c r="X101" s="1" t="s">
        <v>2</v>
      </c>
      <c r="Y101" s="1" t="s">
        <v>3</v>
      </c>
      <c r="Z101" s="1" t="s">
        <v>4</v>
      </c>
      <c r="AA101" s="1" t="s">
        <v>5</v>
      </c>
      <c r="AB101" s="2" t="s">
        <v>6</v>
      </c>
      <c r="AC101" s="1" t="s">
        <v>7</v>
      </c>
      <c r="AD101" s="1" t="s">
        <v>8</v>
      </c>
      <c r="AE101" s="1" t="s">
        <v>9</v>
      </c>
      <c r="AF101" s="1" t="s">
        <v>10</v>
      </c>
      <c r="AG101" s="1" t="s">
        <v>11</v>
      </c>
      <c r="AH101" s="1" t="s">
        <v>12</v>
      </c>
      <c r="AI101" s="1" t="s">
        <v>13</v>
      </c>
      <c r="AJ101" s="2" t="s">
        <v>14</v>
      </c>
      <c r="AK101" s="1" t="s">
        <v>15</v>
      </c>
      <c r="AL101" s="1" t="s">
        <v>16</v>
      </c>
      <c r="AM101" s="3" t="s">
        <v>17</v>
      </c>
      <c r="AN101" s="4" t="s">
        <v>18</v>
      </c>
      <c r="AO101" s="5" t="s">
        <v>19</v>
      </c>
      <c r="AP101" s="6" t="s">
        <v>20</v>
      </c>
      <c r="AQ101" s="6" t="s">
        <v>21</v>
      </c>
      <c r="AR101" s="7" t="s">
        <v>22</v>
      </c>
      <c r="AS101" s="76"/>
      <c r="AT101" s="76"/>
    </row>
    <row r="102" spans="1:46" ht="15.75" customHeight="1" x14ac:dyDescent="0.25">
      <c r="A102" s="70"/>
      <c r="B102" s="16">
        <v>16</v>
      </c>
      <c r="C102" s="16" t="s">
        <v>42</v>
      </c>
      <c r="D102" s="17">
        <v>33</v>
      </c>
      <c r="E102" s="18">
        <f ca="1">IFERROR(__xludf.DUMMYFUNCTION("COUNT(IMPORTRANGE(""https://docs.google.com/spreadsheets/d/14Tu_jFPEdrIQ6DHYu6vRvJKQsbXr-48NY1tKy4-8JKI/edit"",""4!d2:d34""))"),33)</f>
        <v>33</v>
      </c>
      <c r="F102" s="23">
        <f ca="1">IFERROR(__xludf.DUMMYFUNCTION("SUM(IMPORTRANGE(""https://docs.google.com/spreadsheets/d/14Tu_jFPEdrIQ6DHYu6vRvJKQsbXr-48NY1tKy4-8JKI/edit"",""4!Q2:Q34""))"),6378.74399999999)</f>
        <v>6378.7439999999897</v>
      </c>
      <c r="G102" s="18">
        <f ca="1">IFERROR(__xludf.DUMMYFUNCTION("IMPORTRANGE(""https://docs.google.com/spreadsheets/d/14Tu_jFPEdrIQ6DHYu6vRvJKQsbXr-48NY1tKy4-8JKI/edit"",""4!e41"")"),2973)</f>
        <v>2973</v>
      </c>
      <c r="H102" s="18">
        <f ca="1">IFERROR(__xludf.DUMMYFUNCTION("IMPORTRANGE(""https://docs.google.com/spreadsheets/d/14Tu_jFPEdrIQ6DHYu6vRvJKQsbXr-48NY1tKy4-8JKI/edit"",""4!e42"")"),0)</f>
        <v>0</v>
      </c>
      <c r="I102" s="18">
        <f t="shared" ca="1" si="237"/>
        <v>2973</v>
      </c>
      <c r="J102" s="18">
        <f ca="1">IFERROR(__xludf.DUMMYFUNCTION("IMPORTRANGE(""https://docs.google.com/spreadsheets/d/14Tu_jFPEdrIQ6DHYu6vRvJKQsbXr-48NY1tKy4-8JKI/edit"",""4!e45"")"),4629)</f>
        <v>4629</v>
      </c>
      <c r="K102" s="18">
        <f ca="1">IFERROR(__xludf.DUMMYFUNCTION("IMPORTRANGE(""https://docs.google.com/spreadsheets/d/14Tu_jFPEdrIQ6DHYu6vRvJKQsbXr-48NY1tKy4-8JKI/edit"",""4!e46"")"),0)</f>
        <v>0</v>
      </c>
      <c r="L102" s="18">
        <f t="shared" ca="1" si="267"/>
        <v>4629</v>
      </c>
      <c r="M102" s="18">
        <f t="shared" ca="1" si="239"/>
        <v>7602</v>
      </c>
      <c r="N102" s="19">
        <f t="shared" ca="1" si="240"/>
        <v>193.29527272727242</v>
      </c>
      <c r="O102" s="16">
        <v>9877</v>
      </c>
      <c r="P102" s="20">
        <f t="shared" ca="1" si="241"/>
        <v>0.76966690290574058</v>
      </c>
      <c r="Q102" s="21">
        <v>1.5</v>
      </c>
      <c r="R102" s="20">
        <f t="shared" ca="1" si="242"/>
        <v>0.79451377888813346</v>
      </c>
      <c r="S102" s="22">
        <f t="shared" ca="1" si="243"/>
        <v>1.1917706683322002</v>
      </c>
      <c r="T102" s="21">
        <f ca="1">F102/26.155</f>
        <v>243.88239342381914</v>
      </c>
      <c r="U102" s="21">
        <f t="shared" ca="1" si="244"/>
        <v>7.3903755582975492</v>
      </c>
      <c r="V102" s="18">
        <f t="shared" ca="1" si="245"/>
        <v>230.36363636363637</v>
      </c>
      <c r="W102" s="76"/>
      <c r="X102" s="8">
        <v>1</v>
      </c>
      <c r="Y102" s="8" t="s">
        <v>26</v>
      </c>
      <c r="Z102" s="8">
        <f t="shared" ref="Z102:AI102" si="279">SUM(D87)</f>
        <v>20</v>
      </c>
      <c r="AA102" s="9">
        <f t="shared" ca="1" si="279"/>
        <v>20</v>
      </c>
      <c r="AB102" s="11">
        <f t="shared" ca="1" si="279"/>
        <v>3856.5479999999998</v>
      </c>
      <c r="AC102" s="9">
        <f t="shared" ca="1" si="279"/>
        <v>2472</v>
      </c>
      <c r="AD102" s="9">
        <f t="shared" ca="1" si="279"/>
        <v>0</v>
      </c>
      <c r="AE102" s="9">
        <f t="shared" ca="1" si="279"/>
        <v>2472</v>
      </c>
      <c r="AF102" s="9">
        <f t="shared" ca="1" si="279"/>
        <v>2541</v>
      </c>
      <c r="AG102" s="9">
        <f t="shared" ca="1" si="279"/>
        <v>0</v>
      </c>
      <c r="AH102" s="9">
        <f t="shared" ca="1" si="279"/>
        <v>2541</v>
      </c>
      <c r="AI102" s="9">
        <f t="shared" ca="1" si="279"/>
        <v>5013</v>
      </c>
      <c r="AJ102" s="11">
        <f t="shared" ref="AJ102:AJ108" ca="1" si="280">AB102/AA102</f>
        <v>192.82739999999998</v>
      </c>
      <c r="AK102" s="8">
        <f>SUM(O87)</f>
        <v>5161</v>
      </c>
      <c r="AL102" s="12">
        <f t="shared" ref="AL102:AL108" ca="1" si="281">AI102/AK102</f>
        <v>0.97132338694051545</v>
      </c>
      <c r="AM102" s="13">
        <f>SUM(Q87)</f>
        <v>1.5</v>
      </c>
      <c r="AN102" s="12">
        <f t="shared" ref="AN102:AN108" ca="1" si="282">AO102/AM102</f>
        <v>0.86657809004322006</v>
      </c>
      <c r="AO102" s="14">
        <f t="shared" ref="AO102:AO108" ca="1" si="283">AI102/AB102</f>
        <v>1.2998671350648301</v>
      </c>
      <c r="AP102" s="13">
        <f t="shared" ref="AP102:AQ102" ca="1" si="284">SUM(T87)</f>
        <v>267.53714880332984</v>
      </c>
      <c r="AQ102" s="13">
        <f t="shared" ca="1" si="284"/>
        <v>13.376857440166493</v>
      </c>
      <c r="AR102" s="9">
        <f t="shared" ref="AR102:AR108" ca="1" si="285">AI102/AA102</f>
        <v>250.65</v>
      </c>
      <c r="AS102" s="76"/>
      <c r="AT102" s="76"/>
    </row>
    <row r="103" spans="1:46" ht="15.75" customHeight="1" x14ac:dyDescent="0.25">
      <c r="A103" s="70"/>
      <c r="B103" s="16">
        <v>17</v>
      </c>
      <c r="C103" s="16" t="s">
        <v>29</v>
      </c>
      <c r="D103" s="17">
        <v>30</v>
      </c>
      <c r="E103" s="18">
        <f ca="1">IFERROR(__xludf.DUMMYFUNCTION("COUNT(IMPORTRANGE(""https://docs.google.com/spreadsheets/d/1ja_RQYsP0p5wRrACHojay4CW1wLx0QdS5tSwp-vYQ-s/edit"",""4!d2:d31""))"),29)</f>
        <v>29</v>
      </c>
      <c r="F103" s="23">
        <f ca="1">IFERROR(__xludf.DUMMYFUNCTION("SUM(IMPORTRANGE(""https://docs.google.com/spreadsheets/d/1ja_RQYsP0p5wRrACHojay4CW1wLx0QdS5tSwp-vYQ-s/edit"",""4!Q2:Q31""))"),5858.55)</f>
        <v>5858.55</v>
      </c>
      <c r="G103" s="18">
        <f ca="1">IFERROR(__xludf.DUMMYFUNCTION("IMPORTRANGE(""https://docs.google.com/spreadsheets/d/1ja_RQYsP0p5wRrACHojay4CW1wLx0QdS5tSwp-vYQ-s/edit"",""4!e38"")"),2803)</f>
        <v>2803</v>
      </c>
      <c r="H103" s="18">
        <f ca="1">IFERROR(__xludf.DUMMYFUNCTION("IMPORTRANGE(""https://docs.google.com/spreadsheets/d/1ja_RQYsP0p5wRrACHojay4CW1wLx0QdS5tSwp-vYQ-s/edit"",""4!e39"")"),196)</f>
        <v>196</v>
      </c>
      <c r="I103" s="18">
        <f t="shared" ca="1" si="237"/>
        <v>2999</v>
      </c>
      <c r="J103" s="18">
        <f ca="1">IFERROR(__xludf.DUMMYFUNCTION("IMPORTRANGE(""https://docs.google.com/spreadsheets/d/1ja_RQYsP0p5wRrACHojay4CW1wLx0QdS5tSwp-vYQ-s/edit"",""4!e42"")"),4312)</f>
        <v>4312</v>
      </c>
      <c r="K103" s="18">
        <f ca="1">IFERROR(__xludf.DUMMYFUNCTION("IMPORTRANGE(""https://docs.google.com/spreadsheets/d/1ja_RQYsP0p5wRrACHojay4CW1wLx0QdS5tSwp-vYQ-s/edit"",""4!e43"")"),0)</f>
        <v>0</v>
      </c>
      <c r="L103" s="18">
        <f t="shared" ca="1" si="267"/>
        <v>4312</v>
      </c>
      <c r="M103" s="18">
        <f t="shared" ca="1" si="239"/>
        <v>7311</v>
      </c>
      <c r="N103" s="19">
        <f t="shared" ca="1" si="240"/>
        <v>202.01896551724138</v>
      </c>
      <c r="O103" s="16">
        <v>9201</v>
      </c>
      <c r="P103" s="20">
        <f t="shared" ca="1" si="241"/>
        <v>0.79458754483208349</v>
      </c>
      <c r="Q103" s="21">
        <v>1.5</v>
      </c>
      <c r="R103" s="20">
        <f t="shared" ca="1" si="242"/>
        <v>0.83194647139650602</v>
      </c>
      <c r="S103" s="22">
        <f t="shared" ca="1" si="243"/>
        <v>1.247919707094759</v>
      </c>
      <c r="T103" s="21">
        <f ca="1">F103/26.038</f>
        <v>225</v>
      </c>
      <c r="U103" s="21">
        <f t="shared" ca="1" si="244"/>
        <v>7.7586206896551726</v>
      </c>
      <c r="V103" s="18">
        <f t="shared" ca="1" si="245"/>
        <v>252.10344827586206</v>
      </c>
      <c r="W103" s="76"/>
      <c r="X103" s="8">
        <v>2</v>
      </c>
      <c r="Y103" s="8" t="s">
        <v>32</v>
      </c>
      <c r="Z103" s="8">
        <f t="shared" ref="Z103:AI103" si="286">SUM(D90)</f>
        <v>42</v>
      </c>
      <c r="AA103" s="9">
        <f t="shared" ca="1" si="286"/>
        <v>42</v>
      </c>
      <c r="AB103" s="10">
        <f t="shared" ca="1" si="286"/>
        <v>8267.8999999999905</v>
      </c>
      <c r="AC103" s="8">
        <f t="shared" ca="1" si="286"/>
        <v>4583</v>
      </c>
      <c r="AD103" s="8">
        <f t="shared" ca="1" si="286"/>
        <v>0</v>
      </c>
      <c r="AE103" s="9">
        <f t="shared" ca="1" si="286"/>
        <v>4583</v>
      </c>
      <c r="AF103" s="8">
        <f t="shared" ca="1" si="286"/>
        <v>5680</v>
      </c>
      <c r="AG103" s="8">
        <f t="shared" ca="1" si="286"/>
        <v>0</v>
      </c>
      <c r="AH103" s="9">
        <f t="shared" ca="1" si="286"/>
        <v>5680</v>
      </c>
      <c r="AI103" s="9">
        <f t="shared" ca="1" si="286"/>
        <v>10263</v>
      </c>
      <c r="AJ103" s="11">
        <f t="shared" ca="1" si="280"/>
        <v>196.85476190476169</v>
      </c>
      <c r="AK103" s="8">
        <f>SUM(O90)</f>
        <v>13817</v>
      </c>
      <c r="AL103" s="12">
        <f t="shared" ca="1" si="281"/>
        <v>0.74278063255409998</v>
      </c>
      <c r="AM103" s="13">
        <f>SUM(Q90)</f>
        <v>1.5</v>
      </c>
      <c r="AN103" s="12">
        <f t="shared" ca="1" si="282"/>
        <v>0.82753782701774437</v>
      </c>
      <c r="AO103" s="14">
        <f t="shared" ca="1" si="283"/>
        <v>1.2413067405266165</v>
      </c>
      <c r="AP103" s="13">
        <f t="shared" ref="AP103:AQ103" ca="1" si="287">SUM(T90)</f>
        <v>329.54282753397865</v>
      </c>
      <c r="AQ103" s="13">
        <f t="shared" ca="1" si="287"/>
        <v>7.8462577984280628</v>
      </c>
      <c r="AR103" s="9">
        <f t="shared" ca="1" si="285"/>
        <v>244.35714285714286</v>
      </c>
      <c r="AS103" s="76"/>
      <c r="AT103" s="76"/>
    </row>
    <row r="104" spans="1:46" ht="15.75" customHeight="1" x14ac:dyDescent="0.25">
      <c r="A104" s="70"/>
      <c r="B104" s="16">
        <v>18</v>
      </c>
      <c r="C104" s="16" t="s">
        <v>31</v>
      </c>
      <c r="D104" s="17">
        <v>15</v>
      </c>
      <c r="E104" s="18">
        <f ca="1">IFERROR(__xludf.DUMMYFUNCTION("COUNT(IMPORTRANGE(""https://docs.google.com/spreadsheets/d/1ObnK1oSznTOmyW9Zcd2kxExl7TOnO2MNq_0giEKc_mE/edit"",""4!d2:d16""))"),14)</f>
        <v>14</v>
      </c>
      <c r="F104" s="19">
        <f ca="1">IFERROR(__xludf.DUMMYFUNCTION("SUM(IMPORTRANGE(""https://docs.google.com/spreadsheets/d/1ObnK1oSznTOmyW9Zcd2kxExl7TOnO2MNq_0giEKc_mE/edit"",""4!Q2:Q16""))"),2694.82999999999)</f>
        <v>2694.8299999999899</v>
      </c>
      <c r="G104" s="18">
        <f ca="1">IFERROR(__xludf.DUMMYFUNCTION("IMPORTRANGE(""https://docs.google.com/spreadsheets/d/1ObnK1oSznTOmyW9Zcd2kxExl7TOnO2MNq_0giEKc_mE/edit"",""4!e23"")"),847)</f>
        <v>847</v>
      </c>
      <c r="H104" s="18">
        <f ca="1">IFERROR(__xludf.DUMMYFUNCTION("IMPORTRANGE(""https://docs.google.com/spreadsheets/d/1ObnK1oSznTOmyW9Zcd2kxExl7TOnO2MNq_0giEKc_mE/edit"",""4!e24"")"),0)</f>
        <v>0</v>
      </c>
      <c r="I104" s="18">
        <f t="shared" ca="1" si="237"/>
        <v>847</v>
      </c>
      <c r="J104" s="18">
        <f ca="1">IFERROR(__xludf.DUMMYFUNCTION("IMPORTRANGE(""https://docs.google.com/spreadsheets/d/1ObnK1oSznTOmyW9Zcd2kxExl7TOnO2MNq_0giEKc_mE/edit"",""4!e27"")"),1099)</f>
        <v>1099</v>
      </c>
      <c r="K104" s="18">
        <f ca="1">IFERROR(__xludf.DUMMYFUNCTION("IMPORTRANGE(""https://docs.google.com/spreadsheets/d/1ObnK1oSznTOmyW9Zcd2kxExl7TOnO2MNq_0giEKc_mE/edit"",""4!e28"")"),23)</f>
        <v>23</v>
      </c>
      <c r="L104" s="18">
        <f t="shared" ca="1" si="267"/>
        <v>1122</v>
      </c>
      <c r="M104" s="18">
        <f t="shared" ca="1" si="239"/>
        <v>1969</v>
      </c>
      <c r="N104" s="19">
        <f t="shared" ca="1" si="240"/>
        <v>192.48785714285643</v>
      </c>
      <c r="O104" s="16">
        <v>2717</v>
      </c>
      <c r="P104" s="20">
        <f t="shared" ca="1" si="241"/>
        <v>0.7246963562753036</v>
      </c>
      <c r="Q104" s="21">
        <v>1.5</v>
      </c>
      <c r="R104" s="20">
        <f t="shared" ca="1" si="242"/>
        <v>0.48710555644202852</v>
      </c>
      <c r="S104" s="22">
        <f t="shared" ca="1" si="243"/>
        <v>0.73065833466304275</v>
      </c>
      <c r="T104" s="21">
        <f ca="1">F104/43.465</f>
        <v>61.999999999999766</v>
      </c>
      <c r="U104" s="21">
        <f t="shared" ca="1" si="244"/>
        <v>4.4285714285714119</v>
      </c>
      <c r="V104" s="18">
        <f t="shared" ca="1" si="245"/>
        <v>140.64285714285714</v>
      </c>
      <c r="W104" s="76"/>
      <c r="X104" s="8">
        <v>3</v>
      </c>
      <c r="Y104" s="8" t="s">
        <v>36</v>
      </c>
      <c r="Z104" s="8">
        <f t="shared" ref="Z104:AI104" si="288">SUM(D95)</f>
        <v>29</v>
      </c>
      <c r="AA104" s="9">
        <f t="shared" ca="1" si="288"/>
        <v>28</v>
      </c>
      <c r="AB104" s="10">
        <f t="shared" ca="1" si="288"/>
        <v>5747.3919999999998</v>
      </c>
      <c r="AC104" s="9">
        <f t="shared" ca="1" si="288"/>
        <v>1592</v>
      </c>
      <c r="AD104" s="9">
        <f t="shared" ca="1" si="288"/>
        <v>0</v>
      </c>
      <c r="AE104" s="9">
        <f t="shared" ca="1" si="288"/>
        <v>1592</v>
      </c>
      <c r="AF104" s="9">
        <f t="shared" ca="1" si="288"/>
        <v>2401</v>
      </c>
      <c r="AG104" s="9">
        <f t="shared" ca="1" si="288"/>
        <v>0</v>
      </c>
      <c r="AH104" s="9">
        <f t="shared" ca="1" si="288"/>
        <v>2401</v>
      </c>
      <c r="AI104" s="9">
        <f t="shared" ca="1" si="288"/>
        <v>3993</v>
      </c>
      <c r="AJ104" s="11">
        <f t="shared" ca="1" si="280"/>
        <v>205.26399999999998</v>
      </c>
      <c r="AK104" s="8">
        <f t="shared" ref="AK104:AK107" si="289">SUM(O95)</f>
        <v>4796</v>
      </c>
      <c r="AL104" s="12">
        <f t="shared" ca="1" si="281"/>
        <v>0.83256880733944949</v>
      </c>
      <c r="AM104" s="13">
        <f t="shared" ref="AM104:AM107" si="290">SUM(Q95)</f>
        <v>1.5</v>
      </c>
      <c r="AN104" s="12">
        <f t="shared" ca="1" si="282"/>
        <v>0.46316659799783971</v>
      </c>
      <c r="AO104" s="14">
        <f t="shared" ca="1" si="283"/>
        <v>0.6947498969967596</v>
      </c>
      <c r="AP104" s="13">
        <f t="shared" ref="AP104:AQ104" ca="1" si="291">SUM(T95)</f>
        <v>153.61607954241725</v>
      </c>
      <c r="AQ104" s="13">
        <f t="shared" ca="1" si="291"/>
        <v>5.4862885550863307</v>
      </c>
      <c r="AR104" s="9">
        <f t="shared" ca="1" si="285"/>
        <v>142.60714285714286</v>
      </c>
      <c r="AS104" s="76"/>
      <c r="AT104" s="76"/>
    </row>
    <row r="105" spans="1:46" ht="15.75" customHeight="1" x14ac:dyDescent="0.2">
      <c r="A105" s="70"/>
      <c r="B105" s="98" t="s">
        <v>33</v>
      </c>
      <c r="C105" s="98">
        <v>18</v>
      </c>
      <c r="D105" s="98">
        <f t="shared" ref="D105:M105" si="292">SUM(D87:D104)</f>
        <v>585</v>
      </c>
      <c r="E105" s="74">
        <f t="shared" ca="1" si="292"/>
        <v>576</v>
      </c>
      <c r="F105" s="99">
        <f t="shared" ca="1" si="292"/>
        <v>112906.78299999984</v>
      </c>
      <c r="G105" s="74">
        <f t="shared" ca="1" si="292"/>
        <v>41640</v>
      </c>
      <c r="H105" s="74">
        <f t="shared" ca="1" si="292"/>
        <v>1074</v>
      </c>
      <c r="I105" s="74">
        <f t="shared" ca="1" si="292"/>
        <v>42714</v>
      </c>
      <c r="J105" s="74">
        <f t="shared" ca="1" si="292"/>
        <v>57374</v>
      </c>
      <c r="K105" s="74">
        <f t="shared" ca="1" si="292"/>
        <v>1103</v>
      </c>
      <c r="L105" s="74">
        <f t="shared" ca="1" si="292"/>
        <v>58477</v>
      </c>
      <c r="M105" s="74">
        <f t="shared" ca="1" si="292"/>
        <v>101191</v>
      </c>
      <c r="N105" s="99">
        <f t="shared" ca="1" si="240"/>
        <v>196.01872048611082</v>
      </c>
      <c r="O105" s="98">
        <f>SUM(O87:O104)</f>
        <v>126399</v>
      </c>
      <c r="P105" s="69">
        <f t="shared" ca="1" si="241"/>
        <v>0.8005680424686904</v>
      </c>
      <c r="Q105" s="72">
        <v>1.5</v>
      </c>
      <c r="R105" s="69">
        <f t="shared" ca="1" si="242"/>
        <v>0.59748993704538333</v>
      </c>
      <c r="S105" s="73">
        <f t="shared" ca="1" si="243"/>
        <v>0.89623490556807506</v>
      </c>
      <c r="T105" s="72">
        <f ca="1">SUM(T87:T104)</f>
        <v>4164.925732843928</v>
      </c>
      <c r="U105" s="72">
        <f t="shared" ca="1" si="244"/>
        <v>7.2307738417429306</v>
      </c>
      <c r="V105" s="74">
        <f t="shared" ca="1" si="245"/>
        <v>175.67881944444446</v>
      </c>
      <c r="W105" s="76"/>
      <c r="X105" s="8">
        <v>4</v>
      </c>
      <c r="Y105" s="8" t="s">
        <v>37</v>
      </c>
      <c r="Z105" s="8">
        <f t="shared" ref="Z105:AI105" si="293">SUM(D96)</f>
        <v>30</v>
      </c>
      <c r="AA105" s="9">
        <f t="shared" ca="1" si="293"/>
        <v>30</v>
      </c>
      <c r="AB105" s="10">
        <f t="shared" ca="1" si="293"/>
        <v>5985.732</v>
      </c>
      <c r="AC105" s="9">
        <f t="shared" ca="1" si="293"/>
        <v>2118</v>
      </c>
      <c r="AD105" s="9">
        <f t="shared" ca="1" si="293"/>
        <v>60</v>
      </c>
      <c r="AE105" s="9">
        <f t="shared" ca="1" si="293"/>
        <v>2178</v>
      </c>
      <c r="AF105" s="9">
        <f t="shared" ca="1" si="293"/>
        <v>3047</v>
      </c>
      <c r="AG105" s="9">
        <f t="shared" ca="1" si="293"/>
        <v>114</v>
      </c>
      <c r="AH105" s="9">
        <f t="shared" ca="1" si="293"/>
        <v>3161</v>
      </c>
      <c r="AI105" s="9">
        <f t="shared" ca="1" si="293"/>
        <v>5339</v>
      </c>
      <c r="AJ105" s="11">
        <f t="shared" ca="1" si="280"/>
        <v>199.52439999999999</v>
      </c>
      <c r="AK105" s="8">
        <f t="shared" si="289"/>
        <v>5887</v>
      </c>
      <c r="AL105" s="12">
        <f t="shared" ca="1" si="281"/>
        <v>0.90691353830473931</v>
      </c>
      <c r="AM105" s="13">
        <f t="shared" si="290"/>
        <v>1.5</v>
      </c>
      <c r="AN105" s="12">
        <f t="shared" ca="1" si="282"/>
        <v>0.59463626726578023</v>
      </c>
      <c r="AO105" s="14">
        <f t="shared" ca="1" si="283"/>
        <v>0.8919544008986704</v>
      </c>
      <c r="AP105" s="13">
        <f t="shared" ref="AP105:AQ105" ca="1" si="294">SUM(T96)</f>
        <v>241.4380445304937</v>
      </c>
      <c r="AQ105" s="13">
        <f t="shared" ca="1" si="294"/>
        <v>8.0479348176831227</v>
      </c>
      <c r="AR105" s="9">
        <f t="shared" ca="1" si="285"/>
        <v>177.96666666666667</v>
      </c>
      <c r="AS105" s="76"/>
      <c r="AT105" s="76"/>
    </row>
    <row r="106" spans="1:46" ht="15.75" customHeight="1" x14ac:dyDescent="0.2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6"/>
      <c r="X106" s="8">
        <v>5</v>
      </c>
      <c r="Y106" s="8" t="s">
        <v>39</v>
      </c>
      <c r="Z106" s="8">
        <f t="shared" ref="Z106:AI106" si="295">SUM(D97)</f>
        <v>28</v>
      </c>
      <c r="AA106" s="9">
        <f t="shared" ca="1" si="295"/>
        <v>26</v>
      </c>
      <c r="AB106" s="10">
        <f t="shared" ca="1" si="295"/>
        <v>4941.9470000000001</v>
      </c>
      <c r="AC106" s="9">
        <f t="shared" ca="1" si="295"/>
        <v>1128</v>
      </c>
      <c r="AD106" s="9">
        <f t="shared" ca="1" si="295"/>
        <v>0</v>
      </c>
      <c r="AE106" s="9">
        <f t="shared" ca="1" si="295"/>
        <v>1128</v>
      </c>
      <c r="AF106" s="9">
        <f t="shared" ca="1" si="295"/>
        <v>1771</v>
      </c>
      <c r="AG106" s="9">
        <f t="shared" ca="1" si="295"/>
        <v>0</v>
      </c>
      <c r="AH106" s="9">
        <f t="shared" ca="1" si="295"/>
        <v>1771</v>
      </c>
      <c r="AI106" s="9">
        <f t="shared" ca="1" si="295"/>
        <v>2899</v>
      </c>
      <c r="AJ106" s="11">
        <f t="shared" ca="1" si="280"/>
        <v>190.07488461538463</v>
      </c>
      <c r="AK106" s="8">
        <f t="shared" si="289"/>
        <v>3569</v>
      </c>
      <c r="AL106" s="12">
        <f t="shared" ca="1" si="281"/>
        <v>0.81227234519473246</v>
      </c>
      <c r="AM106" s="13">
        <f t="shared" si="290"/>
        <v>1.5</v>
      </c>
      <c r="AN106" s="12">
        <f t="shared" ca="1" si="282"/>
        <v>0.39107393637905602</v>
      </c>
      <c r="AO106" s="14">
        <f t="shared" ca="1" si="283"/>
        <v>0.586610904568584</v>
      </c>
      <c r="AP106" s="13">
        <f t="shared" ref="AP106:AQ106" ca="1" si="296">SUM(T97)</f>
        <v>230.25425150258584</v>
      </c>
      <c r="AQ106" s="13">
        <f t="shared" ca="1" si="296"/>
        <v>8.8559327500994556</v>
      </c>
      <c r="AR106" s="9">
        <f t="shared" ca="1" si="285"/>
        <v>111.5</v>
      </c>
      <c r="AS106" s="76"/>
      <c r="AT106" s="76"/>
    </row>
    <row r="107" spans="1:46" ht="15.75" customHeight="1" x14ac:dyDescent="0.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6"/>
      <c r="X107" s="8">
        <v>6</v>
      </c>
      <c r="Y107" s="8" t="s">
        <v>41</v>
      </c>
      <c r="Z107" s="8">
        <f t="shared" ref="Z107:AI107" si="297">SUM(D98)</f>
        <v>24</v>
      </c>
      <c r="AA107" s="9">
        <f t="shared" ca="1" si="297"/>
        <v>24</v>
      </c>
      <c r="AB107" s="10">
        <f t="shared" ca="1" si="297"/>
        <v>4750.3559999999998</v>
      </c>
      <c r="AC107" s="9">
        <f t="shared" ca="1" si="297"/>
        <v>1245</v>
      </c>
      <c r="AD107" s="9">
        <f t="shared" ca="1" si="297"/>
        <v>0</v>
      </c>
      <c r="AE107" s="9">
        <f t="shared" ca="1" si="297"/>
        <v>1245</v>
      </c>
      <c r="AF107" s="9">
        <f t="shared" ca="1" si="297"/>
        <v>1684</v>
      </c>
      <c r="AG107" s="9">
        <f t="shared" ca="1" si="297"/>
        <v>0</v>
      </c>
      <c r="AH107" s="9">
        <f t="shared" ca="1" si="297"/>
        <v>1684</v>
      </c>
      <c r="AI107" s="9">
        <f t="shared" ca="1" si="297"/>
        <v>2929</v>
      </c>
      <c r="AJ107" s="11">
        <f t="shared" ca="1" si="280"/>
        <v>197.9315</v>
      </c>
      <c r="AK107" s="8">
        <f t="shared" si="289"/>
        <v>3801</v>
      </c>
      <c r="AL107" s="12">
        <f t="shared" ca="1" si="281"/>
        <v>0.77058668771375949</v>
      </c>
      <c r="AM107" s="13">
        <f t="shared" si="290"/>
        <v>1.5</v>
      </c>
      <c r="AN107" s="12">
        <f t="shared" ca="1" si="282"/>
        <v>0.41105691166444513</v>
      </c>
      <c r="AO107" s="14">
        <f t="shared" ca="1" si="283"/>
        <v>0.6165853674966677</v>
      </c>
      <c r="AP107" s="13">
        <f t="shared" ref="AP107:AQ107" ca="1" si="298">SUM(T98)</f>
        <v>160.33333333333331</v>
      </c>
      <c r="AQ107" s="13">
        <f t="shared" ca="1" si="298"/>
        <v>6.6805555555555545</v>
      </c>
      <c r="AR107" s="9">
        <f t="shared" ca="1" si="285"/>
        <v>122.04166666666667</v>
      </c>
      <c r="AS107" s="76"/>
      <c r="AT107" s="76"/>
    </row>
    <row r="108" spans="1:46" ht="15.75" customHeight="1" x14ac:dyDescent="0.25">
      <c r="A108" s="110" t="s">
        <v>45</v>
      </c>
      <c r="B108" s="76"/>
      <c r="C108" s="76"/>
      <c r="D108" s="75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24" t="s">
        <v>33</v>
      </c>
      <c r="Y108" s="24">
        <v>6</v>
      </c>
      <c r="Z108" s="24">
        <f t="shared" ref="Z108:AI108" si="299">SUM(Z102:Z107)</f>
        <v>173</v>
      </c>
      <c r="AA108" s="25">
        <f t="shared" ca="1" si="299"/>
        <v>170</v>
      </c>
      <c r="AB108" s="27">
        <f t="shared" ca="1" si="299"/>
        <v>33549.874999999985</v>
      </c>
      <c r="AC108" s="25">
        <f t="shared" ca="1" si="299"/>
        <v>13138</v>
      </c>
      <c r="AD108" s="25">
        <f t="shared" ca="1" si="299"/>
        <v>60</v>
      </c>
      <c r="AE108" s="25">
        <f t="shared" ca="1" si="299"/>
        <v>13198</v>
      </c>
      <c r="AF108" s="25">
        <f t="shared" ca="1" si="299"/>
        <v>17124</v>
      </c>
      <c r="AG108" s="25">
        <f t="shared" ca="1" si="299"/>
        <v>114</v>
      </c>
      <c r="AH108" s="25">
        <f t="shared" ca="1" si="299"/>
        <v>17238</v>
      </c>
      <c r="AI108" s="25">
        <f t="shared" ca="1" si="299"/>
        <v>30436</v>
      </c>
      <c r="AJ108" s="27">
        <f t="shared" ca="1" si="280"/>
        <v>197.35220588235285</v>
      </c>
      <c r="AK108" s="24">
        <f>SUM(AK102:AK107)</f>
        <v>37031</v>
      </c>
      <c r="AL108" s="28">
        <f t="shared" ca="1" si="281"/>
        <v>0.82190597067321969</v>
      </c>
      <c r="AM108" s="29">
        <v>1.5</v>
      </c>
      <c r="AN108" s="28">
        <f t="shared" ca="1" si="282"/>
        <v>0.60479112564999649</v>
      </c>
      <c r="AO108" s="30">
        <f t="shared" ca="1" si="283"/>
        <v>0.90718668847499473</v>
      </c>
      <c r="AP108" s="29">
        <f ca="1">SUM(AP102:AP107)</f>
        <v>1382.7216852461386</v>
      </c>
      <c r="AQ108" s="29">
        <f ca="1">AP108/AA108</f>
        <v>8.1336569720361087</v>
      </c>
      <c r="AR108" s="25">
        <f t="shared" ca="1" si="285"/>
        <v>179.03529411764706</v>
      </c>
      <c r="AS108" s="76"/>
      <c r="AT108" s="76"/>
    </row>
    <row r="109" spans="1:46" ht="15.75" customHeight="1" x14ac:dyDescent="0.2">
      <c r="A109" s="110" t="s">
        <v>45</v>
      </c>
      <c r="B109" s="76"/>
      <c r="C109" s="76"/>
      <c r="D109" s="75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7" t="s">
        <v>1</v>
      </c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9"/>
      <c r="AS109" s="76"/>
      <c r="AT109" s="76"/>
    </row>
    <row r="110" spans="1:46" ht="15.75" customHeight="1" x14ac:dyDescent="0.2">
      <c r="A110" s="109">
        <v>46239</v>
      </c>
      <c r="B110" s="80" t="s">
        <v>2</v>
      </c>
      <c r="C110" s="80" t="s">
        <v>3</v>
      </c>
      <c r="D110" s="80" t="s">
        <v>4</v>
      </c>
      <c r="E110" s="80" t="s">
        <v>5</v>
      </c>
      <c r="F110" s="81" t="s">
        <v>6</v>
      </c>
      <c r="G110" s="80" t="s">
        <v>7</v>
      </c>
      <c r="H110" s="80" t="s">
        <v>8</v>
      </c>
      <c r="I110" s="80" t="s">
        <v>9</v>
      </c>
      <c r="J110" s="80" t="s">
        <v>10</v>
      </c>
      <c r="K110" s="80" t="s">
        <v>11</v>
      </c>
      <c r="L110" s="80" t="s">
        <v>12</v>
      </c>
      <c r="M110" s="80" t="s">
        <v>13</v>
      </c>
      <c r="N110" s="81" t="s">
        <v>14</v>
      </c>
      <c r="O110" s="80" t="s">
        <v>15</v>
      </c>
      <c r="P110" s="80" t="s">
        <v>16</v>
      </c>
      <c r="Q110" s="80" t="s">
        <v>17</v>
      </c>
      <c r="R110" s="80" t="s">
        <v>18</v>
      </c>
      <c r="S110" s="106" t="s">
        <v>19</v>
      </c>
      <c r="T110" s="107" t="s">
        <v>20</v>
      </c>
      <c r="U110" s="107" t="s">
        <v>21</v>
      </c>
      <c r="V110" s="105" t="s">
        <v>22</v>
      </c>
      <c r="W110" s="76"/>
      <c r="X110" s="1" t="s">
        <v>2</v>
      </c>
      <c r="Y110" s="1" t="s">
        <v>3</v>
      </c>
      <c r="Z110" s="1" t="s">
        <v>4</v>
      </c>
      <c r="AA110" s="1" t="s">
        <v>5</v>
      </c>
      <c r="AB110" s="2" t="s">
        <v>6</v>
      </c>
      <c r="AC110" s="1" t="s">
        <v>7</v>
      </c>
      <c r="AD110" s="1" t="s">
        <v>8</v>
      </c>
      <c r="AE110" s="1" t="s">
        <v>9</v>
      </c>
      <c r="AF110" s="1" t="s">
        <v>10</v>
      </c>
      <c r="AG110" s="1" t="s">
        <v>11</v>
      </c>
      <c r="AH110" s="1" t="s">
        <v>12</v>
      </c>
      <c r="AI110" s="1" t="s">
        <v>13</v>
      </c>
      <c r="AJ110" s="2" t="s">
        <v>14</v>
      </c>
      <c r="AK110" s="1" t="s">
        <v>15</v>
      </c>
      <c r="AL110" s="1" t="s">
        <v>16</v>
      </c>
      <c r="AM110" s="3" t="s">
        <v>17</v>
      </c>
      <c r="AN110" s="4" t="s">
        <v>18</v>
      </c>
      <c r="AO110" s="5" t="s">
        <v>19</v>
      </c>
      <c r="AP110" s="6" t="s">
        <v>20</v>
      </c>
      <c r="AQ110" s="6" t="s">
        <v>21</v>
      </c>
      <c r="AR110" s="7" t="s">
        <v>22</v>
      </c>
      <c r="AS110" s="76"/>
      <c r="AT110" s="76"/>
    </row>
    <row r="111" spans="1:46" ht="15.75" customHeight="1" x14ac:dyDescent="0.2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6"/>
      <c r="X111" s="8">
        <v>1</v>
      </c>
      <c r="Y111" s="8" t="s">
        <v>23</v>
      </c>
      <c r="Z111" s="8">
        <f t="shared" ref="Z111:AI111" si="300">SUM(D119)</f>
        <v>35</v>
      </c>
      <c r="AA111" s="9">
        <f t="shared" ca="1" si="300"/>
        <v>33</v>
      </c>
      <c r="AB111" s="10">
        <f t="shared" ca="1" si="300"/>
        <v>6579.2999999999902</v>
      </c>
      <c r="AC111" s="9">
        <f t="shared" ca="1" si="300"/>
        <v>1845</v>
      </c>
      <c r="AD111" s="9">
        <f t="shared" ca="1" si="300"/>
        <v>0</v>
      </c>
      <c r="AE111" s="9">
        <f t="shared" ca="1" si="300"/>
        <v>1845</v>
      </c>
      <c r="AF111" s="9">
        <f t="shared" ca="1" si="300"/>
        <v>3074</v>
      </c>
      <c r="AG111" s="9">
        <f t="shared" ca="1" si="300"/>
        <v>0</v>
      </c>
      <c r="AH111" s="9">
        <f t="shared" ca="1" si="300"/>
        <v>3074</v>
      </c>
      <c r="AI111" s="9">
        <f t="shared" ca="1" si="300"/>
        <v>4919</v>
      </c>
      <c r="AJ111" s="11">
        <f t="shared" ref="AJ111:AJ113" ca="1" si="301">AB111/AA111</f>
        <v>199.37272727272696</v>
      </c>
      <c r="AK111" s="8">
        <f>SUM(O119)</f>
        <v>6853</v>
      </c>
      <c r="AL111" s="12">
        <f t="shared" ref="AL111:AL117" ca="1" si="302">AI111/AK111</f>
        <v>0.71778783014738068</v>
      </c>
      <c r="AM111" s="13">
        <f t="shared" ref="AM111:AM113" si="303">SUM(Q119)</f>
        <v>1.5</v>
      </c>
      <c r="AN111" s="12">
        <f t="shared" ref="AN111:AN117" ca="1" si="304">AO111/AM111</f>
        <v>0.49843195071410912</v>
      </c>
      <c r="AO111" s="14">
        <f t="shared" ref="AO111:AO117" ca="1" si="305">AI111/AB111</f>
        <v>0.7476479260711637</v>
      </c>
      <c r="AP111" s="13">
        <f t="shared" ref="AP111:AQ111" ca="1" si="306">SUM(T119)</f>
        <v>194.99999999999969</v>
      </c>
      <c r="AQ111" s="13">
        <f t="shared" ca="1" si="306"/>
        <v>5.9090909090908994</v>
      </c>
      <c r="AR111" s="9">
        <f t="shared" ref="AR111:AR117" ca="1" si="307">AI111/AA111</f>
        <v>149.06060606060606</v>
      </c>
      <c r="AS111" s="76"/>
      <c r="AT111" s="76"/>
    </row>
    <row r="112" spans="1:46" ht="15.75" customHeight="1" x14ac:dyDescent="0.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6"/>
      <c r="X112" s="8">
        <v>2</v>
      </c>
      <c r="Y112" s="8" t="s">
        <v>24</v>
      </c>
      <c r="Z112" s="8">
        <f t="shared" ref="Z112:AI112" si="308">SUM(D120)</f>
        <v>44</v>
      </c>
      <c r="AA112" s="9">
        <f t="shared" ca="1" si="308"/>
        <v>43</v>
      </c>
      <c r="AB112" s="10">
        <f t="shared" ca="1" si="308"/>
        <v>8326.5599999999904</v>
      </c>
      <c r="AC112" s="9">
        <f t="shared" ca="1" si="308"/>
        <v>1090</v>
      </c>
      <c r="AD112" s="9">
        <f t="shared" ca="1" si="308"/>
        <v>0</v>
      </c>
      <c r="AE112" s="9">
        <f t="shared" ca="1" si="308"/>
        <v>1090</v>
      </c>
      <c r="AF112" s="9">
        <f t="shared" ca="1" si="308"/>
        <v>1521</v>
      </c>
      <c r="AG112" s="9">
        <f t="shared" ca="1" si="308"/>
        <v>0</v>
      </c>
      <c r="AH112" s="9">
        <f t="shared" ca="1" si="308"/>
        <v>1521</v>
      </c>
      <c r="AI112" s="9">
        <f t="shared" ca="1" si="308"/>
        <v>2611</v>
      </c>
      <c r="AJ112" s="11">
        <f t="shared" ca="1" si="301"/>
        <v>193.64093023255791</v>
      </c>
      <c r="AK112" s="8">
        <v>1580</v>
      </c>
      <c r="AL112" s="15">
        <f t="shared" ca="1" si="302"/>
        <v>1.6525316455696202</v>
      </c>
      <c r="AM112" s="13">
        <f t="shared" si="303"/>
        <v>1.5</v>
      </c>
      <c r="AN112" s="12">
        <f t="shared" ca="1" si="304"/>
        <v>0.20904991577153934</v>
      </c>
      <c r="AO112" s="14">
        <f t="shared" ca="1" si="305"/>
        <v>0.31357487365730902</v>
      </c>
      <c r="AP112" s="13">
        <f t="shared" ref="AP112:AQ112" ca="1" si="309">SUM(T120)</f>
        <v>310.6345831001675</v>
      </c>
      <c r="AQ112" s="13">
        <f t="shared" ca="1" si="309"/>
        <v>7.2240600720969184</v>
      </c>
      <c r="AR112" s="9">
        <f t="shared" ca="1" si="307"/>
        <v>60.720930232558139</v>
      </c>
      <c r="AS112" s="76"/>
      <c r="AT112" s="76"/>
    </row>
    <row r="113" spans="1:46" ht="15.75" customHeight="1" x14ac:dyDescent="0.2">
      <c r="A113" s="70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6"/>
      <c r="X113" s="8">
        <v>3</v>
      </c>
      <c r="Y113" s="8" t="s">
        <v>25</v>
      </c>
      <c r="Z113" s="8">
        <f t="shared" ref="Z113:AI113" si="310">SUM(D121)</f>
        <v>32</v>
      </c>
      <c r="AA113" s="9">
        <f t="shared" ca="1" si="310"/>
        <v>32</v>
      </c>
      <c r="AB113" s="10">
        <f t="shared" ca="1" si="310"/>
        <v>5805.924</v>
      </c>
      <c r="AC113" s="9">
        <f t="shared" ca="1" si="310"/>
        <v>2185</v>
      </c>
      <c r="AD113" s="9">
        <f t="shared" ca="1" si="310"/>
        <v>379</v>
      </c>
      <c r="AE113" s="9">
        <f t="shared" ca="1" si="310"/>
        <v>2564</v>
      </c>
      <c r="AF113" s="9">
        <f t="shared" ca="1" si="310"/>
        <v>3145</v>
      </c>
      <c r="AG113" s="9">
        <f t="shared" ca="1" si="310"/>
        <v>413</v>
      </c>
      <c r="AH113" s="9">
        <f t="shared" ca="1" si="310"/>
        <v>3558</v>
      </c>
      <c r="AI113" s="9">
        <f t="shared" ca="1" si="310"/>
        <v>6122</v>
      </c>
      <c r="AJ113" s="11">
        <f t="shared" ca="1" si="301"/>
        <v>181.435125</v>
      </c>
      <c r="AK113" s="8">
        <f>SUM(O121)</f>
        <v>6622</v>
      </c>
      <c r="AL113" s="12">
        <f t="shared" ca="1" si="302"/>
        <v>0.92449411054062214</v>
      </c>
      <c r="AM113" s="13">
        <f t="shared" si="303"/>
        <v>1.5</v>
      </c>
      <c r="AN113" s="12">
        <f t="shared" ca="1" si="304"/>
        <v>0.70296017194392035</v>
      </c>
      <c r="AO113" s="14">
        <f t="shared" ca="1" si="305"/>
        <v>1.0544402579158805</v>
      </c>
      <c r="AP113" s="13">
        <f t="shared" ref="AP113:AQ113" ca="1" si="311">SUM(T121)</f>
        <v>243.53708053691275</v>
      </c>
      <c r="AQ113" s="13">
        <f t="shared" ca="1" si="311"/>
        <v>7.6105337667785236</v>
      </c>
      <c r="AR113" s="9">
        <f t="shared" ca="1" si="307"/>
        <v>191.3125</v>
      </c>
      <c r="AS113" s="76"/>
      <c r="AT113" s="76"/>
    </row>
    <row r="114" spans="1:46" ht="15.75" customHeight="1" x14ac:dyDescent="0.25">
      <c r="A114" s="70"/>
      <c r="B114" s="16">
        <v>1</v>
      </c>
      <c r="C114" s="16" t="s">
        <v>26</v>
      </c>
      <c r="D114" s="17">
        <v>20</v>
      </c>
      <c r="E114" s="18">
        <f ca="1">IFERROR(__xludf.DUMMYFUNCTION("COUNT(IMPORTRANGE(""https://docs.google.com/spreadsheets/d/1iVFEBQOAONhqDIMRa2hQ7WkCQv0dJWSAmc0AzfvSCMg/edit"",""5!d2:d21""))"),20)</f>
        <v>20</v>
      </c>
      <c r="F114" s="19">
        <f ca="1">IFERROR(__xludf.DUMMYFUNCTION("SUM(IMPORTRANGE(""https://docs.google.com/spreadsheets/d/1iVFEBQOAONhqDIMRa2hQ7WkCQv0dJWSAmc0AzfvSCMg/edit"",""5!Q2:Q21""))"),3748.512)</f>
        <v>3748.5120000000002</v>
      </c>
      <c r="G114" s="18">
        <f ca="1">IFERROR(__xludf.DUMMYFUNCTION("IMPORTRANGE(""https://docs.google.com/spreadsheets/d/1iVFEBQOAONhqDIMRa2hQ7WkCQv0dJWSAmc0AzfvSCMg/edit"",""5!e28"")"),2172)</f>
        <v>2172</v>
      </c>
      <c r="H114" s="18">
        <f ca="1">IFERROR(__xludf.DUMMYFUNCTION("IMPORTRANGE(""https://docs.google.com/spreadsheets/d/1iVFEBQOAONhqDIMRa2hQ7WkCQv0dJWSAmc0AzfvSCMg/edit"",""5!e29"")"),20)</f>
        <v>20</v>
      </c>
      <c r="I114" s="18">
        <f t="shared" ref="I114:I131" ca="1" si="312">SUM(G114:H114)</f>
        <v>2192</v>
      </c>
      <c r="J114" s="18">
        <f ca="1">IFERROR(__xludf.DUMMYFUNCTION("IMPORTRANGE(""https://docs.google.com/spreadsheets/d/1iVFEBQOAONhqDIMRa2hQ7WkCQv0dJWSAmc0AzfvSCMg/edit"",""5!e32"")"),2622)</f>
        <v>2622</v>
      </c>
      <c r="K114" s="18">
        <f ca="1">IFERROR(__xludf.DUMMYFUNCTION("IMPORTRANGE(""https://docs.google.com/spreadsheets/d/1iVFEBQOAONhqDIMRa2hQ7WkCQv0dJWSAmc0AzfvSCMg/edit"",""5!e33"")"),0)</f>
        <v>0</v>
      </c>
      <c r="L114" s="18">
        <f t="shared" ref="L114:L120" ca="1" si="313">SUM(J114:K114)</f>
        <v>2622</v>
      </c>
      <c r="M114" s="18">
        <f t="shared" ref="M114:M131" ca="1" si="314">SUM(I114+L114)</f>
        <v>4814</v>
      </c>
      <c r="N114" s="19">
        <f t="shared" ref="N114:N132" ca="1" si="315">F114/E114</f>
        <v>187.4256</v>
      </c>
      <c r="O114" s="16">
        <v>5161</v>
      </c>
      <c r="P114" s="20">
        <f t="shared" ref="P114:P132" ca="1" si="316">M114/O114</f>
        <v>0.93276496802945164</v>
      </c>
      <c r="Q114" s="21">
        <v>1.5</v>
      </c>
      <c r="R114" s="20">
        <f t="shared" ref="R114:R132" ca="1" si="317">S114/Q114</f>
        <v>0.85616194728290396</v>
      </c>
      <c r="S114" s="22">
        <f t="shared" ref="S114:S132" ca="1" si="318">M114/F114</f>
        <v>1.284242920924356</v>
      </c>
      <c r="T114" s="21">
        <f ca="1">F114/14.415</f>
        <v>260.04245577523415</v>
      </c>
      <c r="U114" s="21">
        <f t="shared" ref="U114:U132" ca="1" si="319">T114/E114</f>
        <v>13.002122788761707</v>
      </c>
      <c r="V114" s="18">
        <f t="shared" ref="V114:V132" ca="1" si="320">M114/E114</f>
        <v>240.7</v>
      </c>
      <c r="W114" s="76"/>
      <c r="X114" s="8">
        <v>4</v>
      </c>
      <c r="Y114" s="8" t="s">
        <v>27</v>
      </c>
      <c r="Z114" s="8">
        <f t="shared" ref="Z114:AK114" si="321">SUM(D127)</f>
        <v>30</v>
      </c>
      <c r="AA114" s="9">
        <f t="shared" ca="1" si="321"/>
        <v>30</v>
      </c>
      <c r="AB114" s="10">
        <f t="shared" ca="1" si="321"/>
        <v>5745.55</v>
      </c>
      <c r="AC114" s="9">
        <f t="shared" ca="1" si="321"/>
        <v>2355</v>
      </c>
      <c r="AD114" s="9">
        <f t="shared" ca="1" si="321"/>
        <v>103</v>
      </c>
      <c r="AE114" s="9">
        <f t="shared" ca="1" si="321"/>
        <v>2458</v>
      </c>
      <c r="AF114" s="9">
        <f t="shared" ca="1" si="321"/>
        <v>3052</v>
      </c>
      <c r="AG114" s="9">
        <f t="shared" ca="1" si="321"/>
        <v>116</v>
      </c>
      <c r="AH114" s="9">
        <f t="shared" ca="1" si="321"/>
        <v>3168</v>
      </c>
      <c r="AI114" s="9">
        <f t="shared" ca="1" si="321"/>
        <v>5626</v>
      </c>
      <c r="AJ114" s="11">
        <f t="shared" ca="1" si="321"/>
        <v>191.51833333333335</v>
      </c>
      <c r="AK114" s="8">
        <f t="shared" si="321"/>
        <v>8101</v>
      </c>
      <c r="AL114" s="12">
        <f t="shared" ca="1" si="302"/>
        <v>0.69448216269596341</v>
      </c>
      <c r="AM114" s="13">
        <f>SUM(Q127)</f>
        <v>1.5</v>
      </c>
      <c r="AN114" s="12">
        <f t="shared" ca="1" si="304"/>
        <v>0.65279506168542023</v>
      </c>
      <c r="AO114" s="14">
        <f t="shared" ca="1" si="305"/>
        <v>0.9791925925281304</v>
      </c>
      <c r="AP114" s="13">
        <f t="shared" ref="AP114:AQ114" ca="1" si="322">SUM(T127)</f>
        <v>287.49311983987991</v>
      </c>
      <c r="AQ114" s="13">
        <f t="shared" ca="1" si="322"/>
        <v>9.5831039946626628</v>
      </c>
      <c r="AR114" s="9">
        <f t="shared" ca="1" si="307"/>
        <v>187.53333333333333</v>
      </c>
      <c r="AS114" s="76"/>
      <c r="AT114" s="76"/>
    </row>
    <row r="115" spans="1:46" ht="15.75" customHeight="1" x14ac:dyDescent="0.25">
      <c r="A115" s="70"/>
      <c r="B115" s="16">
        <v>2</v>
      </c>
      <c r="C115" s="16" t="s">
        <v>28</v>
      </c>
      <c r="D115" s="17">
        <v>33</v>
      </c>
      <c r="E115" s="18">
        <f ca="1">IFERROR(__xludf.DUMMYFUNCTION("COUNT(IMPORTRANGE(""https://docs.google.com/spreadsheets/d/1tJCeYclgeJZ4Dc78t_SkhVjtacKW-5-VGim8X1rzUzk/edit"",""5!d2:d34""))"),33)</f>
        <v>33</v>
      </c>
      <c r="F115" s="19">
        <f ca="1">IFERROR(__xludf.DUMMYFUNCTION("SUM(IMPORTRANGE(""https://docs.google.com/spreadsheets/d/1tJCeYclgeJZ4Dc78t_SkhVjtacKW-5-VGim8X1rzUzk/edit"",""5!Q2:Q34""))"),6405.24499999999)</f>
        <v>6405.2449999999899</v>
      </c>
      <c r="G115" s="18">
        <f ca="1">IFERROR(__xludf.DUMMYFUNCTION("IMPORTRANGE(""https://docs.google.com/spreadsheets/d/1tJCeYclgeJZ4Dc78t_SkhVjtacKW-5-VGim8X1rzUzk/edit"",""5!e41"")"),2651)</f>
        <v>2651</v>
      </c>
      <c r="H115" s="18">
        <f ca="1">IFERROR(__xludf.DUMMYFUNCTION("IMPORTRANGE(""https://docs.google.com/spreadsheets/d/1tJCeYclgeJZ4Dc78t_SkhVjtacKW-5-VGim8X1rzUzk/edit"",""5!e42"")"),213)</f>
        <v>213</v>
      </c>
      <c r="I115" s="18">
        <f t="shared" ca="1" si="312"/>
        <v>2864</v>
      </c>
      <c r="J115" s="18">
        <f ca="1">IFERROR(__xludf.DUMMYFUNCTION("IMPORTRANGE(""https://docs.google.com/spreadsheets/d/1tJCeYclgeJZ4Dc78t_SkhVjtacKW-5-VGim8X1rzUzk/edit"",""5!e45"")"),3203)</f>
        <v>3203</v>
      </c>
      <c r="K115" s="18">
        <f ca="1">IFERROR(__xludf.DUMMYFUNCTION("IMPORTRANGE(""https://docs.google.com/spreadsheets/d/1tJCeYclgeJZ4Dc78t_SkhVjtacKW-5-VGim8X1rzUzk/edit"",""5!e46"")"),157)</f>
        <v>157</v>
      </c>
      <c r="L115" s="18">
        <f t="shared" ca="1" si="313"/>
        <v>3360</v>
      </c>
      <c r="M115" s="18">
        <f t="shared" ca="1" si="314"/>
        <v>6224</v>
      </c>
      <c r="N115" s="19">
        <f t="shared" ca="1" si="315"/>
        <v>194.09833333333302</v>
      </c>
      <c r="O115" s="16">
        <v>7315</v>
      </c>
      <c r="P115" s="20">
        <f t="shared" ca="1" si="316"/>
        <v>0.85085440874914564</v>
      </c>
      <c r="Q115" s="21">
        <v>1.5</v>
      </c>
      <c r="R115" s="20">
        <f t="shared" ca="1" si="317"/>
        <v>0.64780243899075518</v>
      </c>
      <c r="S115" s="22">
        <f t="shared" ca="1" si="318"/>
        <v>0.97170365848613283</v>
      </c>
      <c r="T115" s="21">
        <f ca="1">F115/30.897</f>
        <v>207.3096093471855</v>
      </c>
      <c r="U115" s="21">
        <f t="shared" ca="1" si="319"/>
        <v>6.2821093741571365</v>
      </c>
      <c r="V115" s="18">
        <f t="shared" ca="1" si="320"/>
        <v>188.60606060606059</v>
      </c>
      <c r="W115" s="76"/>
      <c r="X115" s="8">
        <v>5</v>
      </c>
      <c r="Y115" s="8" t="s">
        <v>29</v>
      </c>
      <c r="Z115" s="8">
        <f t="shared" ref="Z115:AI115" si="323">SUM(D130)</f>
        <v>30</v>
      </c>
      <c r="AA115" s="9">
        <f t="shared" ca="1" si="323"/>
        <v>29</v>
      </c>
      <c r="AB115" s="10">
        <f t="shared" ca="1" si="323"/>
        <v>5702.3220000000001</v>
      </c>
      <c r="AC115" s="9">
        <f t="shared" ca="1" si="323"/>
        <v>2696</v>
      </c>
      <c r="AD115" s="9">
        <f t="shared" ca="1" si="323"/>
        <v>0</v>
      </c>
      <c r="AE115" s="9">
        <f t="shared" ca="1" si="323"/>
        <v>2696</v>
      </c>
      <c r="AF115" s="9">
        <f t="shared" ca="1" si="323"/>
        <v>4318</v>
      </c>
      <c r="AG115" s="9">
        <f t="shared" ca="1" si="323"/>
        <v>0</v>
      </c>
      <c r="AH115" s="9">
        <f t="shared" ca="1" si="323"/>
        <v>4318</v>
      </c>
      <c r="AI115" s="9">
        <f t="shared" ca="1" si="323"/>
        <v>7014</v>
      </c>
      <c r="AJ115" s="11">
        <f t="shared" ref="AJ115:AJ117" ca="1" si="324">AB115/AA115</f>
        <v>196.63179310344827</v>
      </c>
      <c r="AK115" s="8">
        <f t="shared" ref="AK115:AK116" si="325">SUM(O130)</f>
        <v>9201</v>
      </c>
      <c r="AL115" s="12">
        <f t="shared" ca="1" si="302"/>
        <v>0.76230844473426806</v>
      </c>
      <c r="AM115" s="13">
        <f t="shared" ref="AM115:AM116" si="326">SUM(Q130)</f>
        <v>1.5</v>
      </c>
      <c r="AN115" s="12">
        <f t="shared" ca="1" si="304"/>
        <v>0.82001682823242883</v>
      </c>
      <c r="AO115" s="14">
        <f t="shared" ca="1" si="305"/>
        <v>1.2300252423486433</v>
      </c>
      <c r="AP115" s="13">
        <f t="shared" ref="AP115:AQ115" ca="1" si="327">SUM(T130)</f>
        <v>219</v>
      </c>
      <c r="AQ115" s="13">
        <f t="shared" ca="1" si="327"/>
        <v>7.5517241379310347</v>
      </c>
      <c r="AR115" s="9">
        <f t="shared" ca="1" si="307"/>
        <v>241.86206896551724</v>
      </c>
      <c r="AS115" s="76"/>
      <c r="AT115" s="76"/>
    </row>
    <row r="116" spans="1:46" ht="15.75" customHeight="1" x14ac:dyDescent="0.25">
      <c r="A116" s="70"/>
      <c r="B116" s="16">
        <v>3</v>
      </c>
      <c r="C116" s="16" t="s">
        <v>30</v>
      </c>
      <c r="D116" s="17">
        <v>60</v>
      </c>
      <c r="E116" s="18">
        <f ca="1">IFERROR(__xludf.DUMMYFUNCTION("COUNT(IMPORTRANGE(""https://docs.google.com/spreadsheets/d/130gLEONC13J8KkQ6dk06x3bLRy_jCrAw2hXatQf2W50/edit"",""5!d2:d61""))"),57)</f>
        <v>57</v>
      </c>
      <c r="F116" s="23">
        <f ca="1">IFERROR(__xludf.DUMMYFUNCTION("SUM(IMPORTRANGE(""https://docs.google.com/spreadsheets/d/130gLEONC13J8KkQ6dk06x3bLRy_jCrAw2hXatQf2W50/edit"",""5!Q2:Q61""))"),11401.3599999999)</f>
        <v>11401.359999999901</v>
      </c>
      <c r="G116" s="18">
        <f ca="1">IFERROR(__xludf.DUMMYFUNCTION("IMPORTRANGE(""https://docs.google.com/spreadsheets/d/130gLEONC13J8KkQ6dk06x3bLRy_jCrAw2hXatQf2W50/edit"",""5!e68"")"),3430)</f>
        <v>3430</v>
      </c>
      <c r="H116" s="18">
        <f ca="1">IFERROR(__xludf.DUMMYFUNCTION("IMPORTRANGE(""https://docs.google.com/spreadsheets/d/130gLEONC13J8KkQ6dk06x3bLRy_jCrAw2hXatQf2W50/edit"",""5!e69"")"),0)</f>
        <v>0</v>
      </c>
      <c r="I116" s="18">
        <f t="shared" ca="1" si="312"/>
        <v>3430</v>
      </c>
      <c r="J116" s="18">
        <f ca="1">IFERROR(__xludf.DUMMYFUNCTION("IMPORTRANGE(""https://docs.google.com/spreadsheets/d/130gLEONC13J8KkQ6dk06x3bLRy_jCrAw2hXatQf2W50/edit"",""5!e72"")"),5712)</f>
        <v>5712</v>
      </c>
      <c r="K116" s="18">
        <f ca="1">IFERROR(__xludf.DUMMYFUNCTION("IMPORTRANGE(""https://docs.google.com/spreadsheets/d/130gLEONC13J8KkQ6dk06x3bLRy_jCrAw2hXatQf2W50/edit"",""5!e73"")"),0)</f>
        <v>0</v>
      </c>
      <c r="L116" s="18">
        <f t="shared" ca="1" si="313"/>
        <v>5712</v>
      </c>
      <c r="M116" s="18">
        <f t="shared" ca="1" si="314"/>
        <v>9142</v>
      </c>
      <c r="N116" s="19">
        <f t="shared" ca="1" si="315"/>
        <v>200.02385964912105</v>
      </c>
      <c r="O116" s="16">
        <v>11164</v>
      </c>
      <c r="P116" s="20">
        <f t="shared" ca="1" si="316"/>
        <v>0.81888212110354708</v>
      </c>
      <c r="Q116" s="21">
        <v>1.5</v>
      </c>
      <c r="R116" s="20">
        <f t="shared" ca="1" si="317"/>
        <v>0.53455611143466386</v>
      </c>
      <c r="S116" s="22">
        <f t="shared" ca="1" si="318"/>
        <v>0.80183416715199585</v>
      </c>
      <c r="T116" s="21">
        <f ca="1">F116/29.603</f>
        <v>385.14204641421139</v>
      </c>
      <c r="U116" s="21">
        <f t="shared" ca="1" si="319"/>
        <v>6.7568780072668666</v>
      </c>
      <c r="V116" s="18">
        <f t="shared" ca="1" si="320"/>
        <v>160.38596491228071</v>
      </c>
      <c r="W116" s="76"/>
      <c r="X116" s="8">
        <v>6</v>
      </c>
      <c r="Y116" s="8" t="s">
        <v>31</v>
      </c>
      <c r="Z116" s="8">
        <f t="shared" ref="Z116:AI116" si="328">SUM(D131)</f>
        <v>15</v>
      </c>
      <c r="AA116" s="9">
        <f t="shared" ca="1" si="328"/>
        <v>14</v>
      </c>
      <c r="AB116" s="11">
        <f t="shared" ca="1" si="328"/>
        <v>2825.2249999999999</v>
      </c>
      <c r="AC116" s="9">
        <f t="shared" ca="1" si="328"/>
        <v>882</v>
      </c>
      <c r="AD116" s="9">
        <f t="shared" ca="1" si="328"/>
        <v>0</v>
      </c>
      <c r="AE116" s="9">
        <f t="shared" ca="1" si="328"/>
        <v>882</v>
      </c>
      <c r="AF116" s="9">
        <f t="shared" ca="1" si="328"/>
        <v>1138</v>
      </c>
      <c r="AG116" s="9">
        <f t="shared" ca="1" si="328"/>
        <v>12</v>
      </c>
      <c r="AH116" s="9">
        <f t="shared" ca="1" si="328"/>
        <v>1150</v>
      </c>
      <c r="AI116" s="9">
        <f t="shared" ca="1" si="328"/>
        <v>2032</v>
      </c>
      <c r="AJ116" s="11">
        <f t="shared" ca="1" si="324"/>
        <v>201.8017857142857</v>
      </c>
      <c r="AK116" s="8">
        <f t="shared" si="325"/>
        <v>2717</v>
      </c>
      <c r="AL116" s="12">
        <f t="shared" ca="1" si="302"/>
        <v>0.74788369525211629</v>
      </c>
      <c r="AM116" s="13">
        <f t="shared" si="326"/>
        <v>1.5</v>
      </c>
      <c r="AN116" s="12">
        <f t="shared" ca="1" si="304"/>
        <v>0.47948983414300339</v>
      </c>
      <c r="AO116" s="14">
        <f t="shared" ca="1" si="305"/>
        <v>0.71923475121450509</v>
      </c>
      <c r="AP116" s="13">
        <f t="shared" ref="AP116:AQ116" ca="1" si="329">SUM(T131)</f>
        <v>64.999999999999986</v>
      </c>
      <c r="AQ116" s="13">
        <f t="shared" ca="1" si="329"/>
        <v>4.6428571428571415</v>
      </c>
      <c r="AR116" s="9">
        <f t="shared" ca="1" si="307"/>
        <v>145.14285714285714</v>
      </c>
      <c r="AS116" s="76"/>
      <c r="AT116" s="76"/>
    </row>
    <row r="117" spans="1:46" ht="15.75" customHeight="1" x14ac:dyDescent="0.25">
      <c r="A117" s="70"/>
      <c r="B117" s="16">
        <v>4</v>
      </c>
      <c r="C117" s="16" t="s">
        <v>32</v>
      </c>
      <c r="D117" s="17">
        <v>42</v>
      </c>
      <c r="E117" s="18">
        <f ca="1">IFERROR(__xludf.DUMMYFUNCTION("COUNT(IMPORTRANGE(""https://docs.google.com/spreadsheets/d/1gYHli7FuKQLm2Q-5LMR0UtkD-gRRA_p8s-phLPLDLgc/edit"",""5!d2:d43""))"),42)</f>
        <v>42</v>
      </c>
      <c r="F117" s="23">
        <f ca="1">IFERROR(__xludf.DUMMYFUNCTION("SUM(IMPORTRANGE(""https://docs.google.com/spreadsheets/d/1gYHli7FuKQLm2Q-5LMR0UtkD-gRRA_p8s-phLPLDLgc/edit"",""5!Q2:Q43""))"),8094.42599999999)</f>
        <v>8094.4259999999904</v>
      </c>
      <c r="G117" s="16">
        <f ca="1">IFERROR(__xludf.DUMMYFUNCTION("IMPORTRANGE(""https://docs.google.com/spreadsheets/d/1gYHli7FuKQLm2Q-5LMR0UtkD-gRRA_p8s-phLPLDLgc/edit"",""5!e50"")"),4825)</f>
        <v>4825</v>
      </c>
      <c r="H117" s="16">
        <f ca="1">IFERROR(__xludf.DUMMYFUNCTION("IMPORTRANGE(""https://docs.google.com/spreadsheets/d/1gYHli7FuKQLm2Q-5LMR0UtkD-gRRA_p8s-phLPLDLgc/edit"",""5!e51"")"),0)</f>
        <v>0</v>
      </c>
      <c r="I117" s="18">
        <f t="shared" ca="1" si="312"/>
        <v>4825</v>
      </c>
      <c r="J117" s="16">
        <f ca="1">IFERROR(__xludf.DUMMYFUNCTION("IMPORTRANGE(""https://docs.google.com/spreadsheets/d/1gYHli7FuKQLm2Q-5LMR0UtkD-gRRA_p8s-phLPLDLgc/edit"",""5!e54"")"),5211)</f>
        <v>5211</v>
      </c>
      <c r="K117" s="16">
        <f ca="1">IFERROR(__xludf.DUMMYFUNCTION("IMPORTRANGE(""https://docs.google.com/spreadsheets/d/1gYHli7FuKQLm2Q-5LMR0UtkD-gRRA_p8s-phLPLDLgc/edit"",""5!e55"")"),0)</f>
        <v>0</v>
      </c>
      <c r="L117" s="18">
        <f t="shared" ca="1" si="313"/>
        <v>5211</v>
      </c>
      <c r="M117" s="18">
        <f t="shared" ca="1" si="314"/>
        <v>10036</v>
      </c>
      <c r="N117" s="19">
        <f t="shared" ca="1" si="315"/>
        <v>192.72442857142835</v>
      </c>
      <c r="O117" s="16">
        <v>13817</v>
      </c>
      <c r="P117" s="20">
        <f t="shared" ca="1" si="316"/>
        <v>0.72635159586017228</v>
      </c>
      <c r="Q117" s="21">
        <v>1.5</v>
      </c>
      <c r="R117" s="20">
        <f t="shared" ca="1" si="317"/>
        <v>0.82657703791061587</v>
      </c>
      <c r="S117" s="22">
        <f t="shared" ca="1" si="318"/>
        <v>1.2398655568659238</v>
      </c>
      <c r="T117" s="21">
        <f ca="1">F117/25.089</f>
        <v>322.62848260193675</v>
      </c>
      <c r="U117" s="21">
        <f t="shared" ca="1" si="319"/>
        <v>7.6816305381413512</v>
      </c>
      <c r="V117" s="18">
        <f t="shared" ca="1" si="320"/>
        <v>238.95238095238096</v>
      </c>
      <c r="W117" s="76"/>
      <c r="X117" s="24" t="s">
        <v>33</v>
      </c>
      <c r="Y117" s="24">
        <v>6</v>
      </c>
      <c r="Z117" s="24">
        <f t="shared" ref="Z117:AI117" si="330">SUM(Z111:Z116)</f>
        <v>186</v>
      </c>
      <c r="AA117" s="25">
        <f t="shared" ca="1" si="330"/>
        <v>181</v>
      </c>
      <c r="AB117" s="26">
        <f t="shared" ca="1" si="330"/>
        <v>34984.880999999979</v>
      </c>
      <c r="AC117" s="25">
        <f t="shared" ca="1" si="330"/>
        <v>11053</v>
      </c>
      <c r="AD117" s="25">
        <f t="shared" ca="1" si="330"/>
        <v>482</v>
      </c>
      <c r="AE117" s="25">
        <f t="shared" ca="1" si="330"/>
        <v>11535</v>
      </c>
      <c r="AF117" s="25">
        <f t="shared" ca="1" si="330"/>
        <v>16248</v>
      </c>
      <c r="AG117" s="25">
        <f t="shared" ca="1" si="330"/>
        <v>541</v>
      </c>
      <c r="AH117" s="25">
        <f t="shared" ca="1" si="330"/>
        <v>16789</v>
      </c>
      <c r="AI117" s="25">
        <f t="shared" ca="1" si="330"/>
        <v>28324</v>
      </c>
      <c r="AJ117" s="27">
        <f t="shared" ca="1" si="324"/>
        <v>193.28663535911591</v>
      </c>
      <c r="AK117" s="24">
        <f>SUM(AK111:AK116)</f>
        <v>35074</v>
      </c>
      <c r="AL117" s="28">
        <f t="shared" ca="1" si="302"/>
        <v>0.80754975195301359</v>
      </c>
      <c r="AM117" s="29">
        <v>1.5</v>
      </c>
      <c r="AN117" s="28">
        <f t="shared" ca="1" si="304"/>
        <v>0.53973791326220832</v>
      </c>
      <c r="AO117" s="30">
        <f t="shared" ca="1" si="305"/>
        <v>0.80960686989331243</v>
      </c>
      <c r="AP117" s="29">
        <f ca="1">SUM(AP111:AP116)</f>
        <v>1320.6647834769599</v>
      </c>
      <c r="AQ117" s="29">
        <f ca="1">AP117/AA117</f>
        <v>7.2964905164472924</v>
      </c>
      <c r="AR117" s="25">
        <f t="shared" ca="1" si="307"/>
        <v>156.48618784530387</v>
      </c>
      <c r="AS117" s="76"/>
      <c r="AT117" s="76"/>
    </row>
    <row r="118" spans="1:46" ht="15.75" customHeight="1" x14ac:dyDescent="0.25">
      <c r="A118" s="70"/>
      <c r="B118" s="16">
        <v>5</v>
      </c>
      <c r="C118" s="16" t="s">
        <v>34</v>
      </c>
      <c r="D118" s="17">
        <v>40</v>
      </c>
      <c r="E118" s="18">
        <f ca="1">IFERROR(__xludf.DUMMYFUNCTION("COUNT(IMPORTRANGE(""https://docs.google.com/spreadsheets/d/1ptS0qWBCKWkc9h2aXWT_YgMhN7yIv5WgAHRbF8l9Zpo/edit"",""5!d2:d41""))"),37)</f>
        <v>37</v>
      </c>
      <c r="F118" s="23">
        <f ca="1">IFERROR(__xludf.DUMMYFUNCTION("SUM(IMPORTRANGE(""https://docs.google.com/spreadsheets/d/1ptS0qWBCKWkc9h2aXWT_YgMhN7yIv5WgAHRbF8l9Zpo/edit"",""5!Q2:Q41""))"),7270.302)</f>
        <v>7270.3019999999997</v>
      </c>
      <c r="G118" s="18">
        <f ca="1">IFERROR(__xludf.DUMMYFUNCTION("IMPORTRANGE(""https://docs.google.com/spreadsheets/d/1ptS0qWBCKWkc9h2aXWT_YgMhN7yIv5WgAHRbF8l9Zpo/edit"",""5!e48"")"),2664)</f>
        <v>2664</v>
      </c>
      <c r="H118" s="18">
        <f ca="1">IFERROR(__xludf.DUMMYFUNCTION("IMPORTRANGE(""https://docs.google.com/spreadsheets/d/1ptS0qWBCKWkc9h2aXWT_YgMhN7yIv5WgAHRbF8l9Zpo/edit"",""5!e49"")"),0)</f>
        <v>0</v>
      </c>
      <c r="I118" s="18">
        <f t="shared" ca="1" si="312"/>
        <v>2664</v>
      </c>
      <c r="J118" s="18">
        <f ca="1">IFERROR(__xludf.DUMMYFUNCTION("IMPORTRANGE(""https://docs.google.com/spreadsheets/d/1ptS0qWBCKWkc9h2aXWT_YgMhN7yIv5WgAHRbF8l9Zpo/edit"",""5!e52"")"),3497)</f>
        <v>3497</v>
      </c>
      <c r="K118" s="18">
        <f ca="1">IFERROR(__xludf.DUMMYFUNCTION("IMPORTRANGE(""https://docs.google.com/spreadsheets/d/1ptS0qWBCKWkc9h2aXWT_YgMhN7yIv5WgAHRbF8l9Zpo/edit"",""5!e53"")"),0)</f>
        <v>0</v>
      </c>
      <c r="L118" s="18">
        <f t="shared" ca="1" si="313"/>
        <v>3497</v>
      </c>
      <c r="M118" s="18">
        <f t="shared" ca="1" si="314"/>
        <v>6161</v>
      </c>
      <c r="N118" s="19">
        <f t="shared" ca="1" si="315"/>
        <v>196.49464864864865</v>
      </c>
      <c r="O118" s="16">
        <v>9354</v>
      </c>
      <c r="P118" s="20">
        <f t="shared" ca="1" si="316"/>
        <v>0.65864870643574946</v>
      </c>
      <c r="Q118" s="21">
        <v>1.5</v>
      </c>
      <c r="R118" s="20">
        <f t="shared" ca="1" si="317"/>
        <v>0.56494672894376785</v>
      </c>
      <c r="S118" s="22">
        <f t="shared" ca="1" si="318"/>
        <v>0.84742009341565183</v>
      </c>
      <c r="T118" s="21">
        <f ca="1">F118/30.713</f>
        <v>236.71741607788232</v>
      </c>
      <c r="U118" s="21">
        <f t="shared" ca="1" si="319"/>
        <v>6.3977680021049279</v>
      </c>
      <c r="V118" s="18">
        <f t="shared" ca="1" si="320"/>
        <v>166.51351351351352</v>
      </c>
      <c r="W118" s="76"/>
      <c r="X118" s="100" t="s">
        <v>35</v>
      </c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9"/>
      <c r="AS118" s="76"/>
      <c r="AT118" s="76"/>
    </row>
    <row r="119" spans="1:46" ht="15.75" customHeight="1" x14ac:dyDescent="0.25">
      <c r="A119" s="70"/>
      <c r="B119" s="16">
        <v>6</v>
      </c>
      <c r="C119" s="16" t="s">
        <v>23</v>
      </c>
      <c r="D119" s="17">
        <v>35</v>
      </c>
      <c r="E119" s="18">
        <f ca="1">IFERROR(__xludf.DUMMYFUNCTION("COUNT(IMPORTRANGE(""https://docs.google.com/spreadsheets/d/1829CoYW82aTBBUgqkPnJa94KlBWI-DowAnP4ENQCmaQ/edit"",""5!d2:d36""))"),33)</f>
        <v>33</v>
      </c>
      <c r="F119" s="23">
        <f ca="1">IFERROR(__xludf.DUMMYFUNCTION("SUM(IMPORTRANGE(""https://docs.google.com/spreadsheets/d/1829CoYW82aTBBUgqkPnJa94KlBWI-DowAnP4ENQCmaQ/edit"",""5!Q2:Q36""))"),6579.29999999999)</f>
        <v>6579.2999999999902</v>
      </c>
      <c r="G119" s="18">
        <f ca="1">IFERROR(__xludf.DUMMYFUNCTION("IMPORTRANGE(""https://docs.google.com/spreadsheets/d/1829CoYW82aTBBUgqkPnJa94KlBWI-DowAnP4ENQCmaQ/edit"",""5!e43"")"),1845)</f>
        <v>1845</v>
      </c>
      <c r="H119" s="18">
        <f ca="1">IFERROR(__xludf.DUMMYFUNCTION("IMPORTRANGE(""https://docs.google.com/spreadsheets/d/1829CoYW82aTBBUgqkPnJa94KlBWI-DowAnP4ENQCmaQ/edit"",""5!e44"")"),0)</f>
        <v>0</v>
      </c>
      <c r="I119" s="18">
        <f t="shared" ca="1" si="312"/>
        <v>1845</v>
      </c>
      <c r="J119" s="18">
        <f ca="1">IFERROR(__xludf.DUMMYFUNCTION("IMPORTRANGE(""https://docs.google.com/spreadsheets/d/1829CoYW82aTBBUgqkPnJa94KlBWI-DowAnP4ENQCmaQ/edit"",""5!e47"")"),3074)</f>
        <v>3074</v>
      </c>
      <c r="K119" s="18">
        <f ca="1">IFERROR(__xludf.DUMMYFUNCTION("IMPORTRANGE(""https://docs.google.com/spreadsheets/d/1829CoYW82aTBBUgqkPnJa94KlBWI-DowAnP4ENQCmaQ/edit"",""5!e48"")"),0)</f>
        <v>0</v>
      </c>
      <c r="L119" s="18">
        <f t="shared" ca="1" si="313"/>
        <v>3074</v>
      </c>
      <c r="M119" s="18">
        <f t="shared" ca="1" si="314"/>
        <v>4919</v>
      </c>
      <c r="N119" s="19">
        <f t="shared" ca="1" si="315"/>
        <v>199.37272727272696</v>
      </c>
      <c r="O119" s="16">
        <v>6853</v>
      </c>
      <c r="P119" s="20">
        <f t="shared" ca="1" si="316"/>
        <v>0.71778783014738068</v>
      </c>
      <c r="Q119" s="21">
        <v>1.5</v>
      </c>
      <c r="R119" s="20">
        <f t="shared" ca="1" si="317"/>
        <v>0.49843195071410912</v>
      </c>
      <c r="S119" s="22">
        <f t="shared" ca="1" si="318"/>
        <v>0.7476479260711637</v>
      </c>
      <c r="T119" s="21">
        <f ca="1">F119/33.74</f>
        <v>194.99999999999969</v>
      </c>
      <c r="U119" s="21">
        <f t="shared" ca="1" si="319"/>
        <v>5.9090909090908994</v>
      </c>
      <c r="V119" s="18">
        <f t="shared" ca="1" si="320"/>
        <v>149.06060606060606</v>
      </c>
      <c r="W119" s="76"/>
      <c r="X119" s="1" t="s">
        <v>2</v>
      </c>
      <c r="Y119" s="1" t="s">
        <v>3</v>
      </c>
      <c r="Z119" s="1" t="s">
        <v>4</v>
      </c>
      <c r="AA119" s="1" t="s">
        <v>5</v>
      </c>
      <c r="AB119" s="2" t="s">
        <v>6</v>
      </c>
      <c r="AC119" s="1" t="s">
        <v>7</v>
      </c>
      <c r="AD119" s="1" t="s">
        <v>8</v>
      </c>
      <c r="AE119" s="1" t="s">
        <v>9</v>
      </c>
      <c r="AF119" s="1" t="s">
        <v>10</v>
      </c>
      <c r="AG119" s="1" t="s">
        <v>11</v>
      </c>
      <c r="AH119" s="1" t="s">
        <v>12</v>
      </c>
      <c r="AI119" s="1" t="s">
        <v>13</v>
      </c>
      <c r="AJ119" s="2" t="s">
        <v>14</v>
      </c>
      <c r="AK119" s="1" t="s">
        <v>15</v>
      </c>
      <c r="AL119" s="1" t="s">
        <v>16</v>
      </c>
      <c r="AM119" s="3" t="s">
        <v>17</v>
      </c>
      <c r="AN119" s="4" t="s">
        <v>18</v>
      </c>
      <c r="AO119" s="5" t="s">
        <v>19</v>
      </c>
      <c r="AP119" s="6" t="s">
        <v>20</v>
      </c>
      <c r="AQ119" s="6" t="s">
        <v>21</v>
      </c>
      <c r="AR119" s="7" t="s">
        <v>22</v>
      </c>
      <c r="AS119" s="76"/>
      <c r="AT119" s="76"/>
    </row>
    <row r="120" spans="1:46" ht="15.75" customHeight="1" x14ac:dyDescent="0.25">
      <c r="A120" s="70"/>
      <c r="B120" s="16">
        <v>7</v>
      </c>
      <c r="C120" s="16" t="s">
        <v>24</v>
      </c>
      <c r="D120" s="17">
        <v>44</v>
      </c>
      <c r="E120" s="31">
        <f ca="1">IFERROR(__xludf.DUMMYFUNCTION("COUNT(IMPORTRANGE(""https://docs.google.com/spreadsheets/d/1E2x4oDZxEIsuC5nl-5Z0--MoN8b1dt9SbpRcCfNP84Q/edit"",""5!d2:d45""))"),43)</f>
        <v>43</v>
      </c>
      <c r="F120" s="32">
        <f ca="1">IFERROR(__xludf.DUMMYFUNCTION("SUM(IMPORTRANGE(""https://docs.google.com/spreadsheets/d/1E2x4oDZxEIsuC5nl-5Z0--MoN8b1dt9SbpRcCfNP84Q/edit"",""5!Q2:Q45""))"),8326.55999999999)</f>
        <v>8326.5599999999904</v>
      </c>
      <c r="G120" s="31">
        <f ca="1">IFERROR(__xludf.DUMMYFUNCTION("IMPORTRANGE(""https://docs.google.com/spreadsheets/d/1E2x4oDZxEIsuC5nl-5Z0--MoN8b1dt9SbpRcCfNP84Q/edit"",""5!e53"")"),1090)</f>
        <v>1090</v>
      </c>
      <c r="H120" s="31">
        <f ca="1">IFERROR(__xludf.DUMMYFUNCTION("IMPORTRANGE(""https://docs.google.com/spreadsheets/d/1E2x4oDZxEIsuC5nl-5Z0--MoN8b1dt9SbpRcCfNP84Q/edit"",""5!e54"")"),0)</f>
        <v>0</v>
      </c>
      <c r="I120" s="31">
        <f t="shared" ca="1" si="312"/>
        <v>1090</v>
      </c>
      <c r="J120" s="31">
        <f ca="1">IFERROR(__xludf.DUMMYFUNCTION("IMPORTRANGE(""https://docs.google.com/spreadsheets/d/1E2x4oDZxEIsuC5nl-5Z0--MoN8b1dt9SbpRcCfNP84Q/edit"",""5!e57"")"),1521)</f>
        <v>1521</v>
      </c>
      <c r="K120" s="31">
        <f ca="1">IFERROR(__xludf.DUMMYFUNCTION("IMPORTRANGE(""https://docs.google.com/spreadsheets/d/1E2x4oDZxEIsuC5nl-5Z0--MoN8b1dt9SbpRcCfNP84Q/edit"",""5!e58"")"),0)</f>
        <v>0</v>
      </c>
      <c r="L120" s="18">
        <f t="shared" ca="1" si="313"/>
        <v>1521</v>
      </c>
      <c r="M120" s="18">
        <f t="shared" ca="1" si="314"/>
        <v>2611</v>
      </c>
      <c r="N120" s="19">
        <f t="shared" ca="1" si="315"/>
        <v>193.64093023255791</v>
      </c>
      <c r="O120" s="16">
        <v>1580</v>
      </c>
      <c r="P120" s="33">
        <f t="shared" ca="1" si="316"/>
        <v>1.6525316455696202</v>
      </c>
      <c r="Q120" s="21">
        <v>1.5</v>
      </c>
      <c r="R120" s="20">
        <f t="shared" ca="1" si="317"/>
        <v>0.20904991577153934</v>
      </c>
      <c r="S120" s="22">
        <f t="shared" ca="1" si="318"/>
        <v>0.31357487365730902</v>
      </c>
      <c r="T120" s="21">
        <f ca="1">F120/26.805</f>
        <v>310.6345831001675</v>
      </c>
      <c r="U120" s="21">
        <f t="shared" ca="1" si="319"/>
        <v>7.2240600720969184</v>
      </c>
      <c r="V120" s="18">
        <f t="shared" ca="1" si="320"/>
        <v>60.720930232558139</v>
      </c>
      <c r="W120" s="76"/>
      <c r="X120" s="8">
        <v>1</v>
      </c>
      <c r="Y120" s="8" t="s">
        <v>28</v>
      </c>
      <c r="Z120" s="8">
        <f t="shared" ref="Z120:AI120" si="331">SUM(D115)</f>
        <v>33</v>
      </c>
      <c r="AA120" s="9">
        <f t="shared" ca="1" si="331"/>
        <v>33</v>
      </c>
      <c r="AB120" s="11">
        <f t="shared" ca="1" si="331"/>
        <v>6405.2449999999899</v>
      </c>
      <c r="AC120" s="9">
        <f t="shared" ca="1" si="331"/>
        <v>2651</v>
      </c>
      <c r="AD120" s="9">
        <f t="shared" ca="1" si="331"/>
        <v>213</v>
      </c>
      <c r="AE120" s="9">
        <f t="shared" ca="1" si="331"/>
        <v>2864</v>
      </c>
      <c r="AF120" s="9">
        <f t="shared" ca="1" si="331"/>
        <v>3203</v>
      </c>
      <c r="AG120" s="9">
        <f t="shared" ca="1" si="331"/>
        <v>157</v>
      </c>
      <c r="AH120" s="9">
        <f t="shared" ca="1" si="331"/>
        <v>3360</v>
      </c>
      <c r="AI120" s="9">
        <f t="shared" ca="1" si="331"/>
        <v>6224</v>
      </c>
      <c r="AJ120" s="11">
        <f t="shared" ref="AJ120:AJ126" ca="1" si="332">AB120/AA120</f>
        <v>194.09833333333302</v>
      </c>
      <c r="AK120" s="8">
        <f t="shared" ref="AK120:AK121" si="333">SUM(O115)</f>
        <v>7315</v>
      </c>
      <c r="AL120" s="12">
        <f t="shared" ref="AL120:AL126" ca="1" si="334">AI120/AK120</f>
        <v>0.85085440874914564</v>
      </c>
      <c r="AM120" s="13">
        <f t="shared" ref="AM120:AM121" si="335">SUM(Q115)</f>
        <v>1.5</v>
      </c>
      <c r="AN120" s="12">
        <f t="shared" ref="AN120:AN126" ca="1" si="336">AO120/AM120</f>
        <v>0.64780243899075518</v>
      </c>
      <c r="AO120" s="14">
        <f t="shared" ref="AO120:AO126" ca="1" si="337">AI120/AB120</f>
        <v>0.97170365848613283</v>
      </c>
      <c r="AP120" s="13">
        <f t="shared" ref="AP120:AQ120" ca="1" si="338">SUM(T115)</f>
        <v>207.3096093471855</v>
      </c>
      <c r="AQ120" s="13">
        <f t="shared" ca="1" si="338"/>
        <v>6.2821093741571365</v>
      </c>
      <c r="AR120" s="9">
        <f t="shared" ref="AR120:AR126" ca="1" si="339">AI120/AA120</f>
        <v>188.60606060606059</v>
      </c>
      <c r="AS120" s="76"/>
      <c r="AT120" s="76"/>
    </row>
    <row r="121" spans="1:46" ht="15.75" customHeight="1" x14ac:dyDescent="0.25">
      <c r="A121" s="70"/>
      <c r="B121" s="16">
        <v>8</v>
      </c>
      <c r="C121" s="16" t="s">
        <v>25</v>
      </c>
      <c r="D121" s="34">
        <v>32</v>
      </c>
      <c r="E121" s="18">
        <f ca="1">IFERROR(__xludf.DUMMYFUNCTION("COUNT(IMPORTRANGE(""https://docs.google.com/spreadsheets/d/1KbRFOEYB0B44J_NSh1MwYQ1sLDlZXUHI-wuMLcZDn5k/edit"",""5!d2:D33""))"),32)</f>
        <v>32</v>
      </c>
      <c r="F121" s="23">
        <f ca="1">IFERROR(__xludf.DUMMYFUNCTION("SUM(IMPORTRANGE(""https://docs.google.com/spreadsheets/d/1KbRFOEYB0B44J_NSh1MwYQ1sLDlZXUHI-wuMLcZDn5k/edit"",""5!Q2:Q33""))"),5805.924)</f>
        <v>5805.924</v>
      </c>
      <c r="G121" s="18">
        <f ca="1">IFERROR(__xludf.DUMMYFUNCTION("IMPORTRANGE(""https://docs.google.com/spreadsheets/d/1KbRFOEYB0B44J_NSh1MwYQ1sLDlZXUHI-wuMLcZDn5k/edit"",""5!e40"")"),2185)</f>
        <v>2185</v>
      </c>
      <c r="H121" s="18">
        <f ca="1">IFERROR(__xludf.DUMMYFUNCTION("IMPORTRANGE(""https://docs.google.com/spreadsheets/d/1KbRFOEYB0B44J_NSh1MwYQ1sLDlZXUHI-wuMLcZDn5k/edit"",""5!e41"")"),379)</f>
        <v>379</v>
      </c>
      <c r="I121" s="18">
        <f t="shared" ca="1" si="312"/>
        <v>2564</v>
      </c>
      <c r="J121" s="18">
        <f ca="1">IFERROR(__xludf.DUMMYFUNCTION("IMPORTRANGE(""https://docs.google.com/spreadsheets/d/1KbRFOEYB0B44J_NSh1MwYQ1sLDlZXUHI-wuMLcZDn5k/edit"",""5!e44"")"),3145)</f>
        <v>3145</v>
      </c>
      <c r="K121" s="18">
        <f ca="1">IFERROR(__xludf.DUMMYFUNCTION("IMPORTRANGE(""https://docs.google.com/spreadsheets/d/1KbRFOEYB0B44J_NSh1MwYQ1sLDlZXUHI-wuMLcZDn5k/edit"",""5!e45"")"),413)</f>
        <v>413</v>
      </c>
      <c r="L121" s="18">
        <f ca="1">J121+K121</f>
        <v>3558</v>
      </c>
      <c r="M121" s="18">
        <f t="shared" ca="1" si="314"/>
        <v>6122</v>
      </c>
      <c r="N121" s="19">
        <f t="shared" ca="1" si="315"/>
        <v>181.435125</v>
      </c>
      <c r="O121" s="16">
        <v>6622</v>
      </c>
      <c r="P121" s="20">
        <f t="shared" ca="1" si="316"/>
        <v>0.92449411054062214</v>
      </c>
      <c r="Q121" s="21">
        <v>1.5</v>
      </c>
      <c r="R121" s="20">
        <f t="shared" ca="1" si="317"/>
        <v>0.70296017194392035</v>
      </c>
      <c r="S121" s="22">
        <f t="shared" ca="1" si="318"/>
        <v>1.0544402579158805</v>
      </c>
      <c r="T121" s="21">
        <f ca="1">F121/23.84</f>
        <v>243.53708053691275</v>
      </c>
      <c r="U121" s="21">
        <f t="shared" ca="1" si="319"/>
        <v>7.6105337667785236</v>
      </c>
      <c r="V121" s="18">
        <f t="shared" ca="1" si="320"/>
        <v>191.3125</v>
      </c>
      <c r="W121" s="76"/>
      <c r="X121" s="8">
        <v>2</v>
      </c>
      <c r="Y121" s="8" t="s">
        <v>30</v>
      </c>
      <c r="Z121" s="8">
        <f t="shared" ref="Z121:AI121" si="340">SUM(D116)</f>
        <v>60</v>
      </c>
      <c r="AA121" s="9">
        <f t="shared" ca="1" si="340"/>
        <v>57</v>
      </c>
      <c r="AB121" s="10">
        <f t="shared" ca="1" si="340"/>
        <v>11401.359999999901</v>
      </c>
      <c r="AC121" s="9">
        <f t="shared" ca="1" si="340"/>
        <v>3430</v>
      </c>
      <c r="AD121" s="9">
        <f t="shared" ca="1" si="340"/>
        <v>0</v>
      </c>
      <c r="AE121" s="9">
        <f t="shared" ca="1" si="340"/>
        <v>3430</v>
      </c>
      <c r="AF121" s="9">
        <f t="shared" ca="1" si="340"/>
        <v>5712</v>
      </c>
      <c r="AG121" s="9">
        <f t="shared" ca="1" si="340"/>
        <v>0</v>
      </c>
      <c r="AH121" s="9">
        <f t="shared" ca="1" si="340"/>
        <v>5712</v>
      </c>
      <c r="AI121" s="9">
        <f t="shared" ca="1" si="340"/>
        <v>9142</v>
      </c>
      <c r="AJ121" s="11">
        <f t="shared" ca="1" si="332"/>
        <v>200.02385964912105</v>
      </c>
      <c r="AK121" s="8">
        <f t="shared" si="333"/>
        <v>11164</v>
      </c>
      <c r="AL121" s="12">
        <f t="shared" ca="1" si="334"/>
        <v>0.81888212110354708</v>
      </c>
      <c r="AM121" s="13">
        <f t="shared" si="335"/>
        <v>1.5</v>
      </c>
      <c r="AN121" s="12">
        <f t="shared" ca="1" si="336"/>
        <v>0.53455611143466386</v>
      </c>
      <c r="AO121" s="14">
        <f t="shared" ca="1" si="337"/>
        <v>0.80183416715199585</v>
      </c>
      <c r="AP121" s="13">
        <f t="shared" ref="AP121:AQ121" ca="1" si="341">SUM(T116)</f>
        <v>385.14204641421139</v>
      </c>
      <c r="AQ121" s="13">
        <f t="shared" ca="1" si="341"/>
        <v>6.7568780072668666</v>
      </c>
      <c r="AR121" s="9">
        <f t="shared" ca="1" si="339"/>
        <v>160.38596491228071</v>
      </c>
      <c r="AS121" s="76"/>
      <c r="AT121" s="76"/>
    </row>
    <row r="122" spans="1:46" ht="15.75" customHeight="1" x14ac:dyDescent="0.25">
      <c r="A122" s="70"/>
      <c r="B122" s="16">
        <v>9</v>
      </c>
      <c r="C122" s="16" t="s">
        <v>36</v>
      </c>
      <c r="D122" s="34">
        <v>29</v>
      </c>
      <c r="E122" s="18">
        <f ca="1">IFERROR(__xludf.DUMMYFUNCTION("COUNT(IMPORTRANGE(""https://docs.google.com/spreadsheets/d/1VqqqRGfmmkT0JC4ILJva2p8P11jjV0FX-TSKAaqOigw/edit"",""5!d2:d31""))"),28)</f>
        <v>28</v>
      </c>
      <c r="F122" s="23">
        <f ca="1">IFERROR(__xludf.DUMMYFUNCTION("SUM(IMPORTRANGE(""https://docs.google.com/spreadsheets/d/1VqqqRGfmmkT0JC4ILJva2p8P11jjV0FX-TSKAaqOigw/edit"",""5!Q2:Q31""))"),5473.969)</f>
        <v>5473.9690000000001</v>
      </c>
      <c r="G122" s="18">
        <f ca="1">IFERROR(__xludf.DUMMYFUNCTION("IMPORTRANGE(""https://docs.google.com/spreadsheets/d/1VqqqRGfmmkT0JC4ILJva2p8P11jjV0FX-TSKAaqOigw/edit"",""5!e38"")"),1551)</f>
        <v>1551</v>
      </c>
      <c r="H122" s="18">
        <f ca="1">IFERROR(__xludf.DUMMYFUNCTION("IMPORTRANGE(""https://docs.google.com/spreadsheets/d/1VqqqRGfmmkT0JC4ILJva2p8P11jjV0FX-TSKAaqOigw/edit"",""5!e39"")"),0)</f>
        <v>0</v>
      </c>
      <c r="I122" s="18">
        <f t="shared" ca="1" si="312"/>
        <v>1551</v>
      </c>
      <c r="J122" s="18">
        <f ca="1">IFERROR(__xludf.DUMMYFUNCTION("IMPORTRANGE(""https://docs.google.com/spreadsheets/d/1VqqqRGfmmkT0JC4ILJva2p8P11jjV0FX-TSKAaqOigw/edit"",""5!e42"")"),2359)</f>
        <v>2359</v>
      </c>
      <c r="K122" s="18">
        <f ca="1">IFERROR(__xludf.DUMMYFUNCTION("IMPORTRANGE(""https://docs.google.com/spreadsheets/d/1VqqqRGfmmkT0JC4ILJva2p8P11jjV0FX-TSKAaqOigw/edit"",""5!e43"")"),0)</f>
        <v>0</v>
      </c>
      <c r="L122" s="18">
        <f t="shared" ref="L122:L131" ca="1" si="342">SUM(J122:K122)</f>
        <v>2359</v>
      </c>
      <c r="M122" s="18">
        <f t="shared" ca="1" si="314"/>
        <v>3910</v>
      </c>
      <c r="N122" s="19">
        <f t="shared" ca="1" si="315"/>
        <v>195.49889285714286</v>
      </c>
      <c r="O122" s="16">
        <v>4796</v>
      </c>
      <c r="P122" s="20">
        <f t="shared" ca="1" si="316"/>
        <v>0.81526271893244373</v>
      </c>
      <c r="Q122" s="21">
        <v>1.5</v>
      </c>
      <c r="R122" s="20">
        <f t="shared" ca="1" si="317"/>
        <v>0.47619317293661445</v>
      </c>
      <c r="S122" s="22">
        <f t="shared" ca="1" si="318"/>
        <v>0.71428975940492168</v>
      </c>
      <c r="T122" s="21">
        <f ca="1">F122/37.414</f>
        <v>146.30803977120863</v>
      </c>
      <c r="U122" s="21">
        <f t="shared" ca="1" si="319"/>
        <v>5.2252871346860221</v>
      </c>
      <c r="V122" s="18">
        <f t="shared" ca="1" si="320"/>
        <v>139.64285714285714</v>
      </c>
      <c r="W122" s="76"/>
      <c r="X122" s="8">
        <v>3</v>
      </c>
      <c r="Y122" s="8" t="s">
        <v>34</v>
      </c>
      <c r="Z122" s="8">
        <f t="shared" ref="Z122:AI122" si="343">SUM(D118)</f>
        <v>40</v>
      </c>
      <c r="AA122" s="9">
        <f t="shared" ca="1" si="343"/>
        <v>37</v>
      </c>
      <c r="AB122" s="10">
        <f t="shared" ca="1" si="343"/>
        <v>7270.3019999999997</v>
      </c>
      <c r="AC122" s="9">
        <f t="shared" ca="1" si="343"/>
        <v>2664</v>
      </c>
      <c r="AD122" s="9">
        <f t="shared" ca="1" si="343"/>
        <v>0</v>
      </c>
      <c r="AE122" s="9">
        <f t="shared" ca="1" si="343"/>
        <v>2664</v>
      </c>
      <c r="AF122" s="9">
        <f t="shared" ca="1" si="343"/>
        <v>3497</v>
      </c>
      <c r="AG122" s="9">
        <f t="shared" ca="1" si="343"/>
        <v>0</v>
      </c>
      <c r="AH122" s="9">
        <f t="shared" ca="1" si="343"/>
        <v>3497</v>
      </c>
      <c r="AI122" s="9">
        <f t="shared" ca="1" si="343"/>
        <v>6161</v>
      </c>
      <c r="AJ122" s="11">
        <f t="shared" ca="1" si="332"/>
        <v>196.49464864864865</v>
      </c>
      <c r="AK122" s="8">
        <f>SUM(O118)</f>
        <v>9354</v>
      </c>
      <c r="AL122" s="12">
        <f t="shared" ca="1" si="334"/>
        <v>0.65864870643574946</v>
      </c>
      <c r="AM122" s="13">
        <f>SUM(Q118)</f>
        <v>1.5</v>
      </c>
      <c r="AN122" s="12">
        <f t="shared" ca="1" si="336"/>
        <v>0.56494672894376785</v>
      </c>
      <c r="AO122" s="14">
        <f t="shared" ca="1" si="337"/>
        <v>0.84742009341565183</v>
      </c>
      <c r="AP122" s="13">
        <f t="shared" ref="AP122:AQ122" ca="1" si="344">SUM(T118)</f>
        <v>236.71741607788232</v>
      </c>
      <c r="AQ122" s="13">
        <f t="shared" ca="1" si="344"/>
        <v>6.3977680021049279</v>
      </c>
      <c r="AR122" s="9">
        <f t="shared" ca="1" si="339"/>
        <v>166.51351351351352</v>
      </c>
      <c r="AS122" s="76"/>
      <c r="AT122" s="76"/>
    </row>
    <row r="123" spans="1:46" ht="15.75" customHeight="1" x14ac:dyDescent="0.25">
      <c r="A123" s="70"/>
      <c r="B123" s="16">
        <v>10</v>
      </c>
      <c r="C123" s="16" t="s">
        <v>37</v>
      </c>
      <c r="D123" s="17">
        <v>30</v>
      </c>
      <c r="E123" s="18">
        <f ca="1">IFERROR(__xludf.DUMMYFUNCTION("COUNT(IMPORTRANGE(""https://docs.google.com/spreadsheets/d/1IYeRjQd_D6MRqoBKNaky3aSEUloYCJc5XDnPAbdyetk/edit"",""5!d2:d31""))"),30)</f>
        <v>30</v>
      </c>
      <c r="F123" s="23">
        <f ca="1">IFERROR(__xludf.DUMMYFUNCTION("SUM(IMPORTRANGE(""https://docs.google.com/spreadsheets/d/1IYeRjQd_D6MRqoBKNaky3aSEUloYCJc5XDnPAbdyetk/edit"",""5!Q2:Q31""))"),5688.228)</f>
        <v>5688.2280000000001</v>
      </c>
      <c r="G123" s="18">
        <f ca="1">IFERROR(__xludf.DUMMYFUNCTION("(IMPORTRANGE(""https://docs.google.com/spreadsheets/d/1IYeRjQd_D6MRqoBKNaky3aSEUloYCJc5XDnPAbdyetk/edit"",""5!e38""))"),1661)</f>
        <v>1661</v>
      </c>
      <c r="H123" s="18">
        <f ca="1">IFERROR(__xludf.DUMMYFUNCTION("(IMPORTRANGE(""https://docs.google.com/spreadsheets/d/1IYeRjQd_D6MRqoBKNaky3aSEUloYCJc5XDnPAbdyetk/edit"",""5!e39""))"),56)</f>
        <v>56</v>
      </c>
      <c r="I123" s="18">
        <f t="shared" ca="1" si="312"/>
        <v>1717</v>
      </c>
      <c r="J123" s="18">
        <f ca="1">IFERROR(__xludf.DUMMYFUNCTION("(IMPORTRANGE(""https://docs.google.com/spreadsheets/d/1IYeRjQd_D6MRqoBKNaky3aSEUloYCJc5XDnPAbdyetk/edit"",""5!e42""))"),3074)</f>
        <v>3074</v>
      </c>
      <c r="K123" s="18">
        <f ca="1">IFERROR(__xludf.DUMMYFUNCTION("(IMPORTRANGE(""https://docs.google.com/spreadsheets/d/1IYeRjQd_D6MRqoBKNaky3aSEUloYCJc5XDnPAbdyetk/edit"",""5!e43""))"),105)</f>
        <v>105</v>
      </c>
      <c r="L123" s="18">
        <f t="shared" ca="1" si="342"/>
        <v>3179</v>
      </c>
      <c r="M123" s="18">
        <f t="shared" ca="1" si="314"/>
        <v>4896</v>
      </c>
      <c r="N123" s="19">
        <f t="shared" ca="1" si="315"/>
        <v>189.60759999999999</v>
      </c>
      <c r="O123" s="16">
        <v>5887</v>
      </c>
      <c r="P123" s="20">
        <f t="shared" ca="1" si="316"/>
        <v>0.83166298624086976</v>
      </c>
      <c r="Q123" s="21">
        <v>1.5</v>
      </c>
      <c r="R123" s="20">
        <f t="shared" ca="1" si="317"/>
        <v>0.57381666135745613</v>
      </c>
      <c r="S123" s="22">
        <f t="shared" ca="1" si="318"/>
        <v>0.86072499203618424</v>
      </c>
      <c r="T123" s="21">
        <f ca="1">F123/24.792</f>
        <v>229.4380445304937</v>
      </c>
      <c r="U123" s="21">
        <f t="shared" ca="1" si="319"/>
        <v>7.6479348176831232</v>
      </c>
      <c r="V123" s="18">
        <f t="shared" ca="1" si="320"/>
        <v>163.19999999999999</v>
      </c>
      <c r="W123" s="76"/>
      <c r="X123" s="8">
        <v>4</v>
      </c>
      <c r="Y123" s="8" t="s">
        <v>38</v>
      </c>
      <c r="Z123" s="8">
        <f t="shared" ref="Z123:AI123" si="345">SUM(D126)</f>
        <v>30</v>
      </c>
      <c r="AA123" s="9">
        <f t="shared" ca="1" si="345"/>
        <v>30</v>
      </c>
      <c r="AB123" s="10">
        <f t="shared" ca="1" si="345"/>
        <v>6119.4579999999896</v>
      </c>
      <c r="AC123" s="9">
        <f t="shared" ca="1" si="345"/>
        <v>2098</v>
      </c>
      <c r="AD123" s="9">
        <f t="shared" ca="1" si="345"/>
        <v>0</v>
      </c>
      <c r="AE123" s="9">
        <f t="shared" ca="1" si="345"/>
        <v>2098</v>
      </c>
      <c r="AF123" s="9">
        <f t="shared" ca="1" si="345"/>
        <v>2749</v>
      </c>
      <c r="AG123" s="9">
        <f t="shared" ca="1" si="345"/>
        <v>203</v>
      </c>
      <c r="AH123" s="9">
        <f t="shared" ca="1" si="345"/>
        <v>2952</v>
      </c>
      <c r="AI123" s="9">
        <f t="shared" ca="1" si="345"/>
        <v>5050</v>
      </c>
      <c r="AJ123" s="11">
        <f t="shared" ca="1" si="332"/>
        <v>203.98193333333299</v>
      </c>
      <c r="AK123" s="8">
        <v>7324</v>
      </c>
      <c r="AL123" s="12">
        <f t="shared" ca="1" si="334"/>
        <v>0.68951392681594759</v>
      </c>
      <c r="AM123" s="13">
        <f>SUM(Q126)</f>
        <v>1.5</v>
      </c>
      <c r="AN123" s="12">
        <f t="shared" ca="1" si="336"/>
        <v>0.5501576555745088</v>
      </c>
      <c r="AO123" s="14">
        <f t="shared" ca="1" si="337"/>
        <v>0.82523648336176314</v>
      </c>
      <c r="AP123" s="13">
        <f t="shared" ref="AP123:AQ123" ca="1" si="346">SUM(T126)</f>
        <v>148.51251061764324</v>
      </c>
      <c r="AQ123" s="13">
        <f t="shared" ca="1" si="346"/>
        <v>4.950417020588108</v>
      </c>
      <c r="AR123" s="9">
        <f t="shared" ca="1" si="339"/>
        <v>168.33333333333334</v>
      </c>
      <c r="AS123" s="76"/>
      <c r="AT123" s="76"/>
    </row>
    <row r="124" spans="1:46" ht="15.75" customHeight="1" x14ac:dyDescent="0.25">
      <c r="A124" s="70"/>
      <c r="B124" s="16">
        <v>12</v>
      </c>
      <c r="C124" s="16" t="s">
        <v>39</v>
      </c>
      <c r="D124" s="17">
        <v>28</v>
      </c>
      <c r="E124" s="18">
        <f ca="1">IFERROR(__xludf.DUMMYFUNCTION("COUNT(IMPORTRANGE(""https://docs.google.com/spreadsheets/d/1TAY2D35yAzyl8a_p5CuZehQvmatfj0b0Q8ICl8GtJBY/edit"",""5!d2:d29""))"),28)</f>
        <v>28</v>
      </c>
      <c r="F124" s="23">
        <f ca="1">IFERROR(__xludf.DUMMYFUNCTION("SUM(IMPORTRANGE(""https://docs.google.com/spreadsheets/d/1TAY2D35yAzyl8a_p5CuZehQvmatfj0b0Q8ICl8GtJBY/edit"",""5!Q2:Q29""))"),5394.489)</f>
        <v>5394.4889999999996</v>
      </c>
      <c r="G124" s="18">
        <f ca="1">IFERROR(__xludf.DUMMYFUNCTION("IMPORTRANGE(""https://docs.google.com/spreadsheets/d/1TAY2D35yAzyl8a_p5CuZehQvmatfj0b0Q8ICl8GtJBY/edit"",""5!e36"")"),1103)</f>
        <v>1103</v>
      </c>
      <c r="H124" s="18">
        <f ca="1">IFERROR(__xludf.DUMMYFUNCTION("(IMPORTRANGE(""https://docs.google.com/spreadsheets/d/1TAY2D35yAzyl8a_p5CuZehQvmatfj0b0Q8ICl8GtJBY/edit"",""5!e37""))"),100)</f>
        <v>100</v>
      </c>
      <c r="I124" s="18">
        <f t="shared" ca="1" si="312"/>
        <v>1203</v>
      </c>
      <c r="J124" s="18">
        <f ca="1">IFERROR(__xludf.DUMMYFUNCTION("IMPORTRANGE(""https://docs.google.com/spreadsheets/d/1TAY2D35yAzyl8a_p5CuZehQvmatfj0b0Q8ICl8GtJBY/edit"",""5!e40"")"),1987)</f>
        <v>1987</v>
      </c>
      <c r="K124" s="18">
        <f ca="1">IFERROR(__xludf.DUMMYFUNCTION("IMPORTRANGE(""https://docs.google.com/spreadsheets/d/1TAY2D35yAzyl8a_p5CuZehQvmatfj0b0Q8ICl8GtJBY/edit"",""5!e41"")"),0)</f>
        <v>0</v>
      </c>
      <c r="L124" s="18">
        <f t="shared" ca="1" si="342"/>
        <v>1987</v>
      </c>
      <c r="M124" s="18">
        <f t="shared" ca="1" si="314"/>
        <v>3190</v>
      </c>
      <c r="N124" s="19">
        <f t="shared" ca="1" si="315"/>
        <v>192.66032142857142</v>
      </c>
      <c r="O124" s="16">
        <v>3569</v>
      </c>
      <c r="P124" s="20">
        <f t="shared" ca="1" si="316"/>
        <v>0.89380778929672178</v>
      </c>
      <c r="Q124" s="21">
        <v>1.5</v>
      </c>
      <c r="R124" s="20">
        <f t="shared" ca="1" si="317"/>
        <v>0.39422949359367809</v>
      </c>
      <c r="S124" s="22">
        <f t="shared" ca="1" si="318"/>
        <v>0.59134424039051714</v>
      </c>
      <c r="T124" s="21">
        <f ca="1">F124/21.463</f>
        <v>251.33900200344777</v>
      </c>
      <c r="U124" s="21">
        <f t="shared" ca="1" si="319"/>
        <v>8.9763929286945636</v>
      </c>
      <c r="V124" s="18">
        <f t="shared" ca="1" si="320"/>
        <v>113.92857142857143</v>
      </c>
      <c r="W124" s="76"/>
      <c r="X124" s="8">
        <v>5</v>
      </c>
      <c r="Y124" s="8" t="s">
        <v>40</v>
      </c>
      <c r="Z124" s="8">
        <f t="shared" ref="Z124:AI124" si="347">SUM(D128)</f>
        <v>30</v>
      </c>
      <c r="AA124" s="9">
        <f t="shared" ca="1" si="347"/>
        <v>29</v>
      </c>
      <c r="AB124" s="10">
        <f t="shared" ca="1" si="347"/>
        <v>5245.7339999999904</v>
      </c>
      <c r="AC124" s="9">
        <f t="shared" ca="1" si="347"/>
        <v>3132</v>
      </c>
      <c r="AD124" s="9">
        <f t="shared" ca="1" si="347"/>
        <v>154</v>
      </c>
      <c r="AE124" s="9">
        <f t="shared" ca="1" si="347"/>
        <v>3286</v>
      </c>
      <c r="AF124" s="9">
        <f t="shared" ca="1" si="347"/>
        <v>3720</v>
      </c>
      <c r="AG124" s="9">
        <f t="shared" ca="1" si="347"/>
        <v>0</v>
      </c>
      <c r="AH124" s="9">
        <f t="shared" ca="1" si="347"/>
        <v>3720</v>
      </c>
      <c r="AI124" s="9">
        <f t="shared" ca="1" si="347"/>
        <v>7006</v>
      </c>
      <c r="AJ124" s="11">
        <f t="shared" ca="1" si="332"/>
        <v>180.8873793103445</v>
      </c>
      <c r="AK124" s="8">
        <f t="shared" ref="AK124:AK125" si="348">SUM(O128)</f>
        <v>8239</v>
      </c>
      <c r="AL124" s="12">
        <f t="shared" ca="1" si="334"/>
        <v>0.85034591576647656</v>
      </c>
      <c r="AM124" s="13">
        <f t="shared" ref="AM124:AM125" si="349">SUM(Q128)</f>
        <v>1.5</v>
      </c>
      <c r="AN124" s="12">
        <f t="shared" ca="1" si="336"/>
        <v>0.8903742863566233</v>
      </c>
      <c r="AO124" s="14">
        <f t="shared" ca="1" si="337"/>
        <v>1.335561429534935</v>
      </c>
      <c r="AP124" s="13">
        <f t="shared" ref="AP124:AQ124" ca="1" si="350">SUM(T128)</f>
        <v>184.42970150827938</v>
      </c>
      <c r="AQ124" s="13">
        <f t="shared" ca="1" si="350"/>
        <v>6.3596448795958409</v>
      </c>
      <c r="AR124" s="9">
        <f t="shared" ca="1" si="339"/>
        <v>241.58620689655172</v>
      </c>
      <c r="AS124" s="76"/>
      <c r="AT124" s="76"/>
    </row>
    <row r="125" spans="1:46" ht="15.75" customHeight="1" x14ac:dyDescent="0.25">
      <c r="A125" s="70"/>
      <c r="B125" s="16">
        <v>12</v>
      </c>
      <c r="C125" s="16" t="s">
        <v>41</v>
      </c>
      <c r="D125" s="17">
        <v>24</v>
      </c>
      <c r="E125" s="18">
        <f ca="1">IFERROR(__xludf.DUMMYFUNCTION("COUNT(IMPORTRANGE(""https://docs.google.com/spreadsheets/d/1VAsUtLQHi7oV9NsI9EIHPnO1bcPJHeRgSbMoxSvPBME/edit"",""5!d2:d25""))"),24)</f>
        <v>24</v>
      </c>
      <c r="F125" s="23">
        <f ca="1">IFERROR(__xludf.DUMMYFUNCTION("SUM(IMPORTRANGE(""https://docs.google.com/spreadsheets/d/1VAsUtLQHi7oV9NsI9EIHPnO1bcPJHeRgSbMoxSvPBME/edit"",""5!Q2:Q25""))"),4704.268)</f>
        <v>4704.268</v>
      </c>
      <c r="G125" s="18">
        <f ca="1">IFERROR(__xludf.DUMMYFUNCTION("IMPORTRANGE(""https://docs.google.com/spreadsheets/d/1VAsUtLQHi7oV9NsI9EIHPnO1bcPJHeRgSbMoxSvPBME/edit"",""5!e32"")"),1077)</f>
        <v>1077</v>
      </c>
      <c r="H125" s="18">
        <f ca="1">IFERROR(__xludf.DUMMYFUNCTION("IMPORTRANGE(""https://docs.google.com/spreadsheets/d/1VAsUtLQHi7oV9NsI9EIHPnO1bcPJHeRgSbMoxSvPBME/edit"",""5!e33"")"),232)</f>
        <v>232</v>
      </c>
      <c r="I125" s="18">
        <f t="shared" ca="1" si="312"/>
        <v>1309</v>
      </c>
      <c r="J125" s="18">
        <f ca="1">IFERROR(__xludf.DUMMYFUNCTION("IMPORTRANGE(""https://docs.google.com/spreadsheets/d/1VAsUtLQHi7oV9NsI9EIHPnO1bcPJHeRgSbMoxSvPBME/edit"",""5!e36"")"),1579)</f>
        <v>1579</v>
      </c>
      <c r="K125" s="18">
        <f ca="1">IFERROR(__xludf.DUMMYFUNCTION("IMPORTRANGE(""https://docs.google.com/spreadsheets/d/1VAsUtLQHi7oV9NsI9EIHPnO1bcPJHeRgSbMoxSvPBME/edit"",""5!e37"")"),45)</f>
        <v>45</v>
      </c>
      <c r="L125" s="18">
        <f t="shared" ca="1" si="342"/>
        <v>1624</v>
      </c>
      <c r="M125" s="18">
        <f t="shared" ca="1" si="314"/>
        <v>2933</v>
      </c>
      <c r="N125" s="19">
        <f t="shared" ca="1" si="315"/>
        <v>196.01116666666667</v>
      </c>
      <c r="O125" s="16">
        <v>3801</v>
      </c>
      <c r="P125" s="20">
        <f t="shared" ca="1" si="316"/>
        <v>0.77163904235727443</v>
      </c>
      <c r="Q125" s="21">
        <v>1.5</v>
      </c>
      <c r="R125" s="20">
        <f t="shared" ca="1" si="317"/>
        <v>0.41565092238225659</v>
      </c>
      <c r="S125" s="22">
        <f t="shared" ca="1" si="318"/>
        <v>0.62347638357338486</v>
      </c>
      <c r="T125" s="21">
        <f ca="1">F125/29.628</f>
        <v>158.77777777777777</v>
      </c>
      <c r="U125" s="21">
        <f t="shared" ca="1" si="319"/>
        <v>6.6157407407407405</v>
      </c>
      <c r="V125" s="18">
        <f t="shared" ca="1" si="320"/>
        <v>122.20833333333333</v>
      </c>
      <c r="W125" s="76"/>
      <c r="X125" s="8">
        <v>6</v>
      </c>
      <c r="Y125" s="8" t="s">
        <v>42</v>
      </c>
      <c r="Z125" s="8">
        <f t="shared" ref="Z125:AI125" si="351">SUM(D129)</f>
        <v>33</v>
      </c>
      <c r="AA125" s="9">
        <f t="shared" ca="1" si="351"/>
        <v>33</v>
      </c>
      <c r="AB125" s="10">
        <f t="shared" ca="1" si="351"/>
        <v>6580.2909999999902</v>
      </c>
      <c r="AC125" s="9">
        <f t="shared" ca="1" si="351"/>
        <v>3175</v>
      </c>
      <c r="AD125" s="9">
        <f t="shared" ca="1" si="351"/>
        <v>25</v>
      </c>
      <c r="AE125" s="9">
        <f t="shared" ca="1" si="351"/>
        <v>3200</v>
      </c>
      <c r="AF125" s="9">
        <f t="shared" ca="1" si="351"/>
        <v>4822</v>
      </c>
      <c r="AG125" s="9">
        <f t="shared" ca="1" si="351"/>
        <v>29</v>
      </c>
      <c r="AH125" s="9">
        <f t="shared" ca="1" si="351"/>
        <v>4851</v>
      </c>
      <c r="AI125" s="9">
        <f t="shared" ca="1" si="351"/>
        <v>8051</v>
      </c>
      <c r="AJ125" s="11">
        <f t="shared" ca="1" si="332"/>
        <v>199.40275757575728</v>
      </c>
      <c r="AK125" s="8">
        <f t="shared" si="348"/>
        <v>9877</v>
      </c>
      <c r="AL125" s="12">
        <f t="shared" ca="1" si="334"/>
        <v>0.81512605042016806</v>
      </c>
      <c r="AM125" s="13">
        <f t="shared" si="349"/>
        <v>1.5</v>
      </c>
      <c r="AN125" s="12">
        <f t="shared" ca="1" si="336"/>
        <v>0.81566808114311984</v>
      </c>
      <c r="AO125" s="14">
        <f t="shared" ca="1" si="337"/>
        <v>1.2235021217146798</v>
      </c>
      <c r="AP125" s="13">
        <f t="shared" ref="AP125:AQ125" ca="1" si="352">SUM(T129)</f>
        <v>251.58826228254597</v>
      </c>
      <c r="AQ125" s="13">
        <f t="shared" ca="1" si="352"/>
        <v>7.6238867358347262</v>
      </c>
      <c r="AR125" s="9">
        <f t="shared" ca="1" si="339"/>
        <v>243.96969696969697</v>
      </c>
      <c r="AS125" s="76"/>
      <c r="AT125" s="76"/>
    </row>
    <row r="126" spans="1:46" ht="15.75" customHeight="1" x14ac:dyDescent="0.25">
      <c r="A126" s="70"/>
      <c r="B126" s="16">
        <v>13</v>
      </c>
      <c r="C126" s="16" t="s">
        <v>43</v>
      </c>
      <c r="D126" s="17">
        <v>30</v>
      </c>
      <c r="E126" s="18">
        <f ca="1">IFERROR(__xludf.DUMMYFUNCTION("COUNT(IMPORTRANGE(""https://docs.google.com/spreadsheets/d/1p9Y_DGk7-TpRBFth-ljZceOIGCjQ0ylUeUq6xqnsZ-Q/edit"",""5!d2:d31""))"),30)</f>
        <v>30</v>
      </c>
      <c r="F126" s="23">
        <f ca="1">IFERROR(__xludf.DUMMYFUNCTION("SUM(IMPORTRANGE(""https://docs.google.com/spreadsheets/d/1p9Y_DGk7-TpRBFth-ljZceOIGCjQ0ylUeUq6xqnsZ-Q/edit"",""5!Q2:Q31""))"),6119.45799999999)</f>
        <v>6119.4579999999896</v>
      </c>
      <c r="G126" s="18">
        <f ca="1">IFERROR(__xludf.DUMMYFUNCTION("IMPORTRANGE(""https://docs.google.com/spreadsheets/d/1p9Y_DGk7-TpRBFth-ljZceOIGCjQ0ylUeUq6xqnsZ-Q/edit"",""5!e38"")"),2098)</f>
        <v>2098</v>
      </c>
      <c r="H126" s="18">
        <f ca="1">IFERROR(__xludf.DUMMYFUNCTION("IMPORTRANGE(""https://docs.google.com/spreadsheets/d/1p9Y_DGk7-TpRBFth-ljZceOIGCjQ0ylUeUq6xqnsZ-Q/edit"",""5!e39"")"),0)</f>
        <v>0</v>
      </c>
      <c r="I126" s="18">
        <f t="shared" ca="1" si="312"/>
        <v>2098</v>
      </c>
      <c r="J126" s="18">
        <f ca="1">IFERROR(__xludf.DUMMYFUNCTION("IMPORTRANGE(""https://docs.google.com/spreadsheets/d/1p9Y_DGk7-TpRBFth-ljZceOIGCjQ0ylUeUq6xqnsZ-Q/edit"",""5!e42"")"),2749)</f>
        <v>2749</v>
      </c>
      <c r="K126" s="18">
        <f ca="1">IFERROR(__xludf.DUMMYFUNCTION("IMPORTRANGE(""https://docs.google.com/spreadsheets/d/1p9Y_DGk7-TpRBFth-ljZceOIGCjQ0ylUeUq6xqnsZ-Q/edit"",""5!e43"")"),203)</f>
        <v>203</v>
      </c>
      <c r="L126" s="18">
        <f t="shared" ca="1" si="342"/>
        <v>2952</v>
      </c>
      <c r="M126" s="18">
        <f t="shared" ca="1" si="314"/>
        <v>5050</v>
      </c>
      <c r="N126" s="19">
        <f t="shared" ca="1" si="315"/>
        <v>203.98193333333299</v>
      </c>
      <c r="O126" s="16">
        <v>8345</v>
      </c>
      <c r="P126" s="20">
        <f t="shared" ca="1" si="316"/>
        <v>0.60515278609946077</v>
      </c>
      <c r="Q126" s="21">
        <v>1.5</v>
      </c>
      <c r="R126" s="20">
        <f t="shared" ca="1" si="317"/>
        <v>0.5501576555745088</v>
      </c>
      <c r="S126" s="22">
        <f t="shared" ca="1" si="318"/>
        <v>0.82523648336176314</v>
      </c>
      <c r="T126" s="21">
        <f ca="1">F126/41.205</f>
        <v>148.51251061764324</v>
      </c>
      <c r="U126" s="21">
        <f t="shared" ca="1" si="319"/>
        <v>4.950417020588108</v>
      </c>
      <c r="V126" s="18">
        <f t="shared" ca="1" si="320"/>
        <v>168.33333333333334</v>
      </c>
      <c r="W126" s="76"/>
      <c r="X126" s="24" t="s">
        <v>33</v>
      </c>
      <c r="Y126" s="24">
        <v>6</v>
      </c>
      <c r="Z126" s="24">
        <f t="shared" ref="Z126:AI126" si="353">SUM(Z120:Z125)</f>
        <v>226</v>
      </c>
      <c r="AA126" s="25">
        <f t="shared" ca="1" si="353"/>
        <v>219</v>
      </c>
      <c r="AB126" s="27">
        <f t="shared" ca="1" si="353"/>
        <v>43022.389999999861</v>
      </c>
      <c r="AC126" s="25">
        <f t="shared" ca="1" si="353"/>
        <v>17150</v>
      </c>
      <c r="AD126" s="25">
        <f t="shared" ca="1" si="353"/>
        <v>392</v>
      </c>
      <c r="AE126" s="25">
        <f t="shared" ca="1" si="353"/>
        <v>17542</v>
      </c>
      <c r="AF126" s="25">
        <f t="shared" ca="1" si="353"/>
        <v>23703</v>
      </c>
      <c r="AG126" s="25">
        <f t="shared" ca="1" si="353"/>
        <v>389</v>
      </c>
      <c r="AH126" s="25">
        <f t="shared" ca="1" si="353"/>
        <v>24092</v>
      </c>
      <c r="AI126" s="25">
        <f t="shared" ca="1" si="353"/>
        <v>41634</v>
      </c>
      <c r="AJ126" s="27">
        <f t="shared" ca="1" si="332"/>
        <v>196.44926940639206</v>
      </c>
      <c r="AK126" s="24">
        <f>SUM(AK120:AK125)</f>
        <v>53273</v>
      </c>
      <c r="AL126" s="28">
        <f t="shared" ca="1" si="334"/>
        <v>0.78152159630582096</v>
      </c>
      <c r="AM126" s="29">
        <v>1.5</v>
      </c>
      <c r="AN126" s="28">
        <f t="shared" ca="1" si="336"/>
        <v>0.64515244271645733</v>
      </c>
      <c r="AO126" s="30">
        <f t="shared" ca="1" si="337"/>
        <v>0.96772866407468605</v>
      </c>
      <c r="AP126" s="29">
        <f ca="1">SUM(AP120:AP125)</f>
        <v>1413.6995462477478</v>
      </c>
      <c r="AQ126" s="29">
        <f ca="1">AP126/AA126</f>
        <v>6.4552490696244194</v>
      </c>
      <c r="AR126" s="25">
        <f t="shared" ca="1" si="339"/>
        <v>190.10958904109589</v>
      </c>
      <c r="AS126" s="76"/>
      <c r="AT126" s="76"/>
    </row>
    <row r="127" spans="1:46" ht="15.75" customHeight="1" x14ac:dyDescent="0.25">
      <c r="A127" s="70"/>
      <c r="B127" s="16">
        <v>14</v>
      </c>
      <c r="C127" s="16" t="s">
        <v>27</v>
      </c>
      <c r="D127" s="17">
        <v>30</v>
      </c>
      <c r="E127" s="18">
        <f ca="1">IFERROR(__xludf.DUMMYFUNCTION("COUNT(IMPORTRANGE(""https://docs.google.com/spreadsheets/d/1zJUDEKztv_fercXA0LYNw155qdzS7TJGhWLhquaW5IY/edit"",""5!d2:d31""))"),30)</f>
        <v>30</v>
      </c>
      <c r="F127" s="23">
        <f ca="1">IFERROR(__xludf.DUMMYFUNCTION("SUM(IMPORTRANGE(""https://docs.google.com/spreadsheets/d/1zJUDEKztv_fercXA0LYNw155qdzS7TJGhWLhquaW5IY/edit"",""5!Q2:Q31""))"),5745.55)</f>
        <v>5745.55</v>
      </c>
      <c r="G127" s="18">
        <f ca="1">IFERROR(__xludf.DUMMYFUNCTION("IMPORTRANGE(""https://docs.google.com/spreadsheets/d/1zJUDEKztv_fercXA0LYNw155qdzS7TJGhWLhquaW5IY/edit"",""5!e38"")"),2355)</f>
        <v>2355</v>
      </c>
      <c r="H127" s="18">
        <f ca="1">IFERROR(__xludf.DUMMYFUNCTION("IMPORTRANGE(""https://docs.google.com/spreadsheets/d/1zJUDEKztv_fercXA0LYNw155qdzS7TJGhWLhquaW5IY/edit"",""5!e39"")"),103)</f>
        <v>103</v>
      </c>
      <c r="I127" s="18">
        <f t="shared" ca="1" si="312"/>
        <v>2458</v>
      </c>
      <c r="J127" s="18">
        <f ca="1">IFERROR(__xludf.DUMMYFUNCTION("IMPORTRANGE(""https://docs.google.com/spreadsheets/d/1zJUDEKztv_fercXA0LYNw155qdzS7TJGhWLhquaW5IY/edit"",""5!e42"")"),3052)</f>
        <v>3052</v>
      </c>
      <c r="K127" s="18">
        <f ca="1">IFERROR(__xludf.DUMMYFUNCTION("IMPORTRANGE(""https://docs.google.com/spreadsheets/d/1zJUDEKztv_fercXA0LYNw155qdzS7TJGhWLhquaW5IY/edit"",""5!e43"")"),116)</f>
        <v>116</v>
      </c>
      <c r="L127" s="18">
        <f t="shared" ca="1" si="342"/>
        <v>3168</v>
      </c>
      <c r="M127" s="18">
        <f t="shared" ca="1" si="314"/>
        <v>5626</v>
      </c>
      <c r="N127" s="19">
        <f t="shared" ca="1" si="315"/>
        <v>191.51833333333335</v>
      </c>
      <c r="O127" s="16">
        <v>8101</v>
      </c>
      <c r="P127" s="20">
        <f t="shared" ca="1" si="316"/>
        <v>0.69448216269596341</v>
      </c>
      <c r="Q127" s="21">
        <v>1.5</v>
      </c>
      <c r="R127" s="20">
        <f t="shared" ca="1" si="317"/>
        <v>0.65279506168542023</v>
      </c>
      <c r="S127" s="22">
        <f t="shared" ca="1" si="318"/>
        <v>0.9791925925281304</v>
      </c>
      <c r="T127" s="21">
        <f ca="1">F127/19.985</f>
        <v>287.49311983987991</v>
      </c>
      <c r="U127" s="21">
        <f t="shared" ca="1" si="319"/>
        <v>9.5831039946626628</v>
      </c>
      <c r="V127" s="18">
        <f t="shared" ca="1" si="320"/>
        <v>187.53333333333333</v>
      </c>
      <c r="W127" s="76"/>
      <c r="X127" s="97" t="s">
        <v>44</v>
      </c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9"/>
      <c r="AS127" s="76"/>
      <c r="AT127" s="76"/>
    </row>
    <row r="128" spans="1:46" ht="15.75" customHeight="1" x14ac:dyDescent="0.25">
      <c r="A128" s="70"/>
      <c r="B128" s="16">
        <v>15</v>
      </c>
      <c r="C128" s="16" t="s">
        <v>40</v>
      </c>
      <c r="D128" s="17">
        <v>30</v>
      </c>
      <c r="E128" s="18">
        <f ca="1">IFERROR(__xludf.DUMMYFUNCTION("COUNT(IMPORTRANGE(""https://docs.google.com/spreadsheets/d/15GJA66Ucb-8RQ5vWVpq5HYaWoZZFX82SCeHChBujbrI/edit"",""5!d2:d31""))"),29)</f>
        <v>29</v>
      </c>
      <c r="F128" s="23">
        <f ca="1">IFERROR(__xludf.DUMMYFUNCTION("SUM(IMPORTRANGE(""https://docs.google.com/spreadsheets/d/15GJA66Ucb-8RQ5vWVpq5HYaWoZZFX82SCeHChBujbrI/edit"",""5!Q2:Q31""))"),5245.73399999999)</f>
        <v>5245.7339999999904</v>
      </c>
      <c r="G128" s="18">
        <f ca="1">IFERROR(__xludf.DUMMYFUNCTION("IMPORTRANGE(""https://docs.google.com/spreadsheets/d/15GJA66Ucb-8RQ5vWVpq5HYaWoZZFX82SCeHChBujbrI/edit"",""5!e38"")"),3132)</f>
        <v>3132</v>
      </c>
      <c r="H128" s="18">
        <f ca="1">IFERROR(__xludf.DUMMYFUNCTION("IMPORTRANGE(""https://docs.google.com/spreadsheets/d/15GJA66Ucb-8RQ5vWVpq5HYaWoZZFX82SCeHChBujbrI/edit"",""5!e39"")"),154)</f>
        <v>154</v>
      </c>
      <c r="I128" s="18">
        <f t="shared" ca="1" si="312"/>
        <v>3286</v>
      </c>
      <c r="J128" s="18">
        <f ca="1">IFERROR(__xludf.DUMMYFUNCTION("IMPORTRANGE(""https://docs.google.com/spreadsheets/d/15GJA66Ucb-8RQ5vWVpq5HYaWoZZFX82SCeHChBujbrI/edit"",""5!e42"")"),3720)</f>
        <v>3720</v>
      </c>
      <c r="K128" s="18">
        <f ca="1">IFERROR(__xludf.DUMMYFUNCTION("IMPORTRANGE(""https://docs.google.com/spreadsheets/d/15GJA66Ucb-8RQ5vWVpq5HYaWoZZFX82SCeHChBujbrI/edit"",""5!e43"")"),0)</f>
        <v>0</v>
      </c>
      <c r="L128" s="18">
        <f t="shared" ca="1" si="342"/>
        <v>3720</v>
      </c>
      <c r="M128" s="18">
        <f t="shared" ca="1" si="314"/>
        <v>7006</v>
      </c>
      <c r="N128" s="19">
        <f t="shared" ca="1" si="315"/>
        <v>180.8873793103445</v>
      </c>
      <c r="O128" s="16">
        <v>8239</v>
      </c>
      <c r="P128" s="20">
        <f t="shared" ca="1" si="316"/>
        <v>0.85034591576647656</v>
      </c>
      <c r="Q128" s="21">
        <v>1.5</v>
      </c>
      <c r="R128" s="20">
        <f t="shared" ca="1" si="317"/>
        <v>0.8903742863566233</v>
      </c>
      <c r="S128" s="22">
        <f t="shared" ca="1" si="318"/>
        <v>1.335561429534935</v>
      </c>
      <c r="T128" s="21">
        <f ca="1">F128/28.443</f>
        <v>184.42970150827938</v>
      </c>
      <c r="U128" s="21">
        <f t="shared" ca="1" si="319"/>
        <v>6.3596448795958409</v>
      </c>
      <c r="V128" s="18">
        <f t="shared" ca="1" si="320"/>
        <v>241.58620689655172</v>
      </c>
      <c r="W128" s="76"/>
      <c r="X128" s="1" t="s">
        <v>2</v>
      </c>
      <c r="Y128" s="1" t="s">
        <v>3</v>
      </c>
      <c r="Z128" s="1" t="s">
        <v>4</v>
      </c>
      <c r="AA128" s="1" t="s">
        <v>5</v>
      </c>
      <c r="AB128" s="2" t="s">
        <v>6</v>
      </c>
      <c r="AC128" s="1" t="s">
        <v>7</v>
      </c>
      <c r="AD128" s="1" t="s">
        <v>8</v>
      </c>
      <c r="AE128" s="1" t="s">
        <v>9</v>
      </c>
      <c r="AF128" s="1" t="s">
        <v>10</v>
      </c>
      <c r="AG128" s="1" t="s">
        <v>11</v>
      </c>
      <c r="AH128" s="1" t="s">
        <v>12</v>
      </c>
      <c r="AI128" s="1" t="s">
        <v>13</v>
      </c>
      <c r="AJ128" s="2" t="s">
        <v>14</v>
      </c>
      <c r="AK128" s="1" t="s">
        <v>15</v>
      </c>
      <c r="AL128" s="1" t="s">
        <v>16</v>
      </c>
      <c r="AM128" s="3" t="s">
        <v>17</v>
      </c>
      <c r="AN128" s="4" t="s">
        <v>18</v>
      </c>
      <c r="AO128" s="5" t="s">
        <v>19</v>
      </c>
      <c r="AP128" s="6" t="s">
        <v>20</v>
      </c>
      <c r="AQ128" s="6" t="s">
        <v>21</v>
      </c>
      <c r="AR128" s="7" t="s">
        <v>22</v>
      </c>
      <c r="AS128" s="76"/>
      <c r="AT128" s="76"/>
    </row>
    <row r="129" spans="1:46" ht="15.75" customHeight="1" x14ac:dyDescent="0.25">
      <c r="A129" s="70"/>
      <c r="B129" s="16">
        <v>16</v>
      </c>
      <c r="C129" s="16" t="s">
        <v>42</v>
      </c>
      <c r="D129" s="17">
        <v>33</v>
      </c>
      <c r="E129" s="18">
        <f ca="1">IFERROR(__xludf.DUMMYFUNCTION("COUNT(IMPORTRANGE(""https://docs.google.com/spreadsheets/d/14Tu_jFPEdrIQ6DHYu6vRvJKQsbXr-48NY1tKy4-8JKI/edit"",""5!d2:d34""))"),33)</f>
        <v>33</v>
      </c>
      <c r="F129" s="23">
        <f ca="1">IFERROR(__xludf.DUMMYFUNCTION("SUM(IMPORTRANGE(""https://docs.google.com/spreadsheets/d/14Tu_jFPEdrIQ6DHYu6vRvJKQsbXr-48NY1tKy4-8JKI/edit"",""5!Q2:Q34""))"),6580.29099999999)</f>
        <v>6580.2909999999902</v>
      </c>
      <c r="G129" s="18">
        <f ca="1">IFERROR(__xludf.DUMMYFUNCTION("IMPORTRANGE(""https://docs.google.com/spreadsheets/d/14Tu_jFPEdrIQ6DHYu6vRvJKQsbXr-48NY1tKy4-8JKI/edit"",""5!e41"")"),3175)</f>
        <v>3175</v>
      </c>
      <c r="H129" s="18">
        <f ca="1">IFERROR(__xludf.DUMMYFUNCTION("IMPORTRANGE(""https://docs.google.com/spreadsheets/d/14Tu_jFPEdrIQ6DHYu6vRvJKQsbXr-48NY1tKy4-8JKI/edit"",""5!e42"")"),25)</f>
        <v>25</v>
      </c>
      <c r="I129" s="18">
        <f t="shared" ca="1" si="312"/>
        <v>3200</v>
      </c>
      <c r="J129" s="18">
        <f ca="1">IFERROR(__xludf.DUMMYFUNCTION("IMPORTRANGE(""https://docs.google.com/spreadsheets/d/14Tu_jFPEdrIQ6DHYu6vRvJKQsbXr-48NY1tKy4-8JKI/edit"",""5!e45"")"),4822)</f>
        <v>4822</v>
      </c>
      <c r="K129" s="18">
        <f ca="1">IFERROR(__xludf.DUMMYFUNCTION("IMPORTRANGE(""https://docs.google.com/spreadsheets/d/14Tu_jFPEdrIQ6DHYu6vRvJKQsbXr-48NY1tKy4-8JKI/edit"",""5!e46"")"),29)</f>
        <v>29</v>
      </c>
      <c r="L129" s="18">
        <f t="shared" ca="1" si="342"/>
        <v>4851</v>
      </c>
      <c r="M129" s="18">
        <f t="shared" ca="1" si="314"/>
        <v>8051</v>
      </c>
      <c r="N129" s="19">
        <f t="shared" ca="1" si="315"/>
        <v>199.40275757575728</v>
      </c>
      <c r="O129" s="16">
        <v>9877</v>
      </c>
      <c r="P129" s="20">
        <f t="shared" ca="1" si="316"/>
        <v>0.81512605042016806</v>
      </c>
      <c r="Q129" s="21">
        <v>1.5</v>
      </c>
      <c r="R129" s="20">
        <f t="shared" ca="1" si="317"/>
        <v>0.81566808114311984</v>
      </c>
      <c r="S129" s="22">
        <f t="shared" ca="1" si="318"/>
        <v>1.2235021217146798</v>
      </c>
      <c r="T129" s="21">
        <f ca="1">F129/26.155</f>
        <v>251.58826228254597</v>
      </c>
      <c r="U129" s="21">
        <f t="shared" ca="1" si="319"/>
        <v>7.6238867358347262</v>
      </c>
      <c r="V129" s="18">
        <f t="shared" ca="1" si="320"/>
        <v>243.96969696969697</v>
      </c>
      <c r="W129" s="76"/>
      <c r="X129" s="8">
        <v>1</v>
      </c>
      <c r="Y129" s="8" t="s">
        <v>26</v>
      </c>
      <c r="Z129" s="8">
        <f t="shared" ref="Z129:AI129" si="354">SUM(D114)</f>
        <v>20</v>
      </c>
      <c r="AA129" s="9">
        <f t="shared" ca="1" si="354"/>
        <v>20</v>
      </c>
      <c r="AB129" s="11">
        <f t="shared" ca="1" si="354"/>
        <v>3748.5120000000002</v>
      </c>
      <c r="AC129" s="9">
        <f t="shared" ca="1" si="354"/>
        <v>2172</v>
      </c>
      <c r="AD129" s="9">
        <f t="shared" ca="1" si="354"/>
        <v>20</v>
      </c>
      <c r="AE129" s="9">
        <f t="shared" ca="1" si="354"/>
        <v>2192</v>
      </c>
      <c r="AF129" s="9">
        <f t="shared" ca="1" si="354"/>
        <v>2622</v>
      </c>
      <c r="AG129" s="9">
        <f t="shared" ca="1" si="354"/>
        <v>0</v>
      </c>
      <c r="AH129" s="9">
        <f t="shared" ca="1" si="354"/>
        <v>2622</v>
      </c>
      <c r="AI129" s="9">
        <f t="shared" ca="1" si="354"/>
        <v>4814</v>
      </c>
      <c r="AJ129" s="11">
        <f t="shared" ref="AJ129:AJ135" ca="1" si="355">AB129/AA129</f>
        <v>187.4256</v>
      </c>
      <c r="AK129" s="8">
        <f>SUM(O114)</f>
        <v>5161</v>
      </c>
      <c r="AL129" s="12">
        <f t="shared" ref="AL129:AL135" ca="1" si="356">AI129/AK129</f>
        <v>0.93276496802945164</v>
      </c>
      <c r="AM129" s="13">
        <f>SUM(Q114)</f>
        <v>1.5</v>
      </c>
      <c r="AN129" s="12">
        <f t="shared" ref="AN129:AN135" ca="1" si="357">AO129/AM129</f>
        <v>0.85616194728290396</v>
      </c>
      <c r="AO129" s="14">
        <f t="shared" ref="AO129:AO135" ca="1" si="358">AI129/AB129</f>
        <v>1.284242920924356</v>
      </c>
      <c r="AP129" s="13">
        <f t="shared" ref="AP129:AQ129" ca="1" si="359">SUM(T114)</f>
        <v>260.04245577523415</v>
      </c>
      <c r="AQ129" s="13">
        <f t="shared" ca="1" si="359"/>
        <v>13.002122788761707</v>
      </c>
      <c r="AR129" s="9">
        <f t="shared" ref="AR129:AR135" ca="1" si="360">AI129/AA129</f>
        <v>240.7</v>
      </c>
      <c r="AS129" s="76"/>
      <c r="AT129" s="76"/>
    </row>
    <row r="130" spans="1:46" ht="15.75" customHeight="1" x14ac:dyDescent="0.25">
      <c r="A130" s="70"/>
      <c r="B130" s="16">
        <v>17</v>
      </c>
      <c r="C130" s="16" t="s">
        <v>29</v>
      </c>
      <c r="D130" s="17">
        <v>30</v>
      </c>
      <c r="E130" s="18">
        <f ca="1">IFERROR(__xludf.DUMMYFUNCTION("COUNT(IMPORTRANGE(""https://docs.google.com/spreadsheets/d/1ja_RQYsP0p5wRrACHojay4CW1wLx0QdS5tSwp-vYQ-s/edit"",""5!d2:d31""))"),29)</f>
        <v>29</v>
      </c>
      <c r="F130" s="23">
        <f ca="1">IFERROR(__xludf.DUMMYFUNCTION("SUM(IMPORTRANGE(""https://docs.google.com/spreadsheets/d/1ja_RQYsP0p5wRrACHojay4CW1wLx0QdS5tSwp-vYQ-s/edit"",""5!Q2:Q31""))"),5702.322)</f>
        <v>5702.3220000000001</v>
      </c>
      <c r="G130" s="18">
        <f ca="1">IFERROR(__xludf.DUMMYFUNCTION("IMPORTRANGE(""https://docs.google.com/spreadsheets/d/1ja_RQYsP0p5wRrACHojay4CW1wLx0QdS5tSwp-vYQ-s/edit"",""5!e38"")"),2696)</f>
        <v>2696</v>
      </c>
      <c r="H130" s="18">
        <f ca="1">IFERROR(__xludf.DUMMYFUNCTION("IMPORTRANGE(""https://docs.google.com/spreadsheets/d/1ja_RQYsP0p5wRrACHojay4CW1wLx0QdS5tSwp-vYQ-s/edit"",""5!e39"")"),0)</f>
        <v>0</v>
      </c>
      <c r="I130" s="18">
        <f t="shared" ca="1" si="312"/>
        <v>2696</v>
      </c>
      <c r="J130" s="18">
        <f ca="1">IFERROR(__xludf.DUMMYFUNCTION("IMPORTRANGE(""https://docs.google.com/spreadsheets/d/1ja_RQYsP0p5wRrACHojay4CW1wLx0QdS5tSwp-vYQ-s/edit"",""5!e42"")"),4318)</f>
        <v>4318</v>
      </c>
      <c r="K130" s="18">
        <f ca="1">IFERROR(__xludf.DUMMYFUNCTION("IMPORTRANGE(""https://docs.google.com/spreadsheets/d/1ja_RQYsP0p5wRrACHojay4CW1wLx0QdS5tSwp-vYQ-s/edit"",""5!e43"")"),0)</f>
        <v>0</v>
      </c>
      <c r="L130" s="18">
        <f t="shared" ca="1" si="342"/>
        <v>4318</v>
      </c>
      <c r="M130" s="18">
        <f t="shared" ca="1" si="314"/>
        <v>7014</v>
      </c>
      <c r="N130" s="19">
        <f t="shared" ca="1" si="315"/>
        <v>196.63179310344827</v>
      </c>
      <c r="O130" s="16">
        <v>9201</v>
      </c>
      <c r="P130" s="20">
        <f t="shared" ca="1" si="316"/>
        <v>0.76230844473426806</v>
      </c>
      <c r="Q130" s="21">
        <v>1.5</v>
      </c>
      <c r="R130" s="20">
        <f t="shared" ca="1" si="317"/>
        <v>0.82001682823242883</v>
      </c>
      <c r="S130" s="22">
        <f t="shared" ca="1" si="318"/>
        <v>1.2300252423486433</v>
      </c>
      <c r="T130" s="21">
        <f ca="1">F130/26.038</f>
        <v>219</v>
      </c>
      <c r="U130" s="21">
        <f t="shared" ca="1" si="319"/>
        <v>7.5517241379310347</v>
      </c>
      <c r="V130" s="18">
        <f t="shared" ca="1" si="320"/>
        <v>241.86206896551724</v>
      </c>
      <c r="W130" s="76"/>
      <c r="X130" s="8">
        <v>2</v>
      </c>
      <c r="Y130" s="8" t="s">
        <v>32</v>
      </c>
      <c r="Z130" s="8">
        <f t="shared" ref="Z130:AI130" si="361">SUM(D117)</f>
        <v>42</v>
      </c>
      <c r="AA130" s="9">
        <f t="shared" ca="1" si="361"/>
        <v>42</v>
      </c>
      <c r="AB130" s="10">
        <f t="shared" ca="1" si="361"/>
        <v>8094.4259999999904</v>
      </c>
      <c r="AC130" s="8">
        <f t="shared" ca="1" si="361"/>
        <v>4825</v>
      </c>
      <c r="AD130" s="8">
        <f t="shared" ca="1" si="361"/>
        <v>0</v>
      </c>
      <c r="AE130" s="9">
        <f t="shared" ca="1" si="361"/>
        <v>4825</v>
      </c>
      <c r="AF130" s="8">
        <f t="shared" ca="1" si="361"/>
        <v>5211</v>
      </c>
      <c r="AG130" s="8">
        <f t="shared" ca="1" si="361"/>
        <v>0</v>
      </c>
      <c r="AH130" s="9">
        <f t="shared" ca="1" si="361"/>
        <v>5211</v>
      </c>
      <c r="AI130" s="9">
        <f t="shared" ca="1" si="361"/>
        <v>10036</v>
      </c>
      <c r="AJ130" s="11">
        <f t="shared" ca="1" si="355"/>
        <v>192.72442857142835</v>
      </c>
      <c r="AK130" s="8">
        <f>SUM(O117)</f>
        <v>13817</v>
      </c>
      <c r="AL130" s="12">
        <f t="shared" ca="1" si="356"/>
        <v>0.72635159586017228</v>
      </c>
      <c r="AM130" s="13">
        <f>SUM(Q117)</f>
        <v>1.5</v>
      </c>
      <c r="AN130" s="12">
        <f t="shared" ca="1" si="357"/>
        <v>0.82657703791061587</v>
      </c>
      <c r="AO130" s="14">
        <f t="shared" ca="1" si="358"/>
        <v>1.2398655568659238</v>
      </c>
      <c r="AP130" s="13">
        <f t="shared" ref="AP130:AQ130" ca="1" si="362">SUM(T117)</f>
        <v>322.62848260193675</v>
      </c>
      <c r="AQ130" s="13">
        <f t="shared" ca="1" si="362"/>
        <v>7.6816305381413512</v>
      </c>
      <c r="AR130" s="9">
        <f t="shared" ca="1" si="360"/>
        <v>238.95238095238096</v>
      </c>
      <c r="AS130" s="76"/>
      <c r="AT130" s="76"/>
    </row>
    <row r="131" spans="1:46" ht="15.75" customHeight="1" x14ac:dyDescent="0.25">
      <c r="A131" s="70"/>
      <c r="B131" s="16">
        <v>18</v>
      </c>
      <c r="C131" s="16" t="s">
        <v>31</v>
      </c>
      <c r="D131" s="17">
        <v>15</v>
      </c>
      <c r="E131" s="18">
        <f ca="1">IFERROR(__xludf.DUMMYFUNCTION("COUNT(IMPORTRANGE(""https://docs.google.com/spreadsheets/d/1ObnK1oSznTOmyW9Zcd2kxExl7TOnO2MNq_0giEKc_mE/edit"",""5!d2:d16""))"),14)</f>
        <v>14</v>
      </c>
      <c r="F131" s="19">
        <f ca="1">IFERROR(__xludf.DUMMYFUNCTION("SUM(IMPORTRANGE(""https://docs.google.com/spreadsheets/d/1ObnK1oSznTOmyW9Zcd2kxExl7TOnO2MNq_0giEKc_mE/edit"",""5!Q2:Q16""))"),2825.225)</f>
        <v>2825.2249999999999</v>
      </c>
      <c r="G131" s="18">
        <f ca="1">IFERROR(__xludf.DUMMYFUNCTION("IMPORTRANGE(""https://docs.google.com/spreadsheets/d/1ObnK1oSznTOmyW9Zcd2kxExl7TOnO2MNq_0giEKc_mE/edit"",""5!e23"")"),882)</f>
        <v>882</v>
      </c>
      <c r="H131" s="18">
        <f ca="1">IFERROR(__xludf.DUMMYFUNCTION("IMPORTRANGE(""https://docs.google.com/spreadsheets/d/1ObnK1oSznTOmyW9Zcd2kxExl7TOnO2MNq_0giEKc_mE/edit"",""5!e24"")"),0)</f>
        <v>0</v>
      </c>
      <c r="I131" s="18">
        <f t="shared" ca="1" si="312"/>
        <v>882</v>
      </c>
      <c r="J131" s="18">
        <f ca="1">IFERROR(__xludf.DUMMYFUNCTION("IMPORTRANGE(""https://docs.google.com/spreadsheets/d/1ObnK1oSznTOmyW9Zcd2kxExl7TOnO2MNq_0giEKc_mE/edit"",""5!e27"")"),1138)</f>
        <v>1138</v>
      </c>
      <c r="K131" s="18">
        <f ca="1">IFERROR(__xludf.DUMMYFUNCTION("IMPORTRANGE(""https://docs.google.com/spreadsheets/d/1ObnK1oSznTOmyW9Zcd2kxExl7TOnO2MNq_0giEKc_mE/edit"",""5!e28"")"),12)</f>
        <v>12</v>
      </c>
      <c r="L131" s="18">
        <f t="shared" ca="1" si="342"/>
        <v>1150</v>
      </c>
      <c r="M131" s="18">
        <f t="shared" ca="1" si="314"/>
        <v>2032</v>
      </c>
      <c r="N131" s="19">
        <f t="shared" ca="1" si="315"/>
        <v>201.8017857142857</v>
      </c>
      <c r="O131" s="16">
        <v>2717</v>
      </c>
      <c r="P131" s="20">
        <f t="shared" ca="1" si="316"/>
        <v>0.74788369525211629</v>
      </c>
      <c r="Q131" s="21">
        <v>1.5</v>
      </c>
      <c r="R131" s="20">
        <f t="shared" ca="1" si="317"/>
        <v>0.47948983414300339</v>
      </c>
      <c r="S131" s="22">
        <f t="shared" ca="1" si="318"/>
        <v>0.71923475121450509</v>
      </c>
      <c r="T131" s="21">
        <f ca="1">F131/43.465</f>
        <v>64.999999999999986</v>
      </c>
      <c r="U131" s="21">
        <f t="shared" ca="1" si="319"/>
        <v>4.6428571428571415</v>
      </c>
      <c r="V131" s="18">
        <f t="shared" ca="1" si="320"/>
        <v>145.14285714285714</v>
      </c>
      <c r="W131" s="76"/>
      <c r="X131" s="8">
        <v>3</v>
      </c>
      <c r="Y131" s="8" t="s">
        <v>36</v>
      </c>
      <c r="Z131" s="8">
        <f t="shared" ref="Z131:AI131" si="363">SUM(D122)</f>
        <v>29</v>
      </c>
      <c r="AA131" s="9">
        <f t="shared" ca="1" si="363"/>
        <v>28</v>
      </c>
      <c r="AB131" s="10">
        <f t="shared" ca="1" si="363"/>
        <v>5473.9690000000001</v>
      </c>
      <c r="AC131" s="9">
        <f t="shared" ca="1" si="363"/>
        <v>1551</v>
      </c>
      <c r="AD131" s="9">
        <f t="shared" ca="1" si="363"/>
        <v>0</v>
      </c>
      <c r="AE131" s="9">
        <f t="shared" ca="1" si="363"/>
        <v>1551</v>
      </c>
      <c r="AF131" s="9">
        <f t="shared" ca="1" si="363"/>
        <v>2359</v>
      </c>
      <c r="AG131" s="9">
        <f t="shared" ca="1" si="363"/>
        <v>0</v>
      </c>
      <c r="AH131" s="9">
        <f t="shared" ca="1" si="363"/>
        <v>2359</v>
      </c>
      <c r="AI131" s="9">
        <f t="shared" ca="1" si="363"/>
        <v>3910</v>
      </c>
      <c r="AJ131" s="11">
        <f t="shared" ca="1" si="355"/>
        <v>195.49889285714286</v>
      </c>
      <c r="AK131" s="8">
        <f t="shared" ref="AK131:AK134" si="364">SUM(O122)</f>
        <v>4796</v>
      </c>
      <c r="AL131" s="12">
        <f t="shared" ca="1" si="356"/>
        <v>0.81526271893244373</v>
      </c>
      <c r="AM131" s="13">
        <f t="shared" ref="AM131:AM134" si="365">SUM(Q122)</f>
        <v>1.5</v>
      </c>
      <c r="AN131" s="12">
        <f t="shared" ca="1" si="357"/>
        <v>0.47619317293661445</v>
      </c>
      <c r="AO131" s="14">
        <f t="shared" ca="1" si="358"/>
        <v>0.71428975940492168</v>
      </c>
      <c r="AP131" s="13">
        <f t="shared" ref="AP131:AQ131" ca="1" si="366">SUM(T122)</f>
        <v>146.30803977120863</v>
      </c>
      <c r="AQ131" s="13">
        <f t="shared" ca="1" si="366"/>
        <v>5.2252871346860221</v>
      </c>
      <c r="AR131" s="9">
        <f t="shared" ca="1" si="360"/>
        <v>139.64285714285714</v>
      </c>
      <c r="AS131" s="76"/>
      <c r="AT131" s="76"/>
    </row>
    <row r="132" spans="1:46" ht="15.75" customHeight="1" x14ac:dyDescent="0.2">
      <c r="A132" s="70"/>
      <c r="B132" s="98" t="s">
        <v>33</v>
      </c>
      <c r="C132" s="98">
        <v>18</v>
      </c>
      <c r="D132" s="98">
        <f t="shared" ref="D132:M132" si="367">SUM(D114:D131)</f>
        <v>585</v>
      </c>
      <c r="E132" s="74">
        <f t="shared" ca="1" si="367"/>
        <v>572</v>
      </c>
      <c r="F132" s="99">
        <f t="shared" ca="1" si="367"/>
        <v>111111.16299999984</v>
      </c>
      <c r="G132" s="74">
        <f t="shared" ca="1" si="367"/>
        <v>40592</v>
      </c>
      <c r="H132" s="74">
        <f t="shared" ca="1" si="367"/>
        <v>1282</v>
      </c>
      <c r="I132" s="74">
        <f t="shared" ca="1" si="367"/>
        <v>41874</v>
      </c>
      <c r="J132" s="74">
        <f t="shared" ca="1" si="367"/>
        <v>56783</v>
      </c>
      <c r="K132" s="74">
        <f t="shared" ca="1" si="367"/>
        <v>1080</v>
      </c>
      <c r="L132" s="74">
        <f t="shared" ca="1" si="367"/>
        <v>57863</v>
      </c>
      <c r="M132" s="74">
        <f t="shared" ca="1" si="367"/>
        <v>99737</v>
      </c>
      <c r="N132" s="99">
        <f t="shared" ca="1" si="315"/>
        <v>194.25028496503469</v>
      </c>
      <c r="O132" s="98">
        <f>SUM(O114:O131)</f>
        <v>126399</v>
      </c>
      <c r="P132" s="69">
        <f t="shared" ca="1" si="316"/>
        <v>0.78906478690495974</v>
      </c>
      <c r="Q132" s="72">
        <v>1.5</v>
      </c>
      <c r="R132" s="69">
        <f t="shared" ca="1" si="317"/>
        <v>0.59842172053705733</v>
      </c>
      <c r="S132" s="73">
        <f t="shared" ca="1" si="318"/>
        <v>0.89763258080558606</v>
      </c>
      <c r="T132" s="72">
        <f ca="1">SUM(T114:T131)</f>
        <v>4102.8981321848059</v>
      </c>
      <c r="U132" s="72">
        <f t="shared" ca="1" si="319"/>
        <v>7.1728988324909198</v>
      </c>
      <c r="V132" s="74">
        <f t="shared" ca="1" si="320"/>
        <v>174.36538461538461</v>
      </c>
      <c r="W132" s="76"/>
      <c r="X132" s="8">
        <v>4</v>
      </c>
      <c r="Y132" s="8" t="s">
        <v>37</v>
      </c>
      <c r="Z132" s="8">
        <f t="shared" ref="Z132:AI132" si="368">SUM(D123)</f>
        <v>30</v>
      </c>
      <c r="AA132" s="9">
        <f t="shared" ca="1" si="368"/>
        <v>30</v>
      </c>
      <c r="AB132" s="10">
        <f t="shared" ca="1" si="368"/>
        <v>5688.2280000000001</v>
      </c>
      <c r="AC132" s="9">
        <f t="shared" ca="1" si="368"/>
        <v>1661</v>
      </c>
      <c r="AD132" s="9">
        <f t="shared" ca="1" si="368"/>
        <v>56</v>
      </c>
      <c r="AE132" s="9">
        <f t="shared" ca="1" si="368"/>
        <v>1717</v>
      </c>
      <c r="AF132" s="9">
        <f t="shared" ca="1" si="368"/>
        <v>3074</v>
      </c>
      <c r="AG132" s="9">
        <f t="shared" ca="1" si="368"/>
        <v>105</v>
      </c>
      <c r="AH132" s="9">
        <f t="shared" ca="1" si="368"/>
        <v>3179</v>
      </c>
      <c r="AI132" s="9">
        <f t="shared" ca="1" si="368"/>
        <v>4896</v>
      </c>
      <c r="AJ132" s="11">
        <f t="shared" ca="1" si="355"/>
        <v>189.60759999999999</v>
      </c>
      <c r="AK132" s="8">
        <f t="shared" si="364"/>
        <v>5887</v>
      </c>
      <c r="AL132" s="12">
        <f t="shared" ca="1" si="356"/>
        <v>0.83166298624086976</v>
      </c>
      <c r="AM132" s="13">
        <f t="shared" si="365"/>
        <v>1.5</v>
      </c>
      <c r="AN132" s="12">
        <f t="shared" ca="1" si="357"/>
        <v>0.57381666135745613</v>
      </c>
      <c r="AO132" s="14">
        <f t="shared" ca="1" si="358"/>
        <v>0.86072499203618424</v>
      </c>
      <c r="AP132" s="13">
        <f t="shared" ref="AP132:AQ132" ca="1" si="369">SUM(T123)</f>
        <v>229.4380445304937</v>
      </c>
      <c r="AQ132" s="13">
        <f t="shared" ca="1" si="369"/>
        <v>7.6479348176831232</v>
      </c>
      <c r="AR132" s="9">
        <f t="shared" ca="1" si="360"/>
        <v>163.19999999999999</v>
      </c>
      <c r="AS132" s="76"/>
      <c r="AT132" s="76"/>
    </row>
    <row r="133" spans="1:46" ht="15.75" customHeight="1" x14ac:dyDescent="0.2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6"/>
      <c r="X133" s="8">
        <v>5</v>
      </c>
      <c r="Y133" s="8" t="s">
        <v>39</v>
      </c>
      <c r="Z133" s="8">
        <f t="shared" ref="Z133:AI133" si="370">SUM(D124)</f>
        <v>28</v>
      </c>
      <c r="AA133" s="9">
        <f t="shared" ca="1" si="370"/>
        <v>28</v>
      </c>
      <c r="AB133" s="10">
        <f t="shared" ca="1" si="370"/>
        <v>5394.4889999999996</v>
      </c>
      <c r="AC133" s="9">
        <f t="shared" ca="1" si="370"/>
        <v>1103</v>
      </c>
      <c r="AD133" s="9">
        <f t="shared" ca="1" si="370"/>
        <v>100</v>
      </c>
      <c r="AE133" s="9">
        <f t="shared" ca="1" si="370"/>
        <v>1203</v>
      </c>
      <c r="AF133" s="9">
        <f t="shared" ca="1" si="370"/>
        <v>1987</v>
      </c>
      <c r="AG133" s="9">
        <f t="shared" ca="1" si="370"/>
        <v>0</v>
      </c>
      <c r="AH133" s="9">
        <f t="shared" ca="1" si="370"/>
        <v>1987</v>
      </c>
      <c r="AI133" s="9">
        <f t="shared" ca="1" si="370"/>
        <v>3190</v>
      </c>
      <c r="AJ133" s="11">
        <f t="shared" ca="1" si="355"/>
        <v>192.66032142857142</v>
      </c>
      <c r="AK133" s="8">
        <f t="shared" si="364"/>
        <v>3569</v>
      </c>
      <c r="AL133" s="12">
        <f t="shared" ca="1" si="356"/>
        <v>0.89380778929672178</v>
      </c>
      <c r="AM133" s="13">
        <f t="shared" si="365"/>
        <v>1.5</v>
      </c>
      <c r="AN133" s="12">
        <f t="shared" ca="1" si="357"/>
        <v>0.39422949359367809</v>
      </c>
      <c r="AO133" s="14">
        <f t="shared" ca="1" si="358"/>
        <v>0.59134424039051714</v>
      </c>
      <c r="AP133" s="13">
        <f t="shared" ref="AP133:AQ133" ca="1" si="371">SUM(T124)</f>
        <v>251.33900200344777</v>
      </c>
      <c r="AQ133" s="13">
        <f t="shared" ca="1" si="371"/>
        <v>8.9763929286945636</v>
      </c>
      <c r="AR133" s="9">
        <f t="shared" ca="1" si="360"/>
        <v>113.92857142857143</v>
      </c>
      <c r="AS133" s="76"/>
      <c r="AT133" s="76"/>
    </row>
    <row r="134" spans="1:46" ht="15.75" customHeight="1" x14ac:dyDescent="0.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6"/>
      <c r="X134" s="8">
        <v>6</v>
      </c>
      <c r="Y134" s="8" t="s">
        <v>41</v>
      </c>
      <c r="Z134" s="8">
        <f t="shared" ref="Z134:AI134" si="372">SUM(D125)</f>
        <v>24</v>
      </c>
      <c r="AA134" s="9">
        <f t="shared" ca="1" si="372"/>
        <v>24</v>
      </c>
      <c r="AB134" s="10">
        <f t="shared" ca="1" si="372"/>
        <v>4704.268</v>
      </c>
      <c r="AC134" s="9">
        <f t="shared" ca="1" si="372"/>
        <v>1077</v>
      </c>
      <c r="AD134" s="9">
        <f t="shared" ca="1" si="372"/>
        <v>232</v>
      </c>
      <c r="AE134" s="9">
        <f t="shared" ca="1" si="372"/>
        <v>1309</v>
      </c>
      <c r="AF134" s="9">
        <f t="shared" ca="1" si="372"/>
        <v>1579</v>
      </c>
      <c r="AG134" s="9">
        <f t="shared" ca="1" si="372"/>
        <v>45</v>
      </c>
      <c r="AH134" s="9">
        <f t="shared" ca="1" si="372"/>
        <v>1624</v>
      </c>
      <c r="AI134" s="9">
        <f t="shared" ca="1" si="372"/>
        <v>2933</v>
      </c>
      <c r="AJ134" s="11">
        <f t="shared" ca="1" si="355"/>
        <v>196.01116666666667</v>
      </c>
      <c r="AK134" s="8">
        <f t="shared" si="364"/>
        <v>3801</v>
      </c>
      <c r="AL134" s="12">
        <f t="shared" ca="1" si="356"/>
        <v>0.77163904235727443</v>
      </c>
      <c r="AM134" s="13">
        <f t="shared" si="365"/>
        <v>1.5</v>
      </c>
      <c r="AN134" s="12">
        <f t="shared" ca="1" si="357"/>
        <v>0.41565092238225659</v>
      </c>
      <c r="AO134" s="14">
        <f t="shared" ca="1" si="358"/>
        <v>0.62347638357338486</v>
      </c>
      <c r="AP134" s="13">
        <f t="shared" ref="AP134:AQ134" ca="1" si="373">SUM(T125)</f>
        <v>158.77777777777777</v>
      </c>
      <c r="AQ134" s="13">
        <f t="shared" ca="1" si="373"/>
        <v>6.6157407407407405</v>
      </c>
      <c r="AR134" s="9">
        <f t="shared" ca="1" si="360"/>
        <v>122.20833333333333</v>
      </c>
      <c r="AS134" s="76"/>
      <c r="AT134" s="76"/>
    </row>
    <row r="135" spans="1:46" ht="15.75" customHeight="1" x14ac:dyDescent="0.25">
      <c r="A135" s="110" t="s">
        <v>45</v>
      </c>
      <c r="B135" s="76"/>
      <c r="C135" s="76"/>
      <c r="D135" s="75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24" t="s">
        <v>33</v>
      </c>
      <c r="Y135" s="24">
        <v>6</v>
      </c>
      <c r="Z135" s="24">
        <f t="shared" ref="Z135:AI135" si="374">SUM(Z129:Z134)</f>
        <v>173</v>
      </c>
      <c r="AA135" s="25">
        <f t="shared" ca="1" si="374"/>
        <v>172</v>
      </c>
      <c r="AB135" s="27">
        <f t="shared" ca="1" si="374"/>
        <v>33103.891999999993</v>
      </c>
      <c r="AC135" s="25">
        <f t="shared" ca="1" si="374"/>
        <v>12389</v>
      </c>
      <c r="AD135" s="25">
        <f t="shared" ca="1" si="374"/>
        <v>408</v>
      </c>
      <c r="AE135" s="25">
        <f t="shared" ca="1" si="374"/>
        <v>12797</v>
      </c>
      <c r="AF135" s="25">
        <f t="shared" ca="1" si="374"/>
        <v>16832</v>
      </c>
      <c r="AG135" s="25">
        <f t="shared" ca="1" si="374"/>
        <v>150</v>
      </c>
      <c r="AH135" s="25">
        <f t="shared" ca="1" si="374"/>
        <v>16982</v>
      </c>
      <c r="AI135" s="25">
        <f t="shared" ca="1" si="374"/>
        <v>29779</v>
      </c>
      <c r="AJ135" s="27">
        <f t="shared" ca="1" si="355"/>
        <v>192.46448837209297</v>
      </c>
      <c r="AK135" s="24">
        <f>SUM(AK129:AK134)</f>
        <v>37031</v>
      </c>
      <c r="AL135" s="28">
        <f t="shared" ca="1" si="356"/>
        <v>0.80416407874483542</v>
      </c>
      <c r="AM135" s="29">
        <v>1.5</v>
      </c>
      <c r="AN135" s="28">
        <f t="shared" ca="1" si="357"/>
        <v>0.5997079336371286</v>
      </c>
      <c r="AO135" s="30">
        <f t="shared" ca="1" si="358"/>
        <v>0.89956190045569284</v>
      </c>
      <c r="AP135" s="29">
        <f ca="1">SUM(AP129:AP134)</f>
        <v>1368.5338024600987</v>
      </c>
      <c r="AQ135" s="29">
        <f ca="1">AP135/AA135</f>
        <v>7.9565918747680158</v>
      </c>
      <c r="AR135" s="25">
        <f t="shared" ca="1" si="360"/>
        <v>173.13372093023256</v>
      </c>
      <c r="AS135" s="76"/>
      <c r="AT135" s="76"/>
    </row>
    <row r="136" spans="1:46" ht="15.75" customHeight="1" x14ac:dyDescent="0.2">
      <c r="A136" s="110" t="s">
        <v>45</v>
      </c>
      <c r="B136" s="76"/>
      <c r="C136" s="76"/>
      <c r="D136" s="75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7" t="s">
        <v>1</v>
      </c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9"/>
      <c r="AS136" s="76"/>
      <c r="AT136" s="76"/>
    </row>
    <row r="137" spans="1:46" ht="15.75" customHeight="1" x14ac:dyDescent="0.2">
      <c r="A137" s="109">
        <v>46240</v>
      </c>
      <c r="B137" s="80" t="s">
        <v>2</v>
      </c>
      <c r="C137" s="80" t="s">
        <v>3</v>
      </c>
      <c r="D137" s="80" t="s">
        <v>4</v>
      </c>
      <c r="E137" s="80" t="s">
        <v>5</v>
      </c>
      <c r="F137" s="81" t="s">
        <v>6</v>
      </c>
      <c r="G137" s="80" t="s">
        <v>7</v>
      </c>
      <c r="H137" s="80" t="s">
        <v>8</v>
      </c>
      <c r="I137" s="80" t="s">
        <v>9</v>
      </c>
      <c r="J137" s="80" t="s">
        <v>10</v>
      </c>
      <c r="K137" s="80" t="s">
        <v>11</v>
      </c>
      <c r="L137" s="80" t="s">
        <v>12</v>
      </c>
      <c r="M137" s="80" t="s">
        <v>13</v>
      </c>
      <c r="N137" s="81" t="s">
        <v>14</v>
      </c>
      <c r="O137" s="80" t="s">
        <v>15</v>
      </c>
      <c r="P137" s="80" t="s">
        <v>16</v>
      </c>
      <c r="Q137" s="80" t="s">
        <v>17</v>
      </c>
      <c r="R137" s="80" t="s">
        <v>18</v>
      </c>
      <c r="S137" s="106" t="s">
        <v>19</v>
      </c>
      <c r="T137" s="107" t="s">
        <v>20</v>
      </c>
      <c r="U137" s="107" t="s">
        <v>21</v>
      </c>
      <c r="V137" s="105" t="s">
        <v>22</v>
      </c>
      <c r="W137" s="76"/>
      <c r="X137" s="1" t="s">
        <v>2</v>
      </c>
      <c r="Y137" s="1" t="s">
        <v>3</v>
      </c>
      <c r="Z137" s="1" t="s">
        <v>4</v>
      </c>
      <c r="AA137" s="1" t="s">
        <v>5</v>
      </c>
      <c r="AB137" s="2" t="s">
        <v>6</v>
      </c>
      <c r="AC137" s="1" t="s">
        <v>7</v>
      </c>
      <c r="AD137" s="1" t="s">
        <v>8</v>
      </c>
      <c r="AE137" s="1" t="s">
        <v>9</v>
      </c>
      <c r="AF137" s="1" t="s">
        <v>10</v>
      </c>
      <c r="AG137" s="1" t="s">
        <v>11</v>
      </c>
      <c r="AH137" s="1" t="s">
        <v>12</v>
      </c>
      <c r="AI137" s="1" t="s">
        <v>13</v>
      </c>
      <c r="AJ137" s="2" t="s">
        <v>14</v>
      </c>
      <c r="AK137" s="1" t="s">
        <v>15</v>
      </c>
      <c r="AL137" s="1" t="s">
        <v>16</v>
      </c>
      <c r="AM137" s="3" t="s">
        <v>17</v>
      </c>
      <c r="AN137" s="4" t="s">
        <v>18</v>
      </c>
      <c r="AO137" s="5" t="s">
        <v>19</v>
      </c>
      <c r="AP137" s="6" t="s">
        <v>20</v>
      </c>
      <c r="AQ137" s="6" t="s">
        <v>21</v>
      </c>
      <c r="AR137" s="7" t="s">
        <v>22</v>
      </c>
      <c r="AS137" s="76"/>
      <c r="AT137" s="76"/>
    </row>
    <row r="138" spans="1:46" ht="15.75" customHeight="1" x14ac:dyDescent="0.2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6"/>
      <c r="X138" s="8">
        <v>1</v>
      </c>
      <c r="Y138" s="8" t="s">
        <v>23</v>
      </c>
      <c r="Z138" s="8">
        <f t="shared" ref="Z138:AI138" si="375">SUM(D146)</f>
        <v>35</v>
      </c>
      <c r="AA138" s="9">
        <f t="shared" ca="1" si="375"/>
        <v>34</v>
      </c>
      <c r="AB138" s="10">
        <f t="shared" ca="1" si="375"/>
        <v>6714.2599999999902</v>
      </c>
      <c r="AC138" s="9">
        <f t="shared" ca="1" si="375"/>
        <v>1547</v>
      </c>
      <c r="AD138" s="9">
        <f t="shared" ca="1" si="375"/>
        <v>0</v>
      </c>
      <c r="AE138" s="9">
        <f t="shared" ca="1" si="375"/>
        <v>1547</v>
      </c>
      <c r="AF138" s="9">
        <f t="shared" ca="1" si="375"/>
        <v>3478</v>
      </c>
      <c r="AG138" s="9">
        <f t="shared" ca="1" si="375"/>
        <v>0</v>
      </c>
      <c r="AH138" s="9">
        <f t="shared" ca="1" si="375"/>
        <v>3478</v>
      </c>
      <c r="AI138" s="9">
        <f t="shared" ca="1" si="375"/>
        <v>5025</v>
      </c>
      <c r="AJ138" s="11">
        <f t="shared" ref="AJ138:AJ140" ca="1" si="376">AB138/AA138</f>
        <v>197.47823529411735</v>
      </c>
      <c r="AK138" s="8">
        <f>SUM(O146)</f>
        <v>6853</v>
      </c>
      <c r="AL138" s="12">
        <f t="shared" ref="AL138:AL144" ca="1" si="377">AI138/AK138</f>
        <v>0.73325550853640742</v>
      </c>
      <c r="AM138" s="13">
        <f t="shared" ref="AM138:AM140" si="378">SUM(Q146)</f>
        <v>1.5</v>
      </c>
      <c r="AN138" s="12">
        <f t="shared" ref="AN138:AN144" ca="1" si="379">AO138/AM138</f>
        <v>0.49893808103946008</v>
      </c>
      <c r="AO138" s="14">
        <f t="shared" ref="AO138:AO144" ca="1" si="380">AI138/AB138</f>
        <v>0.74840712155919009</v>
      </c>
      <c r="AP138" s="13">
        <f t="shared" ref="AP138:AQ138" ca="1" si="381">SUM(T146)</f>
        <v>198.99999999999969</v>
      </c>
      <c r="AQ138" s="13">
        <f t="shared" ca="1" si="381"/>
        <v>5.852941176470579</v>
      </c>
      <c r="AR138" s="9">
        <f t="shared" ref="AR138:AR144" ca="1" si="382">AI138/AA138</f>
        <v>147.79411764705881</v>
      </c>
      <c r="AS138" s="76"/>
      <c r="AT138" s="76"/>
    </row>
    <row r="139" spans="1:46" ht="15.75" customHeight="1" x14ac:dyDescent="0.2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6"/>
      <c r="X139" s="8">
        <v>2</v>
      </c>
      <c r="Y139" s="8" t="s">
        <v>24</v>
      </c>
      <c r="Z139" s="8">
        <f t="shared" ref="Z139:AI139" si="383">SUM(D147)</f>
        <v>44</v>
      </c>
      <c r="AA139" s="9">
        <f t="shared" ca="1" si="383"/>
        <v>43</v>
      </c>
      <c r="AB139" s="10">
        <f t="shared" ca="1" si="383"/>
        <v>8489.1729999999898</v>
      </c>
      <c r="AC139" s="9">
        <f t="shared" ca="1" si="383"/>
        <v>899</v>
      </c>
      <c r="AD139" s="9">
        <f t="shared" ca="1" si="383"/>
        <v>23</v>
      </c>
      <c r="AE139" s="9">
        <f t="shared" ca="1" si="383"/>
        <v>922</v>
      </c>
      <c r="AF139" s="9">
        <f t="shared" ca="1" si="383"/>
        <v>1691</v>
      </c>
      <c r="AG139" s="9">
        <f t="shared" ca="1" si="383"/>
        <v>26</v>
      </c>
      <c r="AH139" s="9">
        <f t="shared" ca="1" si="383"/>
        <v>1717</v>
      </c>
      <c r="AI139" s="9">
        <f t="shared" ca="1" si="383"/>
        <v>2639</v>
      </c>
      <c r="AJ139" s="11">
        <f t="shared" ca="1" si="376"/>
        <v>197.42262790697652</v>
      </c>
      <c r="AK139" s="8">
        <v>1580</v>
      </c>
      <c r="AL139" s="15">
        <f t="shared" ca="1" si="377"/>
        <v>1.670253164556962</v>
      </c>
      <c r="AM139" s="13">
        <f t="shared" si="378"/>
        <v>1.5</v>
      </c>
      <c r="AN139" s="12">
        <f t="shared" ca="1" si="379"/>
        <v>0.20724437272433197</v>
      </c>
      <c r="AO139" s="14">
        <f t="shared" ca="1" si="380"/>
        <v>0.31086655908649796</v>
      </c>
      <c r="AP139" s="13">
        <f t="shared" ref="AP139:AQ139" ca="1" si="384">SUM(T147)</f>
        <v>316.70110054094346</v>
      </c>
      <c r="AQ139" s="13">
        <f t="shared" ca="1" si="384"/>
        <v>7.3651418730451965</v>
      </c>
      <c r="AR139" s="9">
        <f t="shared" ca="1" si="382"/>
        <v>61.372093023255815</v>
      </c>
      <c r="AS139" s="76"/>
      <c r="AT139" s="76"/>
    </row>
    <row r="140" spans="1:46" ht="15.75" customHeight="1" x14ac:dyDescent="0.2">
      <c r="A140" s="70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6"/>
      <c r="X140" s="8">
        <v>3</v>
      </c>
      <c r="Y140" s="8" t="s">
        <v>25</v>
      </c>
      <c r="Z140" s="8">
        <f t="shared" ref="Z140:AI140" si="385">SUM(D148)</f>
        <v>32</v>
      </c>
      <c r="AA140" s="9">
        <f t="shared" ca="1" si="385"/>
        <v>32</v>
      </c>
      <c r="AB140" s="10">
        <f t="shared" ca="1" si="385"/>
        <v>6224.0079999999998</v>
      </c>
      <c r="AC140" s="9">
        <f t="shared" ca="1" si="385"/>
        <v>2442</v>
      </c>
      <c r="AD140" s="9">
        <f t="shared" ca="1" si="385"/>
        <v>426</v>
      </c>
      <c r="AE140" s="9">
        <f t="shared" ca="1" si="385"/>
        <v>2868</v>
      </c>
      <c r="AF140" s="9">
        <f t="shared" ca="1" si="385"/>
        <v>2782</v>
      </c>
      <c r="AG140" s="9">
        <f t="shared" ca="1" si="385"/>
        <v>397</v>
      </c>
      <c r="AH140" s="9">
        <f t="shared" ca="1" si="385"/>
        <v>3179</v>
      </c>
      <c r="AI140" s="9">
        <f t="shared" ca="1" si="385"/>
        <v>6047</v>
      </c>
      <c r="AJ140" s="11">
        <f t="shared" ca="1" si="376"/>
        <v>194.50024999999999</v>
      </c>
      <c r="AK140" s="8">
        <f>SUM(O148)</f>
        <v>6622</v>
      </c>
      <c r="AL140" s="12">
        <f t="shared" ca="1" si="377"/>
        <v>0.91316822712171553</v>
      </c>
      <c r="AM140" s="13">
        <f t="shared" si="378"/>
        <v>1.5</v>
      </c>
      <c r="AN140" s="12">
        <f t="shared" ca="1" si="379"/>
        <v>0.6477069652438322</v>
      </c>
      <c r="AO140" s="14">
        <f t="shared" ca="1" si="380"/>
        <v>0.97156044786574824</v>
      </c>
      <c r="AP140" s="13">
        <f t="shared" ref="AP140:AQ140" ca="1" si="386">SUM(T148)</f>
        <v>261.07416107382551</v>
      </c>
      <c r="AQ140" s="13">
        <f t="shared" ca="1" si="386"/>
        <v>8.1585675335570471</v>
      </c>
      <c r="AR140" s="9">
        <f t="shared" ca="1" si="382"/>
        <v>188.96875</v>
      </c>
      <c r="AS140" s="76"/>
      <c r="AT140" s="76"/>
    </row>
    <row r="141" spans="1:46" ht="15.75" customHeight="1" x14ac:dyDescent="0.25">
      <c r="A141" s="70"/>
      <c r="B141" s="16">
        <v>1</v>
      </c>
      <c r="C141" s="16" t="s">
        <v>26</v>
      </c>
      <c r="D141" s="17">
        <v>20</v>
      </c>
      <c r="E141" s="18">
        <f ca="1">IFERROR(__xludf.DUMMYFUNCTION("COUNT(IMPORTRANGE(""https://docs.google.com/spreadsheets/d/1iVFEBQOAONhqDIMRa2hQ7WkCQv0dJWSAmc0AzfvSCMg/edit"",""6!d2:d21""))"),19)</f>
        <v>19</v>
      </c>
      <c r="F141" s="19">
        <f ca="1">IFERROR(__xludf.DUMMYFUNCTION("SUM(IMPORTRANGE(""https://docs.google.com/spreadsheets/d/1iVFEBQOAONhqDIMRa2hQ7WkCQv0dJWSAmc0AzfvSCMg/edit"",""6!Q2:Q21""))"),3690.852)</f>
        <v>3690.8519999999999</v>
      </c>
      <c r="G141" s="18">
        <f ca="1">IFERROR(__xludf.DUMMYFUNCTION("IMPORTRANGE(""https://docs.google.com/spreadsheets/d/1iVFEBQOAONhqDIMRa2hQ7WkCQv0dJWSAmc0AzfvSCMg/edit"",""6!e28"")"),2154)</f>
        <v>2154</v>
      </c>
      <c r="H141" s="18">
        <f ca="1">IFERROR(__xludf.DUMMYFUNCTION("IMPORTRANGE(""https://docs.google.com/spreadsheets/d/1iVFEBQOAONhqDIMRa2hQ7WkCQv0dJWSAmc0AzfvSCMg/edit"",""6!e29"")"),40)</f>
        <v>40</v>
      </c>
      <c r="I141" s="18">
        <f t="shared" ref="I141:I158" ca="1" si="387">SUM(G141:H141)</f>
        <v>2194</v>
      </c>
      <c r="J141" s="18">
        <f ca="1">IFERROR(__xludf.DUMMYFUNCTION("IMPORTRANGE(""https://docs.google.com/spreadsheets/d/1iVFEBQOAONhqDIMRa2hQ7WkCQv0dJWSAmc0AzfvSCMg/edit"",""6!e32"")"),3020)</f>
        <v>3020</v>
      </c>
      <c r="K141" s="18">
        <f ca="1">IFERROR(__xludf.DUMMYFUNCTION("IMPORTRANGE(""https://docs.google.com/spreadsheets/d/1iVFEBQOAONhqDIMRa2hQ7WkCQv0dJWSAmc0AzfvSCMg/edit"",""6!e33"")"),45)</f>
        <v>45</v>
      </c>
      <c r="L141" s="18">
        <f t="shared" ref="L141:L147" ca="1" si="388">SUM(J141:K141)</f>
        <v>3065</v>
      </c>
      <c r="M141" s="18">
        <f t="shared" ref="M141:M158" ca="1" si="389">SUM(I141+L141)</f>
        <v>5259</v>
      </c>
      <c r="N141" s="19">
        <f t="shared" ref="N141:N159" ca="1" si="390">F141/E141</f>
        <v>194.25536842105262</v>
      </c>
      <c r="O141" s="16">
        <v>5161</v>
      </c>
      <c r="P141" s="33">
        <f t="shared" ref="P141:P159" ca="1" si="391">M141/O141</f>
        <v>1.0189885681069559</v>
      </c>
      <c r="Q141" s="21">
        <v>1.5</v>
      </c>
      <c r="R141" s="20">
        <f t="shared" ref="R141:R159" ca="1" si="392">S141/Q141</f>
        <v>0.94991617111712967</v>
      </c>
      <c r="S141" s="22">
        <f t="shared" ref="S141:S159" ca="1" si="393">M141/F141</f>
        <v>1.4248742566756945</v>
      </c>
      <c r="T141" s="21">
        <f ca="1">F141/14.415</f>
        <v>256.04245577523415</v>
      </c>
      <c r="U141" s="21">
        <f t="shared" ref="U141:U159" ca="1" si="394">T141/E141</f>
        <v>13.475918725012324</v>
      </c>
      <c r="V141" s="18">
        <f t="shared" ref="V141:V159" ca="1" si="395">M141/E141</f>
        <v>276.78947368421052</v>
      </c>
      <c r="W141" s="76"/>
      <c r="X141" s="8">
        <v>4</v>
      </c>
      <c r="Y141" s="8" t="s">
        <v>27</v>
      </c>
      <c r="Z141" s="8">
        <f t="shared" ref="Z141:AK141" si="396">SUM(D154)</f>
        <v>30</v>
      </c>
      <c r="AA141" s="9">
        <f t="shared" ca="1" si="396"/>
        <v>29</v>
      </c>
      <c r="AB141" s="10">
        <f t="shared" ca="1" si="396"/>
        <v>5411.8279999999904</v>
      </c>
      <c r="AC141" s="9">
        <f t="shared" ca="1" si="396"/>
        <v>2382</v>
      </c>
      <c r="AD141" s="9">
        <f t="shared" ca="1" si="396"/>
        <v>172</v>
      </c>
      <c r="AE141" s="9">
        <f t="shared" ca="1" si="396"/>
        <v>2554</v>
      </c>
      <c r="AF141" s="9">
        <f t="shared" ca="1" si="396"/>
        <v>3320</v>
      </c>
      <c r="AG141" s="9">
        <f t="shared" ca="1" si="396"/>
        <v>61</v>
      </c>
      <c r="AH141" s="9">
        <f t="shared" ca="1" si="396"/>
        <v>3381</v>
      </c>
      <c r="AI141" s="9">
        <f t="shared" ca="1" si="396"/>
        <v>5935</v>
      </c>
      <c r="AJ141" s="11">
        <f t="shared" ca="1" si="396"/>
        <v>186.61475862068932</v>
      </c>
      <c r="AK141" s="8">
        <f t="shared" si="396"/>
        <v>8101</v>
      </c>
      <c r="AL141" s="12">
        <f t="shared" ca="1" si="377"/>
        <v>0.73262560177755831</v>
      </c>
      <c r="AM141" s="13">
        <f>SUM(Q154)</f>
        <v>1.5</v>
      </c>
      <c r="AN141" s="12">
        <f t="shared" ca="1" si="379"/>
        <v>0.73111463754329842</v>
      </c>
      <c r="AO141" s="14">
        <f t="shared" ca="1" si="380"/>
        <v>1.0966719563149476</v>
      </c>
      <c r="AP141" s="13">
        <f t="shared" ref="AP141:AQ141" ca="1" si="397">SUM(T154)</f>
        <v>270.79449587190345</v>
      </c>
      <c r="AQ141" s="13">
        <f t="shared" ca="1" si="397"/>
        <v>9.3377412369621879</v>
      </c>
      <c r="AR141" s="9">
        <f t="shared" ca="1" si="382"/>
        <v>204.65517241379311</v>
      </c>
      <c r="AS141" s="76"/>
      <c r="AT141" s="76"/>
    </row>
    <row r="142" spans="1:46" ht="15.75" customHeight="1" x14ac:dyDescent="0.25">
      <c r="A142" s="70"/>
      <c r="B142" s="16">
        <v>2</v>
      </c>
      <c r="C142" s="16" t="s">
        <v>28</v>
      </c>
      <c r="D142" s="17">
        <v>33</v>
      </c>
      <c r="E142" s="18">
        <f ca="1">IFERROR(__xludf.DUMMYFUNCTION("COUNT(IMPORTRANGE(""https://docs.google.com/spreadsheets/d/1tJCeYclgeJZ4Dc78t_SkhVjtacKW-5-VGim8X1rzUzk/edit"",""6!d2:d34""))"),33)</f>
        <v>33</v>
      </c>
      <c r="F142" s="19">
        <f ca="1">IFERROR(__xludf.DUMMYFUNCTION("SUM(IMPORTRANGE(""https://docs.google.com/spreadsheets/d/1tJCeYclgeJZ4Dc78t_SkhVjtacKW-5-VGim8X1rzUzk/edit"",""6!Q2:Q34""))"),6497.93599999999)</f>
        <v>6497.9359999999897</v>
      </c>
      <c r="G142" s="18">
        <f ca="1">IFERROR(__xludf.DUMMYFUNCTION("IMPORTRANGE(""https://docs.google.com/spreadsheets/d/1tJCeYclgeJZ4Dc78t_SkhVjtacKW-5-VGim8X1rzUzk/edit"",""6!e41"")"),2268)</f>
        <v>2268</v>
      </c>
      <c r="H142" s="18">
        <f ca="1">IFERROR(__xludf.DUMMYFUNCTION("IMPORTRANGE(""https://docs.google.com/spreadsheets/d/1tJCeYclgeJZ4Dc78t_SkhVjtacKW-5-VGim8X1rzUzk/edit"",""6!e42"")"),157)</f>
        <v>157</v>
      </c>
      <c r="I142" s="18">
        <f t="shared" ca="1" si="387"/>
        <v>2425</v>
      </c>
      <c r="J142" s="18">
        <f ca="1">IFERROR(__xludf.DUMMYFUNCTION("IMPORTRANGE(""https://docs.google.com/spreadsheets/d/1tJCeYclgeJZ4Dc78t_SkhVjtacKW-5-VGim8X1rzUzk/edit"",""6!e45"")"),3517)</f>
        <v>3517</v>
      </c>
      <c r="K142" s="18">
        <f ca="1">IFERROR(__xludf.DUMMYFUNCTION("IMPORTRANGE(""https://docs.google.com/spreadsheets/d/1tJCeYclgeJZ4Dc78t_SkhVjtacKW-5-VGim8X1rzUzk/edit"",""6!e46"")"),170)</f>
        <v>170</v>
      </c>
      <c r="L142" s="18">
        <f t="shared" ca="1" si="388"/>
        <v>3687</v>
      </c>
      <c r="M142" s="18">
        <f t="shared" ca="1" si="389"/>
        <v>6112</v>
      </c>
      <c r="N142" s="19">
        <f t="shared" ca="1" si="390"/>
        <v>196.90715151515121</v>
      </c>
      <c r="O142" s="16">
        <v>7315</v>
      </c>
      <c r="P142" s="20">
        <f t="shared" ca="1" si="391"/>
        <v>0.83554340396445659</v>
      </c>
      <c r="Q142" s="21">
        <v>1.5</v>
      </c>
      <c r="R142" s="20">
        <f t="shared" ca="1" si="392"/>
        <v>0.62707091400510462</v>
      </c>
      <c r="S142" s="22">
        <f t="shared" ca="1" si="393"/>
        <v>0.94060637100765687</v>
      </c>
      <c r="T142" s="21">
        <f ca="1">F142/30.897</f>
        <v>210.3096093471855</v>
      </c>
      <c r="U142" s="21">
        <f t="shared" ca="1" si="394"/>
        <v>6.3730184650662274</v>
      </c>
      <c r="V142" s="18">
        <f t="shared" ca="1" si="395"/>
        <v>185.21212121212122</v>
      </c>
      <c r="W142" s="76"/>
      <c r="X142" s="8">
        <v>5</v>
      </c>
      <c r="Y142" s="8" t="s">
        <v>29</v>
      </c>
      <c r="Z142" s="8">
        <f t="shared" ref="Z142:AI142" si="398">SUM(D157)</f>
        <v>30</v>
      </c>
      <c r="AA142" s="9">
        <f t="shared" ca="1" si="398"/>
        <v>29</v>
      </c>
      <c r="AB142" s="10">
        <f t="shared" ca="1" si="398"/>
        <v>5832.5119999999997</v>
      </c>
      <c r="AC142" s="9">
        <f t="shared" ca="1" si="398"/>
        <v>2687</v>
      </c>
      <c r="AD142" s="9">
        <f t="shared" ca="1" si="398"/>
        <v>0</v>
      </c>
      <c r="AE142" s="9">
        <f t="shared" ca="1" si="398"/>
        <v>2687</v>
      </c>
      <c r="AF142" s="9">
        <f t="shared" ca="1" si="398"/>
        <v>4344</v>
      </c>
      <c r="AG142" s="9">
        <f t="shared" ca="1" si="398"/>
        <v>0</v>
      </c>
      <c r="AH142" s="9">
        <f t="shared" ca="1" si="398"/>
        <v>4344</v>
      </c>
      <c r="AI142" s="9">
        <f t="shared" ca="1" si="398"/>
        <v>7031</v>
      </c>
      <c r="AJ142" s="11">
        <f t="shared" ref="AJ142:AJ144" ca="1" si="399">AB142/AA142</f>
        <v>201.12110344827585</v>
      </c>
      <c r="AK142" s="8">
        <f t="shared" ref="AK142:AK143" si="400">SUM(O157)</f>
        <v>9201</v>
      </c>
      <c r="AL142" s="12">
        <f t="shared" ca="1" si="377"/>
        <v>0.76415606999239216</v>
      </c>
      <c r="AM142" s="13">
        <f t="shared" ref="AM142:AM143" si="401">SUM(Q157)</f>
        <v>1.5</v>
      </c>
      <c r="AN142" s="12">
        <f t="shared" ca="1" si="379"/>
        <v>0.803656011909334</v>
      </c>
      <c r="AO142" s="14">
        <f t="shared" ca="1" si="380"/>
        <v>1.2054840178640009</v>
      </c>
      <c r="AP142" s="13">
        <f t="shared" ref="AP142:AQ142" ca="1" si="402">SUM(T157)</f>
        <v>224</v>
      </c>
      <c r="AQ142" s="13">
        <f t="shared" ca="1" si="402"/>
        <v>7.7241379310344831</v>
      </c>
      <c r="AR142" s="9">
        <f t="shared" ca="1" si="382"/>
        <v>242.44827586206895</v>
      </c>
      <c r="AS142" s="76"/>
      <c r="AT142" s="76"/>
    </row>
    <row r="143" spans="1:46" ht="15.75" customHeight="1" x14ac:dyDescent="0.25">
      <c r="A143" s="70"/>
      <c r="B143" s="16">
        <v>3</v>
      </c>
      <c r="C143" s="16" t="s">
        <v>30</v>
      </c>
      <c r="D143" s="17">
        <v>60</v>
      </c>
      <c r="E143" s="18">
        <f ca="1">IFERROR(__xludf.DUMMYFUNCTION("COUNT(IMPORTRANGE(""https://docs.google.com/spreadsheets/d/130gLEONC13J8KkQ6dk06x3bLRy_jCrAw2hXatQf2W50/edit"",""6!d2:d61""))"),57)</f>
        <v>57</v>
      </c>
      <c r="F143" s="23">
        <f ca="1">IFERROR(__xludf.DUMMYFUNCTION("SUM(IMPORTRANGE(""https://docs.google.com/spreadsheets/d/130gLEONC13J8KkQ6dk06x3bLRy_jCrAw2hXatQf2W50/edit"",""6!Q2:Q61""))"),11337.9489999999)</f>
        <v>11337.9489999999</v>
      </c>
      <c r="G143" s="18">
        <f ca="1">IFERROR(__xludf.DUMMYFUNCTION("IMPORTRANGE(""https://docs.google.com/spreadsheets/d/130gLEONC13J8KkQ6dk06x3bLRy_jCrAw2hXatQf2W50/edit"",""6!e68"")"),2876)</f>
        <v>2876</v>
      </c>
      <c r="H143" s="18">
        <f ca="1">IFERROR(__xludf.DUMMYFUNCTION("IMPORTRANGE(""https://docs.google.com/spreadsheets/d/130gLEONC13J8KkQ6dk06x3bLRy_jCrAw2hXatQf2W50/edit"",""6!e69"")"),0)</f>
        <v>0</v>
      </c>
      <c r="I143" s="18">
        <f t="shared" ca="1" si="387"/>
        <v>2876</v>
      </c>
      <c r="J143" s="18">
        <f ca="1">IFERROR(__xludf.DUMMYFUNCTION("IMPORTRANGE(""https://docs.google.com/spreadsheets/d/130gLEONC13J8KkQ6dk06x3bLRy_jCrAw2hXatQf2W50/edit"",""6!e72"")"),6435)</f>
        <v>6435</v>
      </c>
      <c r="K143" s="18">
        <f ca="1">IFERROR(__xludf.DUMMYFUNCTION("IMPORTRANGE(""https://docs.google.com/spreadsheets/d/130gLEONC13J8KkQ6dk06x3bLRy_jCrAw2hXatQf2W50/edit"",""6!e73"")"),21)</f>
        <v>21</v>
      </c>
      <c r="L143" s="18">
        <f t="shared" ca="1" si="388"/>
        <v>6456</v>
      </c>
      <c r="M143" s="18">
        <f t="shared" ca="1" si="389"/>
        <v>9332</v>
      </c>
      <c r="N143" s="19">
        <f t="shared" ca="1" si="390"/>
        <v>198.91138596491052</v>
      </c>
      <c r="O143" s="16">
        <v>11164</v>
      </c>
      <c r="P143" s="20">
        <f t="shared" ca="1" si="391"/>
        <v>0.8359011107130061</v>
      </c>
      <c r="Q143" s="21">
        <v>1.5</v>
      </c>
      <c r="R143" s="20">
        <f t="shared" ca="1" si="392"/>
        <v>0.54871770311662083</v>
      </c>
      <c r="S143" s="22">
        <f t="shared" ca="1" si="393"/>
        <v>0.82307655467493124</v>
      </c>
      <c r="T143" s="21">
        <f ca="1">F143/29.603</f>
        <v>382.99999999999665</v>
      </c>
      <c r="U143" s="21">
        <f t="shared" ca="1" si="394"/>
        <v>6.7192982456139765</v>
      </c>
      <c r="V143" s="18">
        <f t="shared" ca="1" si="395"/>
        <v>163.71929824561403</v>
      </c>
      <c r="W143" s="76"/>
      <c r="X143" s="8">
        <v>6</v>
      </c>
      <c r="Y143" s="8" t="s">
        <v>31</v>
      </c>
      <c r="Z143" s="8">
        <f t="shared" ref="Z143:AI143" si="403">SUM(D158)</f>
        <v>15</v>
      </c>
      <c r="AA143" s="9">
        <f t="shared" ca="1" si="403"/>
        <v>14</v>
      </c>
      <c r="AB143" s="11">
        <f t="shared" ca="1" si="403"/>
        <v>2868.6899999999901</v>
      </c>
      <c r="AC143" s="9">
        <f t="shared" ca="1" si="403"/>
        <v>949</v>
      </c>
      <c r="AD143" s="9">
        <f t="shared" ca="1" si="403"/>
        <v>0</v>
      </c>
      <c r="AE143" s="9">
        <f t="shared" ca="1" si="403"/>
        <v>949</v>
      </c>
      <c r="AF143" s="9">
        <f t="shared" ca="1" si="403"/>
        <v>1081</v>
      </c>
      <c r="AG143" s="9">
        <f t="shared" ca="1" si="403"/>
        <v>9</v>
      </c>
      <c r="AH143" s="9">
        <f t="shared" ca="1" si="403"/>
        <v>1090</v>
      </c>
      <c r="AI143" s="9">
        <f t="shared" ca="1" si="403"/>
        <v>2039</v>
      </c>
      <c r="AJ143" s="11">
        <f t="shared" ca="1" si="399"/>
        <v>204.90642857142785</v>
      </c>
      <c r="AK143" s="8">
        <f t="shared" si="400"/>
        <v>2717</v>
      </c>
      <c r="AL143" s="12">
        <f t="shared" ca="1" si="377"/>
        <v>0.75046006624953998</v>
      </c>
      <c r="AM143" s="13">
        <f t="shared" si="401"/>
        <v>1.5</v>
      </c>
      <c r="AN143" s="12">
        <f t="shared" ca="1" si="379"/>
        <v>0.47385159544368266</v>
      </c>
      <c r="AO143" s="14">
        <f t="shared" ca="1" si="380"/>
        <v>0.71077739316552402</v>
      </c>
      <c r="AP143" s="13">
        <f t="shared" ref="AP143:AQ143" ca="1" si="404">SUM(T158)</f>
        <v>65.999999999999773</v>
      </c>
      <c r="AQ143" s="13">
        <f t="shared" ca="1" si="404"/>
        <v>4.7142857142856984</v>
      </c>
      <c r="AR143" s="9">
        <f t="shared" ca="1" si="382"/>
        <v>145.64285714285714</v>
      </c>
      <c r="AS143" s="76"/>
      <c r="AT143" s="76"/>
    </row>
    <row r="144" spans="1:46" ht="15.75" customHeight="1" x14ac:dyDescent="0.25">
      <c r="A144" s="70"/>
      <c r="B144" s="16">
        <v>4</v>
      </c>
      <c r="C144" s="16" t="s">
        <v>32</v>
      </c>
      <c r="D144" s="17">
        <v>42</v>
      </c>
      <c r="E144" s="18">
        <f ca="1">IFERROR(__xludf.DUMMYFUNCTION("COUNT(IMPORTRANGE(""https://docs.google.com/spreadsheets/d/1gYHli7FuKQLm2Q-5LMR0UtkD-gRRA_p8s-phLPLDLgc/edit"",""6!d2:d43""))"),42)</f>
        <v>42</v>
      </c>
      <c r="F144" s="23">
        <f ca="1">IFERROR(__xludf.DUMMYFUNCTION("SUM(IMPORTRANGE(""https://docs.google.com/spreadsheets/d/1gYHli7FuKQLm2Q-5LMR0UtkD-gRRA_p8s-phLPLDLgc/edit"",""6!Q2:Q43""))"),8078.65799999999)</f>
        <v>8078.6579999999904</v>
      </c>
      <c r="G144" s="16">
        <f ca="1">IFERROR(__xludf.DUMMYFUNCTION("IMPORTRANGE(""https://docs.google.com/spreadsheets/d/1gYHli7FuKQLm2Q-5LMR0UtkD-gRRA_p8s-phLPLDLgc/edit"",""6!e50"")"),4748)</f>
        <v>4748</v>
      </c>
      <c r="H144" s="16">
        <f ca="1">IFERROR(__xludf.DUMMYFUNCTION("IMPORTRANGE(""https://docs.google.com/spreadsheets/d/1gYHli7FuKQLm2Q-5LMR0UtkD-gRRA_p8s-phLPLDLgc/edit"",""6!e51"")"),0)</f>
        <v>0</v>
      </c>
      <c r="I144" s="18">
        <f t="shared" ca="1" si="387"/>
        <v>4748</v>
      </c>
      <c r="J144" s="16">
        <f ca="1">IFERROR(__xludf.DUMMYFUNCTION("IMPORTRANGE(""https://docs.google.com/spreadsheets/d/1gYHli7FuKQLm2Q-5LMR0UtkD-gRRA_p8s-phLPLDLgc/edit"",""6!e54"")"),5516)</f>
        <v>5516</v>
      </c>
      <c r="K144" s="16">
        <f ca="1">IFERROR(__xludf.DUMMYFUNCTION("IMPORTRANGE(""https://docs.google.com/spreadsheets/d/1gYHli7FuKQLm2Q-5LMR0UtkD-gRRA_p8s-phLPLDLgc/edit"",""6!e55"")"),0)</f>
        <v>0</v>
      </c>
      <c r="L144" s="18">
        <f t="shared" ca="1" si="388"/>
        <v>5516</v>
      </c>
      <c r="M144" s="18">
        <f t="shared" ca="1" si="389"/>
        <v>10264</v>
      </c>
      <c r="N144" s="19">
        <f t="shared" ca="1" si="390"/>
        <v>192.34899999999976</v>
      </c>
      <c r="O144" s="16">
        <v>13817</v>
      </c>
      <c r="P144" s="20">
        <f t="shared" ca="1" si="391"/>
        <v>0.74285300716508651</v>
      </c>
      <c r="Q144" s="21">
        <v>1.5</v>
      </c>
      <c r="R144" s="20">
        <f t="shared" ca="1" si="392"/>
        <v>0.84700536483493616</v>
      </c>
      <c r="S144" s="22">
        <f t="shared" ca="1" si="393"/>
        <v>1.2705080472524042</v>
      </c>
      <c r="T144" s="21">
        <f ca="1">F144/25.089</f>
        <v>321.99999999999966</v>
      </c>
      <c r="U144" s="21">
        <f t="shared" ca="1" si="394"/>
        <v>7.666666666666659</v>
      </c>
      <c r="V144" s="18">
        <f t="shared" ca="1" si="395"/>
        <v>244.38095238095238</v>
      </c>
      <c r="W144" s="76"/>
      <c r="X144" s="24" t="s">
        <v>33</v>
      </c>
      <c r="Y144" s="24">
        <v>6</v>
      </c>
      <c r="Z144" s="24">
        <f t="shared" ref="Z144:AI144" si="405">SUM(Z138:Z143)</f>
        <v>186</v>
      </c>
      <c r="AA144" s="25">
        <f t="shared" ca="1" si="405"/>
        <v>181</v>
      </c>
      <c r="AB144" s="26">
        <f t="shared" ca="1" si="405"/>
        <v>35540.470999999954</v>
      </c>
      <c r="AC144" s="25">
        <f t="shared" ca="1" si="405"/>
        <v>10906</v>
      </c>
      <c r="AD144" s="25">
        <f t="shared" ca="1" si="405"/>
        <v>621</v>
      </c>
      <c r="AE144" s="25">
        <f t="shared" ca="1" si="405"/>
        <v>11527</v>
      </c>
      <c r="AF144" s="25">
        <f t="shared" ca="1" si="405"/>
        <v>16696</v>
      </c>
      <c r="AG144" s="25">
        <f t="shared" ca="1" si="405"/>
        <v>493</v>
      </c>
      <c r="AH144" s="25">
        <f t="shared" ca="1" si="405"/>
        <v>17189</v>
      </c>
      <c r="AI144" s="25">
        <f t="shared" ca="1" si="405"/>
        <v>28716</v>
      </c>
      <c r="AJ144" s="27">
        <f t="shared" ca="1" si="399"/>
        <v>196.3561933701655</v>
      </c>
      <c r="AK144" s="24">
        <f>SUM(AK138:AK143)</f>
        <v>35074</v>
      </c>
      <c r="AL144" s="28">
        <f t="shared" ca="1" si="377"/>
        <v>0.81872612191366823</v>
      </c>
      <c r="AM144" s="29">
        <v>1.5</v>
      </c>
      <c r="AN144" s="28">
        <f t="shared" ca="1" si="379"/>
        <v>0.5386535254414615</v>
      </c>
      <c r="AO144" s="30">
        <f t="shared" ca="1" si="380"/>
        <v>0.80798028816219225</v>
      </c>
      <c r="AP144" s="29">
        <f ca="1">SUM(AP138:AP143)</f>
        <v>1337.569757486672</v>
      </c>
      <c r="AQ144" s="29">
        <f ca="1">AP144/AA144</f>
        <v>7.3898881629097897</v>
      </c>
      <c r="AR144" s="25">
        <f t="shared" ca="1" si="382"/>
        <v>158.65193370165747</v>
      </c>
      <c r="AS144" s="76"/>
      <c r="AT144" s="76"/>
    </row>
    <row r="145" spans="1:46" ht="15.75" customHeight="1" x14ac:dyDescent="0.25">
      <c r="A145" s="70"/>
      <c r="B145" s="16">
        <v>5</v>
      </c>
      <c r="C145" s="16" t="s">
        <v>34</v>
      </c>
      <c r="D145" s="17">
        <v>40</v>
      </c>
      <c r="E145" s="18">
        <f ca="1">IFERROR(__xludf.DUMMYFUNCTION("COUNT(IMPORTRANGE(""https://docs.google.com/spreadsheets/d/1ptS0qWBCKWkc9h2aXWT_YgMhN7yIv5WgAHRbF8l9Zpo/edit"",""6!d2:d41""))"),40)</f>
        <v>40</v>
      </c>
      <c r="F145" s="23">
        <f ca="1">IFERROR(__xludf.DUMMYFUNCTION("SUM(IMPORTRANGE(""https://docs.google.com/spreadsheets/d/1ptS0qWBCKWkc9h2aXWT_YgMhN7yIv5WgAHRbF8l9Zpo/edit"",""6!Q2:Q41""))"),7852.119)</f>
        <v>7852.1189999999997</v>
      </c>
      <c r="G145" s="18">
        <f ca="1">IFERROR(__xludf.DUMMYFUNCTION("IMPORTRANGE(""https://docs.google.com/spreadsheets/d/1ptS0qWBCKWkc9h2aXWT_YgMhN7yIv5WgAHRbF8l9Zpo/edit"",""6!e48"")"),2909)</f>
        <v>2909</v>
      </c>
      <c r="H145" s="18">
        <f ca="1">IFERROR(__xludf.DUMMYFUNCTION("IMPORTRANGE(""https://docs.google.com/spreadsheets/d/1ptS0qWBCKWkc9h2aXWT_YgMhN7yIv5WgAHRbF8l9Zpo/edit"",""6!e49"")"),0)</f>
        <v>0</v>
      </c>
      <c r="I145" s="18">
        <f t="shared" ca="1" si="387"/>
        <v>2909</v>
      </c>
      <c r="J145" s="18">
        <f ca="1">IFERROR(__xludf.DUMMYFUNCTION("IMPORTRANGE(""https://docs.google.com/spreadsheets/d/1ptS0qWBCKWkc9h2aXWT_YgMhN7yIv5WgAHRbF8l9Zpo/edit"",""6!e52"")"),3443)</f>
        <v>3443</v>
      </c>
      <c r="K145" s="18">
        <f ca="1">IFERROR(__xludf.DUMMYFUNCTION("IMPORTRANGE(""https://docs.google.com/spreadsheets/d/1ptS0qWBCKWkc9h2aXWT_YgMhN7yIv5WgAHRbF8l9Zpo/edit"",""6!e53"")"),0)</f>
        <v>0</v>
      </c>
      <c r="L145" s="18">
        <f t="shared" ca="1" si="388"/>
        <v>3443</v>
      </c>
      <c r="M145" s="18">
        <f t="shared" ca="1" si="389"/>
        <v>6352</v>
      </c>
      <c r="N145" s="19">
        <f t="shared" ca="1" si="390"/>
        <v>196.302975</v>
      </c>
      <c r="O145" s="16">
        <v>9354</v>
      </c>
      <c r="P145" s="20">
        <f t="shared" ca="1" si="391"/>
        <v>0.67906777849048539</v>
      </c>
      <c r="Q145" s="21">
        <v>1.5</v>
      </c>
      <c r="R145" s="20">
        <f t="shared" ca="1" si="392"/>
        <v>0.53930240571579047</v>
      </c>
      <c r="S145" s="22">
        <f t="shared" ca="1" si="393"/>
        <v>0.8089536085736857</v>
      </c>
      <c r="T145" s="21">
        <f ca="1">F145/30.713</f>
        <v>255.66108813857323</v>
      </c>
      <c r="U145" s="21">
        <f t="shared" ca="1" si="394"/>
        <v>6.3915272034643307</v>
      </c>
      <c r="V145" s="18">
        <f t="shared" ca="1" si="395"/>
        <v>158.80000000000001</v>
      </c>
      <c r="W145" s="76"/>
      <c r="X145" s="100" t="s">
        <v>35</v>
      </c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9"/>
      <c r="AS145" s="76"/>
      <c r="AT145" s="76"/>
    </row>
    <row r="146" spans="1:46" ht="15.75" customHeight="1" x14ac:dyDescent="0.25">
      <c r="A146" s="70"/>
      <c r="B146" s="16">
        <v>6</v>
      </c>
      <c r="C146" s="16" t="s">
        <v>23</v>
      </c>
      <c r="D146" s="17">
        <v>35</v>
      </c>
      <c r="E146" s="18">
        <f ca="1">IFERROR(__xludf.DUMMYFUNCTION("COUNT(IMPORTRANGE(""https://docs.google.com/spreadsheets/d/1829CoYW82aTBBUgqkPnJa94KlBWI-DowAnP4ENQCmaQ/edit"",""6!d2:d36""))"),34)</f>
        <v>34</v>
      </c>
      <c r="F146" s="23">
        <f ca="1">IFERROR(__xludf.DUMMYFUNCTION("SUM(IMPORTRANGE(""https://docs.google.com/spreadsheets/d/1829CoYW82aTBBUgqkPnJa94KlBWI-DowAnP4ENQCmaQ/edit"",""6!Q2:Q36""))"),6714.25999999999)</f>
        <v>6714.2599999999902</v>
      </c>
      <c r="G146" s="18">
        <f ca="1">IFERROR(__xludf.DUMMYFUNCTION("IMPORTRANGE(""https://docs.google.com/spreadsheets/d/1829CoYW82aTBBUgqkPnJa94KlBWI-DowAnP4ENQCmaQ/edit"",""6!e43"")"),1547)</f>
        <v>1547</v>
      </c>
      <c r="H146" s="18">
        <f ca="1">IFERROR(__xludf.DUMMYFUNCTION("IMPORTRANGE(""https://docs.google.com/spreadsheets/d/1829CoYW82aTBBUgqkPnJa94KlBWI-DowAnP4ENQCmaQ/edit"",""6!e44"")"),0)</f>
        <v>0</v>
      </c>
      <c r="I146" s="18">
        <f t="shared" ca="1" si="387"/>
        <v>1547</v>
      </c>
      <c r="J146" s="18">
        <f ca="1">IFERROR(__xludf.DUMMYFUNCTION("IMPORTRANGE(""https://docs.google.com/spreadsheets/d/1829CoYW82aTBBUgqkPnJa94KlBWI-DowAnP4ENQCmaQ/edit"",""6!e47"")"),3478)</f>
        <v>3478</v>
      </c>
      <c r="K146" s="18">
        <f ca="1">IFERROR(__xludf.DUMMYFUNCTION("IMPORTRANGE(""https://docs.google.com/spreadsheets/d/1829CoYW82aTBBUgqkPnJa94KlBWI-DowAnP4ENQCmaQ/edit"",""6!e48"")"),0)</f>
        <v>0</v>
      </c>
      <c r="L146" s="18">
        <f t="shared" ca="1" si="388"/>
        <v>3478</v>
      </c>
      <c r="M146" s="18">
        <f t="shared" ca="1" si="389"/>
        <v>5025</v>
      </c>
      <c r="N146" s="19">
        <f t="shared" ca="1" si="390"/>
        <v>197.47823529411735</v>
      </c>
      <c r="O146" s="16">
        <v>6853</v>
      </c>
      <c r="P146" s="20">
        <f t="shared" ca="1" si="391"/>
        <v>0.73325550853640742</v>
      </c>
      <c r="Q146" s="21">
        <v>1.5</v>
      </c>
      <c r="R146" s="20">
        <f t="shared" ca="1" si="392"/>
        <v>0.49893808103946008</v>
      </c>
      <c r="S146" s="22">
        <f t="shared" ca="1" si="393"/>
        <v>0.74840712155919009</v>
      </c>
      <c r="T146" s="21">
        <f ca="1">F146/33.74</f>
        <v>198.99999999999969</v>
      </c>
      <c r="U146" s="21">
        <f t="shared" ca="1" si="394"/>
        <v>5.852941176470579</v>
      </c>
      <c r="V146" s="18">
        <f t="shared" ca="1" si="395"/>
        <v>147.79411764705881</v>
      </c>
      <c r="W146" s="76"/>
      <c r="X146" s="1" t="s">
        <v>2</v>
      </c>
      <c r="Y146" s="1" t="s">
        <v>3</v>
      </c>
      <c r="Z146" s="1" t="s">
        <v>4</v>
      </c>
      <c r="AA146" s="1" t="s">
        <v>5</v>
      </c>
      <c r="AB146" s="2" t="s">
        <v>6</v>
      </c>
      <c r="AC146" s="1" t="s">
        <v>7</v>
      </c>
      <c r="AD146" s="1" t="s">
        <v>8</v>
      </c>
      <c r="AE146" s="1" t="s">
        <v>9</v>
      </c>
      <c r="AF146" s="1" t="s">
        <v>10</v>
      </c>
      <c r="AG146" s="1" t="s">
        <v>11</v>
      </c>
      <c r="AH146" s="1" t="s">
        <v>12</v>
      </c>
      <c r="AI146" s="1" t="s">
        <v>13</v>
      </c>
      <c r="AJ146" s="2" t="s">
        <v>14</v>
      </c>
      <c r="AK146" s="1" t="s">
        <v>15</v>
      </c>
      <c r="AL146" s="1" t="s">
        <v>16</v>
      </c>
      <c r="AM146" s="3" t="s">
        <v>17</v>
      </c>
      <c r="AN146" s="4" t="s">
        <v>18</v>
      </c>
      <c r="AO146" s="5" t="s">
        <v>19</v>
      </c>
      <c r="AP146" s="6" t="s">
        <v>20</v>
      </c>
      <c r="AQ146" s="6" t="s">
        <v>21</v>
      </c>
      <c r="AR146" s="7" t="s">
        <v>22</v>
      </c>
      <c r="AS146" s="76"/>
      <c r="AT146" s="76"/>
    </row>
    <row r="147" spans="1:46" ht="15.75" customHeight="1" x14ac:dyDescent="0.25">
      <c r="A147" s="70"/>
      <c r="B147" s="16">
        <v>7</v>
      </c>
      <c r="C147" s="16" t="s">
        <v>24</v>
      </c>
      <c r="D147" s="17">
        <v>44</v>
      </c>
      <c r="E147" s="31">
        <f ca="1">IFERROR(__xludf.DUMMYFUNCTION("COUNT(IMPORTRANGE(""https://docs.google.com/spreadsheets/d/1E2x4oDZxEIsuC5nl-5Z0--MoN8b1dt9SbpRcCfNP84Q/edit"",""6!d2:d45""))"),43)</f>
        <v>43</v>
      </c>
      <c r="F147" s="32">
        <f ca="1">IFERROR(__xludf.DUMMYFUNCTION("SUM(IMPORTRANGE(""https://docs.google.com/spreadsheets/d/1E2x4oDZxEIsuC5nl-5Z0--MoN8b1dt9SbpRcCfNP84Q/edit"",""6!Q2:Q45""))"),8489.17299999999)</f>
        <v>8489.1729999999898</v>
      </c>
      <c r="G147" s="31">
        <f ca="1">IFERROR(__xludf.DUMMYFUNCTION("IMPORTRANGE(""https://docs.google.com/spreadsheets/d/1E2x4oDZxEIsuC5nl-5Z0--MoN8b1dt9SbpRcCfNP84Q/edit"",""6!e53"")"),899)</f>
        <v>899</v>
      </c>
      <c r="H147" s="31">
        <f ca="1">IFERROR(__xludf.DUMMYFUNCTION("IMPORTRANGE(""https://docs.google.com/spreadsheets/d/1E2x4oDZxEIsuC5nl-5Z0--MoN8b1dt9SbpRcCfNP84Q/edit"",""6!e54"")"),23)</f>
        <v>23</v>
      </c>
      <c r="I147" s="31">
        <f t="shared" ca="1" si="387"/>
        <v>922</v>
      </c>
      <c r="J147" s="31">
        <f ca="1">IFERROR(__xludf.DUMMYFUNCTION("IMPORTRANGE(""https://docs.google.com/spreadsheets/d/1E2x4oDZxEIsuC5nl-5Z0--MoN8b1dt9SbpRcCfNP84Q/edit"",""6!e57"")"),1691)</f>
        <v>1691</v>
      </c>
      <c r="K147" s="31">
        <f ca="1">IFERROR(__xludf.DUMMYFUNCTION("IMPORTRANGE(""https://docs.google.com/spreadsheets/d/1E2x4oDZxEIsuC5nl-5Z0--MoN8b1dt9SbpRcCfNP84Q/edit"",""6!e58"")"),26)</f>
        <v>26</v>
      </c>
      <c r="L147" s="18">
        <f t="shared" ca="1" si="388"/>
        <v>1717</v>
      </c>
      <c r="M147" s="18">
        <f t="shared" ca="1" si="389"/>
        <v>2639</v>
      </c>
      <c r="N147" s="19">
        <f t="shared" ca="1" si="390"/>
        <v>197.42262790697652</v>
      </c>
      <c r="O147" s="16">
        <v>1580</v>
      </c>
      <c r="P147" s="33">
        <f t="shared" ca="1" si="391"/>
        <v>1.670253164556962</v>
      </c>
      <c r="Q147" s="21">
        <v>1.5</v>
      </c>
      <c r="R147" s="20">
        <f t="shared" ca="1" si="392"/>
        <v>0.20724437272433197</v>
      </c>
      <c r="S147" s="22">
        <f t="shared" ca="1" si="393"/>
        <v>0.31086655908649796</v>
      </c>
      <c r="T147" s="21">
        <f ca="1">F147/26.805</f>
        <v>316.70110054094346</v>
      </c>
      <c r="U147" s="21">
        <f t="shared" ca="1" si="394"/>
        <v>7.3651418730451965</v>
      </c>
      <c r="V147" s="18">
        <f t="shared" ca="1" si="395"/>
        <v>61.372093023255815</v>
      </c>
      <c r="W147" s="76"/>
      <c r="X147" s="8">
        <v>1</v>
      </c>
      <c r="Y147" s="8" t="s">
        <v>28</v>
      </c>
      <c r="Z147" s="8">
        <f t="shared" ref="Z147:AI147" si="406">SUM(D142)</f>
        <v>33</v>
      </c>
      <c r="AA147" s="9">
        <f t="shared" ca="1" si="406"/>
        <v>33</v>
      </c>
      <c r="AB147" s="11">
        <f t="shared" ca="1" si="406"/>
        <v>6497.9359999999897</v>
      </c>
      <c r="AC147" s="9">
        <f t="shared" ca="1" si="406"/>
        <v>2268</v>
      </c>
      <c r="AD147" s="9">
        <f t="shared" ca="1" si="406"/>
        <v>157</v>
      </c>
      <c r="AE147" s="9">
        <f t="shared" ca="1" si="406"/>
        <v>2425</v>
      </c>
      <c r="AF147" s="9">
        <f t="shared" ca="1" si="406"/>
        <v>3517</v>
      </c>
      <c r="AG147" s="9">
        <f t="shared" ca="1" si="406"/>
        <v>170</v>
      </c>
      <c r="AH147" s="9">
        <f t="shared" ca="1" si="406"/>
        <v>3687</v>
      </c>
      <c r="AI147" s="9">
        <f t="shared" ca="1" si="406"/>
        <v>6112</v>
      </c>
      <c r="AJ147" s="11">
        <f t="shared" ref="AJ147:AJ153" ca="1" si="407">AB147/AA147</f>
        <v>196.90715151515121</v>
      </c>
      <c r="AK147" s="8">
        <f t="shared" ref="AK147:AK148" si="408">SUM(O142)</f>
        <v>7315</v>
      </c>
      <c r="AL147" s="12">
        <f t="shared" ref="AL147:AL153" ca="1" si="409">AI147/AK147</f>
        <v>0.83554340396445659</v>
      </c>
      <c r="AM147" s="13">
        <f t="shared" ref="AM147:AM148" si="410">SUM(Q142)</f>
        <v>1.5</v>
      </c>
      <c r="AN147" s="12">
        <f t="shared" ref="AN147:AN153" ca="1" si="411">AO147/AM147</f>
        <v>0.62707091400510462</v>
      </c>
      <c r="AO147" s="14">
        <f t="shared" ref="AO147:AO153" ca="1" si="412">AI147/AB147</f>
        <v>0.94060637100765687</v>
      </c>
      <c r="AP147" s="13">
        <f t="shared" ref="AP147:AQ147" ca="1" si="413">SUM(T142)</f>
        <v>210.3096093471855</v>
      </c>
      <c r="AQ147" s="13">
        <f t="shared" ca="1" si="413"/>
        <v>6.3730184650662274</v>
      </c>
      <c r="AR147" s="9">
        <f t="shared" ref="AR147:AR153" ca="1" si="414">AI147/AA147</f>
        <v>185.21212121212122</v>
      </c>
      <c r="AS147" s="76"/>
      <c r="AT147" s="76"/>
    </row>
    <row r="148" spans="1:46" ht="15.75" customHeight="1" x14ac:dyDescent="0.25">
      <c r="A148" s="70"/>
      <c r="B148" s="16">
        <v>8</v>
      </c>
      <c r="C148" s="16" t="s">
        <v>25</v>
      </c>
      <c r="D148" s="34">
        <v>32</v>
      </c>
      <c r="E148" s="18">
        <f ca="1">IFERROR(__xludf.DUMMYFUNCTION("COUNT(IMPORTRANGE(""https://docs.google.com/spreadsheets/d/1KbRFOEYB0B44J_NSh1MwYQ1sLDlZXUHI-wuMLcZDn5k/edit"",""6!d2:D33""))"),32)</f>
        <v>32</v>
      </c>
      <c r="F148" s="23">
        <f ca="1">IFERROR(__xludf.DUMMYFUNCTION("SUM(IMPORTRANGE(""https://docs.google.com/spreadsheets/d/1KbRFOEYB0B44J_NSh1MwYQ1sLDlZXUHI-wuMLcZDn5k/edit"",""6!Q2:Q33""))"),6224.008)</f>
        <v>6224.0079999999998</v>
      </c>
      <c r="G148" s="18">
        <f ca="1">IFERROR(__xludf.DUMMYFUNCTION("IMPORTRANGE(""https://docs.google.com/spreadsheets/d/1KbRFOEYB0B44J_NSh1MwYQ1sLDlZXUHI-wuMLcZDn5k/edit"",""6!e40"")"),2442)</f>
        <v>2442</v>
      </c>
      <c r="H148" s="18">
        <f ca="1">IFERROR(__xludf.DUMMYFUNCTION("IMPORTRANGE(""https://docs.google.com/spreadsheets/d/1KbRFOEYB0B44J_NSh1MwYQ1sLDlZXUHI-wuMLcZDn5k/edit"",""6!e41"")"),426)</f>
        <v>426</v>
      </c>
      <c r="I148" s="18">
        <f t="shared" ca="1" si="387"/>
        <v>2868</v>
      </c>
      <c r="J148" s="18">
        <f ca="1">IFERROR(__xludf.DUMMYFUNCTION("IMPORTRANGE(""https://docs.google.com/spreadsheets/d/1KbRFOEYB0B44J_NSh1MwYQ1sLDlZXUHI-wuMLcZDn5k/edit"",""6!e44"")"),2782)</f>
        <v>2782</v>
      </c>
      <c r="K148" s="18">
        <f ca="1">IFERROR(__xludf.DUMMYFUNCTION("IMPORTRANGE(""https://docs.google.com/spreadsheets/d/1KbRFOEYB0B44J_NSh1MwYQ1sLDlZXUHI-wuMLcZDn5k/edit"",""6!e45"")"),397)</f>
        <v>397</v>
      </c>
      <c r="L148" s="18">
        <f ca="1">J148+K148</f>
        <v>3179</v>
      </c>
      <c r="M148" s="18">
        <f t="shared" ca="1" si="389"/>
        <v>6047</v>
      </c>
      <c r="N148" s="19">
        <f t="shared" ca="1" si="390"/>
        <v>194.50024999999999</v>
      </c>
      <c r="O148" s="16">
        <v>6622</v>
      </c>
      <c r="P148" s="20">
        <f t="shared" ca="1" si="391"/>
        <v>0.91316822712171553</v>
      </c>
      <c r="Q148" s="21">
        <v>1.5</v>
      </c>
      <c r="R148" s="20">
        <f t="shared" ca="1" si="392"/>
        <v>0.6477069652438322</v>
      </c>
      <c r="S148" s="22">
        <f t="shared" ca="1" si="393"/>
        <v>0.97156044786574824</v>
      </c>
      <c r="T148" s="21">
        <f ca="1">F148/23.84</f>
        <v>261.07416107382551</v>
      </c>
      <c r="U148" s="21">
        <f t="shared" ca="1" si="394"/>
        <v>8.1585675335570471</v>
      </c>
      <c r="V148" s="18">
        <f t="shared" ca="1" si="395"/>
        <v>188.96875</v>
      </c>
      <c r="W148" s="76"/>
      <c r="X148" s="8">
        <v>2</v>
      </c>
      <c r="Y148" s="8" t="s">
        <v>30</v>
      </c>
      <c r="Z148" s="8">
        <f t="shared" ref="Z148:AI148" si="415">SUM(D143)</f>
        <v>60</v>
      </c>
      <c r="AA148" s="9">
        <f t="shared" ca="1" si="415"/>
        <v>57</v>
      </c>
      <c r="AB148" s="10">
        <f t="shared" ca="1" si="415"/>
        <v>11337.9489999999</v>
      </c>
      <c r="AC148" s="9">
        <f t="shared" ca="1" si="415"/>
        <v>2876</v>
      </c>
      <c r="AD148" s="9">
        <f t="shared" ca="1" si="415"/>
        <v>0</v>
      </c>
      <c r="AE148" s="9">
        <f t="shared" ca="1" si="415"/>
        <v>2876</v>
      </c>
      <c r="AF148" s="9">
        <f t="shared" ca="1" si="415"/>
        <v>6435</v>
      </c>
      <c r="AG148" s="9">
        <f t="shared" ca="1" si="415"/>
        <v>21</v>
      </c>
      <c r="AH148" s="9">
        <f t="shared" ca="1" si="415"/>
        <v>6456</v>
      </c>
      <c r="AI148" s="9">
        <f t="shared" ca="1" si="415"/>
        <v>9332</v>
      </c>
      <c r="AJ148" s="11">
        <f t="shared" ca="1" si="407"/>
        <v>198.91138596491052</v>
      </c>
      <c r="AK148" s="8">
        <f t="shared" si="408"/>
        <v>11164</v>
      </c>
      <c r="AL148" s="12">
        <f t="shared" ca="1" si="409"/>
        <v>0.8359011107130061</v>
      </c>
      <c r="AM148" s="13">
        <f t="shared" si="410"/>
        <v>1.5</v>
      </c>
      <c r="AN148" s="12">
        <f t="shared" ca="1" si="411"/>
        <v>0.54871770311662083</v>
      </c>
      <c r="AO148" s="14">
        <f t="shared" ca="1" si="412"/>
        <v>0.82307655467493124</v>
      </c>
      <c r="AP148" s="13">
        <f t="shared" ref="AP148:AQ148" ca="1" si="416">SUM(T143)</f>
        <v>382.99999999999665</v>
      </c>
      <c r="AQ148" s="13">
        <f t="shared" ca="1" si="416"/>
        <v>6.7192982456139765</v>
      </c>
      <c r="AR148" s="9">
        <f t="shared" ca="1" si="414"/>
        <v>163.71929824561403</v>
      </c>
      <c r="AS148" s="76"/>
      <c r="AT148" s="76"/>
    </row>
    <row r="149" spans="1:46" ht="15.75" customHeight="1" x14ac:dyDescent="0.25">
      <c r="A149" s="70"/>
      <c r="B149" s="16">
        <v>9</v>
      </c>
      <c r="C149" s="16" t="s">
        <v>36</v>
      </c>
      <c r="D149" s="34">
        <v>29</v>
      </c>
      <c r="E149" s="18">
        <f ca="1">IFERROR(__xludf.DUMMYFUNCTION("COUNT(IMPORTRANGE(""https://docs.google.com/spreadsheets/d/1VqqqRGfmmkT0JC4ILJva2p8P11jjV0FX-TSKAaqOigw/edit"",""6!d2:d31""))"),28)</f>
        <v>28</v>
      </c>
      <c r="F149" s="23">
        <f ca="1">IFERROR(__xludf.DUMMYFUNCTION("SUM(IMPORTRANGE(""https://docs.google.com/spreadsheets/d/1VqqqRGfmmkT0JC4ILJva2p8P11jjV0FX-TSKAaqOigw/edit"",""6!Q2:Q31""))"),5568.302)</f>
        <v>5568.3019999999997</v>
      </c>
      <c r="G149" s="18">
        <f ca="1">IFERROR(__xludf.DUMMYFUNCTION("IMPORTRANGE(""https://docs.google.com/spreadsheets/d/1VqqqRGfmmkT0JC4ILJva2p8P11jjV0FX-TSKAaqOigw/edit"",""6!e38"")"),1536)</f>
        <v>1536</v>
      </c>
      <c r="H149" s="18">
        <f ca="1">IFERROR(__xludf.DUMMYFUNCTION("IMPORTRANGE(""https://docs.google.com/spreadsheets/d/1VqqqRGfmmkT0JC4ILJva2p8P11jjV0FX-TSKAaqOigw/edit"",""6!e39"")"),46)</f>
        <v>46</v>
      </c>
      <c r="I149" s="18">
        <f t="shared" ca="1" si="387"/>
        <v>1582</v>
      </c>
      <c r="J149" s="18">
        <f ca="1">IFERROR(__xludf.DUMMYFUNCTION("IMPORTRANGE(""https://docs.google.com/spreadsheets/d/1VqqqRGfmmkT0JC4ILJva2p8P11jjV0FX-TSKAaqOigw/edit"",""6!e42"")"),2270)</f>
        <v>2270</v>
      </c>
      <c r="K149" s="18">
        <f ca="1">IFERROR(__xludf.DUMMYFUNCTION("IMPORTRANGE(""https://docs.google.com/spreadsheets/d/1VqqqRGfmmkT0JC4ILJva2p8P11jjV0FX-TSKAaqOigw/edit"",""6!e43"")"),74)</f>
        <v>74</v>
      </c>
      <c r="L149" s="18">
        <f t="shared" ref="L149:L158" ca="1" si="417">SUM(J149:K149)</f>
        <v>2344</v>
      </c>
      <c r="M149" s="18">
        <f t="shared" ca="1" si="389"/>
        <v>3926</v>
      </c>
      <c r="N149" s="19">
        <f t="shared" ca="1" si="390"/>
        <v>198.86792857142856</v>
      </c>
      <c r="O149" s="16">
        <v>4796</v>
      </c>
      <c r="P149" s="20">
        <f t="shared" ca="1" si="391"/>
        <v>0.81859883236030029</v>
      </c>
      <c r="Q149" s="21">
        <v>1.5</v>
      </c>
      <c r="R149" s="20">
        <f t="shared" ca="1" si="392"/>
        <v>0.47004155545682208</v>
      </c>
      <c r="S149" s="22">
        <f t="shared" ca="1" si="393"/>
        <v>0.70506233318523315</v>
      </c>
      <c r="T149" s="21">
        <f ca="1">F149/37.414</f>
        <v>148.82936868551877</v>
      </c>
      <c r="U149" s="21">
        <f t="shared" ca="1" si="394"/>
        <v>5.3153345959113851</v>
      </c>
      <c r="V149" s="18">
        <f t="shared" ca="1" si="395"/>
        <v>140.21428571428572</v>
      </c>
      <c r="W149" s="76"/>
      <c r="X149" s="8">
        <v>3</v>
      </c>
      <c r="Y149" s="8" t="s">
        <v>34</v>
      </c>
      <c r="Z149" s="8">
        <f t="shared" ref="Z149:AI149" si="418">SUM(D145)</f>
        <v>40</v>
      </c>
      <c r="AA149" s="9">
        <f t="shared" ca="1" si="418"/>
        <v>40</v>
      </c>
      <c r="AB149" s="10">
        <f t="shared" ca="1" si="418"/>
        <v>7852.1189999999997</v>
      </c>
      <c r="AC149" s="9">
        <f t="shared" ca="1" si="418"/>
        <v>2909</v>
      </c>
      <c r="AD149" s="9">
        <f t="shared" ca="1" si="418"/>
        <v>0</v>
      </c>
      <c r="AE149" s="9">
        <f t="shared" ca="1" si="418"/>
        <v>2909</v>
      </c>
      <c r="AF149" s="9">
        <f t="shared" ca="1" si="418"/>
        <v>3443</v>
      </c>
      <c r="AG149" s="9">
        <f t="shared" ca="1" si="418"/>
        <v>0</v>
      </c>
      <c r="AH149" s="9">
        <f t="shared" ca="1" si="418"/>
        <v>3443</v>
      </c>
      <c r="AI149" s="9">
        <f t="shared" ca="1" si="418"/>
        <v>6352</v>
      </c>
      <c r="AJ149" s="11">
        <f t="shared" ca="1" si="407"/>
        <v>196.302975</v>
      </c>
      <c r="AK149" s="8">
        <f>SUM(O145)</f>
        <v>9354</v>
      </c>
      <c r="AL149" s="12">
        <f t="shared" ca="1" si="409"/>
        <v>0.67906777849048539</v>
      </c>
      <c r="AM149" s="13">
        <f>SUM(Q145)</f>
        <v>1.5</v>
      </c>
      <c r="AN149" s="12">
        <f t="shared" ca="1" si="411"/>
        <v>0.53930240571579047</v>
      </c>
      <c r="AO149" s="14">
        <f t="shared" ca="1" si="412"/>
        <v>0.8089536085736857</v>
      </c>
      <c r="AP149" s="13">
        <f t="shared" ref="AP149:AQ149" ca="1" si="419">SUM(T145)</f>
        <v>255.66108813857323</v>
      </c>
      <c r="AQ149" s="13">
        <f t="shared" ca="1" si="419"/>
        <v>6.3915272034643307</v>
      </c>
      <c r="AR149" s="9">
        <f t="shared" ca="1" si="414"/>
        <v>158.80000000000001</v>
      </c>
      <c r="AS149" s="76"/>
      <c r="AT149" s="76"/>
    </row>
    <row r="150" spans="1:46" ht="15.75" customHeight="1" x14ac:dyDescent="0.25">
      <c r="A150" s="70"/>
      <c r="B150" s="16">
        <v>10</v>
      </c>
      <c r="C150" s="16" t="s">
        <v>37</v>
      </c>
      <c r="D150" s="17">
        <v>30</v>
      </c>
      <c r="E150" s="18">
        <f ca="1">IFERROR(__xludf.DUMMYFUNCTION("COUNT(IMPORTRANGE(""https://docs.google.com/spreadsheets/d/1IYeRjQd_D6MRqoBKNaky3aSEUloYCJc5XDnPAbdyetk/edit"",""6!d2:d31""))"),27)</f>
        <v>27</v>
      </c>
      <c r="F150" s="23">
        <f ca="1">IFERROR(__xludf.DUMMYFUNCTION("SUM(IMPORTRANGE(""https://docs.google.com/spreadsheets/d/1IYeRjQd_D6MRqoBKNaky3aSEUloYCJc5XDnPAbdyetk/edit"",""6!Q2:Q31""))"),5352.45)</f>
        <v>5352.45</v>
      </c>
      <c r="G150" s="18">
        <f ca="1">IFERROR(__xludf.DUMMYFUNCTION("(IMPORTRANGE(""https://docs.google.com/spreadsheets/d/1IYeRjQd_D6MRqoBKNaky3aSEUloYCJc5XDnPAbdyetk/edit"",""6!e38""))"),2102)</f>
        <v>2102</v>
      </c>
      <c r="H150" s="18">
        <f ca="1">IFERROR(__xludf.DUMMYFUNCTION("(IMPORTRANGE(""https://docs.google.com/spreadsheets/d/1IYeRjQd_D6MRqoBKNaky3aSEUloYCJc5XDnPAbdyetk/edit"",""6!e39""))"),56)</f>
        <v>56</v>
      </c>
      <c r="I150" s="18">
        <f t="shared" ca="1" si="387"/>
        <v>2158</v>
      </c>
      <c r="J150" s="18">
        <f ca="1">IFERROR(__xludf.DUMMYFUNCTION("(IMPORTRANGE(""https://docs.google.com/spreadsheets/d/1IYeRjQd_D6MRqoBKNaky3aSEUloYCJc5XDnPAbdyetk/edit"",""6!e42""))"),2834)</f>
        <v>2834</v>
      </c>
      <c r="K150" s="18">
        <f ca="1">IFERROR(__xludf.DUMMYFUNCTION("(IMPORTRANGE(""https://docs.google.com/spreadsheets/d/1IYeRjQd_D6MRqoBKNaky3aSEUloYCJc5XDnPAbdyetk/edit"",""6!e43""))"),113)</f>
        <v>113</v>
      </c>
      <c r="L150" s="18">
        <f t="shared" ca="1" si="417"/>
        <v>2947</v>
      </c>
      <c r="M150" s="18">
        <f t="shared" ca="1" si="389"/>
        <v>5105</v>
      </c>
      <c r="N150" s="19">
        <f t="shared" ca="1" si="390"/>
        <v>198.23888888888888</v>
      </c>
      <c r="O150" s="16">
        <v>5887</v>
      </c>
      <c r="P150" s="20">
        <f t="shared" ca="1" si="391"/>
        <v>0.86716493969763886</v>
      </c>
      <c r="Q150" s="21">
        <v>1.5</v>
      </c>
      <c r="R150" s="20">
        <f t="shared" ca="1" si="392"/>
        <v>0.63584588988843116</v>
      </c>
      <c r="S150" s="22">
        <f t="shared" ca="1" si="393"/>
        <v>0.95376883483264674</v>
      </c>
      <c r="T150" s="21">
        <f ca="1">F150/24.792</f>
        <v>215.89424007744432</v>
      </c>
      <c r="U150" s="21">
        <f t="shared" ca="1" si="394"/>
        <v>7.9960829658312713</v>
      </c>
      <c r="V150" s="18">
        <f t="shared" ca="1" si="395"/>
        <v>189.07407407407408</v>
      </c>
      <c r="W150" s="76"/>
      <c r="X150" s="8">
        <v>4</v>
      </c>
      <c r="Y150" s="8" t="s">
        <v>38</v>
      </c>
      <c r="Z150" s="8">
        <f t="shared" ref="Z150:AI150" si="420">SUM(D153)</f>
        <v>30</v>
      </c>
      <c r="AA150" s="9">
        <f t="shared" ca="1" si="420"/>
        <v>30</v>
      </c>
      <c r="AB150" s="10">
        <f t="shared" ca="1" si="420"/>
        <v>6182.8119999999899</v>
      </c>
      <c r="AC150" s="9">
        <f t="shared" ca="1" si="420"/>
        <v>2471</v>
      </c>
      <c r="AD150" s="9">
        <f t="shared" ca="1" si="420"/>
        <v>0</v>
      </c>
      <c r="AE150" s="9">
        <f t="shared" ca="1" si="420"/>
        <v>2471</v>
      </c>
      <c r="AF150" s="9">
        <f t="shared" ca="1" si="420"/>
        <v>2928</v>
      </c>
      <c r="AG150" s="9">
        <f t="shared" ca="1" si="420"/>
        <v>42</v>
      </c>
      <c r="AH150" s="9">
        <f t="shared" ca="1" si="420"/>
        <v>2970</v>
      </c>
      <c r="AI150" s="9">
        <f t="shared" ca="1" si="420"/>
        <v>5441</v>
      </c>
      <c r="AJ150" s="11">
        <f t="shared" ca="1" si="407"/>
        <v>206.09373333333301</v>
      </c>
      <c r="AK150" s="8">
        <v>7324</v>
      </c>
      <c r="AL150" s="12">
        <f t="shared" ca="1" si="409"/>
        <v>0.74290005461496456</v>
      </c>
      <c r="AM150" s="13">
        <f>SUM(Q153)</f>
        <v>1.5</v>
      </c>
      <c r="AN150" s="12">
        <f t="shared" ca="1" si="411"/>
        <v>0.58668019233535473</v>
      </c>
      <c r="AO150" s="14">
        <f t="shared" ca="1" si="412"/>
        <v>0.88002028850303204</v>
      </c>
      <c r="AP150" s="13">
        <f t="shared" ref="AP150:AQ150" ca="1" si="421">SUM(T153)</f>
        <v>150.05004247057371</v>
      </c>
      <c r="AQ150" s="13">
        <f t="shared" ca="1" si="421"/>
        <v>5.0016680823524569</v>
      </c>
      <c r="AR150" s="9">
        <f t="shared" ca="1" si="414"/>
        <v>181.36666666666667</v>
      </c>
      <c r="AS150" s="76"/>
      <c r="AT150" s="76"/>
    </row>
    <row r="151" spans="1:46" ht="15.75" customHeight="1" x14ac:dyDescent="0.25">
      <c r="A151" s="70"/>
      <c r="B151" s="16">
        <v>12</v>
      </c>
      <c r="C151" s="16" t="s">
        <v>39</v>
      </c>
      <c r="D151" s="17">
        <v>28</v>
      </c>
      <c r="E151" s="18">
        <f ca="1">IFERROR(__xludf.DUMMYFUNCTION("COUNT(IMPORTRANGE(""https://docs.google.com/spreadsheets/d/1TAY2D35yAzyl8a_p5CuZehQvmatfj0b0Q8ICl8GtJBY/edit"",""6!d2:d29""))"),27)</f>
        <v>27</v>
      </c>
      <c r="F151" s="23">
        <f ca="1">IFERROR(__xludf.DUMMYFUNCTION("SUM(IMPORTRANGE(""https://docs.google.com/spreadsheets/d/1TAY2D35yAzyl8a_p5CuZehQvmatfj0b0Q8ICl8GtJBY/edit"",""6!Q2:Q29""))"),5029.618)</f>
        <v>5029.6180000000004</v>
      </c>
      <c r="G151" s="18">
        <f ca="1">IFERROR(__xludf.DUMMYFUNCTION("IMPORTRANGE(""https://docs.google.com/spreadsheets/d/1TAY2D35yAzyl8a_p5CuZehQvmatfj0b0Q8ICl8GtJBY/edit"",""6!e36"")"),1071)</f>
        <v>1071</v>
      </c>
      <c r="H151" s="18">
        <f ca="1">IFERROR(__xludf.DUMMYFUNCTION("(IMPORTRANGE(""https://docs.google.com/spreadsheets/d/1TAY2D35yAzyl8a_p5CuZehQvmatfj0b0Q8ICl8GtJBY/edit"",""6!e37""))"),25)</f>
        <v>25</v>
      </c>
      <c r="I151" s="18">
        <f t="shared" ca="1" si="387"/>
        <v>1096</v>
      </c>
      <c r="J151" s="18">
        <f ca="1">IFERROR(__xludf.DUMMYFUNCTION("IMPORTRANGE(""https://docs.google.com/spreadsheets/d/1TAY2D35yAzyl8a_p5CuZehQvmatfj0b0Q8ICl8GtJBY/edit"",""6!e40"")"),1701)</f>
        <v>1701</v>
      </c>
      <c r="K151" s="18">
        <f ca="1">IFERROR(__xludf.DUMMYFUNCTION("IMPORTRANGE(""https://docs.google.com/spreadsheets/d/1TAY2D35yAzyl8a_p5CuZehQvmatfj0b0Q8ICl8GtJBY/edit"",""6!e41"")"),0)</f>
        <v>0</v>
      </c>
      <c r="L151" s="18">
        <f t="shared" ca="1" si="417"/>
        <v>1701</v>
      </c>
      <c r="M151" s="18">
        <f t="shared" ca="1" si="389"/>
        <v>2797</v>
      </c>
      <c r="N151" s="19">
        <f t="shared" ca="1" si="390"/>
        <v>186.28214814814817</v>
      </c>
      <c r="O151" s="16">
        <v>3569</v>
      </c>
      <c r="P151" s="20">
        <f t="shared" ca="1" si="391"/>
        <v>0.78369291117960216</v>
      </c>
      <c r="Q151" s="21">
        <v>1.5</v>
      </c>
      <c r="R151" s="20">
        <f t="shared" ca="1" si="392"/>
        <v>0.37073723425251509</v>
      </c>
      <c r="S151" s="22">
        <f t="shared" ca="1" si="393"/>
        <v>0.55610585137877266</v>
      </c>
      <c r="T151" s="21">
        <f ca="1">F151/21.463</f>
        <v>234.3390020034478</v>
      </c>
      <c r="U151" s="21">
        <f t="shared" ca="1" si="394"/>
        <v>8.6792222964239922</v>
      </c>
      <c r="V151" s="18">
        <f t="shared" ca="1" si="395"/>
        <v>103.5925925925926</v>
      </c>
      <c r="W151" s="76"/>
      <c r="X151" s="8">
        <v>5</v>
      </c>
      <c r="Y151" s="8" t="s">
        <v>40</v>
      </c>
      <c r="Z151" s="8">
        <f t="shared" ref="Z151:AI151" si="422">SUM(D155)</f>
        <v>30</v>
      </c>
      <c r="AA151" s="9">
        <f t="shared" ca="1" si="422"/>
        <v>29</v>
      </c>
      <c r="AB151" s="10">
        <f t="shared" ca="1" si="422"/>
        <v>5517.94199999999</v>
      </c>
      <c r="AC151" s="9">
        <f t="shared" ca="1" si="422"/>
        <v>3471</v>
      </c>
      <c r="AD151" s="9">
        <f t="shared" ca="1" si="422"/>
        <v>15</v>
      </c>
      <c r="AE151" s="9">
        <f t="shared" ca="1" si="422"/>
        <v>3486</v>
      </c>
      <c r="AF151" s="9">
        <f t="shared" ca="1" si="422"/>
        <v>3804</v>
      </c>
      <c r="AG151" s="9">
        <f t="shared" ca="1" si="422"/>
        <v>0</v>
      </c>
      <c r="AH151" s="9">
        <f t="shared" ca="1" si="422"/>
        <v>3804</v>
      </c>
      <c r="AI151" s="9">
        <f t="shared" ca="1" si="422"/>
        <v>7290</v>
      </c>
      <c r="AJ151" s="11">
        <f t="shared" ca="1" si="407"/>
        <v>190.27386206896517</v>
      </c>
      <c r="AK151" s="8">
        <f t="shared" ref="AK151:AK152" si="423">SUM(O155)</f>
        <v>8239</v>
      </c>
      <c r="AL151" s="12">
        <f t="shared" ca="1" si="409"/>
        <v>0.8848161184609783</v>
      </c>
      <c r="AM151" s="13">
        <f t="shared" ref="AM151:AM152" si="424">SUM(Q155)</f>
        <v>1.5</v>
      </c>
      <c r="AN151" s="12">
        <f t="shared" ca="1" si="411"/>
        <v>0.88076315408897177</v>
      </c>
      <c r="AO151" s="14">
        <f t="shared" ca="1" si="412"/>
        <v>1.3211447311334577</v>
      </c>
      <c r="AP151" s="13">
        <f t="shared" ref="AP151:AQ151" ca="1" si="425">SUM(T155)</f>
        <v>193.99999999999963</v>
      </c>
      <c r="AQ151" s="13">
        <f t="shared" ca="1" si="425"/>
        <v>6.6896551724137803</v>
      </c>
      <c r="AR151" s="9">
        <f t="shared" ca="1" si="414"/>
        <v>251.37931034482759</v>
      </c>
      <c r="AS151" s="76"/>
      <c r="AT151" s="76"/>
    </row>
    <row r="152" spans="1:46" ht="15.75" customHeight="1" x14ac:dyDescent="0.25">
      <c r="A152" s="70"/>
      <c r="B152" s="16">
        <v>12</v>
      </c>
      <c r="C152" s="16" t="s">
        <v>41</v>
      </c>
      <c r="D152" s="17">
        <v>24</v>
      </c>
      <c r="E152" s="18">
        <f ca="1">IFERROR(__xludf.DUMMYFUNCTION("COUNT(IMPORTRANGE(""https://docs.google.com/spreadsheets/d/1VAsUtLQHi7oV9NsI9EIHPnO1bcPJHeRgSbMoxSvPBME/edit"",""6!d2:d25""))"),24)</f>
        <v>24</v>
      </c>
      <c r="F152" s="23">
        <f ca="1">IFERROR(__xludf.DUMMYFUNCTION("SUM(IMPORTRANGE(""https://docs.google.com/spreadsheets/d/1VAsUtLQHi7oV9NsI9EIHPnO1bcPJHeRgSbMoxSvPBME/edit"",""6!Q2:Q25""))"),4763.524)</f>
        <v>4763.5240000000003</v>
      </c>
      <c r="G152" s="18">
        <f ca="1">IFERROR(__xludf.DUMMYFUNCTION("IMPORTRANGE(""https://docs.google.com/spreadsheets/d/1VAsUtLQHi7oV9NsI9EIHPnO1bcPJHeRgSbMoxSvPBME/edit"",""6!e32"")"),1290)</f>
        <v>1290</v>
      </c>
      <c r="H152" s="18">
        <f ca="1">IFERROR(__xludf.DUMMYFUNCTION("IMPORTRANGE(""https://docs.google.com/spreadsheets/d/1VAsUtLQHi7oV9NsI9EIHPnO1bcPJHeRgSbMoxSvPBME/edit"",""6!e33"")"),0)</f>
        <v>0</v>
      </c>
      <c r="I152" s="18">
        <f t="shared" ca="1" si="387"/>
        <v>1290</v>
      </c>
      <c r="J152" s="18">
        <f ca="1">IFERROR(__xludf.DUMMYFUNCTION("IMPORTRANGE(""https://docs.google.com/spreadsheets/d/1VAsUtLQHi7oV9NsI9EIHPnO1bcPJHeRgSbMoxSvPBME/edit"",""6!e36"")"),1675)</f>
        <v>1675</v>
      </c>
      <c r="K152" s="18">
        <f ca="1">IFERROR(__xludf.DUMMYFUNCTION("IMPORTRANGE(""https://docs.google.com/spreadsheets/d/1VAsUtLQHi7oV9NsI9EIHPnO1bcPJHeRgSbMoxSvPBME/edit"",""6!e37"")"),0)</f>
        <v>0</v>
      </c>
      <c r="L152" s="18">
        <f t="shared" ca="1" si="417"/>
        <v>1675</v>
      </c>
      <c r="M152" s="18">
        <f t="shared" ca="1" si="389"/>
        <v>2965</v>
      </c>
      <c r="N152" s="19">
        <f t="shared" ca="1" si="390"/>
        <v>198.48016666666669</v>
      </c>
      <c r="O152" s="16">
        <v>3801</v>
      </c>
      <c r="P152" s="20">
        <f t="shared" ca="1" si="391"/>
        <v>0.78005787950539329</v>
      </c>
      <c r="Q152" s="21">
        <v>1.5</v>
      </c>
      <c r="R152" s="20">
        <f t="shared" ca="1" si="392"/>
        <v>0.41495889737653607</v>
      </c>
      <c r="S152" s="22">
        <f t="shared" ca="1" si="393"/>
        <v>0.62243834606480408</v>
      </c>
      <c r="T152" s="21">
        <f ca="1">F152/29.628</f>
        <v>160.7777777777778</v>
      </c>
      <c r="U152" s="21">
        <f t="shared" ca="1" si="394"/>
        <v>6.6990740740740753</v>
      </c>
      <c r="V152" s="18">
        <f t="shared" ca="1" si="395"/>
        <v>123.54166666666667</v>
      </c>
      <c r="W152" s="76"/>
      <c r="X152" s="8">
        <v>6</v>
      </c>
      <c r="Y152" s="8" t="s">
        <v>42</v>
      </c>
      <c r="Z152" s="8">
        <f t="shared" ref="Z152:AI152" si="426">SUM(D156)</f>
        <v>33</v>
      </c>
      <c r="AA152" s="9">
        <f t="shared" ca="1" si="426"/>
        <v>33</v>
      </c>
      <c r="AB152" s="10">
        <f t="shared" ca="1" si="426"/>
        <v>6501.82599999999</v>
      </c>
      <c r="AC152" s="9">
        <f t="shared" ca="1" si="426"/>
        <v>3147</v>
      </c>
      <c r="AD152" s="9">
        <f t="shared" ca="1" si="426"/>
        <v>100</v>
      </c>
      <c r="AE152" s="9">
        <f t="shared" ca="1" si="426"/>
        <v>3247</v>
      </c>
      <c r="AF152" s="9">
        <f t="shared" ca="1" si="426"/>
        <v>4567</v>
      </c>
      <c r="AG152" s="9">
        <f t="shared" ca="1" si="426"/>
        <v>17</v>
      </c>
      <c r="AH152" s="9">
        <f t="shared" ca="1" si="426"/>
        <v>4584</v>
      </c>
      <c r="AI152" s="9">
        <f t="shared" ca="1" si="426"/>
        <v>7831</v>
      </c>
      <c r="AJ152" s="11">
        <f t="shared" ca="1" si="407"/>
        <v>197.02503030303001</v>
      </c>
      <c r="AK152" s="8">
        <f t="shared" si="423"/>
        <v>9877</v>
      </c>
      <c r="AL152" s="12">
        <f t="shared" ca="1" si="409"/>
        <v>0.79285208059127266</v>
      </c>
      <c r="AM152" s="13">
        <f t="shared" si="424"/>
        <v>1.5</v>
      </c>
      <c r="AN152" s="12">
        <f t="shared" ca="1" si="411"/>
        <v>0.80295391889396528</v>
      </c>
      <c r="AO152" s="14">
        <f t="shared" ca="1" si="412"/>
        <v>1.2044308783409479</v>
      </c>
      <c r="AP152" s="13">
        <f t="shared" ref="AP152:AQ152" ca="1" si="427">SUM(T156)</f>
        <v>248.58826228254597</v>
      </c>
      <c r="AQ152" s="13">
        <f t="shared" ca="1" si="427"/>
        <v>7.5329776449256354</v>
      </c>
      <c r="AR152" s="9">
        <f t="shared" ca="1" si="414"/>
        <v>237.30303030303031</v>
      </c>
      <c r="AS152" s="76"/>
      <c r="AT152" s="76"/>
    </row>
    <row r="153" spans="1:46" ht="15.75" customHeight="1" x14ac:dyDescent="0.25">
      <c r="A153" s="70"/>
      <c r="B153" s="16">
        <v>13</v>
      </c>
      <c r="C153" s="16" t="s">
        <v>43</v>
      </c>
      <c r="D153" s="17">
        <v>30</v>
      </c>
      <c r="E153" s="18">
        <f ca="1">IFERROR(__xludf.DUMMYFUNCTION("COUNT(IMPORTRANGE(""https://docs.google.com/spreadsheets/d/1p9Y_DGk7-TpRBFth-ljZceOIGCjQ0ylUeUq6xqnsZ-Q/edit"",""6!d2:d31""))"),30)</f>
        <v>30</v>
      </c>
      <c r="F153" s="23">
        <f ca="1">IFERROR(__xludf.DUMMYFUNCTION("SUM(IMPORTRANGE(""https://docs.google.com/spreadsheets/d/1p9Y_DGk7-TpRBFth-ljZceOIGCjQ0ylUeUq6xqnsZ-Q/edit"",""6!Q2:Q31""))"),6182.81199999999)</f>
        <v>6182.8119999999899</v>
      </c>
      <c r="G153" s="18">
        <f ca="1">IFERROR(__xludf.DUMMYFUNCTION("IMPORTRANGE(""https://docs.google.com/spreadsheets/d/1p9Y_DGk7-TpRBFth-ljZceOIGCjQ0ylUeUq6xqnsZ-Q/edit"",""6!e38"")"),2471)</f>
        <v>2471</v>
      </c>
      <c r="H153" s="18">
        <f ca="1">IFERROR(__xludf.DUMMYFUNCTION("IMPORTRANGE(""https://docs.google.com/spreadsheets/d/1p9Y_DGk7-TpRBFth-ljZceOIGCjQ0ylUeUq6xqnsZ-Q/edit"",""6!e39"")"),0)</f>
        <v>0</v>
      </c>
      <c r="I153" s="18">
        <f t="shared" ca="1" si="387"/>
        <v>2471</v>
      </c>
      <c r="J153" s="18">
        <f ca="1">IFERROR(__xludf.DUMMYFUNCTION("IMPORTRANGE(""https://docs.google.com/spreadsheets/d/1p9Y_DGk7-TpRBFth-ljZceOIGCjQ0ylUeUq6xqnsZ-Q/edit"",""6!e42"")"),2928)</f>
        <v>2928</v>
      </c>
      <c r="K153" s="18">
        <f ca="1">IFERROR(__xludf.DUMMYFUNCTION("IMPORTRANGE(""https://docs.google.com/spreadsheets/d/1p9Y_DGk7-TpRBFth-ljZceOIGCjQ0ylUeUq6xqnsZ-Q/edit"",""6!e43"")"),42)</f>
        <v>42</v>
      </c>
      <c r="L153" s="18">
        <f t="shared" ca="1" si="417"/>
        <v>2970</v>
      </c>
      <c r="M153" s="18">
        <f t="shared" ca="1" si="389"/>
        <v>5441</v>
      </c>
      <c r="N153" s="19">
        <f t="shared" ca="1" si="390"/>
        <v>206.09373333333301</v>
      </c>
      <c r="O153" s="16">
        <v>8345</v>
      </c>
      <c r="P153" s="20">
        <f t="shared" ca="1" si="391"/>
        <v>0.65200718993409224</v>
      </c>
      <c r="Q153" s="21">
        <v>1.5</v>
      </c>
      <c r="R153" s="20">
        <f t="shared" ca="1" si="392"/>
        <v>0.58668019233535473</v>
      </c>
      <c r="S153" s="22">
        <f t="shared" ca="1" si="393"/>
        <v>0.88002028850303204</v>
      </c>
      <c r="T153" s="21">
        <f ca="1">F153/41.205</f>
        <v>150.05004247057371</v>
      </c>
      <c r="U153" s="21">
        <f t="shared" ca="1" si="394"/>
        <v>5.0016680823524569</v>
      </c>
      <c r="V153" s="18">
        <f t="shared" ca="1" si="395"/>
        <v>181.36666666666667</v>
      </c>
      <c r="W153" s="76"/>
      <c r="X153" s="24" t="s">
        <v>33</v>
      </c>
      <c r="Y153" s="24">
        <v>6</v>
      </c>
      <c r="Z153" s="24">
        <f t="shared" ref="Z153:AI153" si="428">SUM(Z147:Z152)</f>
        <v>226</v>
      </c>
      <c r="AA153" s="25">
        <f t="shared" ca="1" si="428"/>
        <v>222</v>
      </c>
      <c r="AB153" s="27">
        <f t="shared" ca="1" si="428"/>
        <v>43890.583999999857</v>
      </c>
      <c r="AC153" s="25">
        <f t="shared" ca="1" si="428"/>
        <v>17142</v>
      </c>
      <c r="AD153" s="25">
        <f t="shared" ca="1" si="428"/>
        <v>272</v>
      </c>
      <c r="AE153" s="25">
        <f t="shared" ca="1" si="428"/>
        <v>17414</v>
      </c>
      <c r="AF153" s="25">
        <f t="shared" ca="1" si="428"/>
        <v>24694</v>
      </c>
      <c r="AG153" s="25">
        <f t="shared" ca="1" si="428"/>
        <v>250</v>
      </c>
      <c r="AH153" s="25">
        <f t="shared" ca="1" si="428"/>
        <v>24944</v>
      </c>
      <c r="AI153" s="25">
        <f t="shared" ca="1" si="428"/>
        <v>42358</v>
      </c>
      <c r="AJ153" s="27">
        <f t="shared" ca="1" si="407"/>
        <v>197.7053333333327</v>
      </c>
      <c r="AK153" s="24">
        <f>SUM(AK147:AK152)</f>
        <v>53273</v>
      </c>
      <c r="AL153" s="28">
        <f t="shared" ca="1" si="409"/>
        <v>0.7951119704165337</v>
      </c>
      <c r="AM153" s="29">
        <v>1.5</v>
      </c>
      <c r="AN153" s="28">
        <f t="shared" ca="1" si="411"/>
        <v>0.64338780879896151</v>
      </c>
      <c r="AO153" s="30">
        <f t="shared" ca="1" si="412"/>
        <v>0.96508171319844227</v>
      </c>
      <c r="AP153" s="29">
        <f ca="1">SUM(AP147:AP152)</f>
        <v>1441.6090022388746</v>
      </c>
      <c r="AQ153" s="29">
        <f ca="1">AP153/AA153</f>
        <v>6.4937342443192554</v>
      </c>
      <c r="AR153" s="25">
        <f t="shared" ca="1" si="414"/>
        <v>190.80180180180182</v>
      </c>
      <c r="AS153" s="76"/>
      <c r="AT153" s="76"/>
    </row>
    <row r="154" spans="1:46" ht="15.75" customHeight="1" x14ac:dyDescent="0.25">
      <c r="A154" s="70"/>
      <c r="B154" s="16">
        <v>14</v>
      </c>
      <c r="C154" s="16" t="s">
        <v>27</v>
      </c>
      <c r="D154" s="17">
        <v>30</v>
      </c>
      <c r="E154" s="18">
        <f ca="1">IFERROR(__xludf.DUMMYFUNCTION("COUNT(IMPORTRANGE(""https://docs.google.com/spreadsheets/d/1zJUDEKztv_fercXA0LYNw155qdzS7TJGhWLhquaW5IY/edit"",""6!d2:d31""))"),29)</f>
        <v>29</v>
      </c>
      <c r="F154" s="23">
        <f ca="1">IFERROR(__xludf.DUMMYFUNCTION("SUM(IMPORTRANGE(""https://docs.google.com/spreadsheets/d/1zJUDEKztv_fercXA0LYNw155qdzS7TJGhWLhquaW5IY/edit"",""6!Q2:Q31""))"),5411.82799999999)</f>
        <v>5411.8279999999904</v>
      </c>
      <c r="G154" s="18">
        <f ca="1">IFERROR(__xludf.DUMMYFUNCTION("IMPORTRANGE(""https://docs.google.com/spreadsheets/d/1zJUDEKztv_fercXA0LYNw155qdzS7TJGhWLhquaW5IY/edit"",""6!e38"")"),2382)</f>
        <v>2382</v>
      </c>
      <c r="H154" s="18">
        <f ca="1">IFERROR(__xludf.DUMMYFUNCTION("IMPORTRANGE(""https://docs.google.com/spreadsheets/d/1zJUDEKztv_fercXA0LYNw155qdzS7TJGhWLhquaW5IY/edit"",""6!e39"")"),172)</f>
        <v>172</v>
      </c>
      <c r="I154" s="18">
        <f t="shared" ca="1" si="387"/>
        <v>2554</v>
      </c>
      <c r="J154" s="18">
        <f ca="1">IFERROR(__xludf.DUMMYFUNCTION("IMPORTRANGE(""https://docs.google.com/spreadsheets/d/1zJUDEKztv_fercXA0LYNw155qdzS7TJGhWLhquaW5IY/edit"",""6!e42"")"),3320)</f>
        <v>3320</v>
      </c>
      <c r="K154" s="18">
        <f ca="1">IFERROR(__xludf.DUMMYFUNCTION("IMPORTRANGE(""https://docs.google.com/spreadsheets/d/1zJUDEKztv_fercXA0LYNw155qdzS7TJGhWLhquaW5IY/edit"",""6!e43"")"),61)</f>
        <v>61</v>
      </c>
      <c r="L154" s="18">
        <f t="shared" ca="1" si="417"/>
        <v>3381</v>
      </c>
      <c r="M154" s="18">
        <f t="shared" ca="1" si="389"/>
        <v>5935</v>
      </c>
      <c r="N154" s="19">
        <f t="shared" ca="1" si="390"/>
        <v>186.61475862068932</v>
      </c>
      <c r="O154" s="16">
        <v>8101</v>
      </c>
      <c r="P154" s="20">
        <f t="shared" ca="1" si="391"/>
        <v>0.73262560177755831</v>
      </c>
      <c r="Q154" s="21">
        <v>1.5</v>
      </c>
      <c r="R154" s="20">
        <f t="shared" ca="1" si="392"/>
        <v>0.73111463754329842</v>
      </c>
      <c r="S154" s="22">
        <f t="shared" ca="1" si="393"/>
        <v>1.0966719563149476</v>
      </c>
      <c r="T154" s="21">
        <f ca="1">F154/19.985</f>
        <v>270.79449587190345</v>
      </c>
      <c r="U154" s="21">
        <f t="shared" ca="1" si="394"/>
        <v>9.3377412369621879</v>
      </c>
      <c r="V154" s="18">
        <f t="shared" ca="1" si="395"/>
        <v>204.65517241379311</v>
      </c>
      <c r="W154" s="76"/>
      <c r="X154" s="97" t="s">
        <v>44</v>
      </c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9"/>
      <c r="AS154" s="76"/>
      <c r="AT154" s="76"/>
    </row>
    <row r="155" spans="1:46" ht="15.75" customHeight="1" x14ac:dyDescent="0.25">
      <c r="A155" s="70"/>
      <c r="B155" s="16">
        <v>15</v>
      </c>
      <c r="C155" s="16" t="s">
        <v>40</v>
      </c>
      <c r="D155" s="17">
        <v>30</v>
      </c>
      <c r="E155" s="18">
        <f ca="1">IFERROR(__xludf.DUMMYFUNCTION("COUNT(IMPORTRANGE(""https://docs.google.com/spreadsheets/d/15GJA66Ucb-8RQ5vWVpq5HYaWoZZFX82SCeHChBujbrI/edit"",""6!d2:d31""))"),29)</f>
        <v>29</v>
      </c>
      <c r="F155" s="23">
        <f ca="1">IFERROR(__xludf.DUMMYFUNCTION("SUM(IMPORTRANGE(""https://docs.google.com/spreadsheets/d/15GJA66Ucb-8RQ5vWVpq5HYaWoZZFX82SCeHChBujbrI/edit"",""6!Q2:Q31""))"),5517.94199999999)</f>
        <v>5517.94199999999</v>
      </c>
      <c r="G155" s="18">
        <f ca="1">IFERROR(__xludf.DUMMYFUNCTION("IMPORTRANGE(""https://docs.google.com/spreadsheets/d/15GJA66Ucb-8RQ5vWVpq5HYaWoZZFX82SCeHChBujbrI/edit"",""6!e38"")"),3471)</f>
        <v>3471</v>
      </c>
      <c r="H155" s="18">
        <f ca="1">IFERROR(__xludf.DUMMYFUNCTION("IMPORTRANGE(""https://docs.google.com/spreadsheets/d/15GJA66Ucb-8RQ5vWVpq5HYaWoZZFX82SCeHChBujbrI/edit"",""6!e39"")"),15)</f>
        <v>15</v>
      </c>
      <c r="I155" s="18">
        <f t="shared" ca="1" si="387"/>
        <v>3486</v>
      </c>
      <c r="J155" s="18">
        <f ca="1">IFERROR(__xludf.DUMMYFUNCTION("IMPORTRANGE(""https://docs.google.com/spreadsheets/d/15GJA66Ucb-8RQ5vWVpq5HYaWoZZFX82SCeHChBujbrI/edit"",""6!e42"")"),3804)</f>
        <v>3804</v>
      </c>
      <c r="K155" s="18">
        <f ca="1">IFERROR(__xludf.DUMMYFUNCTION("IMPORTRANGE(""https://docs.google.com/spreadsheets/d/15GJA66Ucb-8RQ5vWVpq5HYaWoZZFX82SCeHChBujbrI/edit"",""6!e43"")"),0)</f>
        <v>0</v>
      </c>
      <c r="L155" s="18">
        <f t="shared" ca="1" si="417"/>
        <v>3804</v>
      </c>
      <c r="M155" s="18">
        <f t="shared" ca="1" si="389"/>
        <v>7290</v>
      </c>
      <c r="N155" s="19">
        <f t="shared" ca="1" si="390"/>
        <v>190.27386206896517</v>
      </c>
      <c r="O155" s="16">
        <v>8239</v>
      </c>
      <c r="P155" s="20">
        <f t="shared" ca="1" si="391"/>
        <v>0.8848161184609783</v>
      </c>
      <c r="Q155" s="21">
        <v>1.5</v>
      </c>
      <c r="R155" s="20">
        <f t="shared" ca="1" si="392"/>
        <v>0.88076315408897177</v>
      </c>
      <c r="S155" s="22">
        <f t="shared" ca="1" si="393"/>
        <v>1.3211447311334577</v>
      </c>
      <c r="T155" s="21">
        <f ca="1">F155/28.443</f>
        <v>193.99999999999963</v>
      </c>
      <c r="U155" s="21">
        <f t="shared" ca="1" si="394"/>
        <v>6.6896551724137803</v>
      </c>
      <c r="V155" s="18">
        <f t="shared" ca="1" si="395"/>
        <v>251.37931034482759</v>
      </c>
      <c r="W155" s="76"/>
      <c r="X155" s="1" t="s">
        <v>2</v>
      </c>
      <c r="Y155" s="1" t="s">
        <v>3</v>
      </c>
      <c r="Z155" s="1" t="s">
        <v>4</v>
      </c>
      <c r="AA155" s="1" t="s">
        <v>5</v>
      </c>
      <c r="AB155" s="2" t="s">
        <v>6</v>
      </c>
      <c r="AC155" s="1" t="s">
        <v>7</v>
      </c>
      <c r="AD155" s="1" t="s">
        <v>8</v>
      </c>
      <c r="AE155" s="1" t="s">
        <v>9</v>
      </c>
      <c r="AF155" s="1" t="s">
        <v>10</v>
      </c>
      <c r="AG155" s="1" t="s">
        <v>11</v>
      </c>
      <c r="AH155" s="1" t="s">
        <v>12</v>
      </c>
      <c r="AI155" s="1" t="s">
        <v>13</v>
      </c>
      <c r="AJ155" s="2" t="s">
        <v>14</v>
      </c>
      <c r="AK155" s="1" t="s">
        <v>15</v>
      </c>
      <c r="AL155" s="1" t="s">
        <v>16</v>
      </c>
      <c r="AM155" s="3" t="s">
        <v>17</v>
      </c>
      <c r="AN155" s="4" t="s">
        <v>18</v>
      </c>
      <c r="AO155" s="5" t="s">
        <v>19</v>
      </c>
      <c r="AP155" s="6" t="s">
        <v>20</v>
      </c>
      <c r="AQ155" s="6" t="s">
        <v>21</v>
      </c>
      <c r="AR155" s="7" t="s">
        <v>22</v>
      </c>
      <c r="AS155" s="76"/>
      <c r="AT155" s="76"/>
    </row>
    <row r="156" spans="1:46" ht="15.75" customHeight="1" x14ac:dyDescent="0.25">
      <c r="A156" s="70"/>
      <c r="B156" s="16">
        <v>16</v>
      </c>
      <c r="C156" s="16" t="s">
        <v>42</v>
      </c>
      <c r="D156" s="17">
        <v>33</v>
      </c>
      <c r="E156" s="18">
        <f ca="1">IFERROR(__xludf.DUMMYFUNCTION("COUNT(IMPORTRANGE(""https://docs.google.com/spreadsheets/d/14Tu_jFPEdrIQ6DHYu6vRvJKQsbXr-48NY1tKy4-8JKI/edit"",""6!d2:d34""))"),33)</f>
        <v>33</v>
      </c>
      <c r="F156" s="23">
        <f ca="1">IFERROR(__xludf.DUMMYFUNCTION("SUM(IMPORTRANGE(""https://docs.google.com/spreadsheets/d/14Tu_jFPEdrIQ6DHYu6vRvJKQsbXr-48NY1tKy4-8JKI/edit"",""6!Q2:Q34""))"),6501.82599999999)</f>
        <v>6501.82599999999</v>
      </c>
      <c r="G156" s="18">
        <f ca="1">IFERROR(__xludf.DUMMYFUNCTION("IMPORTRANGE(""https://docs.google.com/spreadsheets/d/14Tu_jFPEdrIQ6DHYu6vRvJKQsbXr-48NY1tKy4-8JKI/edit"",""6!e41"")"),3147)</f>
        <v>3147</v>
      </c>
      <c r="H156" s="18">
        <f ca="1">IFERROR(__xludf.DUMMYFUNCTION("IMPORTRANGE(""https://docs.google.com/spreadsheets/d/14Tu_jFPEdrIQ6DHYu6vRvJKQsbXr-48NY1tKy4-8JKI/edit"",""6!e42"")"),100)</f>
        <v>100</v>
      </c>
      <c r="I156" s="18">
        <f t="shared" ca="1" si="387"/>
        <v>3247</v>
      </c>
      <c r="J156" s="18">
        <f ca="1">IFERROR(__xludf.DUMMYFUNCTION("IMPORTRANGE(""https://docs.google.com/spreadsheets/d/14Tu_jFPEdrIQ6DHYu6vRvJKQsbXr-48NY1tKy4-8JKI/edit"",""6!e45"")"),4567)</f>
        <v>4567</v>
      </c>
      <c r="K156" s="18">
        <f ca="1">IFERROR(__xludf.DUMMYFUNCTION("IMPORTRANGE(""https://docs.google.com/spreadsheets/d/14Tu_jFPEdrIQ6DHYu6vRvJKQsbXr-48NY1tKy4-8JKI/edit"",""6!e46"")"),17)</f>
        <v>17</v>
      </c>
      <c r="L156" s="18">
        <f t="shared" ca="1" si="417"/>
        <v>4584</v>
      </c>
      <c r="M156" s="18">
        <f t="shared" ca="1" si="389"/>
        <v>7831</v>
      </c>
      <c r="N156" s="19">
        <f t="shared" ca="1" si="390"/>
        <v>197.02503030303001</v>
      </c>
      <c r="O156" s="16">
        <v>9877</v>
      </c>
      <c r="P156" s="20">
        <f t="shared" ca="1" si="391"/>
        <v>0.79285208059127266</v>
      </c>
      <c r="Q156" s="21">
        <v>1.5</v>
      </c>
      <c r="R156" s="20">
        <f t="shared" ca="1" si="392"/>
        <v>0.80295391889396528</v>
      </c>
      <c r="S156" s="22">
        <f t="shared" ca="1" si="393"/>
        <v>1.2044308783409479</v>
      </c>
      <c r="T156" s="21">
        <f ca="1">F156/26.155</f>
        <v>248.58826228254597</v>
      </c>
      <c r="U156" s="21">
        <f t="shared" ca="1" si="394"/>
        <v>7.5329776449256354</v>
      </c>
      <c r="V156" s="18">
        <f t="shared" ca="1" si="395"/>
        <v>237.30303030303031</v>
      </c>
      <c r="W156" s="76"/>
      <c r="X156" s="8">
        <v>1</v>
      </c>
      <c r="Y156" s="8" t="s">
        <v>26</v>
      </c>
      <c r="Z156" s="8">
        <f t="shared" ref="Z156:AI156" si="429">SUM(D141)</f>
        <v>20</v>
      </c>
      <c r="AA156" s="9">
        <f t="shared" ca="1" si="429"/>
        <v>19</v>
      </c>
      <c r="AB156" s="11">
        <f t="shared" ca="1" si="429"/>
        <v>3690.8519999999999</v>
      </c>
      <c r="AC156" s="9">
        <f t="shared" ca="1" si="429"/>
        <v>2154</v>
      </c>
      <c r="AD156" s="9">
        <f t="shared" ca="1" si="429"/>
        <v>40</v>
      </c>
      <c r="AE156" s="9">
        <f t="shared" ca="1" si="429"/>
        <v>2194</v>
      </c>
      <c r="AF156" s="9">
        <f t="shared" ca="1" si="429"/>
        <v>3020</v>
      </c>
      <c r="AG156" s="9">
        <f t="shared" ca="1" si="429"/>
        <v>45</v>
      </c>
      <c r="AH156" s="9">
        <f t="shared" ca="1" si="429"/>
        <v>3065</v>
      </c>
      <c r="AI156" s="9">
        <f t="shared" ca="1" si="429"/>
        <v>5259</v>
      </c>
      <c r="AJ156" s="11">
        <f t="shared" ref="AJ156:AJ162" ca="1" si="430">AB156/AA156</f>
        <v>194.25536842105262</v>
      </c>
      <c r="AK156" s="8">
        <f>SUM(O141)</f>
        <v>5161</v>
      </c>
      <c r="AL156" s="15">
        <f t="shared" ref="AL156:AL162" ca="1" si="431">AI156/AK156</f>
        <v>1.0189885681069559</v>
      </c>
      <c r="AM156" s="13">
        <f>SUM(Q141)</f>
        <v>1.5</v>
      </c>
      <c r="AN156" s="12">
        <f t="shared" ref="AN156:AN162" ca="1" si="432">AO156/AM156</f>
        <v>0.94991617111712967</v>
      </c>
      <c r="AO156" s="14">
        <f t="shared" ref="AO156:AO162" ca="1" si="433">AI156/AB156</f>
        <v>1.4248742566756945</v>
      </c>
      <c r="AP156" s="13">
        <f t="shared" ref="AP156:AQ156" ca="1" si="434">SUM(T141)</f>
        <v>256.04245577523415</v>
      </c>
      <c r="AQ156" s="13">
        <f t="shared" ca="1" si="434"/>
        <v>13.475918725012324</v>
      </c>
      <c r="AR156" s="9">
        <f t="shared" ref="AR156:AR162" ca="1" si="435">AI156/AA156</f>
        <v>276.78947368421052</v>
      </c>
      <c r="AS156" s="76"/>
      <c r="AT156" s="76"/>
    </row>
    <row r="157" spans="1:46" ht="15.75" customHeight="1" x14ac:dyDescent="0.25">
      <c r="A157" s="70"/>
      <c r="B157" s="16">
        <v>17</v>
      </c>
      <c r="C157" s="16" t="s">
        <v>29</v>
      </c>
      <c r="D157" s="17">
        <v>30</v>
      </c>
      <c r="E157" s="18">
        <f ca="1">IFERROR(__xludf.DUMMYFUNCTION("COUNT(IMPORTRANGE(""https://docs.google.com/spreadsheets/d/1ja_RQYsP0p5wRrACHojay4CW1wLx0QdS5tSwp-vYQ-s/edit"",""6!d2:d31""))"),29)</f>
        <v>29</v>
      </c>
      <c r="F157" s="23">
        <f ca="1">IFERROR(__xludf.DUMMYFUNCTION("SUM(IMPORTRANGE(""https://docs.google.com/spreadsheets/d/1ja_RQYsP0p5wRrACHojay4CW1wLx0QdS5tSwp-vYQ-s/edit"",""6!Q2:Q31""))"),5832.512)</f>
        <v>5832.5119999999997</v>
      </c>
      <c r="G157" s="18">
        <f ca="1">IFERROR(__xludf.DUMMYFUNCTION("IMPORTRANGE(""https://docs.google.com/spreadsheets/d/1ja_RQYsP0p5wRrACHojay4CW1wLx0QdS5tSwp-vYQ-s/edit"",""6!e38"")"),2687)</f>
        <v>2687</v>
      </c>
      <c r="H157" s="18">
        <f ca="1">IFERROR(__xludf.DUMMYFUNCTION("IMPORTRANGE(""https://docs.google.com/spreadsheets/d/1ja_RQYsP0p5wRrACHojay4CW1wLx0QdS5tSwp-vYQ-s/edit"",""6!e39"")"),0)</f>
        <v>0</v>
      </c>
      <c r="I157" s="18">
        <f t="shared" ca="1" si="387"/>
        <v>2687</v>
      </c>
      <c r="J157" s="18">
        <f ca="1">IFERROR(__xludf.DUMMYFUNCTION("IMPORTRANGE(""https://docs.google.com/spreadsheets/d/1ja_RQYsP0p5wRrACHojay4CW1wLx0QdS5tSwp-vYQ-s/edit"",""6!e42"")"),4344)</f>
        <v>4344</v>
      </c>
      <c r="K157" s="18">
        <f ca="1">IFERROR(__xludf.DUMMYFUNCTION("IMPORTRANGE(""https://docs.google.com/spreadsheets/d/1ja_RQYsP0p5wRrACHojay4CW1wLx0QdS5tSwp-vYQ-s/edit"",""6!e43"")"),0)</f>
        <v>0</v>
      </c>
      <c r="L157" s="18">
        <f t="shared" ca="1" si="417"/>
        <v>4344</v>
      </c>
      <c r="M157" s="18">
        <f t="shared" ca="1" si="389"/>
        <v>7031</v>
      </c>
      <c r="N157" s="19">
        <f t="shared" ca="1" si="390"/>
        <v>201.12110344827585</v>
      </c>
      <c r="O157" s="16">
        <v>9201</v>
      </c>
      <c r="P157" s="20">
        <f t="shared" ca="1" si="391"/>
        <v>0.76415606999239216</v>
      </c>
      <c r="Q157" s="21">
        <v>1.5</v>
      </c>
      <c r="R157" s="20">
        <f t="shared" ca="1" si="392"/>
        <v>0.803656011909334</v>
      </c>
      <c r="S157" s="22">
        <f t="shared" ca="1" si="393"/>
        <v>1.2054840178640009</v>
      </c>
      <c r="T157" s="21">
        <f ca="1">F157/26.038</f>
        <v>224</v>
      </c>
      <c r="U157" s="21">
        <f t="shared" ca="1" si="394"/>
        <v>7.7241379310344831</v>
      </c>
      <c r="V157" s="18">
        <f t="shared" ca="1" si="395"/>
        <v>242.44827586206895</v>
      </c>
      <c r="W157" s="76"/>
      <c r="X157" s="8">
        <v>2</v>
      </c>
      <c r="Y157" s="8" t="s">
        <v>32</v>
      </c>
      <c r="Z157" s="8">
        <f t="shared" ref="Z157:AI157" si="436">SUM(D144)</f>
        <v>42</v>
      </c>
      <c r="AA157" s="9">
        <f t="shared" ca="1" si="436"/>
        <v>42</v>
      </c>
      <c r="AB157" s="10">
        <f t="shared" ca="1" si="436"/>
        <v>8078.6579999999904</v>
      </c>
      <c r="AC157" s="8">
        <f t="shared" ca="1" si="436"/>
        <v>4748</v>
      </c>
      <c r="AD157" s="8">
        <f t="shared" ca="1" si="436"/>
        <v>0</v>
      </c>
      <c r="AE157" s="9">
        <f t="shared" ca="1" si="436"/>
        <v>4748</v>
      </c>
      <c r="AF157" s="8">
        <f t="shared" ca="1" si="436"/>
        <v>5516</v>
      </c>
      <c r="AG157" s="8">
        <f t="shared" ca="1" si="436"/>
        <v>0</v>
      </c>
      <c r="AH157" s="9">
        <f t="shared" ca="1" si="436"/>
        <v>5516</v>
      </c>
      <c r="AI157" s="9">
        <f t="shared" ca="1" si="436"/>
        <v>10264</v>
      </c>
      <c r="AJ157" s="11">
        <f t="shared" ca="1" si="430"/>
        <v>192.34899999999976</v>
      </c>
      <c r="AK157" s="8">
        <f>SUM(O144)</f>
        <v>13817</v>
      </c>
      <c r="AL157" s="12">
        <f t="shared" ca="1" si="431"/>
        <v>0.74285300716508651</v>
      </c>
      <c r="AM157" s="13">
        <f>SUM(Q144)</f>
        <v>1.5</v>
      </c>
      <c r="AN157" s="12">
        <f t="shared" ca="1" si="432"/>
        <v>0.84700536483493616</v>
      </c>
      <c r="AO157" s="14">
        <f t="shared" ca="1" si="433"/>
        <v>1.2705080472524042</v>
      </c>
      <c r="AP157" s="13">
        <f t="shared" ref="AP157:AQ157" ca="1" si="437">SUM(T144)</f>
        <v>321.99999999999966</v>
      </c>
      <c r="AQ157" s="13">
        <f t="shared" ca="1" si="437"/>
        <v>7.666666666666659</v>
      </c>
      <c r="AR157" s="9">
        <f t="shared" ca="1" si="435"/>
        <v>244.38095238095238</v>
      </c>
      <c r="AS157" s="76"/>
      <c r="AT157" s="76"/>
    </row>
    <row r="158" spans="1:46" ht="15.75" customHeight="1" x14ac:dyDescent="0.25">
      <c r="A158" s="70"/>
      <c r="B158" s="16">
        <v>18</v>
      </c>
      <c r="C158" s="16" t="s">
        <v>31</v>
      </c>
      <c r="D158" s="17">
        <v>15</v>
      </c>
      <c r="E158" s="18">
        <f ca="1">IFERROR(__xludf.DUMMYFUNCTION("COUNT(IMPORTRANGE(""https://docs.google.com/spreadsheets/d/1ObnK1oSznTOmyW9Zcd2kxExl7TOnO2MNq_0giEKc_mE/edit"",""6!d2:d16""))"),14)</f>
        <v>14</v>
      </c>
      <c r="F158" s="19">
        <f ca="1">IFERROR(__xludf.DUMMYFUNCTION("SUM(IMPORTRANGE(""https://docs.google.com/spreadsheets/d/1ObnK1oSznTOmyW9Zcd2kxExl7TOnO2MNq_0giEKc_mE/edit"",""6!Q2:Q16""))"),2868.68999999999)</f>
        <v>2868.6899999999901</v>
      </c>
      <c r="G158" s="18">
        <f ca="1">IFERROR(__xludf.DUMMYFUNCTION("IMPORTRANGE(""https://docs.google.com/spreadsheets/d/1ObnK1oSznTOmyW9Zcd2kxExl7TOnO2MNq_0giEKc_mE/edit"",""6!e23"")"),949)</f>
        <v>949</v>
      </c>
      <c r="H158" s="18">
        <f ca="1">IFERROR(__xludf.DUMMYFUNCTION("IMPORTRANGE(""https://docs.google.com/spreadsheets/d/1ObnK1oSznTOmyW9Zcd2kxExl7TOnO2MNq_0giEKc_mE/edit"",""6!e24"")"),0)</f>
        <v>0</v>
      </c>
      <c r="I158" s="18">
        <f t="shared" ca="1" si="387"/>
        <v>949</v>
      </c>
      <c r="J158" s="18">
        <f ca="1">IFERROR(__xludf.DUMMYFUNCTION("IMPORTRANGE(""https://docs.google.com/spreadsheets/d/1ObnK1oSznTOmyW9Zcd2kxExl7TOnO2MNq_0giEKc_mE/edit"",""6!e27"")"),1081)</f>
        <v>1081</v>
      </c>
      <c r="K158" s="18">
        <f ca="1">IFERROR(__xludf.DUMMYFUNCTION("IMPORTRANGE(""https://docs.google.com/spreadsheets/d/1ObnK1oSznTOmyW9Zcd2kxExl7TOnO2MNq_0giEKc_mE/edit"",""6!e28"")"),9)</f>
        <v>9</v>
      </c>
      <c r="L158" s="18">
        <f t="shared" ca="1" si="417"/>
        <v>1090</v>
      </c>
      <c r="M158" s="18">
        <f t="shared" ca="1" si="389"/>
        <v>2039</v>
      </c>
      <c r="N158" s="19">
        <f t="shared" ca="1" si="390"/>
        <v>204.90642857142785</v>
      </c>
      <c r="O158" s="16">
        <v>2717</v>
      </c>
      <c r="P158" s="20">
        <f t="shared" ca="1" si="391"/>
        <v>0.75046006624953998</v>
      </c>
      <c r="Q158" s="21">
        <v>1.5</v>
      </c>
      <c r="R158" s="20">
        <f t="shared" ca="1" si="392"/>
        <v>0.47385159544368266</v>
      </c>
      <c r="S158" s="22">
        <f t="shared" ca="1" si="393"/>
        <v>0.71077739316552402</v>
      </c>
      <c r="T158" s="21">
        <f ca="1">F158/43.465</f>
        <v>65.999999999999773</v>
      </c>
      <c r="U158" s="21">
        <f t="shared" ca="1" si="394"/>
        <v>4.7142857142856984</v>
      </c>
      <c r="V158" s="18">
        <f t="shared" ca="1" si="395"/>
        <v>145.64285714285714</v>
      </c>
      <c r="W158" s="76"/>
      <c r="X158" s="8">
        <v>3</v>
      </c>
      <c r="Y158" s="8" t="s">
        <v>36</v>
      </c>
      <c r="Z158" s="8">
        <f t="shared" ref="Z158:AI158" si="438">SUM(D149)</f>
        <v>29</v>
      </c>
      <c r="AA158" s="9">
        <f t="shared" ca="1" si="438"/>
        <v>28</v>
      </c>
      <c r="AB158" s="10">
        <f t="shared" ca="1" si="438"/>
        <v>5568.3019999999997</v>
      </c>
      <c r="AC158" s="9">
        <f t="shared" ca="1" si="438"/>
        <v>1536</v>
      </c>
      <c r="AD158" s="9">
        <f t="shared" ca="1" si="438"/>
        <v>46</v>
      </c>
      <c r="AE158" s="9">
        <f t="shared" ca="1" si="438"/>
        <v>1582</v>
      </c>
      <c r="AF158" s="9">
        <f t="shared" ca="1" si="438"/>
        <v>2270</v>
      </c>
      <c r="AG158" s="9">
        <f t="shared" ca="1" si="438"/>
        <v>74</v>
      </c>
      <c r="AH158" s="9">
        <f t="shared" ca="1" si="438"/>
        <v>2344</v>
      </c>
      <c r="AI158" s="9">
        <f t="shared" ca="1" si="438"/>
        <v>3926</v>
      </c>
      <c r="AJ158" s="11">
        <f t="shared" ca="1" si="430"/>
        <v>198.86792857142856</v>
      </c>
      <c r="AK158" s="8">
        <f t="shared" ref="AK158:AK161" si="439">SUM(O149)</f>
        <v>4796</v>
      </c>
      <c r="AL158" s="12">
        <f t="shared" ca="1" si="431"/>
        <v>0.81859883236030029</v>
      </c>
      <c r="AM158" s="13">
        <f t="shared" ref="AM158:AM161" si="440">SUM(Q149)</f>
        <v>1.5</v>
      </c>
      <c r="AN158" s="12">
        <f t="shared" ca="1" si="432"/>
        <v>0.47004155545682208</v>
      </c>
      <c r="AO158" s="14">
        <f t="shared" ca="1" si="433"/>
        <v>0.70506233318523315</v>
      </c>
      <c r="AP158" s="13">
        <f t="shared" ref="AP158:AQ158" ca="1" si="441">SUM(T149)</f>
        <v>148.82936868551877</v>
      </c>
      <c r="AQ158" s="13">
        <f t="shared" ca="1" si="441"/>
        <v>5.3153345959113851</v>
      </c>
      <c r="AR158" s="9">
        <f t="shared" ca="1" si="435"/>
        <v>140.21428571428572</v>
      </c>
      <c r="AS158" s="76"/>
      <c r="AT158" s="76"/>
    </row>
    <row r="159" spans="1:46" ht="15.75" customHeight="1" x14ac:dyDescent="0.2">
      <c r="A159" s="70"/>
      <c r="B159" s="98" t="s">
        <v>33</v>
      </c>
      <c r="C159" s="98">
        <v>18</v>
      </c>
      <c r="D159" s="98">
        <f t="shared" ref="D159:M159" si="442">SUM(D141:D158)</f>
        <v>585</v>
      </c>
      <c r="E159" s="74">
        <f t="shared" ca="1" si="442"/>
        <v>570</v>
      </c>
      <c r="F159" s="99">
        <f t="shared" ca="1" si="442"/>
        <v>111914.45899999981</v>
      </c>
      <c r="G159" s="74">
        <f t="shared" ca="1" si="442"/>
        <v>40949</v>
      </c>
      <c r="H159" s="74">
        <f t="shared" ca="1" si="442"/>
        <v>1060</v>
      </c>
      <c r="I159" s="74">
        <f t="shared" ca="1" si="442"/>
        <v>42009</v>
      </c>
      <c r="J159" s="74">
        <f t="shared" ca="1" si="442"/>
        <v>58406</v>
      </c>
      <c r="K159" s="74">
        <f t="shared" ca="1" si="442"/>
        <v>975</v>
      </c>
      <c r="L159" s="74">
        <f t="shared" ca="1" si="442"/>
        <v>59381</v>
      </c>
      <c r="M159" s="74">
        <f t="shared" ca="1" si="442"/>
        <v>101390</v>
      </c>
      <c r="N159" s="99">
        <f t="shared" ca="1" si="390"/>
        <v>196.34115614035056</v>
      </c>
      <c r="O159" s="98">
        <f>SUM(O141:O158)</f>
        <v>126399</v>
      </c>
      <c r="P159" s="69">
        <f t="shared" ca="1" si="391"/>
        <v>0.80214242201283237</v>
      </c>
      <c r="Q159" s="72">
        <v>1.5</v>
      </c>
      <c r="R159" s="69">
        <f t="shared" ca="1" si="392"/>
        <v>0.60397319468196187</v>
      </c>
      <c r="S159" s="73">
        <f t="shared" ca="1" si="393"/>
        <v>0.90595979202294286</v>
      </c>
      <c r="T159" s="72">
        <f ca="1">SUM(T141:T158)</f>
        <v>4117.0616040449686</v>
      </c>
      <c r="U159" s="72">
        <f t="shared" ca="1" si="394"/>
        <v>7.2229150948157343</v>
      </c>
      <c r="V159" s="74">
        <f t="shared" ca="1" si="395"/>
        <v>177.87719298245614</v>
      </c>
      <c r="W159" s="76"/>
      <c r="X159" s="8">
        <v>4</v>
      </c>
      <c r="Y159" s="8" t="s">
        <v>37</v>
      </c>
      <c r="Z159" s="8">
        <f t="shared" ref="Z159:AI159" si="443">SUM(D150)</f>
        <v>30</v>
      </c>
      <c r="AA159" s="9">
        <f t="shared" ca="1" si="443"/>
        <v>27</v>
      </c>
      <c r="AB159" s="10">
        <f t="shared" ca="1" si="443"/>
        <v>5352.45</v>
      </c>
      <c r="AC159" s="9">
        <f t="shared" ca="1" si="443"/>
        <v>2102</v>
      </c>
      <c r="AD159" s="9">
        <f t="shared" ca="1" si="443"/>
        <v>56</v>
      </c>
      <c r="AE159" s="9">
        <f t="shared" ca="1" si="443"/>
        <v>2158</v>
      </c>
      <c r="AF159" s="9">
        <f t="shared" ca="1" si="443"/>
        <v>2834</v>
      </c>
      <c r="AG159" s="9">
        <f t="shared" ca="1" si="443"/>
        <v>113</v>
      </c>
      <c r="AH159" s="9">
        <f t="shared" ca="1" si="443"/>
        <v>2947</v>
      </c>
      <c r="AI159" s="9">
        <f t="shared" ca="1" si="443"/>
        <v>5105</v>
      </c>
      <c r="AJ159" s="11">
        <f t="shared" ca="1" si="430"/>
        <v>198.23888888888888</v>
      </c>
      <c r="AK159" s="8">
        <f t="shared" si="439"/>
        <v>5887</v>
      </c>
      <c r="AL159" s="12">
        <f t="shared" ca="1" si="431"/>
        <v>0.86716493969763886</v>
      </c>
      <c r="AM159" s="13">
        <f t="shared" si="440"/>
        <v>1.5</v>
      </c>
      <c r="AN159" s="12">
        <f t="shared" ca="1" si="432"/>
        <v>0.63584588988843116</v>
      </c>
      <c r="AO159" s="14">
        <f t="shared" ca="1" si="433"/>
        <v>0.95376883483264674</v>
      </c>
      <c r="AP159" s="13">
        <f t="shared" ref="AP159:AQ159" ca="1" si="444">SUM(T150)</f>
        <v>215.89424007744432</v>
      </c>
      <c r="AQ159" s="13">
        <f t="shared" ca="1" si="444"/>
        <v>7.9960829658312713</v>
      </c>
      <c r="AR159" s="9">
        <f t="shared" ca="1" si="435"/>
        <v>189.07407407407408</v>
      </c>
      <c r="AS159" s="76"/>
      <c r="AT159" s="76"/>
    </row>
    <row r="160" spans="1:46" ht="15.75" customHeight="1" x14ac:dyDescent="0.2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6"/>
      <c r="X160" s="8">
        <v>5</v>
      </c>
      <c r="Y160" s="8" t="s">
        <v>39</v>
      </c>
      <c r="Z160" s="8">
        <f t="shared" ref="Z160:AI160" si="445">SUM(D151)</f>
        <v>28</v>
      </c>
      <c r="AA160" s="9">
        <f t="shared" ca="1" si="445"/>
        <v>27</v>
      </c>
      <c r="AB160" s="10">
        <f t="shared" ca="1" si="445"/>
        <v>5029.6180000000004</v>
      </c>
      <c r="AC160" s="9">
        <f t="shared" ca="1" si="445"/>
        <v>1071</v>
      </c>
      <c r="AD160" s="9">
        <f t="shared" ca="1" si="445"/>
        <v>25</v>
      </c>
      <c r="AE160" s="9">
        <f t="shared" ca="1" si="445"/>
        <v>1096</v>
      </c>
      <c r="AF160" s="9">
        <f t="shared" ca="1" si="445"/>
        <v>1701</v>
      </c>
      <c r="AG160" s="9">
        <f t="shared" ca="1" si="445"/>
        <v>0</v>
      </c>
      <c r="AH160" s="9">
        <f t="shared" ca="1" si="445"/>
        <v>1701</v>
      </c>
      <c r="AI160" s="9">
        <f t="shared" ca="1" si="445"/>
        <v>2797</v>
      </c>
      <c r="AJ160" s="11">
        <f t="shared" ca="1" si="430"/>
        <v>186.28214814814817</v>
      </c>
      <c r="AK160" s="8">
        <f t="shared" si="439"/>
        <v>3569</v>
      </c>
      <c r="AL160" s="12">
        <f t="shared" ca="1" si="431"/>
        <v>0.78369291117960216</v>
      </c>
      <c r="AM160" s="13">
        <f t="shared" si="440"/>
        <v>1.5</v>
      </c>
      <c r="AN160" s="12">
        <f t="shared" ca="1" si="432"/>
        <v>0.37073723425251509</v>
      </c>
      <c r="AO160" s="14">
        <f t="shared" ca="1" si="433"/>
        <v>0.55610585137877266</v>
      </c>
      <c r="AP160" s="13">
        <f t="shared" ref="AP160:AQ160" ca="1" si="446">SUM(T151)</f>
        <v>234.3390020034478</v>
      </c>
      <c r="AQ160" s="13">
        <f t="shared" ca="1" si="446"/>
        <v>8.6792222964239922</v>
      </c>
      <c r="AR160" s="9">
        <f t="shared" ca="1" si="435"/>
        <v>103.5925925925926</v>
      </c>
      <c r="AS160" s="76"/>
      <c r="AT160" s="76"/>
    </row>
    <row r="161" spans="1:46" ht="15.75" customHeight="1" x14ac:dyDescent="0.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6"/>
      <c r="X161" s="8">
        <v>6</v>
      </c>
      <c r="Y161" s="8" t="s">
        <v>41</v>
      </c>
      <c r="Z161" s="8">
        <f t="shared" ref="Z161:AI161" si="447">SUM(D152)</f>
        <v>24</v>
      </c>
      <c r="AA161" s="9">
        <f t="shared" ca="1" si="447"/>
        <v>24</v>
      </c>
      <c r="AB161" s="10">
        <f t="shared" ca="1" si="447"/>
        <v>4763.5240000000003</v>
      </c>
      <c r="AC161" s="9">
        <f t="shared" ca="1" si="447"/>
        <v>1290</v>
      </c>
      <c r="AD161" s="9">
        <f t="shared" ca="1" si="447"/>
        <v>0</v>
      </c>
      <c r="AE161" s="9">
        <f t="shared" ca="1" si="447"/>
        <v>1290</v>
      </c>
      <c r="AF161" s="9">
        <f t="shared" ca="1" si="447"/>
        <v>1675</v>
      </c>
      <c r="AG161" s="9">
        <f t="shared" ca="1" si="447"/>
        <v>0</v>
      </c>
      <c r="AH161" s="9">
        <f t="shared" ca="1" si="447"/>
        <v>1675</v>
      </c>
      <c r="AI161" s="9">
        <f t="shared" ca="1" si="447"/>
        <v>2965</v>
      </c>
      <c r="AJ161" s="11">
        <f t="shared" ca="1" si="430"/>
        <v>198.48016666666669</v>
      </c>
      <c r="AK161" s="8">
        <f t="shared" si="439"/>
        <v>3801</v>
      </c>
      <c r="AL161" s="12">
        <f t="shared" ca="1" si="431"/>
        <v>0.78005787950539329</v>
      </c>
      <c r="AM161" s="13">
        <f t="shared" si="440"/>
        <v>1.5</v>
      </c>
      <c r="AN161" s="12">
        <f t="shared" ca="1" si="432"/>
        <v>0.41495889737653607</v>
      </c>
      <c r="AO161" s="14">
        <f t="shared" ca="1" si="433"/>
        <v>0.62243834606480408</v>
      </c>
      <c r="AP161" s="13">
        <f t="shared" ref="AP161:AQ161" ca="1" si="448">SUM(T152)</f>
        <v>160.7777777777778</v>
      </c>
      <c r="AQ161" s="13">
        <f t="shared" ca="1" si="448"/>
        <v>6.6990740740740753</v>
      </c>
      <c r="AR161" s="9">
        <f t="shared" ca="1" si="435"/>
        <v>123.54166666666667</v>
      </c>
      <c r="AS161" s="76"/>
      <c r="AT161" s="76"/>
    </row>
    <row r="162" spans="1:46" ht="15.75" customHeight="1" x14ac:dyDescent="0.25">
      <c r="A162" s="110" t="s">
        <v>45</v>
      </c>
      <c r="B162" s="76"/>
      <c r="C162" s="76"/>
      <c r="D162" s="75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24" t="s">
        <v>33</v>
      </c>
      <c r="Y162" s="24">
        <v>6</v>
      </c>
      <c r="Z162" s="24">
        <f t="shared" ref="Z162:AI162" si="449">SUM(Z156:Z161)</f>
        <v>173</v>
      </c>
      <c r="AA162" s="25">
        <f t="shared" ca="1" si="449"/>
        <v>167</v>
      </c>
      <c r="AB162" s="27">
        <f t="shared" ca="1" si="449"/>
        <v>32483.403999999991</v>
      </c>
      <c r="AC162" s="25">
        <f t="shared" ca="1" si="449"/>
        <v>12901</v>
      </c>
      <c r="AD162" s="25">
        <f t="shared" ca="1" si="449"/>
        <v>167</v>
      </c>
      <c r="AE162" s="25">
        <f t="shared" ca="1" si="449"/>
        <v>13068</v>
      </c>
      <c r="AF162" s="25">
        <f t="shared" ca="1" si="449"/>
        <v>17016</v>
      </c>
      <c r="AG162" s="25">
        <f t="shared" ca="1" si="449"/>
        <v>232</v>
      </c>
      <c r="AH162" s="25">
        <f t="shared" ca="1" si="449"/>
        <v>17248</v>
      </c>
      <c r="AI162" s="25">
        <f t="shared" ca="1" si="449"/>
        <v>30316</v>
      </c>
      <c r="AJ162" s="27">
        <f t="shared" ca="1" si="430"/>
        <v>194.51140119760473</v>
      </c>
      <c r="AK162" s="24">
        <f>SUM(AK156:AK161)</f>
        <v>37031</v>
      </c>
      <c r="AL162" s="28">
        <f t="shared" ca="1" si="431"/>
        <v>0.81866544246712214</v>
      </c>
      <c r="AM162" s="29">
        <v>1.5</v>
      </c>
      <c r="AN162" s="28">
        <f t="shared" ca="1" si="432"/>
        <v>0.62218438272869037</v>
      </c>
      <c r="AO162" s="30">
        <f t="shared" ca="1" si="433"/>
        <v>0.93327657409303555</v>
      </c>
      <c r="AP162" s="29">
        <f ca="1">SUM(AP156:AP161)</f>
        <v>1337.8828443194225</v>
      </c>
      <c r="AQ162" s="29">
        <f ca="1">AP162/AA162</f>
        <v>8.0112745168827697</v>
      </c>
      <c r="AR162" s="25">
        <f t="shared" ca="1" si="435"/>
        <v>181.53293413173654</v>
      </c>
      <c r="AS162" s="76"/>
      <c r="AT162" s="76"/>
    </row>
    <row r="163" spans="1:46" ht="15.75" customHeight="1" x14ac:dyDescent="0.2">
      <c r="A163" s="110" t="s">
        <v>45</v>
      </c>
      <c r="B163" s="76"/>
      <c r="C163" s="76"/>
      <c r="D163" s="75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7" t="s">
        <v>1</v>
      </c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9"/>
      <c r="AS163" s="76"/>
      <c r="AT163" s="76"/>
    </row>
    <row r="164" spans="1:46" ht="15.75" customHeight="1" x14ac:dyDescent="0.2">
      <c r="A164" s="109">
        <v>46241</v>
      </c>
      <c r="B164" s="80" t="s">
        <v>2</v>
      </c>
      <c r="C164" s="80" t="s">
        <v>3</v>
      </c>
      <c r="D164" s="80" t="s">
        <v>4</v>
      </c>
      <c r="E164" s="80" t="s">
        <v>5</v>
      </c>
      <c r="F164" s="81" t="s">
        <v>6</v>
      </c>
      <c r="G164" s="80" t="s">
        <v>7</v>
      </c>
      <c r="H164" s="80" t="s">
        <v>8</v>
      </c>
      <c r="I164" s="80" t="s">
        <v>9</v>
      </c>
      <c r="J164" s="80" t="s">
        <v>10</v>
      </c>
      <c r="K164" s="80" t="s">
        <v>11</v>
      </c>
      <c r="L164" s="80" t="s">
        <v>12</v>
      </c>
      <c r="M164" s="80" t="s">
        <v>13</v>
      </c>
      <c r="N164" s="81" t="s">
        <v>14</v>
      </c>
      <c r="O164" s="80" t="s">
        <v>15</v>
      </c>
      <c r="P164" s="80" t="s">
        <v>16</v>
      </c>
      <c r="Q164" s="80" t="s">
        <v>17</v>
      </c>
      <c r="R164" s="80" t="s">
        <v>18</v>
      </c>
      <c r="S164" s="106" t="s">
        <v>19</v>
      </c>
      <c r="T164" s="107" t="s">
        <v>20</v>
      </c>
      <c r="U164" s="107" t="s">
        <v>21</v>
      </c>
      <c r="V164" s="105" t="s">
        <v>22</v>
      </c>
      <c r="W164" s="76"/>
      <c r="X164" s="1" t="s">
        <v>2</v>
      </c>
      <c r="Y164" s="1" t="s">
        <v>3</v>
      </c>
      <c r="Z164" s="1" t="s">
        <v>4</v>
      </c>
      <c r="AA164" s="1" t="s">
        <v>5</v>
      </c>
      <c r="AB164" s="2" t="s">
        <v>6</v>
      </c>
      <c r="AC164" s="1" t="s">
        <v>7</v>
      </c>
      <c r="AD164" s="1" t="s">
        <v>8</v>
      </c>
      <c r="AE164" s="1" t="s">
        <v>9</v>
      </c>
      <c r="AF164" s="1" t="s">
        <v>10</v>
      </c>
      <c r="AG164" s="1" t="s">
        <v>11</v>
      </c>
      <c r="AH164" s="1" t="s">
        <v>12</v>
      </c>
      <c r="AI164" s="1" t="s">
        <v>13</v>
      </c>
      <c r="AJ164" s="2" t="s">
        <v>14</v>
      </c>
      <c r="AK164" s="1" t="s">
        <v>15</v>
      </c>
      <c r="AL164" s="1" t="s">
        <v>16</v>
      </c>
      <c r="AM164" s="3" t="s">
        <v>17</v>
      </c>
      <c r="AN164" s="4" t="s">
        <v>18</v>
      </c>
      <c r="AO164" s="5" t="s">
        <v>19</v>
      </c>
      <c r="AP164" s="6" t="s">
        <v>20</v>
      </c>
      <c r="AQ164" s="6" t="s">
        <v>21</v>
      </c>
      <c r="AR164" s="7" t="s">
        <v>22</v>
      </c>
      <c r="AS164" s="76"/>
      <c r="AT164" s="76"/>
    </row>
    <row r="165" spans="1:46" ht="15.75" customHeight="1" x14ac:dyDescent="0.2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6"/>
      <c r="X165" s="8">
        <v>1</v>
      </c>
      <c r="Y165" s="8" t="s">
        <v>23</v>
      </c>
      <c r="Z165" s="8">
        <f t="shared" ref="Z165:AI165" si="450">SUM(D173)</f>
        <v>35</v>
      </c>
      <c r="AA165" s="9">
        <f t="shared" ca="1" si="450"/>
        <v>34</v>
      </c>
      <c r="AB165" s="10">
        <f t="shared" ca="1" si="450"/>
        <v>6545.5599999999904</v>
      </c>
      <c r="AC165" s="9">
        <f t="shared" ca="1" si="450"/>
        <v>2016</v>
      </c>
      <c r="AD165" s="9">
        <f t="shared" ca="1" si="450"/>
        <v>0</v>
      </c>
      <c r="AE165" s="9">
        <f t="shared" ca="1" si="450"/>
        <v>2016</v>
      </c>
      <c r="AF165" s="9">
        <f t="shared" ca="1" si="450"/>
        <v>2970</v>
      </c>
      <c r="AG165" s="9">
        <f t="shared" ca="1" si="450"/>
        <v>0</v>
      </c>
      <c r="AH165" s="9">
        <f t="shared" ca="1" si="450"/>
        <v>2970</v>
      </c>
      <c r="AI165" s="9">
        <f t="shared" ca="1" si="450"/>
        <v>4986</v>
      </c>
      <c r="AJ165" s="11">
        <f t="shared" ref="AJ165:AJ167" ca="1" si="451">AB165/AA165</f>
        <v>192.51647058823502</v>
      </c>
      <c r="AK165" s="8">
        <f>SUM(O173)</f>
        <v>6853</v>
      </c>
      <c r="AL165" s="12">
        <f t="shared" ref="AL165:AL171" ca="1" si="452">AI165/AK165</f>
        <v>0.72756457026119947</v>
      </c>
      <c r="AM165" s="13">
        <f t="shared" ref="AM165:AM167" si="453">SUM(Q173)</f>
        <v>1.5</v>
      </c>
      <c r="AN165" s="12">
        <f t="shared" ref="AN165:AN171" ca="1" si="454">AO165/AM165</f>
        <v>0.50782515170588993</v>
      </c>
      <c r="AO165" s="14">
        <f t="shared" ref="AO165:AO171" ca="1" si="455">AI165/AB165</f>
        <v>0.76173772755883484</v>
      </c>
      <c r="AP165" s="13">
        <f t="shared" ref="AP165:AQ165" ca="1" si="456">SUM(T173)</f>
        <v>193.99999999999972</v>
      </c>
      <c r="AQ165" s="13">
        <f t="shared" ca="1" si="456"/>
        <v>5.7058823529411677</v>
      </c>
      <c r="AR165" s="9">
        <f t="shared" ref="AR165:AR171" ca="1" si="457">AI165/AA165</f>
        <v>146.64705882352942</v>
      </c>
      <c r="AS165" s="76"/>
      <c r="AT165" s="76"/>
    </row>
    <row r="166" spans="1:46" ht="15.75" customHeight="1" x14ac:dyDescent="0.2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6"/>
      <c r="X166" s="8">
        <v>2</v>
      </c>
      <c r="Y166" s="8" t="s">
        <v>24</v>
      </c>
      <c r="Z166" s="8">
        <f t="shared" ref="Z166:AI166" si="458">SUM(D174)</f>
        <v>44</v>
      </c>
      <c r="AA166" s="9">
        <f t="shared" ca="1" si="458"/>
        <v>43</v>
      </c>
      <c r="AB166" s="10">
        <f t="shared" ca="1" si="458"/>
        <v>8531.2059999999892</v>
      </c>
      <c r="AC166" s="9">
        <f t="shared" ca="1" si="458"/>
        <v>1020</v>
      </c>
      <c r="AD166" s="9">
        <f t="shared" ca="1" si="458"/>
        <v>0</v>
      </c>
      <c r="AE166" s="9">
        <f t="shared" ca="1" si="458"/>
        <v>1020</v>
      </c>
      <c r="AF166" s="9">
        <f t="shared" ca="1" si="458"/>
        <v>1405</v>
      </c>
      <c r="AG166" s="9">
        <f t="shared" ca="1" si="458"/>
        <v>0</v>
      </c>
      <c r="AH166" s="9">
        <f t="shared" ca="1" si="458"/>
        <v>1405</v>
      </c>
      <c r="AI166" s="9">
        <f t="shared" ca="1" si="458"/>
        <v>2425</v>
      </c>
      <c r="AJ166" s="11">
        <f t="shared" ca="1" si="451"/>
        <v>198.40013953488346</v>
      </c>
      <c r="AK166" s="8">
        <v>1580</v>
      </c>
      <c r="AL166" s="15">
        <f t="shared" ca="1" si="452"/>
        <v>1.5348101265822784</v>
      </c>
      <c r="AM166" s="13">
        <f t="shared" si="453"/>
        <v>1.5</v>
      </c>
      <c r="AN166" s="12">
        <f t="shared" ca="1" si="454"/>
        <v>0.1895003668492671</v>
      </c>
      <c r="AO166" s="14">
        <f t="shared" ca="1" si="455"/>
        <v>0.28425055027390067</v>
      </c>
      <c r="AP166" s="13">
        <f t="shared" ref="AP166:AQ166" ca="1" si="459">SUM(T174)</f>
        <v>318.26920350680803</v>
      </c>
      <c r="AQ166" s="13">
        <f t="shared" ca="1" si="459"/>
        <v>7.401609383879256</v>
      </c>
      <c r="AR166" s="9">
        <f t="shared" ca="1" si="457"/>
        <v>56.395348837209305</v>
      </c>
      <c r="AS166" s="76"/>
      <c r="AT166" s="76"/>
    </row>
    <row r="167" spans="1:46" ht="15.75" customHeight="1" x14ac:dyDescent="0.2">
      <c r="A167" s="70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6"/>
      <c r="X167" s="8">
        <v>3</v>
      </c>
      <c r="Y167" s="8" t="s">
        <v>25</v>
      </c>
      <c r="Z167" s="8">
        <f t="shared" ref="Z167:AI167" si="460">SUM(D175)</f>
        <v>32</v>
      </c>
      <c r="AA167" s="9">
        <f t="shared" ca="1" si="460"/>
        <v>32</v>
      </c>
      <c r="AB167" s="10">
        <f t="shared" ca="1" si="460"/>
        <v>6058.8959999999997</v>
      </c>
      <c r="AC167" s="9">
        <f t="shared" ca="1" si="460"/>
        <v>2290</v>
      </c>
      <c r="AD167" s="9">
        <f t="shared" ca="1" si="460"/>
        <v>302</v>
      </c>
      <c r="AE167" s="9">
        <f t="shared" ca="1" si="460"/>
        <v>2592</v>
      </c>
      <c r="AF167" s="9">
        <f t="shared" ca="1" si="460"/>
        <v>3268</v>
      </c>
      <c r="AG167" s="9">
        <f t="shared" ca="1" si="460"/>
        <v>350</v>
      </c>
      <c r="AH167" s="9">
        <f t="shared" ca="1" si="460"/>
        <v>3618</v>
      </c>
      <c r="AI167" s="9">
        <f t="shared" ca="1" si="460"/>
        <v>6210</v>
      </c>
      <c r="AJ167" s="11">
        <f t="shared" ca="1" si="451"/>
        <v>189.34049999999999</v>
      </c>
      <c r="AK167" s="8">
        <f>SUM(O175)</f>
        <v>6622</v>
      </c>
      <c r="AL167" s="12">
        <f t="shared" ca="1" si="452"/>
        <v>0.93778314708547261</v>
      </c>
      <c r="AM167" s="13">
        <f t="shared" si="453"/>
        <v>1.5</v>
      </c>
      <c r="AN167" s="12">
        <f t="shared" ca="1" si="454"/>
        <v>0.6832927978958544</v>
      </c>
      <c r="AO167" s="14">
        <f t="shared" ca="1" si="455"/>
        <v>1.0249391968437815</v>
      </c>
      <c r="AP167" s="13">
        <f t="shared" ref="AP167:AQ167" ca="1" si="461">SUM(T175)</f>
        <v>254.14832214765099</v>
      </c>
      <c r="AQ167" s="13">
        <f t="shared" ca="1" si="461"/>
        <v>7.9421350671140933</v>
      </c>
      <c r="AR167" s="9">
        <f t="shared" ca="1" si="457"/>
        <v>194.0625</v>
      </c>
      <c r="AS167" s="76"/>
      <c r="AT167" s="76"/>
    </row>
    <row r="168" spans="1:46" ht="15.75" customHeight="1" x14ac:dyDescent="0.25">
      <c r="A168" s="70"/>
      <c r="B168" s="16">
        <v>1</v>
      </c>
      <c r="C168" s="16" t="s">
        <v>26</v>
      </c>
      <c r="D168" s="17">
        <v>20</v>
      </c>
      <c r="E168" s="18">
        <f ca="1">IFERROR(__xludf.DUMMYFUNCTION("COUNT(IMPORTRANGE(""https://docs.google.com/spreadsheets/d/1iVFEBQOAONhqDIMRa2hQ7WkCQv0dJWSAmc0AzfvSCMg/edit"",""7!d2:d21""))"),19)</f>
        <v>19</v>
      </c>
      <c r="F168" s="19">
        <f ca="1">IFERROR(__xludf.DUMMYFUNCTION("SUM(IMPORTRANGE(""https://docs.google.com/spreadsheets/d/1iVFEBQOAONhqDIMRa2hQ7WkCQv0dJWSAmc0AzfvSCMg/edit"",""7!Q2:Q21""))"),3806.172)</f>
        <v>3806.172</v>
      </c>
      <c r="G168" s="18">
        <f ca="1">IFERROR(__xludf.DUMMYFUNCTION("IMPORTRANGE(""https://docs.google.com/spreadsheets/d/1iVFEBQOAONhqDIMRa2hQ7WkCQv0dJWSAmc0AzfvSCMg/edit"",""7!e28"")"),1860)</f>
        <v>1860</v>
      </c>
      <c r="H168" s="18">
        <f ca="1">IFERROR(__xludf.DUMMYFUNCTION("IMPORTRANGE(""https://docs.google.com/spreadsheets/d/1iVFEBQOAONhqDIMRa2hQ7WkCQv0dJWSAmc0AzfvSCMg/edit"",""7!e29"")"),0)</f>
        <v>0</v>
      </c>
      <c r="I168" s="18">
        <f t="shared" ref="I168:I185" ca="1" si="462">SUM(G168:H168)</f>
        <v>1860</v>
      </c>
      <c r="J168" s="18">
        <f ca="1">IFERROR(__xludf.DUMMYFUNCTION("IMPORTRANGE(""https://docs.google.com/spreadsheets/d/1iVFEBQOAONhqDIMRa2hQ7WkCQv0dJWSAmc0AzfvSCMg/edit"",""7!e32"")"),3277)</f>
        <v>3277</v>
      </c>
      <c r="K168" s="18">
        <f ca="1">IFERROR(__xludf.DUMMYFUNCTION("IMPORTRANGE(""https://docs.google.com/spreadsheets/d/1iVFEBQOAONhqDIMRa2hQ7WkCQv0dJWSAmc0AzfvSCMg/edit"",""7!e33"")"),0)</f>
        <v>0</v>
      </c>
      <c r="L168" s="18">
        <f t="shared" ref="L168:L174" ca="1" si="463">SUM(J168:K168)</f>
        <v>3277</v>
      </c>
      <c r="M168" s="18">
        <f t="shared" ref="M168:M185" ca="1" si="464">SUM(I168+L168)</f>
        <v>5137</v>
      </c>
      <c r="N168" s="19">
        <f t="shared" ref="N168:N186" ca="1" si="465">F168/E168</f>
        <v>200.32484210526317</v>
      </c>
      <c r="O168" s="16">
        <v>5161</v>
      </c>
      <c r="P168" s="20">
        <f t="shared" ref="P168:P186" ca="1" si="466">M168/O168</f>
        <v>0.99534973842278629</v>
      </c>
      <c r="Q168" s="21">
        <v>1.5</v>
      </c>
      <c r="R168" s="20">
        <f t="shared" ref="R168:R186" ca="1" si="467">S168/Q168</f>
        <v>0.89976665969553304</v>
      </c>
      <c r="S168" s="22">
        <f t="shared" ref="S168:S186" ca="1" si="468">M168/F168</f>
        <v>1.3496499895432996</v>
      </c>
      <c r="T168" s="21">
        <f ca="1">F168/14.415</f>
        <v>264.04245577523415</v>
      </c>
      <c r="U168" s="21">
        <f t="shared" ref="U168:U186" ca="1" si="469">T168/E168</f>
        <v>13.896971356591271</v>
      </c>
      <c r="V168" s="18">
        <f t="shared" ref="V168:V186" ca="1" si="470">M168/E168</f>
        <v>270.36842105263156</v>
      </c>
      <c r="W168" s="76"/>
      <c r="X168" s="8">
        <v>4</v>
      </c>
      <c r="Y168" s="8" t="s">
        <v>27</v>
      </c>
      <c r="Z168" s="8">
        <f t="shared" ref="Z168:AK168" si="471">SUM(D181)</f>
        <v>30</v>
      </c>
      <c r="AA168" s="9">
        <f t="shared" ca="1" si="471"/>
        <v>29</v>
      </c>
      <c r="AB168" s="10">
        <f t="shared" ca="1" si="471"/>
        <v>5032.1129999999903</v>
      </c>
      <c r="AC168" s="9">
        <f t="shared" ca="1" si="471"/>
        <v>2583</v>
      </c>
      <c r="AD168" s="9">
        <f t="shared" ca="1" si="471"/>
        <v>21</v>
      </c>
      <c r="AE168" s="9">
        <f t="shared" ca="1" si="471"/>
        <v>2604</v>
      </c>
      <c r="AF168" s="9">
        <f t="shared" ca="1" si="471"/>
        <v>2962</v>
      </c>
      <c r="AG168" s="9">
        <f t="shared" ca="1" si="471"/>
        <v>0</v>
      </c>
      <c r="AH168" s="9">
        <f t="shared" ca="1" si="471"/>
        <v>2962</v>
      </c>
      <c r="AI168" s="9">
        <f t="shared" ca="1" si="471"/>
        <v>5566</v>
      </c>
      <c r="AJ168" s="11">
        <f t="shared" ca="1" si="471"/>
        <v>173.52113793103416</v>
      </c>
      <c r="AK168" s="8">
        <f t="shared" si="471"/>
        <v>8101</v>
      </c>
      <c r="AL168" s="12">
        <f t="shared" ca="1" si="452"/>
        <v>0.68707566967041112</v>
      </c>
      <c r="AM168" s="13">
        <f>SUM(Q181)</f>
        <v>1.5</v>
      </c>
      <c r="AN168" s="12">
        <f t="shared" ca="1" si="454"/>
        <v>0.7373973252720426</v>
      </c>
      <c r="AO168" s="14">
        <f t="shared" ca="1" si="455"/>
        <v>1.1060959879080638</v>
      </c>
      <c r="AP168" s="13">
        <f t="shared" ref="AP168:AQ168" ca="1" si="472">SUM(T181)</f>
        <v>251.79449587190345</v>
      </c>
      <c r="AQ168" s="13">
        <f t="shared" ca="1" si="472"/>
        <v>8.6825688231690847</v>
      </c>
      <c r="AR168" s="9">
        <f t="shared" ca="1" si="457"/>
        <v>191.93103448275863</v>
      </c>
      <c r="AS168" s="76"/>
      <c r="AT168" s="76"/>
    </row>
    <row r="169" spans="1:46" ht="15.75" customHeight="1" x14ac:dyDescent="0.25">
      <c r="A169" s="70"/>
      <c r="B169" s="16">
        <v>2</v>
      </c>
      <c r="C169" s="16" t="s">
        <v>28</v>
      </c>
      <c r="D169" s="17">
        <v>33</v>
      </c>
      <c r="E169" s="18">
        <f ca="1">IFERROR(__xludf.DUMMYFUNCTION("COUNT(IMPORTRANGE(""https://docs.google.com/spreadsheets/d/1tJCeYclgeJZ4Dc78t_SkhVjtacKW-5-VGim8X1rzUzk/edit"",""7!d2:d34""))"),32)</f>
        <v>32</v>
      </c>
      <c r="F169" s="19">
        <f ca="1">IFERROR(__xludf.DUMMYFUNCTION("SUM(IMPORTRANGE(""https://docs.google.com/spreadsheets/d/1tJCeYclgeJZ4Dc78t_SkhVjtacKW-5-VGim8X1rzUzk/edit"",""7!Q2:Q34""))"),6188.96599999999)</f>
        <v>6188.9659999999903</v>
      </c>
      <c r="G169" s="18">
        <f ca="1">IFERROR(__xludf.DUMMYFUNCTION("IMPORTRANGE(""https://docs.google.com/spreadsheets/d/1tJCeYclgeJZ4Dc78t_SkhVjtacKW-5-VGim8X1rzUzk/edit"",""7!e41"")"),2740)</f>
        <v>2740</v>
      </c>
      <c r="H169" s="18">
        <f ca="1">IFERROR(__xludf.DUMMYFUNCTION("IMPORTRANGE(""https://docs.google.com/spreadsheets/d/1tJCeYclgeJZ4Dc78t_SkhVjtacKW-5-VGim8X1rzUzk/edit"",""7!e42"")"),107)</f>
        <v>107</v>
      </c>
      <c r="I169" s="18">
        <f t="shared" ca="1" si="462"/>
        <v>2847</v>
      </c>
      <c r="J169" s="18">
        <f ca="1">IFERROR(__xludf.DUMMYFUNCTION("IMPORTRANGE(""https://docs.google.com/spreadsheets/d/1tJCeYclgeJZ4Dc78t_SkhVjtacKW-5-VGim8X1rzUzk/edit"",""7!e45"")"),2927)</f>
        <v>2927</v>
      </c>
      <c r="K169" s="18">
        <f ca="1">IFERROR(__xludf.DUMMYFUNCTION("IMPORTRANGE(""https://docs.google.com/spreadsheets/d/1tJCeYclgeJZ4Dc78t_SkhVjtacKW-5-VGim8X1rzUzk/edit"",""7!e46"")"),231)</f>
        <v>231</v>
      </c>
      <c r="L169" s="18">
        <f t="shared" ca="1" si="463"/>
        <v>3158</v>
      </c>
      <c r="M169" s="18">
        <f t="shared" ca="1" si="464"/>
        <v>6005</v>
      </c>
      <c r="N169" s="19">
        <f t="shared" ca="1" si="465"/>
        <v>193.4051874999997</v>
      </c>
      <c r="O169" s="16">
        <v>7315</v>
      </c>
      <c r="P169" s="20">
        <f t="shared" ca="1" si="466"/>
        <v>0.82091592617908404</v>
      </c>
      <c r="Q169" s="21">
        <v>1.5</v>
      </c>
      <c r="R169" s="20">
        <f t="shared" ca="1" si="467"/>
        <v>0.64685010926434872</v>
      </c>
      <c r="S169" s="22">
        <f t="shared" ca="1" si="468"/>
        <v>0.97027516389652313</v>
      </c>
      <c r="T169" s="21">
        <f ca="1">F169/30.897</f>
        <v>200.3096093471855</v>
      </c>
      <c r="U169" s="21">
        <f t="shared" ca="1" si="469"/>
        <v>6.2596752920995469</v>
      </c>
      <c r="V169" s="18">
        <f t="shared" ca="1" si="470"/>
        <v>187.65625</v>
      </c>
      <c r="W169" s="76"/>
      <c r="X169" s="8">
        <v>5</v>
      </c>
      <c r="Y169" s="8" t="s">
        <v>29</v>
      </c>
      <c r="Z169" s="8">
        <f t="shared" ref="Z169:AI169" si="473">SUM(D184)</f>
        <v>30</v>
      </c>
      <c r="AA169" s="9">
        <f t="shared" ca="1" si="473"/>
        <v>29</v>
      </c>
      <c r="AB169" s="10">
        <f t="shared" ca="1" si="473"/>
        <v>5832.5119999999997</v>
      </c>
      <c r="AC169" s="9">
        <f t="shared" ca="1" si="473"/>
        <v>2914</v>
      </c>
      <c r="AD169" s="9">
        <f t="shared" ca="1" si="473"/>
        <v>0</v>
      </c>
      <c r="AE169" s="9">
        <f t="shared" ca="1" si="473"/>
        <v>2914</v>
      </c>
      <c r="AF169" s="9">
        <f t="shared" ca="1" si="473"/>
        <v>4201</v>
      </c>
      <c r="AG169" s="9">
        <f t="shared" ca="1" si="473"/>
        <v>0</v>
      </c>
      <c r="AH169" s="9">
        <f t="shared" ca="1" si="473"/>
        <v>4201</v>
      </c>
      <c r="AI169" s="9">
        <f t="shared" ca="1" si="473"/>
        <v>7115</v>
      </c>
      <c r="AJ169" s="11">
        <f t="shared" ref="AJ169:AJ171" ca="1" si="474">AB169/AA169</f>
        <v>201.12110344827585</v>
      </c>
      <c r="AK169" s="8">
        <f t="shared" ref="AK169:AK170" si="475">SUM(O184)</f>
        <v>9201</v>
      </c>
      <c r="AL169" s="12">
        <f t="shared" ca="1" si="452"/>
        <v>0.77328551244429955</v>
      </c>
      <c r="AM169" s="13">
        <f t="shared" ref="AM169:AM170" si="476">SUM(Q184)</f>
        <v>1.5</v>
      </c>
      <c r="AN169" s="12">
        <f t="shared" ca="1" si="454"/>
        <v>0.81325736377967728</v>
      </c>
      <c r="AO169" s="14">
        <f t="shared" ca="1" si="455"/>
        <v>1.219886045669516</v>
      </c>
      <c r="AP169" s="13">
        <f t="shared" ref="AP169:AQ169" ca="1" si="477">SUM(T184)</f>
        <v>224</v>
      </c>
      <c r="AQ169" s="13">
        <f t="shared" ca="1" si="477"/>
        <v>7.7241379310344831</v>
      </c>
      <c r="AR169" s="9">
        <f t="shared" ca="1" si="457"/>
        <v>245.34482758620689</v>
      </c>
      <c r="AS169" s="76"/>
      <c r="AT169" s="76"/>
    </row>
    <row r="170" spans="1:46" ht="15.75" customHeight="1" x14ac:dyDescent="0.25">
      <c r="A170" s="70"/>
      <c r="B170" s="16">
        <v>3</v>
      </c>
      <c r="C170" s="16" t="s">
        <v>30</v>
      </c>
      <c r="D170" s="17">
        <v>60</v>
      </c>
      <c r="E170" s="18">
        <f ca="1">IFERROR(__xludf.DUMMYFUNCTION("COUNT(IMPORTRANGE(""https://docs.google.com/spreadsheets/d/130gLEONC13J8KkQ6dk06x3bLRy_jCrAw2hXatQf2W50/edit"",""7!d2:d61""))"),58)</f>
        <v>58</v>
      </c>
      <c r="F170" s="23">
        <f ca="1">IFERROR(__xludf.DUMMYFUNCTION("SUM(IMPORTRANGE(""https://docs.google.com/spreadsheets/d/130gLEONC13J8KkQ6dk06x3bLRy_jCrAw2hXatQf2W50/edit"",""7!Q2:Q61""))"),11460.5659999999)</f>
        <v>11460.565999999901</v>
      </c>
      <c r="G170" s="18">
        <f ca="1">IFERROR(__xludf.DUMMYFUNCTION("IMPORTRANGE(""https://docs.google.com/spreadsheets/d/130gLEONC13J8KkQ6dk06x3bLRy_jCrAw2hXatQf2W50/edit"",""7!e68"")"),3786)</f>
        <v>3786</v>
      </c>
      <c r="H170" s="18">
        <f ca="1">IFERROR(__xludf.DUMMYFUNCTION("IMPORTRANGE(""https://docs.google.com/spreadsheets/d/130gLEONC13J8KkQ6dk06x3bLRy_jCrAw2hXatQf2W50/edit"",""7!e69"")"),0)</f>
        <v>0</v>
      </c>
      <c r="I170" s="18">
        <f t="shared" ca="1" si="462"/>
        <v>3786</v>
      </c>
      <c r="J170" s="18">
        <f ca="1">IFERROR(__xludf.DUMMYFUNCTION("IMPORTRANGE(""https://docs.google.com/spreadsheets/d/130gLEONC13J8KkQ6dk06x3bLRy_jCrAw2hXatQf2W50/edit"",""7!e72"")"),5511)</f>
        <v>5511</v>
      </c>
      <c r="K170" s="18">
        <f ca="1">IFERROR(__xludf.DUMMYFUNCTION("IMPORTRANGE(""https://docs.google.com/spreadsheets/d/130gLEONC13J8KkQ6dk06x3bLRy_jCrAw2hXatQf2W50/edit"",""7!e73"")"),0)</f>
        <v>0</v>
      </c>
      <c r="L170" s="18">
        <f t="shared" ca="1" si="463"/>
        <v>5511</v>
      </c>
      <c r="M170" s="18">
        <f t="shared" ca="1" si="464"/>
        <v>9297</v>
      </c>
      <c r="N170" s="19">
        <f t="shared" ca="1" si="465"/>
        <v>197.59596551723968</v>
      </c>
      <c r="O170" s="16">
        <v>11164</v>
      </c>
      <c r="P170" s="20">
        <f t="shared" ca="1" si="466"/>
        <v>0.83276603367968471</v>
      </c>
      <c r="Q170" s="21">
        <v>1.5</v>
      </c>
      <c r="R170" s="20">
        <f t="shared" ca="1" si="467"/>
        <v>0.54081098612407563</v>
      </c>
      <c r="S170" s="22">
        <f t="shared" ca="1" si="468"/>
        <v>0.8112164791861135</v>
      </c>
      <c r="T170" s="21">
        <f ca="1">F170/29.603</f>
        <v>387.14204641421139</v>
      </c>
      <c r="U170" s="21">
        <f t="shared" ca="1" si="469"/>
        <v>6.6748628692105409</v>
      </c>
      <c r="V170" s="18">
        <f t="shared" ca="1" si="470"/>
        <v>160.29310344827587</v>
      </c>
      <c r="W170" s="76"/>
      <c r="X170" s="8">
        <v>6</v>
      </c>
      <c r="Y170" s="8" t="s">
        <v>31</v>
      </c>
      <c r="Z170" s="8">
        <f t="shared" ref="Z170:AI170" si="478">SUM(D185)</f>
        <v>15</v>
      </c>
      <c r="AA170" s="9">
        <f t="shared" ca="1" si="478"/>
        <v>13</v>
      </c>
      <c r="AB170" s="11">
        <f t="shared" ca="1" si="478"/>
        <v>2694.8299999999899</v>
      </c>
      <c r="AC170" s="9">
        <f t="shared" ca="1" si="478"/>
        <v>831</v>
      </c>
      <c r="AD170" s="9">
        <f t="shared" ca="1" si="478"/>
        <v>0</v>
      </c>
      <c r="AE170" s="9">
        <f t="shared" ca="1" si="478"/>
        <v>831</v>
      </c>
      <c r="AF170" s="9">
        <f t="shared" ca="1" si="478"/>
        <v>1127</v>
      </c>
      <c r="AG170" s="9">
        <f t="shared" ca="1" si="478"/>
        <v>11</v>
      </c>
      <c r="AH170" s="9">
        <f t="shared" ca="1" si="478"/>
        <v>1138</v>
      </c>
      <c r="AI170" s="9">
        <f t="shared" ca="1" si="478"/>
        <v>1969</v>
      </c>
      <c r="AJ170" s="11">
        <f t="shared" ca="1" si="474"/>
        <v>207.29461538461462</v>
      </c>
      <c r="AK170" s="8">
        <f t="shared" si="475"/>
        <v>2717</v>
      </c>
      <c r="AL170" s="12">
        <f t="shared" ca="1" si="452"/>
        <v>0.7246963562753036</v>
      </c>
      <c r="AM170" s="13">
        <f t="shared" si="476"/>
        <v>1.5</v>
      </c>
      <c r="AN170" s="12">
        <f t="shared" ca="1" si="454"/>
        <v>0.48710555644202852</v>
      </c>
      <c r="AO170" s="14">
        <f t="shared" ca="1" si="455"/>
        <v>0.73065833466304275</v>
      </c>
      <c r="AP170" s="13">
        <f t="shared" ref="AP170:AQ170" ca="1" si="479">SUM(T185)</f>
        <v>61.999999999999766</v>
      </c>
      <c r="AQ170" s="13">
        <f t="shared" ca="1" si="479"/>
        <v>4.7692307692307514</v>
      </c>
      <c r="AR170" s="9">
        <f t="shared" ca="1" si="457"/>
        <v>151.46153846153845</v>
      </c>
      <c r="AS170" s="76"/>
      <c r="AT170" s="76"/>
    </row>
    <row r="171" spans="1:46" ht="15.75" customHeight="1" x14ac:dyDescent="0.25">
      <c r="A171" s="70"/>
      <c r="B171" s="16">
        <v>4</v>
      </c>
      <c r="C171" s="16" t="s">
        <v>32</v>
      </c>
      <c r="D171" s="17">
        <v>42</v>
      </c>
      <c r="E171" s="18">
        <f ca="1">IFERROR(__xludf.DUMMYFUNCTION("COUNT(IMPORTRANGE(""https://docs.google.com/spreadsheets/d/1gYHli7FuKQLm2Q-5LMR0UtkD-gRRA_p8s-phLPLDLgc/edit"",""7!d2:d43""))"),42)</f>
        <v>42</v>
      </c>
      <c r="F171" s="23">
        <f ca="1">IFERROR(__xludf.DUMMYFUNCTION("SUM(IMPORTRANGE(""https://docs.google.com/spreadsheets/d/1gYHli7FuKQLm2Q-5LMR0UtkD-gRRA_p8s-phLPLDLgc/edit"",""7!Q2:Q43""))"),8279.36999999999)</f>
        <v>8279.3699999999899</v>
      </c>
      <c r="G171" s="16">
        <f ca="1">IFERROR(__xludf.DUMMYFUNCTION("IMPORTRANGE(""https://docs.google.com/spreadsheets/d/1gYHli7FuKQLm2Q-5LMR0UtkD-gRRA_p8s-phLPLDLgc/edit"",""7!e50"")"),4944)</f>
        <v>4944</v>
      </c>
      <c r="H171" s="16">
        <f ca="1">IFERROR(__xludf.DUMMYFUNCTION("IMPORTRANGE(""https://docs.google.com/spreadsheets/d/1gYHli7FuKQLm2Q-5LMR0UtkD-gRRA_p8s-phLPLDLgc/edit"",""7!e51"")"),111)</f>
        <v>111</v>
      </c>
      <c r="I171" s="18">
        <f t="shared" ca="1" si="462"/>
        <v>5055</v>
      </c>
      <c r="J171" s="16">
        <f ca="1">IFERROR(__xludf.DUMMYFUNCTION("IMPORTRANGE(""https://docs.google.com/spreadsheets/d/1gYHli7FuKQLm2Q-5LMR0UtkD-gRRA_p8s-phLPLDLgc/edit"",""7!e54"")"),5191)</f>
        <v>5191</v>
      </c>
      <c r="K171" s="16">
        <f ca="1">IFERROR(__xludf.DUMMYFUNCTION("IMPORTRANGE(""https://docs.google.com/spreadsheets/d/1gYHli7FuKQLm2Q-5LMR0UtkD-gRRA_p8s-phLPLDLgc/edit"",""7!e55"")"),0)</f>
        <v>0</v>
      </c>
      <c r="L171" s="18">
        <f t="shared" ca="1" si="463"/>
        <v>5191</v>
      </c>
      <c r="M171" s="18">
        <f t="shared" ca="1" si="464"/>
        <v>10246</v>
      </c>
      <c r="N171" s="19">
        <f t="shared" ca="1" si="465"/>
        <v>197.1278571428569</v>
      </c>
      <c r="O171" s="16">
        <v>13817</v>
      </c>
      <c r="P171" s="20">
        <f t="shared" ca="1" si="466"/>
        <v>0.74155026416733005</v>
      </c>
      <c r="Q171" s="21">
        <v>1.5</v>
      </c>
      <c r="R171" s="20">
        <f t="shared" ca="1" si="467"/>
        <v>0.82502251580333708</v>
      </c>
      <c r="S171" s="22">
        <f t="shared" ca="1" si="468"/>
        <v>1.2375337737050056</v>
      </c>
      <c r="T171" s="21">
        <f ca="1">F171/25.089</f>
        <v>329.9999999999996</v>
      </c>
      <c r="U171" s="21">
        <f t="shared" ca="1" si="469"/>
        <v>7.8571428571428479</v>
      </c>
      <c r="V171" s="18">
        <f t="shared" ca="1" si="470"/>
        <v>243.95238095238096</v>
      </c>
      <c r="W171" s="76"/>
      <c r="X171" s="24" t="s">
        <v>33</v>
      </c>
      <c r="Y171" s="24">
        <v>6</v>
      </c>
      <c r="Z171" s="24">
        <f t="shared" ref="Z171:AI171" si="480">SUM(Z165:Z170)</f>
        <v>186</v>
      </c>
      <c r="AA171" s="25">
        <f t="shared" ca="1" si="480"/>
        <v>180</v>
      </c>
      <c r="AB171" s="26">
        <f t="shared" ca="1" si="480"/>
        <v>34695.116999999955</v>
      </c>
      <c r="AC171" s="25">
        <f t="shared" ca="1" si="480"/>
        <v>11654</v>
      </c>
      <c r="AD171" s="25">
        <f t="shared" ca="1" si="480"/>
        <v>323</v>
      </c>
      <c r="AE171" s="25">
        <f t="shared" ca="1" si="480"/>
        <v>11977</v>
      </c>
      <c r="AF171" s="25">
        <f t="shared" ca="1" si="480"/>
        <v>15933</v>
      </c>
      <c r="AG171" s="25">
        <f t="shared" ca="1" si="480"/>
        <v>361</v>
      </c>
      <c r="AH171" s="25">
        <f t="shared" ca="1" si="480"/>
        <v>16294</v>
      </c>
      <c r="AI171" s="25">
        <f t="shared" ca="1" si="480"/>
        <v>28271</v>
      </c>
      <c r="AJ171" s="27">
        <f t="shared" ca="1" si="474"/>
        <v>192.75064999999975</v>
      </c>
      <c r="AK171" s="24">
        <f>SUM(AK165:AK170)</f>
        <v>35074</v>
      </c>
      <c r="AL171" s="28">
        <f t="shared" ca="1" si="452"/>
        <v>0.80603866111649658</v>
      </c>
      <c r="AM171" s="29">
        <v>1.5</v>
      </c>
      <c r="AN171" s="28">
        <f t="shared" ca="1" si="454"/>
        <v>0.54322725971304142</v>
      </c>
      <c r="AO171" s="30">
        <f t="shared" ca="1" si="455"/>
        <v>0.81484088956956213</v>
      </c>
      <c r="AP171" s="29">
        <f ca="1">SUM(AP165:AP170)</f>
        <v>1304.2120215263619</v>
      </c>
      <c r="AQ171" s="29">
        <f ca="1">AP171/AA171</f>
        <v>7.2456223418131218</v>
      </c>
      <c r="AR171" s="25">
        <f t="shared" ca="1" si="457"/>
        <v>157.0611111111111</v>
      </c>
      <c r="AS171" s="76"/>
      <c r="AT171" s="76"/>
    </row>
    <row r="172" spans="1:46" ht="15.75" customHeight="1" x14ac:dyDescent="0.25">
      <c r="A172" s="70"/>
      <c r="B172" s="16">
        <v>5</v>
      </c>
      <c r="C172" s="16" t="s">
        <v>34</v>
      </c>
      <c r="D172" s="17">
        <v>40</v>
      </c>
      <c r="E172" s="18">
        <f ca="1">IFERROR(__xludf.DUMMYFUNCTION("COUNT(IMPORTRANGE(""https://docs.google.com/spreadsheets/d/1ptS0qWBCKWkc9h2aXWT_YgMhN7yIv5WgAHRbF8l9Zpo/edit"",""7!d2:d41""))"),40)</f>
        <v>40</v>
      </c>
      <c r="F172" s="23">
        <f ca="1">IFERROR(__xludf.DUMMYFUNCTION("SUM(IMPORTRANGE(""https://docs.google.com/spreadsheets/d/1ptS0qWBCKWkc9h2aXWT_YgMhN7yIv5WgAHRbF8l9Zpo/edit"",""7!Q2:Q41""))"),7738.731)</f>
        <v>7738.7309999999998</v>
      </c>
      <c r="G172" s="18">
        <f ca="1">IFERROR(__xludf.DUMMYFUNCTION("IMPORTRANGE(""https://docs.google.com/spreadsheets/d/1ptS0qWBCKWkc9h2aXWT_YgMhN7yIv5WgAHRbF8l9Zpo/edit"",""7!e48"")"),3192)</f>
        <v>3192</v>
      </c>
      <c r="H172" s="18">
        <f ca="1">IFERROR(__xludf.DUMMYFUNCTION("IMPORTRANGE(""https://docs.google.com/spreadsheets/d/1ptS0qWBCKWkc9h2aXWT_YgMhN7yIv5WgAHRbF8l9Zpo/edit"",""7!e49"")"),0)</f>
        <v>0</v>
      </c>
      <c r="I172" s="18">
        <f t="shared" ca="1" si="462"/>
        <v>3192</v>
      </c>
      <c r="J172" s="18">
        <f ca="1">IFERROR(__xludf.DUMMYFUNCTION("IMPORTRANGE(""https://docs.google.com/spreadsheets/d/1ptS0qWBCKWkc9h2aXWT_YgMhN7yIv5WgAHRbF8l9Zpo/edit"",""7!e52"")"),3405)</f>
        <v>3405</v>
      </c>
      <c r="K172" s="18">
        <f ca="1">IFERROR(__xludf.DUMMYFUNCTION("IMPORTRANGE(""https://docs.google.com/spreadsheets/d/1ptS0qWBCKWkc9h2aXWT_YgMhN7yIv5WgAHRbF8l9Zpo/edit"",""7!e53"")"),0)</f>
        <v>0</v>
      </c>
      <c r="L172" s="18">
        <f t="shared" ca="1" si="463"/>
        <v>3405</v>
      </c>
      <c r="M172" s="18">
        <f t="shared" ca="1" si="464"/>
        <v>6597</v>
      </c>
      <c r="N172" s="19">
        <f t="shared" ca="1" si="465"/>
        <v>193.46827500000001</v>
      </c>
      <c r="O172" s="16">
        <v>9354</v>
      </c>
      <c r="P172" s="20">
        <f t="shared" ca="1" si="466"/>
        <v>0.70525978191148175</v>
      </c>
      <c r="Q172" s="21">
        <v>1.5</v>
      </c>
      <c r="R172" s="20">
        <f t="shared" ca="1" si="467"/>
        <v>0.56831023070836806</v>
      </c>
      <c r="S172" s="22">
        <f t="shared" ca="1" si="468"/>
        <v>0.85246534606255209</v>
      </c>
      <c r="T172" s="21">
        <f ca="1">F172/30.713</f>
        <v>251.96923127014617</v>
      </c>
      <c r="U172" s="21">
        <f t="shared" ca="1" si="469"/>
        <v>6.2992307817536544</v>
      </c>
      <c r="V172" s="18">
        <f t="shared" ca="1" si="470"/>
        <v>164.92500000000001</v>
      </c>
      <c r="W172" s="76"/>
      <c r="X172" s="100" t="s">
        <v>35</v>
      </c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9"/>
      <c r="AS172" s="76"/>
      <c r="AT172" s="76"/>
    </row>
    <row r="173" spans="1:46" ht="15.75" customHeight="1" x14ac:dyDescent="0.25">
      <c r="A173" s="70"/>
      <c r="B173" s="16">
        <v>6</v>
      </c>
      <c r="C173" s="16" t="s">
        <v>23</v>
      </c>
      <c r="D173" s="17">
        <v>35</v>
      </c>
      <c r="E173" s="18">
        <f ca="1">IFERROR(__xludf.DUMMYFUNCTION("COUNT(IMPORTRANGE(""https://docs.google.com/spreadsheets/d/1829CoYW82aTBBUgqkPnJa94KlBWI-DowAnP4ENQCmaQ/edit"",""7!d2:d36""))"),34)</f>
        <v>34</v>
      </c>
      <c r="F173" s="23">
        <f ca="1">IFERROR(__xludf.DUMMYFUNCTION("SUM(IMPORTRANGE(""https://docs.google.com/spreadsheets/d/1829CoYW82aTBBUgqkPnJa94KlBWI-DowAnP4ENQCmaQ/edit"",""7!Q2:Q36""))"),6545.55999999999)</f>
        <v>6545.5599999999904</v>
      </c>
      <c r="G173" s="18">
        <f ca="1">IFERROR(__xludf.DUMMYFUNCTION("IMPORTRANGE(""https://docs.google.com/spreadsheets/d/1829CoYW82aTBBUgqkPnJa94KlBWI-DowAnP4ENQCmaQ/edit"",""7!e43"")"),2016)</f>
        <v>2016</v>
      </c>
      <c r="H173" s="18">
        <f ca="1">IFERROR(__xludf.DUMMYFUNCTION("IMPORTRANGE(""https://docs.google.com/spreadsheets/d/1829CoYW82aTBBUgqkPnJa94KlBWI-DowAnP4ENQCmaQ/edit"",""7!e44"")"),0)</f>
        <v>0</v>
      </c>
      <c r="I173" s="18">
        <f t="shared" ca="1" si="462"/>
        <v>2016</v>
      </c>
      <c r="J173" s="18">
        <f ca="1">IFERROR(__xludf.DUMMYFUNCTION("IMPORTRANGE(""https://docs.google.com/spreadsheets/d/1829CoYW82aTBBUgqkPnJa94KlBWI-DowAnP4ENQCmaQ/edit"",""7!e47"")"),2970)</f>
        <v>2970</v>
      </c>
      <c r="K173" s="18">
        <f ca="1">IFERROR(__xludf.DUMMYFUNCTION("IMPORTRANGE(""https://docs.google.com/spreadsheets/d/1829CoYW82aTBBUgqkPnJa94KlBWI-DowAnP4ENQCmaQ/edit"",""7!e48"")"),0)</f>
        <v>0</v>
      </c>
      <c r="L173" s="18">
        <f t="shared" ca="1" si="463"/>
        <v>2970</v>
      </c>
      <c r="M173" s="18">
        <f t="shared" ca="1" si="464"/>
        <v>4986</v>
      </c>
      <c r="N173" s="19">
        <f t="shared" ca="1" si="465"/>
        <v>192.51647058823502</v>
      </c>
      <c r="O173" s="16">
        <v>6853</v>
      </c>
      <c r="P173" s="20">
        <f t="shared" ca="1" si="466"/>
        <v>0.72756457026119947</v>
      </c>
      <c r="Q173" s="21">
        <v>1.5</v>
      </c>
      <c r="R173" s="20">
        <f t="shared" ca="1" si="467"/>
        <v>0.50782515170588993</v>
      </c>
      <c r="S173" s="22">
        <f t="shared" ca="1" si="468"/>
        <v>0.76173772755883484</v>
      </c>
      <c r="T173" s="21">
        <f ca="1">F173/33.74</f>
        <v>193.99999999999972</v>
      </c>
      <c r="U173" s="21">
        <f t="shared" ca="1" si="469"/>
        <v>5.7058823529411677</v>
      </c>
      <c r="V173" s="18">
        <f t="shared" ca="1" si="470"/>
        <v>146.64705882352942</v>
      </c>
      <c r="W173" s="76"/>
      <c r="X173" s="1" t="s">
        <v>2</v>
      </c>
      <c r="Y173" s="1" t="s">
        <v>3</v>
      </c>
      <c r="Z173" s="1" t="s">
        <v>4</v>
      </c>
      <c r="AA173" s="1" t="s">
        <v>5</v>
      </c>
      <c r="AB173" s="2" t="s">
        <v>6</v>
      </c>
      <c r="AC173" s="1" t="s">
        <v>7</v>
      </c>
      <c r="AD173" s="1" t="s">
        <v>8</v>
      </c>
      <c r="AE173" s="1" t="s">
        <v>9</v>
      </c>
      <c r="AF173" s="1" t="s">
        <v>10</v>
      </c>
      <c r="AG173" s="1" t="s">
        <v>11</v>
      </c>
      <c r="AH173" s="1" t="s">
        <v>12</v>
      </c>
      <c r="AI173" s="1" t="s">
        <v>13</v>
      </c>
      <c r="AJ173" s="2" t="s">
        <v>14</v>
      </c>
      <c r="AK173" s="1" t="s">
        <v>15</v>
      </c>
      <c r="AL173" s="1" t="s">
        <v>16</v>
      </c>
      <c r="AM173" s="3" t="s">
        <v>17</v>
      </c>
      <c r="AN173" s="4" t="s">
        <v>18</v>
      </c>
      <c r="AO173" s="5" t="s">
        <v>19</v>
      </c>
      <c r="AP173" s="6" t="s">
        <v>20</v>
      </c>
      <c r="AQ173" s="6" t="s">
        <v>21</v>
      </c>
      <c r="AR173" s="7" t="s">
        <v>22</v>
      </c>
      <c r="AS173" s="76"/>
      <c r="AT173" s="76"/>
    </row>
    <row r="174" spans="1:46" ht="15.75" customHeight="1" x14ac:dyDescent="0.25">
      <c r="A174" s="70"/>
      <c r="B174" s="16">
        <v>7</v>
      </c>
      <c r="C174" s="16" t="s">
        <v>24</v>
      </c>
      <c r="D174" s="17">
        <v>44</v>
      </c>
      <c r="E174" s="31">
        <f ca="1">IFERROR(__xludf.DUMMYFUNCTION("COUNT(IMPORTRANGE(""https://docs.google.com/spreadsheets/d/1E2x4oDZxEIsuC5nl-5Z0--MoN8b1dt9SbpRcCfNP84Q/edit"",""7!d2:d45""))"),43)</f>
        <v>43</v>
      </c>
      <c r="F174" s="32">
        <f ca="1">IFERROR(__xludf.DUMMYFUNCTION("SUM(IMPORTRANGE(""https://docs.google.com/spreadsheets/d/1E2x4oDZxEIsuC5nl-5Z0--MoN8b1dt9SbpRcCfNP84Q/edit"",""7!Q2:Q45""))"),8531.20599999999)</f>
        <v>8531.2059999999892</v>
      </c>
      <c r="G174" s="31">
        <f ca="1">IFERROR(__xludf.DUMMYFUNCTION("IMPORTRANGE(""https://docs.google.com/spreadsheets/d/1E2x4oDZxEIsuC5nl-5Z0--MoN8b1dt9SbpRcCfNP84Q/edit"",""7!e53"")"),1020)</f>
        <v>1020</v>
      </c>
      <c r="H174" s="31">
        <f ca="1">IFERROR(__xludf.DUMMYFUNCTION("IMPORTRANGE(""https://docs.google.com/spreadsheets/d/1E2x4oDZxEIsuC5nl-5Z0--MoN8b1dt9SbpRcCfNP84Q/edit"",""7!e54"")"),0)</f>
        <v>0</v>
      </c>
      <c r="I174" s="31">
        <f t="shared" ca="1" si="462"/>
        <v>1020</v>
      </c>
      <c r="J174" s="31">
        <f ca="1">IFERROR(__xludf.DUMMYFUNCTION("IMPORTRANGE(""https://docs.google.com/spreadsheets/d/1E2x4oDZxEIsuC5nl-5Z0--MoN8b1dt9SbpRcCfNP84Q/edit"",""7!e57"")"),1405)</f>
        <v>1405</v>
      </c>
      <c r="K174" s="31">
        <f ca="1">IFERROR(__xludf.DUMMYFUNCTION("IMPORTRANGE(""https://docs.google.com/spreadsheets/d/1E2x4oDZxEIsuC5nl-5Z0--MoN8b1dt9SbpRcCfNP84Q/edit"",""7!e58"")"),0)</f>
        <v>0</v>
      </c>
      <c r="L174" s="18">
        <f t="shared" ca="1" si="463"/>
        <v>1405</v>
      </c>
      <c r="M174" s="18">
        <f t="shared" ca="1" si="464"/>
        <v>2425</v>
      </c>
      <c r="N174" s="19">
        <f t="shared" ca="1" si="465"/>
        <v>198.40013953488346</v>
      </c>
      <c r="O174" s="16">
        <v>1580</v>
      </c>
      <c r="P174" s="33">
        <f t="shared" ca="1" si="466"/>
        <v>1.5348101265822784</v>
      </c>
      <c r="Q174" s="21">
        <v>1.5</v>
      </c>
      <c r="R174" s="20">
        <f t="shared" ca="1" si="467"/>
        <v>0.1895003668492671</v>
      </c>
      <c r="S174" s="22">
        <f t="shared" ca="1" si="468"/>
        <v>0.28425055027390067</v>
      </c>
      <c r="T174" s="21">
        <f ca="1">F174/26.805</f>
        <v>318.26920350680803</v>
      </c>
      <c r="U174" s="21">
        <f t="shared" ca="1" si="469"/>
        <v>7.401609383879256</v>
      </c>
      <c r="V174" s="18">
        <f t="shared" ca="1" si="470"/>
        <v>56.395348837209305</v>
      </c>
      <c r="W174" s="76"/>
      <c r="X174" s="8">
        <v>1</v>
      </c>
      <c r="Y174" s="8" t="s">
        <v>28</v>
      </c>
      <c r="Z174" s="8">
        <f t="shared" ref="Z174:AI174" si="481">SUM(D169)</f>
        <v>33</v>
      </c>
      <c r="AA174" s="9">
        <f t="shared" ca="1" si="481"/>
        <v>32</v>
      </c>
      <c r="AB174" s="11">
        <f t="shared" ca="1" si="481"/>
        <v>6188.9659999999903</v>
      </c>
      <c r="AC174" s="9">
        <f t="shared" ca="1" si="481"/>
        <v>2740</v>
      </c>
      <c r="AD174" s="9">
        <f t="shared" ca="1" si="481"/>
        <v>107</v>
      </c>
      <c r="AE174" s="9">
        <f t="shared" ca="1" si="481"/>
        <v>2847</v>
      </c>
      <c r="AF174" s="9">
        <f t="shared" ca="1" si="481"/>
        <v>2927</v>
      </c>
      <c r="AG174" s="9">
        <f t="shared" ca="1" si="481"/>
        <v>231</v>
      </c>
      <c r="AH174" s="9">
        <f t="shared" ca="1" si="481"/>
        <v>3158</v>
      </c>
      <c r="AI174" s="9">
        <f t="shared" ca="1" si="481"/>
        <v>6005</v>
      </c>
      <c r="AJ174" s="11">
        <f t="shared" ref="AJ174:AJ180" ca="1" si="482">AB174/AA174</f>
        <v>193.4051874999997</v>
      </c>
      <c r="AK174" s="8">
        <f t="shared" ref="AK174:AK175" si="483">SUM(O169)</f>
        <v>7315</v>
      </c>
      <c r="AL174" s="12">
        <f t="shared" ref="AL174:AL180" ca="1" si="484">AI174/AK174</f>
        <v>0.82091592617908404</v>
      </c>
      <c r="AM174" s="13">
        <f t="shared" ref="AM174:AM175" si="485">SUM(Q169)</f>
        <v>1.5</v>
      </c>
      <c r="AN174" s="12">
        <f t="shared" ref="AN174:AN180" ca="1" si="486">AO174/AM174</f>
        <v>0.64685010926434872</v>
      </c>
      <c r="AO174" s="14">
        <f t="shared" ref="AO174:AO180" ca="1" si="487">AI174/AB174</f>
        <v>0.97027516389652313</v>
      </c>
      <c r="AP174" s="13">
        <f t="shared" ref="AP174:AQ174" ca="1" si="488">SUM(T169)</f>
        <v>200.3096093471855</v>
      </c>
      <c r="AQ174" s="13">
        <f t="shared" ca="1" si="488"/>
        <v>6.2596752920995469</v>
      </c>
      <c r="AR174" s="9">
        <f t="shared" ref="AR174:AR180" ca="1" si="489">AI174/AA174</f>
        <v>187.65625</v>
      </c>
      <c r="AS174" s="76"/>
      <c r="AT174" s="76"/>
    </row>
    <row r="175" spans="1:46" ht="15.75" customHeight="1" x14ac:dyDescent="0.25">
      <c r="A175" s="70"/>
      <c r="B175" s="16">
        <v>8</v>
      </c>
      <c r="C175" s="16" t="s">
        <v>25</v>
      </c>
      <c r="D175" s="34">
        <v>32</v>
      </c>
      <c r="E175" s="18">
        <f ca="1">IFERROR(__xludf.DUMMYFUNCTION("COUNT(IMPORTRANGE(""https://docs.google.com/spreadsheets/d/1KbRFOEYB0B44J_NSh1MwYQ1sLDlZXUHI-wuMLcZDn5k/edit"",""7!d2:D33""))"),32)</f>
        <v>32</v>
      </c>
      <c r="F175" s="23">
        <f ca="1">IFERROR(__xludf.DUMMYFUNCTION("SUM(IMPORTRANGE(""https://docs.google.com/spreadsheets/d/1KbRFOEYB0B44J_NSh1MwYQ1sLDlZXUHI-wuMLcZDn5k/edit"",""7!Q2:Q33""))"),6058.896)</f>
        <v>6058.8959999999997</v>
      </c>
      <c r="G175" s="18">
        <f ca="1">IFERROR(__xludf.DUMMYFUNCTION("IMPORTRANGE(""https://docs.google.com/spreadsheets/d/1KbRFOEYB0B44J_NSh1MwYQ1sLDlZXUHI-wuMLcZDn5k/edit"",""7!e40"")"),2290)</f>
        <v>2290</v>
      </c>
      <c r="H175" s="18">
        <f ca="1">IFERROR(__xludf.DUMMYFUNCTION("IMPORTRANGE(""https://docs.google.com/spreadsheets/d/1KbRFOEYB0B44J_NSh1MwYQ1sLDlZXUHI-wuMLcZDn5k/edit"",""7!e41"")"),302)</f>
        <v>302</v>
      </c>
      <c r="I175" s="18">
        <f t="shared" ca="1" si="462"/>
        <v>2592</v>
      </c>
      <c r="J175" s="18">
        <f ca="1">IFERROR(__xludf.DUMMYFUNCTION("IMPORTRANGE(""https://docs.google.com/spreadsheets/d/1KbRFOEYB0B44J_NSh1MwYQ1sLDlZXUHI-wuMLcZDn5k/edit"",""7!e44"")"),3268)</f>
        <v>3268</v>
      </c>
      <c r="K175" s="18">
        <f ca="1">IFERROR(__xludf.DUMMYFUNCTION("IMPORTRANGE(""https://docs.google.com/spreadsheets/d/1KbRFOEYB0B44J_NSh1MwYQ1sLDlZXUHI-wuMLcZDn5k/edit"",""7!e45"")"),350)</f>
        <v>350</v>
      </c>
      <c r="L175" s="18">
        <f ca="1">J175+K175</f>
        <v>3618</v>
      </c>
      <c r="M175" s="18">
        <f t="shared" ca="1" si="464"/>
        <v>6210</v>
      </c>
      <c r="N175" s="19">
        <f t="shared" ca="1" si="465"/>
        <v>189.34049999999999</v>
      </c>
      <c r="O175" s="16">
        <v>6622</v>
      </c>
      <c r="P175" s="20">
        <f t="shared" ca="1" si="466"/>
        <v>0.93778314708547261</v>
      </c>
      <c r="Q175" s="21">
        <v>1.5</v>
      </c>
      <c r="R175" s="20">
        <f t="shared" ca="1" si="467"/>
        <v>0.6832927978958544</v>
      </c>
      <c r="S175" s="22">
        <f t="shared" ca="1" si="468"/>
        <v>1.0249391968437815</v>
      </c>
      <c r="T175" s="21">
        <f ca="1">F175/23.84</f>
        <v>254.14832214765099</v>
      </c>
      <c r="U175" s="21">
        <f t="shared" ca="1" si="469"/>
        <v>7.9421350671140933</v>
      </c>
      <c r="V175" s="18">
        <f t="shared" ca="1" si="470"/>
        <v>194.0625</v>
      </c>
      <c r="W175" s="76"/>
      <c r="X175" s="8">
        <v>2</v>
      </c>
      <c r="Y175" s="8" t="s">
        <v>30</v>
      </c>
      <c r="Z175" s="8">
        <f t="shared" ref="Z175:AI175" si="490">SUM(D170)</f>
        <v>60</v>
      </c>
      <c r="AA175" s="9">
        <f t="shared" ca="1" si="490"/>
        <v>58</v>
      </c>
      <c r="AB175" s="10">
        <f t="shared" ca="1" si="490"/>
        <v>11460.565999999901</v>
      </c>
      <c r="AC175" s="9">
        <f t="shared" ca="1" si="490"/>
        <v>3786</v>
      </c>
      <c r="AD175" s="9">
        <f t="shared" ca="1" si="490"/>
        <v>0</v>
      </c>
      <c r="AE175" s="9">
        <f t="shared" ca="1" si="490"/>
        <v>3786</v>
      </c>
      <c r="AF175" s="9">
        <f t="shared" ca="1" si="490"/>
        <v>5511</v>
      </c>
      <c r="AG175" s="9">
        <f t="shared" ca="1" si="490"/>
        <v>0</v>
      </c>
      <c r="AH175" s="9">
        <f t="shared" ca="1" si="490"/>
        <v>5511</v>
      </c>
      <c r="AI175" s="9">
        <f t="shared" ca="1" si="490"/>
        <v>9297</v>
      </c>
      <c r="AJ175" s="11">
        <f t="shared" ca="1" si="482"/>
        <v>197.59596551723968</v>
      </c>
      <c r="AK175" s="8">
        <f t="shared" si="483"/>
        <v>11164</v>
      </c>
      <c r="AL175" s="12">
        <f t="shared" ca="1" si="484"/>
        <v>0.83276603367968471</v>
      </c>
      <c r="AM175" s="13">
        <f t="shared" si="485"/>
        <v>1.5</v>
      </c>
      <c r="AN175" s="12">
        <f t="shared" ca="1" si="486"/>
        <v>0.54081098612407563</v>
      </c>
      <c r="AO175" s="14">
        <f t="shared" ca="1" si="487"/>
        <v>0.8112164791861135</v>
      </c>
      <c r="AP175" s="13">
        <f t="shared" ref="AP175:AQ175" ca="1" si="491">SUM(T170)</f>
        <v>387.14204641421139</v>
      </c>
      <c r="AQ175" s="13">
        <f t="shared" ca="1" si="491"/>
        <v>6.6748628692105409</v>
      </c>
      <c r="AR175" s="9">
        <f t="shared" ca="1" si="489"/>
        <v>160.29310344827587</v>
      </c>
      <c r="AS175" s="76"/>
      <c r="AT175" s="76"/>
    </row>
    <row r="176" spans="1:46" ht="15.75" customHeight="1" x14ac:dyDescent="0.25">
      <c r="A176" s="70"/>
      <c r="B176" s="16">
        <v>9</v>
      </c>
      <c r="C176" s="16" t="s">
        <v>36</v>
      </c>
      <c r="D176" s="34">
        <v>29</v>
      </c>
      <c r="E176" s="18">
        <f ca="1">IFERROR(__xludf.DUMMYFUNCTION("COUNT(IMPORTRANGE(""https://docs.google.com/spreadsheets/d/1VqqqRGfmmkT0JC4ILJva2p8P11jjV0FX-TSKAaqOigw/edit"",""7!d2:d31""))"),29)</f>
        <v>29</v>
      </c>
      <c r="F176" s="23">
        <f ca="1">IFERROR(__xludf.DUMMYFUNCTION("SUM(IMPORTRANGE(""https://docs.google.com/spreadsheets/d/1VqqqRGfmmkT0JC4ILJva2p8P11jjV0FX-TSKAaqOigw/edit"",""7!Q2:Q31""))"),5659.443)</f>
        <v>5659.4430000000002</v>
      </c>
      <c r="G176" s="18">
        <f ca="1">IFERROR(__xludf.DUMMYFUNCTION("IMPORTRANGE(""https://docs.google.com/spreadsheets/d/1VqqqRGfmmkT0JC4ILJva2p8P11jjV0FX-TSKAaqOigw/edit"",""7!e38"")"),1597)</f>
        <v>1597</v>
      </c>
      <c r="H176" s="18">
        <f ca="1">IFERROR(__xludf.DUMMYFUNCTION("IMPORTRANGE(""https://docs.google.com/spreadsheets/d/1VqqqRGfmmkT0JC4ILJva2p8P11jjV0FX-TSKAaqOigw/edit"",""7!e39"")"),0)</f>
        <v>0</v>
      </c>
      <c r="I176" s="18">
        <f t="shared" ca="1" si="462"/>
        <v>1597</v>
      </c>
      <c r="J176" s="18">
        <f ca="1">IFERROR(__xludf.DUMMYFUNCTION("IMPORTRANGE(""https://docs.google.com/spreadsheets/d/1VqqqRGfmmkT0JC4ILJva2p8P11jjV0FX-TSKAaqOigw/edit"",""7!e42"")"),2317)</f>
        <v>2317</v>
      </c>
      <c r="K176" s="18">
        <f ca="1">IFERROR(__xludf.DUMMYFUNCTION("IMPORTRANGE(""https://docs.google.com/spreadsheets/d/1VqqqRGfmmkT0JC4ILJva2p8P11jjV0FX-TSKAaqOigw/edit"",""7!e43"")"),0)</f>
        <v>0</v>
      </c>
      <c r="L176" s="18">
        <f t="shared" ref="L176:L185" ca="1" si="492">SUM(J176:K176)</f>
        <v>2317</v>
      </c>
      <c r="M176" s="18">
        <f t="shared" ca="1" si="464"/>
        <v>3914</v>
      </c>
      <c r="N176" s="19">
        <f t="shared" ca="1" si="465"/>
        <v>195.15320689655172</v>
      </c>
      <c r="O176" s="16">
        <v>4796</v>
      </c>
      <c r="P176" s="20">
        <f t="shared" ca="1" si="466"/>
        <v>0.81609674728940784</v>
      </c>
      <c r="Q176" s="21">
        <v>1.5</v>
      </c>
      <c r="R176" s="20">
        <f t="shared" ca="1" si="467"/>
        <v>0.46105832912061012</v>
      </c>
      <c r="S176" s="22">
        <f t="shared" ca="1" si="468"/>
        <v>0.69158749368091521</v>
      </c>
      <c r="T176" s="21">
        <f ca="1">F176/37.414</f>
        <v>151.26538194258833</v>
      </c>
      <c r="U176" s="21">
        <f t="shared" ca="1" si="469"/>
        <v>5.2160476531927014</v>
      </c>
      <c r="V176" s="18">
        <f t="shared" ca="1" si="470"/>
        <v>134.9655172413793</v>
      </c>
      <c r="W176" s="76"/>
      <c r="X176" s="8">
        <v>3</v>
      </c>
      <c r="Y176" s="8" t="s">
        <v>34</v>
      </c>
      <c r="Z176" s="8">
        <f t="shared" ref="Z176:AI176" si="493">SUM(D172)</f>
        <v>40</v>
      </c>
      <c r="AA176" s="9">
        <f t="shared" ca="1" si="493"/>
        <v>40</v>
      </c>
      <c r="AB176" s="10">
        <f t="shared" ca="1" si="493"/>
        <v>7738.7309999999998</v>
      </c>
      <c r="AC176" s="9">
        <f t="shared" ca="1" si="493"/>
        <v>3192</v>
      </c>
      <c r="AD176" s="9">
        <f t="shared" ca="1" si="493"/>
        <v>0</v>
      </c>
      <c r="AE176" s="9">
        <f t="shared" ca="1" si="493"/>
        <v>3192</v>
      </c>
      <c r="AF176" s="9">
        <f t="shared" ca="1" si="493"/>
        <v>3405</v>
      </c>
      <c r="AG176" s="9">
        <f t="shared" ca="1" si="493"/>
        <v>0</v>
      </c>
      <c r="AH176" s="9">
        <f t="shared" ca="1" si="493"/>
        <v>3405</v>
      </c>
      <c r="AI176" s="9">
        <f t="shared" ca="1" si="493"/>
        <v>6597</v>
      </c>
      <c r="AJ176" s="11">
        <f t="shared" ca="1" si="482"/>
        <v>193.46827500000001</v>
      </c>
      <c r="AK176" s="8">
        <f>SUM(O172)</f>
        <v>9354</v>
      </c>
      <c r="AL176" s="12">
        <f t="shared" ca="1" si="484"/>
        <v>0.70525978191148175</v>
      </c>
      <c r="AM176" s="13">
        <f>SUM(Q172)</f>
        <v>1.5</v>
      </c>
      <c r="AN176" s="12">
        <f t="shared" ca="1" si="486"/>
        <v>0.56831023070836806</v>
      </c>
      <c r="AO176" s="14">
        <f t="shared" ca="1" si="487"/>
        <v>0.85246534606255209</v>
      </c>
      <c r="AP176" s="13">
        <f t="shared" ref="AP176:AQ176" ca="1" si="494">SUM(T172)</f>
        <v>251.96923127014617</v>
      </c>
      <c r="AQ176" s="13">
        <f t="shared" ca="1" si="494"/>
        <v>6.2992307817536544</v>
      </c>
      <c r="AR176" s="9">
        <f t="shared" ca="1" si="489"/>
        <v>164.92500000000001</v>
      </c>
      <c r="AS176" s="76"/>
      <c r="AT176" s="76"/>
    </row>
    <row r="177" spans="1:46" ht="15.75" customHeight="1" x14ac:dyDescent="0.25">
      <c r="A177" s="70"/>
      <c r="B177" s="16">
        <v>10</v>
      </c>
      <c r="C177" s="16" t="s">
        <v>37</v>
      </c>
      <c r="D177" s="17">
        <v>30</v>
      </c>
      <c r="E177" s="18">
        <f ca="1">IFERROR(__xludf.DUMMYFUNCTION("COUNT(IMPORTRANGE(""https://docs.google.com/spreadsheets/d/1IYeRjQd_D6MRqoBKNaky3aSEUloYCJc5XDnPAbdyetk/edit"",""7!d2:d31""))"),30)</f>
        <v>30</v>
      </c>
      <c r="F177" s="23">
        <f ca="1">IFERROR(__xludf.DUMMYFUNCTION("SUM(IMPORTRANGE(""https://docs.google.com/spreadsheets/d/1IYeRjQd_D6MRqoBKNaky3aSEUloYCJc5XDnPAbdyetk/edit"",""7!Q2:Q31""))"),5348.106)</f>
        <v>5348.1059999999998</v>
      </c>
      <c r="G177" s="18">
        <f ca="1">IFERROR(__xludf.DUMMYFUNCTION("(IMPORTRANGE(""https://docs.google.com/spreadsheets/d/1IYeRjQd_D6MRqoBKNaky3aSEUloYCJc5XDnPAbdyetk/edit"",""7!e38""))"),1935)</f>
        <v>1935</v>
      </c>
      <c r="H177" s="18">
        <f ca="1">IFERROR(__xludf.DUMMYFUNCTION("(IMPORTRANGE(""https://docs.google.com/spreadsheets/d/1IYeRjQd_D6MRqoBKNaky3aSEUloYCJc5XDnPAbdyetk/edit"",""7!e39""))"),0)</f>
        <v>0</v>
      </c>
      <c r="I177" s="18">
        <f t="shared" ca="1" si="462"/>
        <v>1935</v>
      </c>
      <c r="J177" s="18">
        <f ca="1">IFERROR(__xludf.DUMMYFUNCTION("(IMPORTRANGE(""https://docs.google.com/spreadsheets/d/1IYeRjQd_D6MRqoBKNaky3aSEUloYCJc5XDnPAbdyetk/edit"",""7!e42""))"),2810)</f>
        <v>2810</v>
      </c>
      <c r="K177" s="18">
        <f ca="1">IFERROR(__xludf.DUMMYFUNCTION("(IMPORTRANGE(""https://docs.google.com/spreadsheets/d/1IYeRjQd_D6MRqoBKNaky3aSEUloYCJc5XDnPAbdyetk/edit"",""7!e43""))"),118)</f>
        <v>118</v>
      </c>
      <c r="L177" s="18">
        <f t="shared" ca="1" si="492"/>
        <v>2928</v>
      </c>
      <c r="M177" s="18">
        <f t="shared" ca="1" si="464"/>
        <v>4863</v>
      </c>
      <c r="N177" s="19">
        <f t="shared" ca="1" si="465"/>
        <v>178.27019999999999</v>
      </c>
      <c r="O177" s="16">
        <v>5887</v>
      </c>
      <c r="P177" s="20">
        <f t="shared" ca="1" si="466"/>
        <v>0.82605741464243243</v>
      </c>
      <c r="Q177" s="21">
        <v>1.5</v>
      </c>
      <c r="R177" s="20">
        <f t="shared" ca="1" si="467"/>
        <v>0.60619591309521537</v>
      </c>
      <c r="S177" s="22">
        <f t="shared" ca="1" si="468"/>
        <v>0.9092938696428231</v>
      </c>
      <c r="T177" s="21">
        <f ca="1">F177/24.792</f>
        <v>215.71902226524682</v>
      </c>
      <c r="U177" s="21">
        <f t="shared" ca="1" si="469"/>
        <v>7.1906340755082274</v>
      </c>
      <c r="V177" s="18">
        <f t="shared" ca="1" si="470"/>
        <v>162.1</v>
      </c>
      <c r="W177" s="76"/>
      <c r="X177" s="8">
        <v>4</v>
      </c>
      <c r="Y177" s="8" t="s">
        <v>38</v>
      </c>
      <c r="Z177" s="8">
        <f t="shared" ref="Z177:AI177" si="495">SUM(D180)</f>
        <v>30</v>
      </c>
      <c r="AA177" s="9">
        <f t="shared" ca="1" si="495"/>
        <v>29</v>
      </c>
      <c r="AB177" s="10">
        <f t="shared" ca="1" si="495"/>
        <v>5665.1719999999996</v>
      </c>
      <c r="AC177" s="9">
        <f t="shared" ca="1" si="495"/>
        <v>2152</v>
      </c>
      <c r="AD177" s="9">
        <f t="shared" ca="1" si="495"/>
        <v>0</v>
      </c>
      <c r="AE177" s="9">
        <f t="shared" ca="1" si="495"/>
        <v>2152</v>
      </c>
      <c r="AF177" s="9">
        <f t="shared" ca="1" si="495"/>
        <v>3310</v>
      </c>
      <c r="AG177" s="9">
        <f t="shared" ca="1" si="495"/>
        <v>174</v>
      </c>
      <c r="AH177" s="9">
        <f t="shared" ca="1" si="495"/>
        <v>3484</v>
      </c>
      <c r="AI177" s="9">
        <f t="shared" ca="1" si="495"/>
        <v>5636</v>
      </c>
      <c r="AJ177" s="11">
        <f t="shared" ca="1" si="482"/>
        <v>195.35075862068965</v>
      </c>
      <c r="AK177" s="8">
        <v>7324</v>
      </c>
      <c r="AL177" s="12">
        <f t="shared" ca="1" si="484"/>
        <v>0.76952484980884761</v>
      </c>
      <c r="AM177" s="13">
        <f>SUM(Q180)</f>
        <v>1.5</v>
      </c>
      <c r="AN177" s="12">
        <f t="shared" ca="1" si="486"/>
        <v>0.66323376118736266</v>
      </c>
      <c r="AO177" s="14">
        <f t="shared" ca="1" si="487"/>
        <v>0.99485064178104399</v>
      </c>
      <c r="AP177" s="13">
        <f t="shared" ref="AP177:AQ177" ca="1" si="496">SUM(T180)</f>
        <v>137.4874893823565</v>
      </c>
      <c r="AQ177" s="13">
        <f t="shared" ca="1" si="496"/>
        <v>4.7409479097364313</v>
      </c>
      <c r="AR177" s="9">
        <f t="shared" ca="1" si="489"/>
        <v>194.34482758620689</v>
      </c>
      <c r="AS177" s="76"/>
      <c r="AT177" s="76"/>
    </row>
    <row r="178" spans="1:46" ht="15.75" customHeight="1" x14ac:dyDescent="0.25">
      <c r="A178" s="70"/>
      <c r="B178" s="16">
        <v>12</v>
      </c>
      <c r="C178" s="16" t="s">
        <v>39</v>
      </c>
      <c r="D178" s="17">
        <v>28</v>
      </c>
      <c r="E178" s="18">
        <f ca="1">IFERROR(__xludf.DUMMYFUNCTION("COUNT(IMPORTRANGE(""https://docs.google.com/spreadsheets/d/1TAY2D35yAzyl8a_p5CuZehQvmatfj0b0Q8ICl8GtJBY/edit"",""7!d2:d29""))"),28)</f>
        <v>28</v>
      </c>
      <c r="F178" s="23">
        <f ca="1">IFERROR(__xludf.DUMMYFUNCTION("SUM(IMPORTRANGE(""https://docs.google.com/spreadsheets/d/1TAY2D35yAzyl8a_p5CuZehQvmatfj0b0Q8ICl8GtJBY/edit"",""7!Q2:Q29""))"),4986.692)</f>
        <v>4986.692</v>
      </c>
      <c r="G178" s="18">
        <f ca="1">IFERROR(__xludf.DUMMYFUNCTION("IMPORTRANGE(""https://docs.google.com/spreadsheets/d/1TAY2D35yAzyl8a_p5CuZehQvmatfj0b0Q8ICl8GtJBY/edit"",""7!e36"")"),1143)</f>
        <v>1143</v>
      </c>
      <c r="H178" s="18">
        <f ca="1">IFERROR(__xludf.DUMMYFUNCTION("(IMPORTRANGE(""https://docs.google.com/spreadsheets/d/1TAY2D35yAzyl8a_p5CuZehQvmatfj0b0Q8ICl8GtJBY/edit"",""7!e37""))"),0)</f>
        <v>0</v>
      </c>
      <c r="I178" s="18">
        <f t="shared" ca="1" si="462"/>
        <v>1143</v>
      </c>
      <c r="J178" s="18">
        <f ca="1">IFERROR(__xludf.DUMMYFUNCTION("IMPORTRANGE(""https://docs.google.com/spreadsheets/d/1TAY2D35yAzyl8a_p5CuZehQvmatfj0b0Q8ICl8GtJBY/edit"",""7!e40"")"),1766)</f>
        <v>1766</v>
      </c>
      <c r="K178" s="18">
        <f ca="1">IFERROR(__xludf.DUMMYFUNCTION("IMPORTRANGE(""https://docs.google.com/spreadsheets/d/1TAY2D35yAzyl8a_p5CuZehQvmatfj0b0Q8ICl8GtJBY/edit"",""7!e41"")"),0)</f>
        <v>0</v>
      </c>
      <c r="L178" s="18">
        <f t="shared" ca="1" si="492"/>
        <v>1766</v>
      </c>
      <c r="M178" s="18">
        <f t="shared" ca="1" si="464"/>
        <v>2909</v>
      </c>
      <c r="N178" s="19">
        <f t="shared" ca="1" si="465"/>
        <v>178.09614285714287</v>
      </c>
      <c r="O178" s="16">
        <v>3569</v>
      </c>
      <c r="P178" s="20">
        <f t="shared" ca="1" si="466"/>
        <v>0.81507425049033344</v>
      </c>
      <c r="Q178" s="21">
        <v>1.5</v>
      </c>
      <c r="R178" s="20">
        <f t="shared" ca="1" si="467"/>
        <v>0.38890176761134104</v>
      </c>
      <c r="S178" s="22">
        <f t="shared" ca="1" si="468"/>
        <v>0.58335265141701154</v>
      </c>
      <c r="T178" s="21">
        <f ca="1">F178/21.463</f>
        <v>232.33900200344777</v>
      </c>
      <c r="U178" s="21">
        <f t="shared" ca="1" si="469"/>
        <v>8.2978215001231348</v>
      </c>
      <c r="V178" s="18">
        <f t="shared" ca="1" si="470"/>
        <v>103.89285714285714</v>
      </c>
      <c r="W178" s="76"/>
      <c r="X178" s="8">
        <v>5</v>
      </c>
      <c r="Y178" s="8" t="s">
        <v>40</v>
      </c>
      <c r="Z178" s="8">
        <f t="shared" ref="Z178:AI178" si="497">SUM(D182)</f>
        <v>30</v>
      </c>
      <c r="AA178" s="9">
        <f t="shared" ca="1" si="497"/>
        <v>28</v>
      </c>
      <c r="AB178" s="10">
        <f t="shared" ca="1" si="497"/>
        <v>5419.05799999999</v>
      </c>
      <c r="AC178" s="9">
        <f t="shared" ca="1" si="497"/>
        <v>2912</v>
      </c>
      <c r="AD178" s="9">
        <f t="shared" ca="1" si="497"/>
        <v>0</v>
      </c>
      <c r="AE178" s="9">
        <f t="shared" ca="1" si="497"/>
        <v>2912</v>
      </c>
      <c r="AF178" s="9">
        <f t="shared" ca="1" si="497"/>
        <v>4055</v>
      </c>
      <c r="AG178" s="9">
        <f t="shared" ca="1" si="497"/>
        <v>27</v>
      </c>
      <c r="AH178" s="9">
        <f t="shared" ca="1" si="497"/>
        <v>4082</v>
      </c>
      <c r="AI178" s="9">
        <f t="shared" ca="1" si="497"/>
        <v>6994</v>
      </c>
      <c r="AJ178" s="11">
        <f t="shared" ca="1" si="482"/>
        <v>193.53778571428535</v>
      </c>
      <c r="AK178" s="8">
        <f t="shared" ref="AK178:AK179" si="498">SUM(O182)</f>
        <v>8239</v>
      </c>
      <c r="AL178" s="12">
        <f t="shared" ca="1" si="484"/>
        <v>0.84888942832868064</v>
      </c>
      <c r="AM178" s="13">
        <f t="shared" ref="AM178:AM179" si="499">SUM(Q182)</f>
        <v>1.5</v>
      </c>
      <c r="AN178" s="12">
        <f t="shared" ca="1" si="486"/>
        <v>0.86042014436211522</v>
      </c>
      <c r="AO178" s="14">
        <f t="shared" ca="1" si="487"/>
        <v>1.2906302165431729</v>
      </c>
      <c r="AP178" s="13">
        <f t="shared" ref="AP178:AQ178" ca="1" si="500">SUM(T182)</f>
        <v>190.52343283057306</v>
      </c>
      <c r="AQ178" s="13">
        <f t="shared" ca="1" si="500"/>
        <v>6.8044083153776089</v>
      </c>
      <c r="AR178" s="9">
        <f t="shared" ca="1" si="489"/>
        <v>249.78571428571428</v>
      </c>
      <c r="AS178" s="76"/>
      <c r="AT178" s="76"/>
    </row>
    <row r="179" spans="1:46" ht="15.75" customHeight="1" x14ac:dyDescent="0.25">
      <c r="A179" s="70"/>
      <c r="B179" s="16">
        <v>12</v>
      </c>
      <c r="C179" s="16" t="s">
        <v>41</v>
      </c>
      <c r="D179" s="17">
        <v>24</v>
      </c>
      <c r="E179" s="18">
        <f ca="1">IFERROR(__xludf.DUMMYFUNCTION("COUNT(IMPORTRANGE(""https://docs.google.com/spreadsheets/d/1VAsUtLQHi7oV9NsI9EIHPnO1bcPJHeRgSbMoxSvPBME/edit"",""7!d2:d25""))"),24)</f>
        <v>24</v>
      </c>
      <c r="F179" s="23">
        <f ca="1">IFERROR(__xludf.DUMMYFUNCTION("SUM(IMPORTRANGE(""https://docs.google.com/spreadsheets/d/1VAsUtLQHi7oV9NsI9EIHPnO1bcPJHeRgSbMoxSvPBME/edit"",""7!Q2:Q25""))"),4704.268)</f>
        <v>4704.268</v>
      </c>
      <c r="G179" s="18">
        <f ca="1">IFERROR(__xludf.DUMMYFUNCTION("IMPORTRANGE(""https://docs.google.com/spreadsheets/d/1VAsUtLQHi7oV9NsI9EIHPnO1bcPJHeRgSbMoxSvPBME/edit"",""7!e32"")"),1300)</f>
        <v>1300</v>
      </c>
      <c r="H179" s="18">
        <f ca="1">IFERROR(__xludf.DUMMYFUNCTION("IMPORTRANGE(""https://docs.google.com/spreadsheets/d/1VAsUtLQHi7oV9NsI9EIHPnO1bcPJHeRgSbMoxSvPBME/edit"",""7!e33"")"),0)</f>
        <v>0</v>
      </c>
      <c r="I179" s="18">
        <f t="shared" ca="1" si="462"/>
        <v>1300</v>
      </c>
      <c r="J179" s="18">
        <f ca="1">IFERROR(__xludf.DUMMYFUNCTION("IMPORTRANGE(""https://docs.google.com/spreadsheets/d/1VAsUtLQHi7oV9NsI9EIHPnO1bcPJHeRgSbMoxSvPBME/edit"",""7!e36"")"),1941)</f>
        <v>1941</v>
      </c>
      <c r="K179" s="18">
        <f ca="1">IFERROR(__xludf.DUMMYFUNCTION("IMPORTRANGE(""https://docs.google.com/spreadsheets/d/1VAsUtLQHi7oV9NsI9EIHPnO1bcPJHeRgSbMoxSvPBME/edit"",""7!e37"")"),0)</f>
        <v>0</v>
      </c>
      <c r="L179" s="18">
        <f t="shared" ca="1" si="492"/>
        <v>1941</v>
      </c>
      <c r="M179" s="18">
        <f t="shared" ca="1" si="464"/>
        <v>3241</v>
      </c>
      <c r="N179" s="19">
        <f t="shared" ca="1" si="465"/>
        <v>196.01116666666667</v>
      </c>
      <c r="O179" s="16">
        <v>3801</v>
      </c>
      <c r="P179" s="20">
        <f t="shared" ca="1" si="466"/>
        <v>0.85267034990791901</v>
      </c>
      <c r="Q179" s="21">
        <v>1.5</v>
      </c>
      <c r="R179" s="20">
        <f t="shared" ca="1" si="467"/>
        <v>0.4592992292672668</v>
      </c>
      <c r="S179" s="22">
        <f t="shared" ca="1" si="468"/>
        <v>0.68894884390090017</v>
      </c>
      <c r="T179" s="21">
        <f ca="1">F179/29.628</f>
        <v>158.77777777777777</v>
      </c>
      <c r="U179" s="21">
        <f t="shared" ca="1" si="469"/>
        <v>6.6157407407407405</v>
      </c>
      <c r="V179" s="18">
        <f t="shared" ca="1" si="470"/>
        <v>135.04166666666666</v>
      </c>
      <c r="W179" s="76"/>
      <c r="X179" s="8">
        <v>6</v>
      </c>
      <c r="Y179" s="8" t="s">
        <v>42</v>
      </c>
      <c r="Z179" s="8">
        <f t="shared" ref="Z179:AI179" si="501">SUM(D183)</f>
        <v>33</v>
      </c>
      <c r="AA179" s="9">
        <f t="shared" ca="1" si="501"/>
        <v>31</v>
      </c>
      <c r="AB179" s="10">
        <f t="shared" ca="1" si="501"/>
        <v>6227.96899999999</v>
      </c>
      <c r="AC179" s="9">
        <f t="shared" ca="1" si="501"/>
        <v>3151</v>
      </c>
      <c r="AD179" s="9">
        <f t="shared" ca="1" si="501"/>
        <v>0</v>
      </c>
      <c r="AE179" s="9">
        <f t="shared" ca="1" si="501"/>
        <v>3151</v>
      </c>
      <c r="AF179" s="9">
        <f t="shared" ca="1" si="501"/>
        <v>4358</v>
      </c>
      <c r="AG179" s="9">
        <f t="shared" ca="1" si="501"/>
        <v>0</v>
      </c>
      <c r="AH179" s="9">
        <f t="shared" ca="1" si="501"/>
        <v>4358</v>
      </c>
      <c r="AI179" s="9">
        <f t="shared" ca="1" si="501"/>
        <v>7509</v>
      </c>
      <c r="AJ179" s="11">
        <f t="shared" ca="1" si="482"/>
        <v>200.9022258064513</v>
      </c>
      <c r="AK179" s="8">
        <f t="shared" si="498"/>
        <v>9877</v>
      </c>
      <c r="AL179" s="12">
        <f t="shared" ca="1" si="484"/>
        <v>0.76025108838716204</v>
      </c>
      <c r="AM179" s="13">
        <f t="shared" si="499"/>
        <v>1.5</v>
      </c>
      <c r="AN179" s="12">
        <f t="shared" ca="1" si="486"/>
        <v>0.80379333936954545</v>
      </c>
      <c r="AO179" s="14">
        <f t="shared" ca="1" si="487"/>
        <v>1.2056900090543181</v>
      </c>
      <c r="AP179" s="13">
        <f t="shared" ref="AP179:AQ179" ca="1" si="502">SUM(T183)</f>
        <v>238.11772127700209</v>
      </c>
      <c r="AQ179" s="13">
        <f t="shared" ca="1" si="502"/>
        <v>7.6812168153871641</v>
      </c>
      <c r="AR179" s="9">
        <f t="shared" ca="1" si="489"/>
        <v>242.2258064516129</v>
      </c>
      <c r="AS179" s="76"/>
      <c r="AT179" s="76"/>
    </row>
    <row r="180" spans="1:46" ht="15.75" customHeight="1" x14ac:dyDescent="0.25">
      <c r="A180" s="70"/>
      <c r="B180" s="16">
        <v>13</v>
      </c>
      <c r="C180" s="16" t="s">
        <v>43</v>
      </c>
      <c r="D180" s="17">
        <v>30</v>
      </c>
      <c r="E180" s="18">
        <f ca="1">IFERROR(__xludf.DUMMYFUNCTION("COUNT(IMPORTRANGE(""https://docs.google.com/spreadsheets/d/1p9Y_DGk7-TpRBFth-ljZceOIGCjQ0ylUeUq6xqnsZ-Q/edit"",""7!d2:d31""))"),29)</f>
        <v>29</v>
      </c>
      <c r="F180" s="23">
        <f ca="1">IFERROR(__xludf.DUMMYFUNCTION("SUM(IMPORTRANGE(""https://docs.google.com/spreadsheets/d/1p9Y_DGk7-TpRBFth-ljZceOIGCjQ0ylUeUq6xqnsZ-Q/edit"",""7!Q2:Q31""))"),5665.172)</f>
        <v>5665.1719999999996</v>
      </c>
      <c r="G180" s="18">
        <f ca="1">IFERROR(__xludf.DUMMYFUNCTION("IMPORTRANGE(""https://docs.google.com/spreadsheets/d/1p9Y_DGk7-TpRBFth-ljZceOIGCjQ0ylUeUq6xqnsZ-Q/edit"",""7!e38"")"),2152)</f>
        <v>2152</v>
      </c>
      <c r="H180" s="18">
        <f ca="1">IFERROR(__xludf.DUMMYFUNCTION("IMPORTRANGE(""https://docs.google.com/spreadsheets/d/1p9Y_DGk7-TpRBFth-ljZceOIGCjQ0ylUeUq6xqnsZ-Q/edit"",""7!e39"")"),0)</f>
        <v>0</v>
      </c>
      <c r="I180" s="18">
        <f t="shared" ca="1" si="462"/>
        <v>2152</v>
      </c>
      <c r="J180" s="18">
        <f ca="1">IFERROR(__xludf.DUMMYFUNCTION("IMPORTRANGE(""https://docs.google.com/spreadsheets/d/1p9Y_DGk7-TpRBFth-ljZceOIGCjQ0ylUeUq6xqnsZ-Q/edit"",""7!e42"")"),3310)</f>
        <v>3310</v>
      </c>
      <c r="K180" s="18">
        <f ca="1">IFERROR(__xludf.DUMMYFUNCTION("IMPORTRANGE(""https://docs.google.com/spreadsheets/d/1p9Y_DGk7-TpRBFth-ljZceOIGCjQ0ylUeUq6xqnsZ-Q/edit"",""7!e43"")"),174)</f>
        <v>174</v>
      </c>
      <c r="L180" s="18">
        <f t="shared" ca="1" si="492"/>
        <v>3484</v>
      </c>
      <c r="M180" s="18">
        <f t="shared" ca="1" si="464"/>
        <v>5636</v>
      </c>
      <c r="N180" s="19">
        <f t="shared" ca="1" si="465"/>
        <v>195.35075862068965</v>
      </c>
      <c r="O180" s="16">
        <v>8345</v>
      </c>
      <c r="P180" s="20">
        <f t="shared" ca="1" si="466"/>
        <v>0.67537447573397247</v>
      </c>
      <c r="Q180" s="21">
        <v>1.5</v>
      </c>
      <c r="R180" s="20">
        <f t="shared" ca="1" si="467"/>
        <v>0.66323376118736266</v>
      </c>
      <c r="S180" s="22">
        <f t="shared" ca="1" si="468"/>
        <v>0.99485064178104399</v>
      </c>
      <c r="T180" s="21">
        <f ca="1">F180/41.205</f>
        <v>137.4874893823565</v>
      </c>
      <c r="U180" s="21">
        <f t="shared" ca="1" si="469"/>
        <v>4.7409479097364313</v>
      </c>
      <c r="V180" s="18">
        <f t="shared" ca="1" si="470"/>
        <v>194.34482758620689</v>
      </c>
      <c r="W180" s="76"/>
      <c r="X180" s="24" t="s">
        <v>33</v>
      </c>
      <c r="Y180" s="24">
        <v>6</v>
      </c>
      <c r="Z180" s="24">
        <f t="shared" ref="Z180:AI180" si="503">SUM(Z174:Z179)</f>
        <v>226</v>
      </c>
      <c r="AA180" s="25">
        <f t="shared" ca="1" si="503"/>
        <v>218</v>
      </c>
      <c r="AB180" s="27">
        <f t="shared" ca="1" si="503"/>
        <v>42700.461999999869</v>
      </c>
      <c r="AC180" s="25">
        <f t="shared" ca="1" si="503"/>
        <v>17933</v>
      </c>
      <c r="AD180" s="25">
        <f t="shared" ca="1" si="503"/>
        <v>107</v>
      </c>
      <c r="AE180" s="25">
        <f t="shared" ca="1" si="503"/>
        <v>18040</v>
      </c>
      <c r="AF180" s="25">
        <f t="shared" ca="1" si="503"/>
        <v>23566</v>
      </c>
      <c r="AG180" s="25">
        <f t="shared" ca="1" si="503"/>
        <v>432</v>
      </c>
      <c r="AH180" s="25">
        <f t="shared" ca="1" si="503"/>
        <v>23998</v>
      </c>
      <c r="AI180" s="25">
        <f t="shared" ca="1" si="503"/>
        <v>42038</v>
      </c>
      <c r="AJ180" s="27">
        <f t="shared" ca="1" si="482"/>
        <v>195.87367889908197</v>
      </c>
      <c r="AK180" s="24">
        <f>SUM(AK174:AK179)</f>
        <v>53273</v>
      </c>
      <c r="AL180" s="28">
        <f t="shared" ca="1" si="484"/>
        <v>0.78910517522947832</v>
      </c>
      <c r="AM180" s="29">
        <v>1.5</v>
      </c>
      <c r="AN180" s="28">
        <f t="shared" ca="1" si="486"/>
        <v>0.65632389020365678</v>
      </c>
      <c r="AO180" s="30">
        <f t="shared" ca="1" si="487"/>
        <v>0.98448583530548517</v>
      </c>
      <c r="AP180" s="29">
        <f ca="1">SUM(AP174:AP179)</f>
        <v>1405.5495305214747</v>
      </c>
      <c r="AQ180" s="29">
        <f ca="1">AP180/AA180</f>
        <v>6.4474749106489666</v>
      </c>
      <c r="AR180" s="25">
        <f t="shared" ca="1" si="489"/>
        <v>192.83486238532109</v>
      </c>
      <c r="AS180" s="76"/>
      <c r="AT180" s="76"/>
    </row>
    <row r="181" spans="1:46" ht="15.75" customHeight="1" x14ac:dyDescent="0.25">
      <c r="A181" s="70"/>
      <c r="B181" s="16">
        <v>14</v>
      </c>
      <c r="C181" s="16" t="s">
        <v>27</v>
      </c>
      <c r="D181" s="17">
        <v>30</v>
      </c>
      <c r="E181" s="18">
        <f ca="1">IFERROR(__xludf.DUMMYFUNCTION("COUNT(IMPORTRANGE(""https://docs.google.com/spreadsheets/d/1zJUDEKztv_fercXA0LYNw155qdzS7TJGhWLhquaW5IY/edit"",""7!d2:d31""))"),29)</f>
        <v>29</v>
      </c>
      <c r="F181" s="23">
        <f ca="1">IFERROR(__xludf.DUMMYFUNCTION("SUM(IMPORTRANGE(""https://docs.google.com/spreadsheets/d/1zJUDEKztv_fercXA0LYNw155qdzS7TJGhWLhquaW5IY/edit"",""7!Q2:Q31""))"),5032.11299999999)</f>
        <v>5032.1129999999903</v>
      </c>
      <c r="G181" s="18">
        <f ca="1">IFERROR(__xludf.DUMMYFUNCTION("IMPORTRANGE(""https://docs.google.com/spreadsheets/d/1zJUDEKztv_fercXA0LYNw155qdzS7TJGhWLhquaW5IY/edit"",""7!e38"")"),2583)</f>
        <v>2583</v>
      </c>
      <c r="H181" s="18">
        <f ca="1">IFERROR(__xludf.DUMMYFUNCTION("IMPORTRANGE(""https://docs.google.com/spreadsheets/d/1zJUDEKztv_fercXA0LYNw155qdzS7TJGhWLhquaW5IY/edit"",""7!e39"")"),21)</f>
        <v>21</v>
      </c>
      <c r="I181" s="18">
        <f t="shared" ca="1" si="462"/>
        <v>2604</v>
      </c>
      <c r="J181" s="18">
        <f ca="1">IFERROR(__xludf.DUMMYFUNCTION("IMPORTRANGE(""https://docs.google.com/spreadsheets/d/1zJUDEKztv_fercXA0LYNw155qdzS7TJGhWLhquaW5IY/edit"",""7!e42"")"),2962)</f>
        <v>2962</v>
      </c>
      <c r="K181" s="18">
        <f ca="1">IFERROR(__xludf.DUMMYFUNCTION("IMPORTRANGE(""https://docs.google.com/spreadsheets/d/1zJUDEKztv_fercXA0LYNw155qdzS7TJGhWLhquaW5IY/edit"",""7!e43"")"),0)</f>
        <v>0</v>
      </c>
      <c r="L181" s="18">
        <f t="shared" ca="1" si="492"/>
        <v>2962</v>
      </c>
      <c r="M181" s="18">
        <f t="shared" ca="1" si="464"/>
        <v>5566</v>
      </c>
      <c r="N181" s="19">
        <f t="shared" ca="1" si="465"/>
        <v>173.52113793103416</v>
      </c>
      <c r="O181" s="16">
        <v>8101</v>
      </c>
      <c r="P181" s="20">
        <f t="shared" ca="1" si="466"/>
        <v>0.68707566967041112</v>
      </c>
      <c r="Q181" s="21">
        <v>1.5</v>
      </c>
      <c r="R181" s="20">
        <f t="shared" ca="1" si="467"/>
        <v>0.7373973252720426</v>
      </c>
      <c r="S181" s="22">
        <f t="shared" ca="1" si="468"/>
        <v>1.1060959879080638</v>
      </c>
      <c r="T181" s="21">
        <f ca="1">F181/19.985</f>
        <v>251.79449587190345</v>
      </c>
      <c r="U181" s="21">
        <f t="shared" ca="1" si="469"/>
        <v>8.6825688231690847</v>
      </c>
      <c r="V181" s="18">
        <f t="shared" ca="1" si="470"/>
        <v>191.93103448275863</v>
      </c>
      <c r="W181" s="76"/>
      <c r="X181" s="97" t="s">
        <v>44</v>
      </c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9"/>
      <c r="AS181" s="76"/>
      <c r="AT181" s="76"/>
    </row>
    <row r="182" spans="1:46" ht="15.75" customHeight="1" x14ac:dyDescent="0.25">
      <c r="A182" s="70"/>
      <c r="B182" s="16">
        <v>15</v>
      </c>
      <c r="C182" s="16" t="s">
        <v>40</v>
      </c>
      <c r="D182" s="17">
        <v>30</v>
      </c>
      <c r="E182" s="18">
        <f ca="1">IFERROR(__xludf.DUMMYFUNCTION("COUNT(IMPORTRANGE(""https://docs.google.com/spreadsheets/d/15GJA66Ucb-8RQ5vWVpq5HYaWoZZFX82SCeHChBujbrI/edit"",""7!d2:d31""))"),28)</f>
        <v>28</v>
      </c>
      <c r="F182" s="23">
        <f ca="1">IFERROR(__xludf.DUMMYFUNCTION("SUM(IMPORTRANGE(""https://docs.google.com/spreadsheets/d/15GJA66Ucb-8RQ5vWVpq5HYaWoZZFX82SCeHChBujbrI/edit"",""7!Q2:Q31""))"),5419.05799999999)</f>
        <v>5419.05799999999</v>
      </c>
      <c r="G182" s="18">
        <f ca="1">IFERROR(__xludf.DUMMYFUNCTION("IMPORTRANGE(""https://docs.google.com/spreadsheets/d/15GJA66Ucb-8RQ5vWVpq5HYaWoZZFX82SCeHChBujbrI/edit"",""7!e38"")"),2912)</f>
        <v>2912</v>
      </c>
      <c r="H182" s="18">
        <f ca="1">IFERROR(__xludf.DUMMYFUNCTION("IMPORTRANGE(""https://docs.google.com/spreadsheets/d/15GJA66Ucb-8RQ5vWVpq5HYaWoZZFX82SCeHChBujbrI/edit"",""7!e39"")"),0)</f>
        <v>0</v>
      </c>
      <c r="I182" s="18">
        <f t="shared" ca="1" si="462"/>
        <v>2912</v>
      </c>
      <c r="J182" s="18">
        <f ca="1">IFERROR(__xludf.DUMMYFUNCTION("IMPORTRANGE(""https://docs.google.com/spreadsheets/d/15GJA66Ucb-8RQ5vWVpq5HYaWoZZFX82SCeHChBujbrI/edit"",""7!e42"")"),4055)</f>
        <v>4055</v>
      </c>
      <c r="K182" s="18">
        <f ca="1">IFERROR(__xludf.DUMMYFUNCTION("IMPORTRANGE(""https://docs.google.com/spreadsheets/d/15GJA66Ucb-8RQ5vWVpq5HYaWoZZFX82SCeHChBujbrI/edit"",""7!e43"")"),27)</f>
        <v>27</v>
      </c>
      <c r="L182" s="18">
        <f t="shared" ca="1" si="492"/>
        <v>4082</v>
      </c>
      <c r="M182" s="18">
        <f t="shared" ca="1" si="464"/>
        <v>6994</v>
      </c>
      <c r="N182" s="19">
        <f t="shared" ca="1" si="465"/>
        <v>193.53778571428535</v>
      </c>
      <c r="O182" s="16">
        <v>8239</v>
      </c>
      <c r="P182" s="20">
        <f t="shared" ca="1" si="466"/>
        <v>0.84888942832868064</v>
      </c>
      <c r="Q182" s="21">
        <v>1.5</v>
      </c>
      <c r="R182" s="20">
        <f t="shared" ca="1" si="467"/>
        <v>0.86042014436211522</v>
      </c>
      <c r="S182" s="22">
        <f t="shared" ca="1" si="468"/>
        <v>1.2906302165431729</v>
      </c>
      <c r="T182" s="21">
        <f ca="1">F182/28.443</f>
        <v>190.52343283057306</v>
      </c>
      <c r="U182" s="21">
        <f t="shared" ca="1" si="469"/>
        <v>6.8044083153776089</v>
      </c>
      <c r="V182" s="18">
        <f t="shared" ca="1" si="470"/>
        <v>249.78571428571428</v>
      </c>
      <c r="W182" s="76"/>
      <c r="X182" s="1" t="s">
        <v>2</v>
      </c>
      <c r="Y182" s="1" t="s">
        <v>3</v>
      </c>
      <c r="Z182" s="1" t="s">
        <v>4</v>
      </c>
      <c r="AA182" s="1" t="s">
        <v>5</v>
      </c>
      <c r="AB182" s="2" t="s">
        <v>6</v>
      </c>
      <c r="AC182" s="1" t="s">
        <v>7</v>
      </c>
      <c r="AD182" s="1" t="s">
        <v>8</v>
      </c>
      <c r="AE182" s="1" t="s">
        <v>9</v>
      </c>
      <c r="AF182" s="1" t="s">
        <v>10</v>
      </c>
      <c r="AG182" s="1" t="s">
        <v>11</v>
      </c>
      <c r="AH182" s="1" t="s">
        <v>12</v>
      </c>
      <c r="AI182" s="1" t="s">
        <v>13</v>
      </c>
      <c r="AJ182" s="2" t="s">
        <v>14</v>
      </c>
      <c r="AK182" s="1" t="s">
        <v>15</v>
      </c>
      <c r="AL182" s="1" t="s">
        <v>16</v>
      </c>
      <c r="AM182" s="3" t="s">
        <v>17</v>
      </c>
      <c r="AN182" s="4" t="s">
        <v>18</v>
      </c>
      <c r="AO182" s="5" t="s">
        <v>19</v>
      </c>
      <c r="AP182" s="6" t="s">
        <v>20</v>
      </c>
      <c r="AQ182" s="6" t="s">
        <v>21</v>
      </c>
      <c r="AR182" s="7" t="s">
        <v>22</v>
      </c>
      <c r="AS182" s="76"/>
      <c r="AT182" s="76"/>
    </row>
    <row r="183" spans="1:46" ht="15.75" customHeight="1" x14ac:dyDescent="0.25">
      <c r="A183" s="70"/>
      <c r="B183" s="16">
        <v>16</v>
      </c>
      <c r="C183" s="16" t="s">
        <v>42</v>
      </c>
      <c r="D183" s="17">
        <v>33</v>
      </c>
      <c r="E183" s="18">
        <f ca="1">IFERROR(__xludf.DUMMYFUNCTION("COUNT(IMPORTRANGE(""https://docs.google.com/spreadsheets/d/14Tu_jFPEdrIQ6DHYu6vRvJKQsbXr-48NY1tKy4-8JKI/edit"",""7!d2:d34""))"),31)</f>
        <v>31</v>
      </c>
      <c r="F183" s="23">
        <f ca="1">IFERROR(__xludf.DUMMYFUNCTION("SUM(IMPORTRANGE(""https://docs.google.com/spreadsheets/d/14Tu_jFPEdrIQ6DHYu6vRvJKQsbXr-48NY1tKy4-8JKI/edit"",""7!Q2:Q34""))"),6227.96899999999)</f>
        <v>6227.96899999999</v>
      </c>
      <c r="G183" s="18">
        <f ca="1">IFERROR(__xludf.DUMMYFUNCTION("IMPORTRANGE(""https://docs.google.com/spreadsheets/d/14Tu_jFPEdrIQ6DHYu6vRvJKQsbXr-48NY1tKy4-8JKI/edit"",""7!e41"")"),3151)</f>
        <v>3151</v>
      </c>
      <c r="H183" s="18">
        <f ca="1">IFERROR(__xludf.DUMMYFUNCTION("IMPORTRANGE(""https://docs.google.com/spreadsheets/d/14Tu_jFPEdrIQ6DHYu6vRvJKQsbXr-48NY1tKy4-8JKI/edit"",""7!e42"")"),0)</f>
        <v>0</v>
      </c>
      <c r="I183" s="18">
        <f t="shared" ca="1" si="462"/>
        <v>3151</v>
      </c>
      <c r="J183" s="18">
        <f ca="1">IFERROR(__xludf.DUMMYFUNCTION("IMPORTRANGE(""https://docs.google.com/spreadsheets/d/14Tu_jFPEdrIQ6DHYu6vRvJKQsbXr-48NY1tKy4-8JKI/edit"",""7!e45"")"),4358)</f>
        <v>4358</v>
      </c>
      <c r="K183" s="18">
        <f ca="1">IFERROR(__xludf.DUMMYFUNCTION("IMPORTRANGE(""https://docs.google.com/spreadsheets/d/14Tu_jFPEdrIQ6DHYu6vRvJKQsbXr-48NY1tKy4-8JKI/edit"",""7!e46"")"),0)</f>
        <v>0</v>
      </c>
      <c r="L183" s="18">
        <f t="shared" ca="1" si="492"/>
        <v>4358</v>
      </c>
      <c r="M183" s="18">
        <f t="shared" ca="1" si="464"/>
        <v>7509</v>
      </c>
      <c r="N183" s="19">
        <f t="shared" ca="1" si="465"/>
        <v>200.9022258064513</v>
      </c>
      <c r="O183" s="16">
        <v>9877</v>
      </c>
      <c r="P183" s="20">
        <f t="shared" ca="1" si="466"/>
        <v>0.76025108838716204</v>
      </c>
      <c r="Q183" s="21">
        <v>1.5</v>
      </c>
      <c r="R183" s="20">
        <f t="shared" ca="1" si="467"/>
        <v>0.80379333936954545</v>
      </c>
      <c r="S183" s="22">
        <f t="shared" ca="1" si="468"/>
        <v>1.2056900090543181</v>
      </c>
      <c r="T183" s="21">
        <f ca="1">F183/26.155</f>
        <v>238.11772127700209</v>
      </c>
      <c r="U183" s="21">
        <f t="shared" ca="1" si="469"/>
        <v>7.6812168153871641</v>
      </c>
      <c r="V183" s="18">
        <f t="shared" ca="1" si="470"/>
        <v>242.2258064516129</v>
      </c>
      <c r="W183" s="76"/>
      <c r="X183" s="8">
        <v>1</v>
      </c>
      <c r="Y183" s="8" t="s">
        <v>26</v>
      </c>
      <c r="Z183" s="8">
        <f t="shared" ref="Z183:AI183" si="504">SUM(D168)</f>
        <v>20</v>
      </c>
      <c r="AA183" s="9">
        <f t="shared" ca="1" si="504"/>
        <v>19</v>
      </c>
      <c r="AB183" s="11">
        <f t="shared" ca="1" si="504"/>
        <v>3806.172</v>
      </c>
      <c r="AC183" s="9">
        <f t="shared" ca="1" si="504"/>
        <v>1860</v>
      </c>
      <c r="AD183" s="9">
        <f t="shared" ca="1" si="504"/>
        <v>0</v>
      </c>
      <c r="AE183" s="9">
        <f t="shared" ca="1" si="504"/>
        <v>1860</v>
      </c>
      <c r="AF183" s="9">
        <f t="shared" ca="1" si="504"/>
        <v>3277</v>
      </c>
      <c r="AG183" s="9">
        <f t="shared" ca="1" si="504"/>
        <v>0</v>
      </c>
      <c r="AH183" s="9">
        <f t="shared" ca="1" si="504"/>
        <v>3277</v>
      </c>
      <c r="AI183" s="9">
        <f t="shared" ca="1" si="504"/>
        <v>5137</v>
      </c>
      <c r="AJ183" s="11">
        <f t="shared" ref="AJ183:AJ189" ca="1" si="505">AB183/AA183</f>
        <v>200.32484210526317</v>
      </c>
      <c r="AK183" s="8">
        <f>SUM(O168)</f>
        <v>5161</v>
      </c>
      <c r="AL183" s="12">
        <f t="shared" ref="AL183:AL189" ca="1" si="506">AI183/AK183</f>
        <v>0.99534973842278629</v>
      </c>
      <c r="AM183" s="13">
        <f>SUM(Q168)</f>
        <v>1.5</v>
      </c>
      <c r="AN183" s="12">
        <f t="shared" ref="AN183:AN189" ca="1" si="507">AO183/AM183</f>
        <v>0.89976665969553304</v>
      </c>
      <c r="AO183" s="14">
        <f t="shared" ref="AO183:AO189" ca="1" si="508">AI183/AB183</f>
        <v>1.3496499895432996</v>
      </c>
      <c r="AP183" s="13">
        <f t="shared" ref="AP183:AQ183" ca="1" si="509">SUM(T168)</f>
        <v>264.04245577523415</v>
      </c>
      <c r="AQ183" s="13">
        <f t="shared" ca="1" si="509"/>
        <v>13.896971356591271</v>
      </c>
      <c r="AR183" s="9">
        <f t="shared" ref="AR183:AR189" ca="1" si="510">AI183/AA183</f>
        <v>270.36842105263156</v>
      </c>
      <c r="AS183" s="76"/>
      <c r="AT183" s="76"/>
    </row>
    <row r="184" spans="1:46" ht="15.75" customHeight="1" x14ac:dyDescent="0.25">
      <c r="A184" s="70"/>
      <c r="B184" s="16">
        <v>17</v>
      </c>
      <c r="C184" s="16" t="s">
        <v>29</v>
      </c>
      <c r="D184" s="17">
        <v>30</v>
      </c>
      <c r="E184" s="18">
        <f ca="1">IFERROR(__xludf.DUMMYFUNCTION("COUNT(IMPORTRANGE(""https://docs.google.com/spreadsheets/d/1ja_RQYsP0p5wRrACHojay4CW1wLx0QdS5tSwp-vYQ-s/edit"",""7!d2:d31""))"),29)</f>
        <v>29</v>
      </c>
      <c r="F184" s="23">
        <f ca="1">IFERROR(__xludf.DUMMYFUNCTION("SUM(IMPORTRANGE(""https://docs.google.com/spreadsheets/d/1ja_RQYsP0p5wRrACHojay4CW1wLx0QdS5tSwp-vYQ-s/edit"",""7!Q2:Q31""))"),5832.512)</f>
        <v>5832.5119999999997</v>
      </c>
      <c r="G184" s="18">
        <f ca="1">IFERROR(__xludf.DUMMYFUNCTION("IMPORTRANGE(""https://docs.google.com/spreadsheets/d/1ja_RQYsP0p5wRrACHojay4CW1wLx0QdS5tSwp-vYQ-s/edit"",""7!e38"")"),2914)</f>
        <v>2914</v>
      </c>
      <c r="H184" s="18">
        <f ca="1">IFERROR(__xludf.DUMMYFUNCTION("IMPORTRANGE(""https://docs.google.com/spreadsheets/d/1ja_RQYsP0p5wRrACHojay4CW1wLx0QdS5tSwp-vYQ-s/edit"",""7!e39"")"),0)</f>
        <v>0</v>
      </c>
      <c r="I184" s="18">
        <f t="shared" ca="1" si="462"/>
        <v>2914</v>
      </c>
      <c r="J184" s="18">
        <f ca="1">IFERROR(__xludf.DUMMYFUNCTION("IMPORTRANGE(""https://docs.google.com/spreadsheets/d/1ja_RQYsP0p5wRrACHojay4CW1wLx0QdS5tSwp-vYQ-s/edit"",""7!e42"")"),4201)</f>
        <v>4201</v>
      </c>
      <c r="K184" s="18">
        <f ca="1">IFERROR(__xludf.DUMMYFUNCTION("IMPORTRANGE(""https://docs.google.com/spreadsheets/d/1ja_RQYsP0p5wRrACHojay4CW1wLx0QdS5tSwp-vYQ-s/edit"",""7!e43"")"),0)</f>
        <v>0</v>
      </c>
      <c r="L184" s="18">
        <f t="shared" ca="1" si="492"/>
        <v>4201</v>
      </c>
      <c r="M184" s="18">
        <f t="shared" ca="1" si="464"/>
        <v>7115</v>
      </c>
      <c r="N184" s="19">
        <f t="shared" ca="1" si="465"/>
        <v>201.12110344827585</v>
      </c>
      <c r="O184" s="16">
        <v>9201</v>
      </c>
      <c r="P184" s="20">
        <f t="shared" ca="1" si="466"/>
        <v>0.77328551244429955</v>
      </c>
      <c r="Q184" s="21">
        <v>1.5</v>
      </c>
      <c r="R184" s="20">
        <f t="shared" ca="1" si="467"/>
        <v>0.81325736377967728</v>
      </c>
      <c r="S184" s="22">
        <f t="shared" ca="1" si="468"/>
        <v>1.219886045669516</v>
      </c>
      <c r="T184" s="21">
        <f ca="1">F184/26.038</f>
        <v>224</v>
      </c>
      <c r="U184" s="21">
        <f t="shared" ca="1" si="469"/>
        <v>7.7241379310344831</v>
      </c>
      <c r="V184" s="18">
        <f t="shared" ca="1" si="470"/>
        <v>245.34482758620689</v>
      </c>
      <c r="W184" s="76"/>
      <c r="X184" s="8">
        <v>2</v>
      </c>
      <c r="Y184" s="8" t="s">
        <v>32</v>
      </c>
      <c r="Z184" s="8">
        <f t="shared" ref="Z184:AI184" si="511">SUM(D171)</f>
        <v>42</v>
      </c>
      <c r="AA184" s="9">
        <f t="shared" ca="1" si="511"/>
        <v>42</v>
      </c>
      <c r="AB184" s="10">
        <f t="shared" ca="1" si="511"/>
        <v>8279.3699999999899</v>
      </c>
      <c r="AC184" s="8">
        <f t="shared" ca="1" si="511"/>
        <v>4944</v>
      </c>
      <c r="AD184" s="8">
        <f t="shared" ca="1" si="511"/>
        <v>111</v>
      </c>
      <c r="AE184" s="9">
        <f t="shared" ca="1" si="511"/>
        <v>5055</v>
      </c>
      <c r="AF184" s="8">
        <f t="shared" ca="1" si="511"/>
        <v>5191</v>
      </c>
      <c r="AG184" s="8">
        <f t="shared" ca="1" si="511"/>
        <v>0</v>
      </c>
      <c r="AH184" s="9">
        <f t="shared" ca="1" si="511"/>
        <v>5191</v>
      </c>
      <c r="AI184" s="9">
        <f t="shared" ca="1" si="511"/>
        <v>10246</v>
      </c>
      <c r="AJ184" s="11">
        <f t="shared" ca="1" si="505"/>
        <v>197.1278571428569</v>
      </c>
      <c r="AK184" s="8">
        <f>SUM(O171)</f>
        <v>13817</v>
      </c>
      <c r="AL184" s="12">
        <f t="shared" ca="1" si="506"/>
        <v>0.74155026416733005</v>
      </c>
      <c r="AM184" s="13">
        <f>SUM(Q171)</f>
        <v>1.5</v>
      </c>
      <c r="AN184" s="12">
        <f t="shared" ca="1" si="507"/>
        <v>0.82502251580333708</v>
      </c>
      <c r="AO184" s="14">
        <f t="shared" ca="1" si="508"/>
        <v>1.2375337737050056</v>
      </c>
      <c r="AP184" s="13">
        <f t="shared" ref="AP184:AQ184" ca="1" si="512">SUM(T171)</f>
        <v>329.9999999999996</v>
      </c>
      <c r="AQ184" s="13">
        <f t="shared" ca="1" si="512"/>
        <v>7.8571428571428479</v>
      </c>
      <c r="AR184" s="9">
        <f t="shared" ca="1" si="510"/>
        <v>243.95238095238096</v>
      </c>
      <c r="AS184" s="76"/>
      <c r="AT184" s="76"/>
    </row>
    <row r="185" spans="1:46" ht="15.75" customHeight="1" x14ac:dyDescent="0.25">
      <c r="A185" s="70"/>
      <c r="B185" s="16">
        <v>18</v>
      </c>
      <c r="C185" s="16" t="s">
        <v>31</v>
      </c>
      <c r="D185" s="17">
        <v>15</v>
      </c>
      <c r="E185" s="18">
        <f ca="1">IFERROR(__xludf.DUMMYFUNCTION("COUNT(IMPORTRANGE(""https://docs.google.com/spreadsheets/d/1ObnK1oSznTOmyW9Zcd2kxExl7TOnO2MNq_0giEKc_mE/edit"",""7!d2:d16""))"),13)</f>
        <v>13</v>
      </c>
      <c r="F185" s="19">
        <f ca="1">IFERROR(__xludf.DUMMYFUNCTION("SUM(IMPORTRANGE(""https://docs.google.com/spreadsheets/d/1ObnK1oSznTOmyW9Zcd2kxExl7TOnO2MNq_0giEKc_mE/edit"",""7!Q2:Q16""))"),2694.82999999999)</f>
        <v>2694.8299999999899</v>
      </c>
      <c r="G185" s="18">
        <f ca="1">IFERROR(__xludf.DUMMYFUNCTION("IMPORTRANGE(""https://docs.google.com/spreadsheets/d/1ObnK1oSznTOmyW9Zcd2kxExl7TOnO2MNq_0giEKc_mE/edit"",""7!e23"")"),831)</f>
        <v>831</v>
      </c>
      <c r="H185" s="18">
        <f ca="1">IFERROR(__xludf.DUMMYFUNCTION("IMPORTRANGE(""https://docs.google.com/spreadsheets/d/1ObnK1oSznTOmyW9Zcd2kxExl7TOnO2MNq_0giEKc_mE/edit"",""7!e24"")"),0)</f>
        <v>0</v>
      </c>
      <c r="I185" s="18">
        <f t="shared" ca="1" si="462"/>
        <v>831</v>
      </c>
      <c r="J185" s="18">
        <f ca="1">IFERROR(__xludf.DUMMYFUNCTION("IMPORTRANGE(""https://docs.google.com/spreadsheets/d/1ObnK1oSznTOmyW9Zcd2kxExl7TOnO2MNq_0giEKc_mE/edit"",""7!e27"")"),1127)</f>
        <v>1127</v>
      </c>
      <c r="K185" s="18">
        <f ca="1">IFERROR(__xludf.DUMMYFUNCTION("IMPORTRANGE(""https://docs.google.com/spreadsheets/d/1ObnK1oSznTOmyW9Zcd2kxExl7TOnO2MNq_0giEKc_mE/edit"",""7!e28"")"),11)</f>
        <v>11</v>
      </c>
      <c r="L185" s="18">
        <f t="shared" ca="1" si="492"/>
        <v>1138</v>
      </c>
      <c r="M185" s="18">
        <f t="shared" ca="1" si="464"/>
        <v>1969</v>
      </c>
      <c r="N185" s="19">
        <f t="shared" ca="1" si="465"/>
        <v>207.29461538461462</v>
      </c>
      <c r="O185" s="16">
        <v>2717</v>
      </c>
      <c r="P185" s="20">
        <f t="shared" ca="1" si="466"/>
        <v>0.7246963562753036</v>
      </c>
      <c r="Q185" s="21">
        <v>1.5</v>
      </c>
      <c r="R185" s="20">
        <f t="shared" ca="1" si="467"/>
        <v>0.48710555644202852</v>
      </c>
      <c r="S185" s="22">
        <f t="shared" ca="1" si="468"/>
        <v>0.73065833466304275</v>
      </c>
      <c r="T185" s="21">
        <f ca="1">F185/43.465</f>
        <v>61.999999999999766</v>
      </c>
      <c r="U185" s="21">
        <f t="shared" ca="1" si="469"/>
        <v>4.7692307692307514</v>
      </c>
      <c r="V185" s="18">
        <f t="shared" ca="1" si="470"/>
        <v>151.46153846153845</v>
      </c>
      <c r="W185" s="76"/>
      <c r="X185" s="8">
        <v>3</v>
      </c>
      <c r="Y185" s="8" t="s">
        <v>36</v>
      </c>
      <c r="Z185" s="8">
        <f t="shared" ref="Z185:AI185" si="513">SUM(D176)</f>
        <v>29</v>
      </c>
      <c r="AA185" s="9">
        <f t="shared" ca="1" si="513"/>
        <v>29</v>
      </c>
      <c r="AB185" s="10">
        <f t="shared" ca="1" si="513"/>
        <v>5659.4430000000002</v>
      </c>
      <c r="AC185" s="9">
        <f t="shared" ca="1" si="513"/>
        <v>1597</v>
      </c>
      <c r="AD185" s="9">
        <f t="shared" ca="1" si="513"/>
        <v>0</v>
      </c>
      <c r="AE185" s="9">
        <f t="shared" ca="1" si="513"/>
        <v>1597</v>
      </c>
      <c r="AF185" s="9">
        <f t="shared" ca="1" si="513"/>
        <v>2317</v>
      </c>
      <c r="AG185" s="9">
        <f t="shared" ca="1" si="513"/>
        <v>0</v>
      </c>
      <c r="AH185" s="9">
        <f t="shared" ca="1" si="513"/>
        <v>2317</v>
      </c>
      <c r="AI185" s="9">
        <f t="shared" ca="1" si="513"/>
        <v>3914</v>
      </c>
      <c r="AJ185" s="11">
        <f t="shared" ca="1" si="505"/>
        <v>195.15320689655172</v>
      </c>
      <c r="AK185" s="8">
        <f t="shared" ref="AK185:AK188" si="514">SUM(O176)</f>
        <v>4796</v>
      </c>
      <c r="AL185" s="12">
        <f t="shared" ca="1" si="506"/>
        <v>0.81609674728940784</v>
      </c>
      <c r="AM185" s="13">
        <f t="shared" ref="AM185:AM188" si="515">SUM(Q176)</f>
        <v>1.5</v>
      </c>
      <c r="AN185" s="12">
        <f t="shared" ca="1" si="507"/>
        <v>0.46105832912061012</v>
      </c>
      <c r="AO185" s="14">
        <f t="shared" ca="1" si="508"/>
        <v>0.69158749368091521</v>
      </c>
      <c r="AP185" s="13">
        <f t="shared" ref="AP185:AQ185" ca="1" si="516">SUM(T176)</f>
        <v>151.26538194258833</v>
      </c>
      <c r="AQ185" s="13">
        <f t="shared" ca="1" si="516"/>
        <v>5.2160476531927014</v>
      </c>
      <c r="AR185" s="9">
        <f t="shared" ca="1" si="510"/>
        <v>134.9655172413793</v>
      </c>
      <c r="AS185" s="76"/>
      <c r="AT185" s="76"/>
    </row>
    <row r="186" spans="1:46" ht="15.75" customHeight="1" x14ac:dyDescent="0.2">
      <c r="A186" s="70"/>
      <c r="B186" s="98" t="s">
        <v>33</v>
      </c>
      <c r="C186" s="98">
        <v>18</v>
      </c>
      <c r="D186" s="98">
        <f t="shared" ref="D186:M186" si="517">SUM(D168:D185)</f>
        <v>585</v>
      </c>
      <c r="E186" s="74">
        <f t="shared" ca="1" si="517"/>
        <v>570</v>
      </c>
      <c r="F186" s="99">
        <f t="shared" ca="1" si="517"/>
        <v>110179.62999999982</v>
      </c>
      <c r="G186" s="74">
        <f t="shared" ca="1" si="517"/>
        <v>42366</v>
      </c>
      <c r="H186" s="74">
        <f t="shared" ca="1" si="517"/>
        <v>541</v>
      </c>
      <c r="I186" s="74">
        <f t="shared" ca="1" si="517"/>
        <v>42907</v>
      </c>
      <c r="J186" s="74">
        <f t="shared" ca="1" si="517"/>
        <v>56801</v>
      </c>
      <c r="K186" s="74">
        <f t="shared" ca="1" si="517"/>
        <v>911</v>
      </c>
      <c r="L186" s="74">
        <f t="shared" ca="1" si="517"/>
        <v>57712</v>
      </c>
      <c r="M186" s="74">
        <f t="shared" ca="1" si="517"/>
        <v>100619</v>
      </c>
      <c r="N186" s="99">
        <f t="shared" ca="1" si="465"/>
        <v>193.29759649122775</v>
      </c>
      <c r="O186" s="98">
        <f>SUM(O168:O185)</f>
        <v>126399</v>
      </c>
      <c r="P186" s="69">
        <f t="shared" ca="1" si="466"/>
        <v>0.7960426902111567</v>
      </c>
      <c r="Q186" s="72">
        <v>1.5</v>
      </c>
      <c r="R186" s="69">
        <f t="shared" ca="1" si="467"/>
        <v>0.60881792154623726</v>
      </c>
      <c r="S186" s="73">
        <f t="shared" ca="1" si="468"/>
        <v>0.91322688231935589</v>
      </c>
      <c r="T186" s="72">
        <f ca="1">SUM(T168:T185)</f>
        <v>4061.9051918121309</v>
      </c>
      <c r="U186" s="72">
        <f t="shared" ca="1" si="469"/>
        <v>7.126149459319528</v>
      </c>
      <c r="V186" s="74">
        <f t="shared" ca="1" si="470"/>
        <v>176.52456140350878</v>
      </c>
      <c r="W186" s="76"/>
      <c r="X186" s="8">
        <v>4</v>
      </c>
      <c r="Y186" s="8" t="s">
        <v>37</v>
      </c>
      <c r="Z186" s="8">
        <f t="shared" ref="Z186:AI186" si="518">SUM(D177)</f>
        <v>30</v>
      </c>
      <c r="AA186" s="9">
        <f t="shared" ca="1" si="518"/>
        <v>30</v>
      </c>
      <c r="AB186" s="10">
        <f t="shared" ca="1" si="518"/>
        <v>5348.1059999999998</v>
      </c>
      <c r="AC186" s="9">
        <f t="shared" ca="1" si="518"/>
        <v>1935</v>
      </c>
      <c r="AD186" s="9">
        <f t="shared" ca="1" si="518"/>
        <v>0</v>
      </c>
      <c r="AE186" s="9">
        <f t="shared" ca="1" si="518"/>
        <v>1935</v>
      </c>
      <c r="AF186" s="9">
        <f t="shared" ca="1" si="518"/>
        <v>2810</v>
      </c>
      <c r="AG186" s="9">
        <f t="shared" ca="1" si="518"/>
        <v>118</v>
      </c>
      <c r="AH186" s="9">
        <f t="shared" ca="1" si="518"/>
        <v>2928</v>
      </c>
      <c r="AI186" s="9">
        <f t="shared" ca="1" si="518"/>
        <v>4863</v>
      </c>
      <c r="AJ186" s="11">
        <f t="shared" ca="1" si="505"/>
        <v>178.27019999999999</v>
      </c>
      <c r="AK186" s="8">
        <f t="shared" si="514"/>
        <v>5887</v>
      </c>
      <c r="AL186" s="12">
        <f t="shared" ca="1" si="506"/>
        <v>0.82605741464243243</v>
      </c>
      <c r="AM186" s="13">
        <f t="shared" si="515"/>
        <v>1.5</v>
      </c>
      <c r="AN186" s="12">
        <f t="shared" ca="1" si="507"/>
        <v>0.60619591309521537</v>
      </c>
      <c r="AO186" s="14">
        <f t="shared" ca="1" si="508"/>
        <v>0.9092938696428231</v>
      </c>
      <c r="AP186" s="13">
        <f t="shared" ref="AP186:AQ186" ca="1" si="519">SUM(T177)</f>
        <v>215.71902226524682</v>
      </c>
      <c r="AQ186" s="13">
        <f t="shared" ca="1" si="519"/>
        <v>7.1906340755082274</v>
      </c>
      <c r="AR186" s="9">
        <f t="shared" ca="1" si="510"/>
        <v>162.1</v>
      </c>
      <c r="AS186" s="76"/>
      <c r="AT186" s="76"/>
    </row>
    <row r="187" spans="1:46" ht="15.75" customHeight="1" x14ac:dyDescent="0.2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6"/>
      <c r="X187" s="8">
        <v>5</v>
      </c>
      <c r="Y187" s="8" t="s">
        <v>39</v>
      </c>
      <c r="Z187" s="8">
        <f t="shared" ref="Z187:AI187" si="520">SUM(D178)</f>
        <v>28</v>
      </c>
      <c r="AA187" s="9">
        <f t="shared" ca="1" si="520"/>
        <v>28</v>
      </c>
      <c r="AB187" s="10">
        <f t="shared" ca="1" si="520"/>
        <v>4986.692</v>
      </c>
      <c r="AC187" s="9">
        <f t="shared" ca="1" si="520"/>
        <v>1143</v>
      </c>
      <c r="AD187" s="9">
        <f t="shared" ca="1" si="520"/>
        <v>0</v>
      </c>
      <c r="AE187" s="9">
        <f t="shared" ca="1" si="520"/>
        <v>1143</v>
      </c>
      <c r="AF187" s="9">
        <f t="shared" ca="1" si="520"/>
        <v>1766</v>
      </c>
      <c r="AG187" s="9">
        <f t="shared" ca="1" si="520"/>
        <v>0</v>
      </c>
      <c r="AH187" s="9">
        <f t="shared" ca="1" si="520"/>
        <v>1766</v>
      </c>
      <c r="AI187" s="9">
        <f t="shared" ca="1" si="520"/>
        <v>2909</v>
      </c>
      <c r="AJ187" s="11">
        <f t="shared" ca="1" si="505"/>
        <v>178.09614285714287</v>
      </c>
      <c r="AK187" s="8">
        <f t="shared" si="514"/>
        <v>3569</v>
      </c>
      <c r="AL187" s="12">
        <f t="shared" ca="1" si="506"/>
        <v>0.81507425049033344</v>
      </c>
      <c r="AM187" s="13">
        <f t="shared" si="515"/>
        <v>1.5</v>
      </c>
      <c r="AN187" s="12">
        <f t="shared" ca="1" si="507"/>
        <v>0.38890176761134104</v>
      </c>
      <c r="AO187" s="14">
        <f t="shared" ca="1" si="508"/>
        <v>0.58335265141701154</v>
      </c>
      <c r="AP187" s="13">
        <f t="shared" ref="AP187:AQ187" ca="1" si="521">SUM(T178)</f>
        <v>232.33900200344777</v>
      </c>
      <c r="AQ187" s="13">
        <f t="shared" ca="1" si="521"/>
        <v>8.2978215001231348</v>
      </c>
      <c r="AR187" s="9">
        <f t="shared" ca="1" si="510"/>
        <v>103.89285714285714</v>
      </c>
      <c r="AS187" s="76"/>
      <c r="AT187" s="76"/>
    </row>
    <row r="188" spans="1:46" ht="15.75" customHeight="1" x14ac:dyDescent="0.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6"/>
      <c r="X188" s="8">
        <v>6</v>
      </c>
      <c r="Y188" s="8" t="s">
        <v>41</v>
      </c>
      <c r="Z188" s="8">
        <f t="shared" ref="Z188:AI188" si="522">SUM(D179)</f>
        <v>24</v>
      </c>
      <c r="AA188" s="9">
        <f t="shared" ca="1" si="522"/>
        <v>24</v>
      </c>
      <c r="AB188" s="10">
        <f t="shared" ca="1" si="522"/>
        <v>4704.268</v>
      </c>
      <c r="AC188" s="9">
        <f t="shared" ca="1" si="522"/>
        <v>1300</v>
      </c>
      <c r="AD188" s="9">
        <f t="shared" ca="1" si="522"/>
        <v>0</v>
      </c>
      <c r="AE188" s="9">
        <f t="shared" ca="1" si="522"/>
        <v>1300</v>
      </c>
      <c r="AF188" s="9">
        <f t="shared" ca="1" si="522"/>
        <v>1941</v>
      </c>
      <c r="AG188" s="9">
        <f t="shared" ca="1" si="522"/>
        <v>0</v>
      </c>
      <c r="AH188" s="9">
        <f t="shared" ca="1" si="522"/>
        <v>1941</v>
      </c>
      <c r="AI188" s="9">
        <f t="shared" ca="1" si="522"/>
        <v>3241</v>
      </c>
      <c r="AJ188" s="11">
        <f t="shared" ca="1" si="505"/>
        <v>196.01116666666667</v>
      </c>
      <c r="AK188" s="8">
        <f t="shared" si="514"/>
        <v>3801</v>
      </c>
      <c r="AL188" s="12">
        <f t="shared" ca="1" si="506"/>
        <v>0.85267034990791901</v>
      </c>
      <c r="AM188" s="13">
        <f t="shared" si="515"/>
        <v>1.5</v>
      </c>
      <c r="AN188" s="12">
        <f t="shared" ca="1" si="507"/>
        <v>0.4592992292672668</v>
      </c>
      <c r="AO188" s="14">
        <f t="shared" ca="1" si="508"/>
        <v>0.68894884390090017</v>
      </c>
      <c r="AP188" s="13">
        <f t="shared" ref="AP188:AQ188" ca="1" si="523">SUM(T179)</f>
        <v>158.77777777777777</v>
      </c>
      <c r="AQ188" s="13">
        <f t="shared" ca="1" si="523"/>
        <v>6.6157407407407405</v>
      </c>
      <c r="AR188" s="9">
        <f t="shared" ca="1" si="510"/>
        <v>135.04166666666666</v>
      </c>
      <c r="AS188" s="76"/>
      <c r="AT188" s="76"/>
    </row>
    <row r="189" spans="1:46" ht="15.75" customHeight="1" x14ac:dyDescent="0.25">
      <c r="A189" s="110" t="s">
        <v>45</v>
      </c>
      <c r="B189" s="76"/>
      <c r="C189" s="76"/>
      <c r="D189" s="75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24" t="s">
        <v>33</v>
      </c>
      <c r="Y189" s="24">
        <v>6</v>
      </c>
      <c r="Z189" s="24">
        <f t="shared" ref="Z189:AI189" si="524">SUM(Z183:Z188)</f>
        <v>173</v>
      </c>
      <c r="AA189" s="25">
        <f t="shared" ca="1" si="524"/>
        <v>172</v>
      </c>
      <c r="AB189" s="27">
        <f t="shared" ca="1" si="524"/>
        <v>32784.050999999992</v>
      </c>
      <c r="AC189" s="25">
        <f t="shared" ca="1" si="524"/>
        <v>12779</v>
      </c>
      <c r="AD189" s="25">
        <f t="shared" ca="1" si="524"/>
        <v>111</v>
      </c>
      <c r="AE189" s="25">
        <f t="shared" ca="1" si="524"/>
        <v>12890</v>
      </c>
      <c r="AF189" s="25">
        <f t="shared" ca="1" si="524"/>
        <v>17302</v>
      </c>
      <c r="AG189" s="25">
        <f t="shared" ca="1" si="524"/>
        <v>118</v>
      </c>
      <c r="AH189" s="25">
        <f t="shared" ca="1" si="524"/>
        <v>17420</v>
      </c>
      <c r="AI189" s="25">
        <f t="shared" ca="1" si="524"/>
        <v>30310</v>
      </c>
      <c r="AJ189" s="27">
        <f t="shared" ca="1" si="505"/>
        <v>190.60494767441855</v>
      </c>
      <c r="AK189" s="24">
        <f>SUM(AK183:AK188)</f>
        <v>37031</v>
      </c>
      <c r="AL189" s="28">
        <f t="shared" ca="1" si="506"/>
        <v>0.81850341605681731</v>
      </c>
      <c r="AM189" s="29">
        <v>1.5</v>
      </c>
      <c r="AN189" s="28">
        <f t="shared" ca="1" si="507"/>
        <v>0.61635661397265007</v>
      </c>
      <c r="AO189" s="30">
        <f t="shared" ca="1" si="508"/>
        <v>0.92453492095897505</v>
      </c>
      <c r="AP189" s="29">
        <f ca="1">SUM(AP183:AP188)</f>
        <v>1352.1436397642944</v>
      </c>
      <c r="AQ189" s="29">
        <f ca="1">AP189/AA189</f>
        <v>7.8613002311877587</v>
      </c>
      <c r="AR189" s="25">
        <f t="shared" ca="1" si="510"/>
        <v>176.22093023255815</v>
      </c>
      <c r="AS189" s="76"/>
      <c r="AT189" s="76"/>
    </row>
    <row r="190" spans="1:46" ht="15.75" customHeight="1" x14ac:dyDescent="0.2">
      <c r="A190" s="110" t="s">
        <v>45</v>
      </c>
      <c r="B190" s="76"/>
      <c r="C190" s="76"/>
      <c r="D190" s="75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7" t="s">
        <v>1</v>
      </c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9"/>
      <c r="AS190" s="76"/>
      <c r="AT190" s="76"/>
    </row>
    <row r="191" spans="1:46" ht="15.75" customHeight="1" x14ac:dyDescent="0.2">
      <c r="A191" s="113">
        <v>46242</v>
      </c>
      <c r="B191" s="80" t="s">
        <v>2</v>
      </c>
      <c r="C191" s="80" t="s">
        <v>3</v>
      </c>
      <c r="D191" s="80" t="s">
        <v>4</v>
      </c>
      <c r="E191" s="80" t="s">
        <v>5</v>
      </c>
      <c r="F191" s="81" t="s">
        <v>6</v>
      </c>
      <c r="G191" s="80" t="s">
        <v>7</v>
      </c>
      <c r="H191" s="80" t="s">
        <v>8</v>
      </c>
      <c r="I191" s="80" t="s">
        <v>9</v>
      </c>
      <c r="J191" s="80" t="s">
        <v>10</v>
      </c>
      <c r="K191" s="80" t="s">
        <v>11</v>
      </c>
      <c r="L191" s="80" t="s">
        <v>12</v>
      </c>
      <c r="M191" s="80" t="s">
        <v>13</v>
      </c>
      <c r="N191" s="81" t="s">
        <v>14</v>
      </c>
      <c r="O191" s="80" t="s">
        <v>15</v>
      </c>
      <c r="P191" s="80" t="s">
        <v>16</v>
      </c>
      <c r="Q191" s="80" t="s">
        <v>17</v>
      </c>
      <c r="R191" s="80" t="s">
        <v>18</v>
      </c>
      <c r="S191" s="106" t="s">
        <v>19</v>
      </c>
      <c r="T191" s="107" t="s">
        <v>20</v>
      </c>
      <c r="U191" s="107" t="s">
        <v>21</v>
      </c>
      <c r="V191" s="105" t="s">
        <v>22</v>
      </c>
      <c r="W191" s="76"/>
      <c r="X191" s="1" t="s">
        <v>2</v>
      </c>
      <c r="Y191" s="1" t="s">
        <v>3</v>
      </c>
      <c r="Z191" s="1" t="s">
        <v>4</v>
      </c>
      <c r="AA191" s="1" t="s">
        <v>5</v>
      </c>
      <c r="AB191" s="2" t="s">
        <v>6</v>
      </c>
      <c r="AC191" s="1" t="s">
        <v>7</v>
      </c>
      <c r="AD191" s="1" t="s">
        <v>8</v>
      </c>
      <c r="AE191" s="1" t="s">
        <v>9</v>
      </c>
      <c r="AF191" s="1" t="s">
        <v>10</v>
      </c>
      <c r="AG191" s="1" t="s">
        <v>11</v>
      </c>
      <c r="AH191" s="1" t="s">
        <v>12</v>
      </c>
      <c r="AI191" s="1" t="s">
        <v>13</v>
      </c>
      <c r="AJ191" s="2" t="s">
        <v>14</v>
      </c>
      <c r="AK191" s="1" t="s">
        <v>15</v>
      </c>
      <c r="AL191" s="1" t="s">
        <v>16</v>
      </c>
      <c r="AM191" s="3" t="s">
        <v>17</v>
      </c>
      <c r="AN191" s="4" t="s">
        <v>18</v>
      </c>
      <c r="AO191" s="5" t="s">
        <v>19</v>
      </c>
      <c r="AP191" s="6" t="s">
        <v>20</v>
      </c>
      <c r="AQ191" s="6" t="s">
        <v>21</v>
      </c>
      <c r="AR191" s="7" t="s">
        <v>22</v>
      </c>
      <c r="AS191" s="76"/>
      <c r="AT191" s="76"/>
    </row>
    <row r="192" spans="1:46" ht="15.75" customHeight="1" x14ac:dyDescent="0.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6"/>
      <c r="X192" s="8">
        <v>1</v>
      </c>
      <c r="Y192" s="8" t="s">
        <v>23</v>
      </c>
      <c r="Z192" s="8">
        <f t="shared" ref="Z192:AI192" si="525">SUM(D200)</f>
        <v>28</v>
      </c>
      <c r="AA192" s="9">
        <f t="shared" ca="1" si="525"/>
        <v>28</v>
      </c>
      <c r="AB192" s="10">
        <f t="shared" ca="1" si="525"/>
        <v>5432.1399999999903</v>
      </c>
      <c r="AC192" s="9">
        <f t="shared" ca="1" si="525"/>
        <v>1238</v>
      </c>
      <c r="AD192" s="9">
        <f t="shared" ca="1" si="525"/>
        <v>0</v>
      </c>
      <c r="AE192" s="9">
        <f t="shared" ca="1" si="525"/>
        <v>1238</v>
      </c>
      <c r="AF192" s="9">
        <f t="shared" ca="1" si="525"/>
        <v>2428</v>
      </c>
      <c r="AG192" s="9">
        <f t="shared" ca="1" si="525"/>
        <v>0</v>
      </c>
      <c r="AH192" s="9">
        <f t="shared" ca="1" si="525"/>
        <v>2428</v>
      </c>
      <c r="AI192" s="9">
        <f t="shared" ca="1" si="525"/>
        <v>3666</v>
      </c>
      <c r="AJ192" s="11">
        <f t="shared" ref="AJ192:AJ194" ca="1" si="526">AB192/AA192</f>
        <v>194.00499999999965</v>
      </c>
      <c r="AK192" s="8">
        <f>SUM(O200)</f>
        <v>6853</v>
      </c>
      <c r="AL192" s="12">
        <f t="shared" ref="AL192:AL198" ca="1" si="527">AI192/AK192</f>
        <v>0.53494819786954617</v>
      </c>
      <c r="AM192" s="13">
        <f t="shared" ref="AM192:AM194" si="528">SUM(Q200)</f>
        <v>1.5</v>
      </c>
      <c r="AN192" s="12">
        <f t="shared" ref="AN192:AN198" ca="1" si="529">AO192/AM192</f>
        <v>0.44991476655609103</v>
      </c>
      <c r="AO192" s="14">
        <f t="shared" ref="AO192:AO198" ca="1" si="530">AI192/AB192</f>
        <v>0.67487214983413657</v>
      </c>
      <c r="AP192" s="13">
        <f t="shared" ref="AP192:AQ192" ca="1" si="531">SUM(T200)</f>
        <v>160.99999999999972</v>
      </c>
      <c r="AQ192" s="13">
        <f t="shared" ca="1" si="531"/>
        <v>5.7499999999999902</v>
      </c>
      <c r="AR192" s="9">
        <f t="shared" ref="AR192:AR198" ca="1" si="532">AI192/AA192</f>
        <v>130.92857142857142</v>
      </c>
      <c r="AS192" s="76"/>
      <c r="AT192" s="76"/>
    </row>
    <row r="193" spans="1:46" ht="15.75" customHeight="1" x14ac:dyDescent="0.2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6"/>
      <c r="X193" s="8">
        <v>2</v>
      </c>
      <c r="Y193" s="8" t="s">
        <v>24</v>
      </c>
      <c r="Z193" s="8">
        <f t="shared" ref="Z193:AI193" si="533">SUM(D201)</f>
        <v>37</v>
      </c>
      <c r="AA193" s="9">
        <f t="shared" ca="1" si="533"/>
        <v>37</v>
      </c>
      <c r="AB193" s="10">
        <f t="shared" ca="1" si="533"/>
        <v>6610.7839999999896</v>
      </c>
      <c r="AC193" s="9">
        <f t="shared" ca="1" si="533"/>
        <v>763</v>
      </c>
      <c r="AD193" s="9">
        <f t="shared" ca="1" si="533"/>
        <v>25</v>
      </c>
      <c r="AE193" s="9">
        <f t="shared" ca="1" si="533"/>
        <v>788</v>
      </c>
      <c r="AF193" s="9">
        <f t="shared" ca="1" si="533"/>
        <v>1112</v>
      </c>
      <c r="AG193" s="9">
        <f t="shared" ca="1" si="533"/>
        <v>28</v>
      </c>
      <c r="AH193" s="9">
        <f t="shared" ca="1" si="533"/>
        <v>1140</v>
      </c>
      <c r="AI193" s="9">
        <f t="shared" ca="1" si="533"/>
        <v>1928</v>
      </c>
      <c r="AJ193" s="11">
        <f t="shared" ca="1" si="526"/>
        <v>178.66983783783755</v>
      </c>
      <c r="AK193" s="8">
        <v>1580</v>
      </c>
      <c r="AL193" s="15">
        <f t="shared" ca="1" si="527"/>
        <v>1.2202531645569621</v>
      </c>
      <c r="AM193" s="13">
        <f t="shared" si="528"/>
        <v>1.5</v>
      </c>
      <c r="AN193" s="12">
        <f t="shared" ca="1" si="529"/>
        <v>0.19442978825708648</v>
      </c>
      <c r="AO193" s="14">
        <f t="shared" ca="1" si="530"/>
        <v>0.29164468238562974</v>
      </c>
      <c r="AP193" s="13">
        <f t="shared" ref="AP193:AQ193" ca="1" si="534">SUM(T201)</f>
        <v>246.62503264316319</v>
      </c>
      <c r="AQ193" s="13">
        <f t="shared" ca="1" si="534"/>
        <v>6.6655414227881948</v>
      </c>
      <c r="AR193" s="9">
        <f t="shared" ca="1" si="532"/>
        <v>52.108108108108105</v>
      </c>
      <c r="AS193" s="76"/>
      <c r="AT193" s="76"/>
    </row>
    <row r="194" spans="1:46" ht="15.75" customHeight="1" x14ac:dyDescent="0.2">
      <c r="A194" s="70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6"/>
      <c r="X194" s="8">
        <v>3</v>
      </c>
      <c r="Y194" s="8" t="s">
        <v>25</v>
      </c>
      <c r="Z194" s="8">
        <f t="shared" ref="Z194:AI194" si="535">SUM(D202)</f>
        <v>27</v>
      </c>
      <c r="AA194" s="9">
        <f t="shared" ca="1" si="535"/>
        <v>26</v>
      </c>
      <c r="AB194" s="10">
        <f t="shared" ca="1" si="535"/>
        <v>4933.1120000000001</v>
      </c>
      <c r="AC194" s="9">
        <f t="shared" ca="1" si="535"/>
        <v>1855</v>
      </c>
      <c r="AD194" s="9">
        <f t="shared" ca="1" si="535"/>
        <v>176</v>
      </c>
      <c r="AE194" s="9">
        <f t="shared" ca="1" si="535"/>
        <v>2031</v>
      </c>
      <c r="AF194" s="9">
        <f t="shared" ca="1" si="535"/>
        <v>2479</v>
      </c>
      <c r="AG194" s="9">
        <f t="shared" ca="1" si="535"/>
        <v>312</v>
      </c>
      <c r="AH194" s="9">
        <f t="shared" ca="1" si="535"/>
        <v>2791</v>
      </c>
      <c r="AI194" s="9">
        <f t="shared" ca="1" si="535"/>
        <v>4822</v>
      </c>
      <c r="AJ194" s="11">
        <f t="shared" ca="1" si="526"/>
        <v>189.73507692307692</v>
      </c>
      <c r="AK194" s="8">
        <f>SUM(O202)</f>
        <v>6622</v>
      </c>
      <c r="AL194" s="12">
        <f t="shared" ca="1" si="527"/>
        <v>0.72817879794623985</v>
      </c>
      <c r="AM194" s="13">
        <f t="shared" si="528"/>
        <v>1.5</v>
      </c>
      <c r="AN194" s="12">
        <f t="shared" ca="1" si="529"/>
        <v>0.6516508578492981</v>
      </c>
      <c r="AO194" s="14">
        <f t="shared" ca="1" si="530"/>
        <v>0.97747628677394716</v>
      </c>
      <c r="AP194" s="13">
        <f t="shared" ref="AP194:AQ194" ca="1" si="536">SUM(T202)</f>
        <v>206.92583892617449</v>
      </c>
      <c r="AQ194" s="13">
        <f t="shared" ca="1" si="536"/>
        <v>7.9586861125451724</v>
      </c>
      <c r="AR194" s="9">
        <f t="shared" ca="1" si="532"/>
        <v>185.46153846153845</v>
      </c>
      <c r="AS194" s="76"/>
      <c r="AT194" s="76"/>
    </row>
    <row r="195" spans="1:46" ht="15.75" customHeight="1" x14ac:dyDescent="0.25">
      <c r="A195" s="70"/>
      <c r="B195" s="16">
        <v>1</v>
      </c>
      <c r="C195" s="16" t="s">
        <v>26</v>
      </c>
      <c r="D195" s="17">
        <v>16</v>
      </c>
      <c r="E195" s="18">
        <f ca="1">IFERROR(__xludf.DUMMYFUNCTION("COUNT(IMPORTRANGE(""https://docs.google.com/spreadsheets/d/1iVFEBQOAONhqDIMRa2hQ7WkCQv0dJWSAmc0AzfvSCMg/edit"",""8!d2:d21""))"),16)</f>
        <v>16</v>
      </c>
      <c r="F195" s="19">
        <f ca="1">IFERROR(__xludf.DUMMYFUNCTION("SUM(IMPORTRANGE(""https://docs.google.com/spreadsheets/d/1iVFEBQOAONhqDIMRa2hQ7WkCQv0dJWSAmc0AzfvSCMg/edit"",""8!Q2:Q21""))"),3150.21299999999)</f>
        <v>3150.2129999999902</v>
      </c>
      <c r="G195" s="18">
        <f ca="1">IFERROR(__xludf.DUMMYFUNCTION("IMPORTRANGE(""https://docs.google.com/spreadsheets/d/1iVFEBQOAONhqDIMRa2hQ7WkCQv0dJWSAmc0AzfvSCMg/edit"",""8!e28"")"),1714)</f>
        <v>1714</v>
      </c>
      <c r="H195" s="18">
        <f ca="1">IFERROR(__xludf.DUMMYFUNCTION("IMPORTRANGE(""https://docs.google.com/spreadsheets/d/1iVFEBQOAONhqDIMRa2hQ7WkCQv0dJWSAmc0AzfvSCMg/edit"",""8!e29"")"),30)</f>
        <v>30</v>
      </c>
      <c r="I195" s="18">
        <f t="shared" ref="I195:I212" ca="1" si="537">SUM(G195:H195)</f>
        <v>1744</v>
      </c>
      <c r="J195" s="18">
        <f ca="1">IFERROR(__xludf.DUMMYFUNCTION("IMPORTRANGE(""https://docs.google.com/spreadsheets/d/1iVFEBQOAONhqDIMRa2hQ7WkCQv0dJWSAmc0AzfvSCMg/edit"",""8!e32"")"),1923)</f>
        <v>1923</v>
      </c>
      <c r="K195" s="18">
        <f ca="1">IFERROR(__xludf.DUMMYFUNCTION("IMPORTRANGE(""https://docs.google.com/spreadsheets/d/1iVFEBQOAONhqDIMRa2hQ7WkCQv0dJWSAmc0AzfvSCMg/edit"",""8!e33"")"),110)</f>
        <v>110</v>
      </c>
      <c r="L195" s="18">
        <f t="shared" ref="L195:L201" ca="1" si="538">SUM(J195:K195)</f>
        <v>2033</v>
      </c>
      <c r="M195" s="18">
        <f t="shared" ref="M195:M212" ca="1" si="539">SUM(I195+L195)</f>
        <v>3777</v>
      </c>
      <c r="N195" s="19">
        <f t="shared" ref="N195:N213" ca="1" si="540">F195/E195</f>
        <v>196.88831249999939</v>
      </c>
      <c r="O195" s="16">
        <v>5161</v>
      </c>
      <c r="P195" s="20">
        <f t="shared" ref="P195:P213" ca="1" si="541">M195/O195</f>
        <v>0.73183491571400894</v>
      </c>
      <c r="Q195" s="21">
        <v>1.5</v>
      </c>
      <c r="R195" s="20">
        <f t="shared" ref="R195:R213" ca="1" si="542">S195/Q195</f>
        <v>0.79931103071443355</v>
      </c>
      <c r="S195" s="22">
        <f t="shared" ref="S195:S213" ca="1" si="543">M195/F195</f>
        <v>1.1989665460716503</v>
      </c>
      <c r="T195" s="21">
        <f ca="1">F195/14.415</f>
        <v>218.53714880332919</v>
      </c>
      <c r="U195" s="21">
        <f t="shared" ref="U195:U213" ca="1" si="544">T195/E195</f>
        <v>13.658571800208074</v>
      </c>
      <c r="V195" s="18">
        <f t="shared" ref="V195:V213" ca="1" si="545">M195/E195</f>
        <v>236.0625</v>
      </c>
      <c r="W195" s="76"/>
      <c r="X195" s="8">
        <v>4</v>
      </c>
      <c r="Y195" s="8" t="s">
        <v>27</v>
      </c>
      <c r="Z195" s="8">
        <f t="shared" ref="Z195:AK195" si="546">SUM(D208)</f>
        <v>24</v>
      </c>
      <c r="AA195" s="9">
        <f t="shared" ca="1" si="546"/>
        <v>21</v>
      </c>
      <c r="AB195" s="10">
        <f t="shared" ca="1" si="546"/>
        <v>4012.8779999999902</v>
      </c>
      <c r="AC195" s="9">
        <f t="shared" ca="1" si="546"/>
        <v>1829</v>
      </c>
      <c r="AD195" s="9">
        <f t="shared" ca="1" si="546"/>
        <v>0</v>
      </c>
      <c r="AE195" s="9">
        <f t="shared" ca="1" si="546"/>
        <v>1829</v>
      </c>
      <c r="AF195" s="9">
        <f t="shared" ca="1" si="546"/>
        <v>2420</v>
      </c>
      <c r="AG195" s="9">
        <f t="shared" ca="1" si="546"/>
        <v>0</v>
      </c>
      <c r="AH195" s="9">
        <f t="shared" ca="1" si="546"/>
        <v>2420</v>
      </c>
      <c r="AI195" s="9">
        <f t="shared" ca="1" si="546"/>
        <v>4249</v>
      </c>
      <c r="AJ195" s="11">
        <f t="shared" ca="1" si="546"/>
        <v>191.0894285714281</v>
      </c>
      <c r="AK195" s="8">
        <f t="shared" si="546"/>
        <v>8101</v>
      </c>
      <c r="AL195" s="12">
        <f t="shared" ca="1" si="527"/>
        <v>0.52450314775953588</v>
      </c>
      <c r="AM195" s="13">
        <f>SUM(Q208)</f>
        <v>1.5</v>
      </c>
      <c r="AN195" s="12">
        <f t="shared" ca="1" si="529"/>
        <v>0.70589404080230533</v>
      </c>
      <c r="AO195" s="14">
        <f t="shared" ca="1" si="530"/>
        <v>1.058841061203458</v>
      </c>
      <c r="AP195" s="13">
        <f t="shared" ref="AP195:AQ195" ca="1" si="547">SUM(T208)</f>
        <v>200.79449587190345</v>
      </c>
      <c r="AQ195" s="13">
        <f t="shared" ca="1" si="547"/>
        <v>9.5616426605668305</v>
      </c>
      <c r="AR195" s="9">
        <f t="shared" ca="1" si="532"/>
        <v>202.33333333333334</v>
      </c>
      <c r="AS195" s="76"/>
      <c r="AT195" s="76"/>
    </row>
    <row r="196" spans="1:46" ht="15.75" customHeight="1" x14ac:dyDescent="0.25">
      <c r="A196" s="70"/>
      <c r="B196" s="16">
        <v>2</v>
      </c>
      <c r="C196" s="16" t="s">
        <v>28</v>
      </c>
      <c r="D196" s="17">
        <v>26</v>
      </c>
      <c r="E196" s="18">
        <f ca="1">IFERROR(__xludf.DUMMYFUNCTION("COUNT(IMPORTRANGE(""https://docs.google.com/spreadsheets/d/1tJCeYclgeJZ4Dc78t_SkhVjtacKW-5-VGim8X1rzUzk/edit"",""8!d2:d34""))"),26)</f>
        <v>26</v>
      </c>
      <c r="F196" s="19">
        <f ca="1">IFERROR(__xludf.DUMMYFUNCTION("SUM(IMPORTRANGE(""https://docs.google.com/spreadsheets/d/1tJCeYclgeJZ4Dc78t_SkhVjtacKW-5-VGim8X1rzUzk/edit"",""8!Q2:Q34""))"),5093.29899999999)</f>
        <v>5093.29899999999</v>
      </c>
      <c r="G196" s="18">
        <f ca="1">IFERROR(__xludf.DUMMYFUNCTION("IMPORTRANGE(""https://docs.google.com/spreadsheets/d/1tJCeYclgeJZ4Dc78t_SkhVjtacKW-5-VGim8X1rzUzk/edit"",""8!e41"")"),1884)</f>
        <v>1884</v>
      </c>
      <c r="H196" s="18">
        <f ca="1">IFERROR(__xludf.DUMMYFUNCTION("IMPORTRANGE(""https://docs.google.com/spreadsheets/d/1tJCeYclgeJZ4Dc78t_SkhVjtacKW-5-VGim8X1rzUzk/edit"",""8!e42"")"),99)</f>
        <v>99</v>
      </c>
      <c r="I196" s="18">
        <f t="shared" ca="1" si="537"/>
        <v>1983</v>
      </c>
      <c r="J196" s="18">
        <f ca="1">IFERROR(__xludf.DUMMYFUNCTION("IMPORTRANGE(""https://docs.google.com/spreadsheets/d/1tJCeYclgeJZ4Dc78t_SkhVjtacKW-5-VGim8X1rzUzk/edit"",""8!e45"")"),2018)</f>
        <v>2018</v>
      </c>
      <c r="K196" s="18">
        <f ca="1">IFERROR(__xludf.DUMMYFUNCTION("IMPORTRANGE(""https://docs.google.com/spreadsheets/d/1tJCeYclgeJZ4Dc78t_SkhVjtacKW-5-VGim8X1rzUzk/edit"",""8!e46"")"),55)</f>
        <v>55</v>
      </c>
      <c r="L196" s="18">
        <f t="shared" ca="1" si="538"/>
        <v>2073</v>
      </c>
      <c r="M196" s="18">
        <f t="shared" ca="1" si="539"/>
        <v>4056</v>
      </c>
      <c r="N196" s="19">
        <f t="shared" ca="1" si="540"/>
        <v>195.896115384615</v>
      </c>
      <c r="O196" s="16">
        <v>7315</v>
      </c>
      <c r="P196" s="20">
        <f t="shared" ca="1" si="541"/>
        <v>0.5544771018455229</v>
      </c>
      <c r="Q196" s="21">
        <v>1.5</v>
      </c>
      <c r="R196" s="20">
        <f t="shared" ca="1" si="542"/>
        <v>0.5308936310238227</v>
      </c>
      <c r="S196" s="22">
        <f t="shared" ca="1" si="543"/>
        <v>0.7963404465357341</v>
      </c>
      <c r="T196" s="21">
        <f ca="1">F196/30.897</f>
        <v>164.84768747774834</v>
      </c>
      <c r="U196" s="21">
        <f t="shared" ca="1" si="544"/>
        <v>6.3402956722210897</v>
      </c>
      <c r="V196" s="18">
        <f t="shared" ca="1" si="545"/>
        <v>156</v>
      </c>
      <c r="W196" s="76"/>
      <c r="X196" s="8">
        <v>5</v>
      </c>
      <c r="Y196" s="8" t="s">
        <v>29</v>
      </c>
      <c r="Z196" s="8">
        <f t="shared" ref="Z196:AI196" si="548">SUM(D211)</f>
        <v>24</v>
      </c>
      <c r="AA196" s="9">
        <f t="shared" ca="1" si="548"/>
        <v>24</v>
      </c>
      <c r="AB196" s="10">
        <f t="shared" ca="1" si="548"/>
        <v>4738.9160000000002</v>
      </c>
      <c r="AC196" s="9">
        <f t="shared" ca="1" si="548"/>
        <v>1627</v>
      </c>
      <c r="AD196" s="9">
        <f t="shared" ca="1" si="548"/>
        <v>0</v>
      </c>
      <c r="AE196" s="9">
        <f t="shared" ca="1" si="548"/>
        <v>1627</v>
      </c>
      <c r="AF196" s="9">
        <f t="shared" ca="1" si="548"/>
        <v>3426</v>
      </c>
      <c r="AG196" s="9">
        <f t="shared" ca="1" si="548"/>
        <v>0</v>
      </c>
      <c r="AH196" s="9">
        <f t="shared" ca="1" si="548"/>
        <v>3426</v>
      </c>
      <c r="AI196" s="9">
        <f t="shared" ca="1" si="548"/>
        <v>5053</v>
      </c>
      <c r="AJ196" s="11">
        <f t="shared" ref="AJ196:AJ198" ca="1" si="549">AB196/AA196</f>
        <v>197.45483333333334</v>
      </c>
      <c r="AK196" s="8">
        <f t="shared" ref="AK196:AK197" si="550">SUM(O211)</f>
        <v>9201</v>
      </c>
      <c r="AL196" s="12">
        <f t="shared" ca="1" si="527"/>
        <v>0.54917943701771543</v>
      </c>
      <c r="AM196" s="13">
        <f t="shared" ref="AM196:AM197" si="551">SUM(Q211)</f>
        <v>1.5</v>
      </c>
      <c r="AN196" s="12">
        <f t="shared" ca="1" si="529"/>
        <v>0.71085173627611598</v>
      </c>
      <c r="AO196" s="14">
        <f t="shared" ca="1" si="530"/>
        <v>1.066277604414174</v>
      </c>
      <c r="AP196" s="13">
        <f t="shared" ref="AP196:AQ196" ca="1" si="552">SUM(T211)</f>
        <v>182</v>
      </c>
      <c r="AQ196" s="13">
        <f t="shared" ca="1" si="552"/>
        <v>7.583333333333333</v>
      </c>
      <c r="AR196" s="9">
        <f t="shared" ca="1" si="532"/>
        <v>210.54166666666666</v>
      </c>
      <c r="AS196" s="76"/>
      <c r="AT196" s="76"/>
    </row>
    <row r="197" spans="1:46" ht="15.75" customHeight="1" x14ac:dyDescent="0.25">
      <c r="A197" s="70"/>
      <c r="B197" s="16">
        <v>3</v>
      </c>
      <c r="C197" s="16" t="s">
        <v>30</v>
      </c>
      <c r="D197" s="17">
        <v>48</v>
      </c>
      <c r="E197" s="18">
        <f ca="1">IFERROR(__xludf.DUMMYFUNCTION("COUNT(IMPORTRANGE(""https://docs.google.com/spreadsheets/d/130gLEONC13J8KkQ6dk06x3bLRy_jCrAw2hXatQf2W50/edit"",""8!d2:d61""))"),46)</f>
        <v>46</v>
      </c>
      <c r="F197" s="23">
        <f ca="1">IFERROR(__xludf.DUMMYFUNCTION("SUM(IMPORTRANGE(""https://docs.google.com/spreadsheets/d/130gLEONC13J8KkQ6dk06x3bLRy_jCrAw2hXatQf2W50/edit"",""8!Q2:Q61""))"),8999.31199999999)</f>
        <v>8999.3119999999908</v>
      </c>
      <c r="G197" s="18">
        <f ca="1">IFERROR(__xludf.DUMMYFUNCTION("IMPORTRANGE(""https://docs.google.com/spreadsheets/d/130gLEONC13J8KkQ6dk06x3bLRy_jCrAw2hXatQf2W50/edit"",""8!e68"")"),2576)</f>
        <v>2576</v>
      </c>
      <c r="H197" s="18">
        <f ca="1">IFERROR(__xludf.DUMMYFUNCTION("IMPORTRANGE(""https://docs.google.com/spreadsheets/d/130gLEONC13J8KkQ6dk06x3bLRy_jCrAw2hXatQf2W50/edit"",""8!e69"")"),0)</f>
        <v>0</v>
      </c>
      <c r="I197" s="18">
        <f t="shared" ca="1" si="537"/>
        <v>2576</v>
      </c>
      <c r="J197" s="18">
        <f ca="1">IFERROR(__xludf.DUMMYFUNCTION("IMPORTRANGE(""https://docs.google.com/spreadsheets/d/130gLEONC13J8KkQ6dk06x3bLRy_jCrAw2hXatQf2W50/edit"",""8!e72"")"),4500)</f>
        <v>4500</v>
      </c>
      <c r="K197" s="18">
        <f ca="1">IFERROR(__xludf.DUMMYFUNCTION("IMPORTRANGE(""https://docs.google.com/spreadsheets/d/130gLEONC13J8KkQ6dk06x3bLRy_jCrAw2hXatQf2W50/edit"",""8!e73"")"),36)</f>
        <v>36</v>
      </c>
      <c r="L197" s="18">
        <f t="shared" ca="1" si="538"/>
        <v>4536</v>
      </c>
      <c r="M197" s="18">
        <f t="shared" ca="1" si="539"/>
        <v>7112</v>
      </c>
      <c r="N197" s="19">
        <f t="shared" ca="1" si="540"/>
        <v>195.63721739130415</v>
      </c>
      <c r="O197" s="16">
        <v>11164</v>
      </c>
      <c r="P197" s="20">
        <f t="shared" ca="1" si="541"/>
        <v>0.6370476531709065</v>
      </c>
      <c r="Q197" s="21">
        <v>1.5</v>
      </c>
      <c r="R197" s="20">
        <f t="shared" ca="1" si="542"/>
        <v>0.52685508995947006</v>
      </c>
      <c r="S197" s="22">
        <f t="shared" ca="1" si="543"/>
        <v>0.79028263493920503</v>
      </c>
      <c r="T197" s="21">
        <f ca="1">F197/29.603</f>
        <v>303.99999999999966</v>
      </c>
      <c r="U197" s="21">
        <f t="shared" ca="1" si="544"/>
        <v>6.608695652173906</v>
      </c>
      <c r="V197" s="18">
        <f t="shared" ca="1" si="545"/>
        <v>154.60869565217391</v>
      </c>
      <c r="W197" s="76"/>
      <c r="X197" s="8">
        <v>6</v>
      </c>
      <c r="Y197" s="8" t="s">
        <v>31</v>
      </c>
      <c r="Z197" s="8">
        <f t="shared" ref="Z197:AI197" si="553">SUM(D212)</f>
        <v>12</v>
      </c>
      <c r="AA197" s="9">
        <f t="shared" ca="1" si="553"/>
        <v>11</v>
      </c>
      <c r="AB197" s="11">
        <f t="shared" ca="1" si="553"/>
        <v>2129.7849999999999</v>
      </c>
      <c r="AC197" s="9">
        <f t="shared" ca="1" si="553"/>
        <v>570</v>
      </c>
      <c r="AD197" s="9">
        <f t="shared" ca="1" si="553"/>
        <v>42</v>
      </c>
      <c r="AE197" s="9">
        <f t="shared" ca="1" si="553"/>
        <v>612</v>
      </c>
      <c r="AF197" s="9">
        <f t="shared" ca="1" si="553"/>
        <v>769</v>
      </c>
      <c r="AG197" s="9">
        <f t="shared" ca="1" si="553"/>
        <v>0</v>
      </c>
      <c r="AH197" s="9">
        <f t="shared" ca="1" si="553"/>
        <v>769</v>
      </c>
      <c r="AI197" s="9">
        <f t="shared" ca="1" si="553"/>
        <v>1381</v>
      </c>
      <c r="AJ197" s="11">
        <f t="shared" ca="1" si="549"/>
        <v>193.61681818181816</v>
      </c>
      <c r="AK197" s="8">
        <f t="shared" si="550"/>
        <v>2717</v>
      </c>
      <c r="AL197" s="12">
        <f t="shared" ca="1" si="527"/>
        <v>0.50828119249171877</v>
      </c>
      <c r="AM197" s="13">
        <f t="shared" si="551"/>
        <v>1.5</v>
      </c>
      <c r="AN197" s="12">
        <f t="shared" ca="1" si="529"/>
        <v>0.43228150572319118</v>
      </c>
      <c r="AO197" s="14">
        <f t="shared" ca="1" si="530"/>
        <v>0.64842225858478675</v>
      </c>
      <c r="AP197" s="13">
        <f t="shared" ref="AP197:AQ197" ca="1" si="554">SUM(T212)</f>
        <v>48.999999999999993</v>
      </c>
      <c r="AQ197" s="13">
        <f t="shared" ca="1" si="554"/>
        <v>4.4545454545454541</v>
      </c>
      <c r="AR197" s="9">
        <f t="shared" ca="1" si="532"/>
        <v>125.54545454545455</v>
      </c>
      <c r="AS197" s="76"/>
      <c r="AT197" s="76"/>
    </row>
    <row r="198" spans="1:46" ht="15.75" customHeight="1" x14ac:dyDescent="0.25">
      <c r="A198" s="70"/>
      <c r="B198" s="16">
        <v>4</v>
      </c>
      <c r="C198" s="16" t="s">
        <v>32</v>
      </c>
      <c r="D198" s="17">
        <v>33</v>
      </c>
      <c r="E198" s="18">
        <f ca="1">IFERROR(__xludf.DUMMYFUNCTION("COUNT(IMPORTRANGE(""https://docs.google.com/spreadsheets/d/1gYHli7FuKQLm2Q-5LMR0UtkD-gRRA_p8s-phLPLDLgc/edit"",""8!d2:d43""))"),33)</f>
        <v>33</v>
      </c>
      <c r="F198" s="23">
        <f ca="1">IFERROR(__xludf.DUMMYFUNCTION("SUM(IMPORTRANGE(""https://docs.google.com/spreadsheets/d/1gYHli7FuKQLm2Q-5LMR0UtkD-gRRA_p8s-phLPLDLgc/edit"",""8!Q2:Q43""))"),6436.40299999999)</f>
        <v>6436.4029999999902</v>
      </c>
      <c r="G198" s="16">
        <f ca="1">IFERROR(__xludf.DUMMYFUNCTION("IMPORTRANGE(""https://docs.google.com/spreadsheets/d/1gYHli7FuKQLm2Q-5LMR0UtkD-gRRA_p8s-phLPLDLgc/edit"",""8!e50"")"),3720)</f>
        <v>3720</v>
      </c>
      <c r="H198" s="16">
        <f ca="1">IFERROR(__xludf.DUMMYFUNCTION("IMPORTRANGE(""https://docs.google.com/spreadsheets/d/1gYHli7FuKQLm2Q-5LMR0UtkD-gRRA_p8s-phLPLDLgc/edit"",""8!e51"")"),0)</f>
        <v>0</v>
      </c>
      <c r="I198" s="18">
        <f t="shared" ca="1" si="537"/>
        <v>3720</v>
      </c>
      <c r="J198" s="16">
        <f ca="1">IFERROR(__xludf.DUMMYFUNCTION("IMPORTRANGE(""https://docs.google.com/spreadsheets/d/1gYHli7FuKQLm2Q-5LMR0UtkD-gRRA_p8s-phLPLDLgc/edit"",""8!e54"")"),3841)</f>
        <v>3841</v>
      </c>
      <c r="K198" s="16">
        <f ca="1">IFERROR(__xludf.DUMMYFUNCTION("IMPORTRANGE(""https://docs.google.com/spreadsheets/d/1gYHli7FuKQLm2Q-5LMR0UtkD-gRRA_p8s-phLPLDLgc/edit"",""8!e55"")"),0)</f>
        <v>0</v>
      </c>
      <c r="L198" s="18">
        <f t="shared" ca="1" si="538"/>
        <v>3841</v>
      </c>
      <c r="M198" s="18">
        <f t="shared" ca="1" si="539"/>
        <v>7561</v>
      </c>
      <c r="N198" s="19">
        <f t="shared" ca="1" si="540"/>
        <v>195.04251515151486</v>
      </c>
      <c r="O198" s="16">
        <v>13817</v>
      </c>
      <c r="P198" s="20">
        <f t="shared" ca="1" si="541"/>
        <v>0.54722443366866902</v>
      </c>
      <c r="Q198" s="21">
        <v>1.5</v>
      </c>
      <c r="R198" s="20">
        <f t="shared" ca="1" si="542"/>
        <v>0.78314963601046639</v>
      </c>
      <c r="S198" s="22">
        <f t="shared" ca="1" si="543"/>
        <v>1.1747244540156996</v>
      </c>
      <c r="T198" s="21">
        <f ca="1">F198/25.089</f>
        <v>256.54282753397865</v>
      </c>
      <c r="U198" s="21">
        <f t="shared" ca="1" si="544"/>
        <v>7.7740250767872316</v>
      </c>
      <c r="V198" s="18">
        <f t="shared" ca="1" si="545"/>
        <v>229.12121212121212</v>
      </c>
      <c r="W198" s="76"/>
      <c r="X198" s="24" t="s">
        <v>33</v>
      </c>
      <c r="Y198" s="24">
        <v>6</v>
      </c>
      <c r="Z198" s="24">
        <f t="shared" ref="Z198:AI198" si="555">SUM(Z192:Z197)</f>
        <v>152</v>
      </c>
      <c r="AA198" s="25">
        <f t="shared" ca="1" si="555"/>
        <v>147</v>
      </c>
      <c r="AB198" s="26">
        <f t="shared" ca="1" si="555"/>
        <v>27857.614999999972</v>
      </c>
      <c r="AC198" s="25">
        <f t="shared" ca="1" si="555"/>
        <v>7882</v>
      </c>
      <c r="AD198" s="25">
        <f t="shared" ca="1" si="555"/>
        <v>243</v>
      </c>
      <c r="AE198" s="25">
        <f t="shared" ca="1" si="555"/>
        <v>8125</v>
      </c>
      <c r="AF198" s="25">
        <f t="shared" ca="1" si="555"/>
        <v>12634</v>
      </c>
      <c r="AG198" s="25">
        <f t="shared" ca="1" si="555"/>
        <v>340</v>
      </c>
      <c r="AH198" s="25">
        <f t="shared" ca="1" si="555"/>
        <v>12974</v>
      </c>
      <c r="AI198" s="25">
        <f t="shared" ca="1" si="555"/>
        <v>21099</v>
      </c>
      <c r="AJ198" s="27">
        <f t="shared" ca="1" si="549"/>
        <v>189.50758503401343</v>
      </c>
      <c r="AK198" s="24">
        <f>SUM(AK192:AK197)</f>
        <v>35074</v>
      </c>
      <c r="AL198" s="28">
        <f t="shared" ca="1" si="527"/>
        <v>0.60155670867309119</v>
      </c>
      <c r="AM198" s="29">
        <v>1.5</v>
      </c>
      <c r="AN198" s="28">
        <f t="shared" ca="1" si="529"/>
        <v>0.50492477550572845</v>
      </c>
      <c r="AO198" s="30">
        <f t="shared" ca="1" si="530"/>
        <v>0.75738716325859268</v>
      </c>
      <c r="AP198" s="29">
        <f ca="1">SUM(AP192:AP197)</f>
        <v>1046.3453674412408</v>
      </c>
      <c r="AQ198" s="29">
        <f ca="1">AP198/AA198</f>
        <v>7.1179956968791886</v>
      </c>
      <c r="AR198" s="25">
        <f t="shared" ca="1" si="532"/>
        <v>143.53061224489795</v>
      </c>
      <c r="AS198" s="76"/>
      <c r="AT198" s="76"/>
    </row>
    <row r="199" spans="1:46" ht="15.75" customHeight="1" x14ac:dyDescent="0.25">
      <c r="A199" s="70"/>
      <c r="B199" s="16">
        <v>5</v>
      </c>
      <c r="C199" s="16" t="s">
        <v>34</v>
      </c>
      <c r="D199" s="17">
        <v>32</v>
      </c>
      <c r="E199" s="18">
        <f ca="1">IFERROR(__xludf.DUMMYFUNCTION("COUNT(IMPORTRANGE(""https://docs.google.com/spreadsheets/d/1ptS0qWBCKWkc9h2aXWT_YgMhN7yIv5WgAHRbF8l9Zpo/edit"",""8!d2:d41""))"),31)</f>
        <v>31</v>
      </c>
      <c r="F199" s="23">
        <f ca="1">IFERROR(__xludf.DUMMYFUNCTION("SUM(IMPORTRANGE(""https://docs.google.com/spreadsheets/d/1ptS0qWBCKWkc9h2aXWT_YgMhN7yIv5WgAHRbF8l9Zpo/edit"",""8!Q2:Q41""))"),6136.422)</f>
        <v>6136.4219999999996</v>
      </c>
      <c r="G199" s="18">
        <f ca="1">IFERROR(__xludf.DUMMYFUNCTION("IMPORTRANGE(""https://docs.google.com/spreadsheets/d/1ptS0qWBCKWkc9h2aXWT_YgMhN7yIv5WgAHRbF8l9Zpo/edit"",""8!e48"")"),1953)</f>
        <v>1953</v>
      </c>
      <c r="H199" s="18">
        <f ca="1">IFERROR(__xludf.DUMMYFUNCTION("IMPORTRANGE(""https://docs.google.com/spreadsheets/d/1ptS0qWBCKWkc9h2aXWT_YgMhN7yIv5WgAHRbF8l9Zpo/edit"",""8!e49"")"),0)</f>
        <v>0</v>
      </c>
      <c r="I199" s="18">
        <f t="shared" ca="1" si="537"/>
        <v>1953</v>
      </c>
      <c r="J199" s="18">
        <f ca="1">IFERROR(__xludf.DUMMYFUNCTION("IMPORTRANGE(""https://docs.google.com/spreadsheets/d/1ptS0qWBCKWkc9h2aXWT_YgMhN7yIv5WgAHRbF8l9Zpo/edit"",""8!e52"")"),2730)</f>
        <v>2730</v>
      </c>
      <c r="K199" s="18">
        <f ca="1">IFERROR(__xludf.DUMMYFUNCTION("IMPORTRANGE(""https://docs.google.com/spreadsheets/d/1ptS0qWBCKWkc9h2aXWT_YgMhN7yIv5WgAHRbF8l9Zpo/edit"",""8!e53"")"),0)</f>
        <v>0</v>
      </c>
      <c r="L199" s="18">
        <f t="shared" ca="1" si="538"/>
        <v>2730</v>
      </c>
      <c r="M199" s="18">
        <f t="shared" ca="1" si="539"/>
        <v>4683</v>
      </c>
      <c r="N199" s="19">
        <f t="shared" ca="1" si="540"/>
        <v>197.94909677419352</v>
      </c>
      <c r="O199" s="16">
        <v>9354</v>
      </c>
      <c r="P199" s="20">
        <f t="shared" ca="1" si="541"/>
        <v>0.5006414368184734</v>
      </c>
      <c r="Q199" s="21">
        <v>1.5</v>
      </c>
      <c r="R199" s="20">
        <f t="shared" ca="1" si="542"/>
        <v>0.50876553144487136</v>
      </c>
      <c r="S199" s="22">
        <f t="shared" ca="1" si="543"/>
        <v>0.76314829716730703</v>
      </c>
      <c r="T199" s="21">
        <f ca="1">F199/30.713</f>
        <v>199.79884739361179</v>
      </c>
      <c r="U199" s="21">
        <f t="shared" ca="1" si="544"/>
        <v>6.4451241094713483</v>
      </c>
      <c r="V199" s="18">
        <f t="shared" ca="1" si="545"/>
        <v>151.06451612903226</v>
      </c>
      <c r="W199" s="76"/>
      <c r="X199" s="100" t="s">
        <v>35</v>
      </c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9"/>
      <c r="AS199" s="76"/>
      <c r="AT199" s="76"/>
    </row>
    <row r="200" spans="1:46" ht="15.75" customHeight="1" x14ac:dyDescent="0.25">
      <c r="A200" s="70"/>
      <c r="B200" s="16">
        <v>6</v>
      </c>
      <c r="C200" s="16" t="s">
        <v>23</v>
      </c>
      <c r="D200" s="17">
        <v>28</v>
      </c>
      <c r="E200" s="18">
        <f ca="1">IFERROR(__xludf.DUMMYFUNCTION("COUNT(IMPORTRANGE(""https://docs.google.com/spreadsheets/d/1829CoYW82aTBBUgqkPnJa94KlBWI-DowAnP4ENQCmaQ/edit"",""8!d2:d36""))"),28)</f>
        <v>28</v>
      </c>
      <c r="F200" s="23">
        <f ca="1">IFERROR(__xludf.DUMMYFUNCTION("SUM(IMPORTRANGE(""https://docs.google.com/spreadsheets/d/1829CoYW82aTBBUgqkPnJa94KlBWI-DowAnP4ENQCmaQ/edit"",""8!Q2:Q36""))"),5432.13999999999)</f>
        <v>5432.1399999999903</v>
      </c>
      <c r="G200" s="18">
        <f ca="1">IFERROR(__xludf.DUMMYFUNCTION("IMPORTRANGE(""https://docs.google.com/spreadsheets/d/1829CoYW82aTBBUgqkPnJa94KlBWI-DowAnP4ENQCmaQ/edit"",""8!e43"")"),1238)</f>
        <v>1238</v>
      </c>
      <c r="H200" s="18">
        <f ca="1">IFERROR(__xludf.DUMMYFUNCTION("IMPORTRANGE(""https://docs.google.com/spreadsheets/d/1829CoYW82aTBBUgqkPnJa94KlBWI-DowAnP4ENQCmaQ/edit"",""8!e44"")"),0)</f>
        <v>0</v>
      </c>
      <c r="I200" s="18">
        <f t="shared" ca="1" si="537"/>
        <v>1238</v>
      </c>
      <c r="J200" s="18">
        <f ca="1">IFERROR(__xludf.DUMMYFUNCTION("IMPORTRANGE(""https://docs.google.com/spreadsheets/d/1829CoYW82aTBBUgqkPnJa94KlBWI-DowAnP4ENQCmaQ/edit"",""8!e47"")"),2428)</f>
        <v>2428</v>
      </c>
      <c r="K200" s="18">
        <f ca="1">IFERROR(__xludf.DUMMYFUNCTION("IMPORTRANGE(""https://docs.google.com/spreadsheets/d/1829CoYW82aTBBUgqkPnJa94KlBWI-DowAnP4ENQCmaQ/edit"",""8!e48"")"),0)</f>
        <v>0</v>
      </c>
      <c r="L200" s="18">
        <f t="shared" ca="1" si="538"/>
        <v>2428</v>
      </c>
      <c r="M200" s="18">
        <f t="shared" ca="1" si="539"/>
        <v>3666</v>
      </c>
      <c r="N200" s="19">
        <f t="shared" ca="1" si="540"/>
        <v>194.00499999999965</v>
      </c>
      <c r="O200" s="16">
        <v>6853</v>
      </c>
      <c r="P200" s="20">
        <f t="shared" ca="1" si="541"/>
        <v>0.53494819786954617</v>
      </c>
      <c r="Q200" s="21">
        <v>1.5</v>
      </c>
      <c r="R200" s="20">
        <f t="shared" ca="1" si="542"/>
        <v>0.44991476655609103</v>
      </c>
      <c r="S200" s="22">
        <f t="shared" ca="1" si="543"/>
        <v>0.67487214983413657</v>
      </c>
      <c r="T200" s="21">
        <f ca="1">F200/33.74</f>
        <v>160.99999999999972</v>
      </c>
      <c r="U200" s="21">
        <f t="shared" ca="1" si="544"/>
        <v>5.7499999999999902</v>
      </c>
      <c r="V200" s="18">
        <f t="shared" ca="1" si="545"/>
        <v>130.92857142857142</v>
      </c>
      <c r="W200" s="76"/>
      <c r="X200" s="1" t="s">
        <v>2</v>
      </c>
      <c r="Y200" s="1" t="s">
        <v>3</v>
      </c>
      <c r="Z200" s="1" t="s">
        <v>4</v>
      </c>
      <c r="AA200" s="1" t="s">
        <v>5</v>
      </c>
      <c r="AB200" s="2" t="s">
        <v>6</v>
      </c>
      <c r="AC200" s="1" t="s">
        <v>7</v>
      </c>
      <c r="AD200" s="1" t="s">
        <v>8</v>
      </c>
      <c r="AE200" s="1" t="s">
        <v>9</v>
      </c>
      <c r="AF200" s="1" t="s">
        <v>10</v>
      </c>
      <c r="AG200" s="1" t="s">
        <v>11</v>
      </c>
      <c r="AH200" s="1" t="s">
        <v>12</v>
      </c>
      <c r="AI200" s="1" t="s">
        <v>13</v>
      </c>
      <c r="AJ200" s="2" t="s">
        <v>14</v>
      </c>
      <c r="AK200" s="1" t="s">
        <v>15</v>
      </c>
      <c r="AL200" s="1" t="s">
        <v>16</v>
      </c>
      <c r="AM200" s="3" t="s">
        <v>17</v>
      </c>
      <c r="AN200" s="4" t="s">
        <v>18</v>
      </c>
      <c r="AO200" s="5" t="s">
        <v>19</v>
      </c>
      <c r="AP200" s="6" t="s">
        <v>20</v>
      </c>
      <c r="AQ200" s="6" t="s">
        <v>21</v>
      </c>
      <c r="AR200" s="7" t="s">
        <v>22</v>
      </c>
      <c r="AS200" s="76"/>
      <c r="AT200" s="76"/>
    </row>
    <row r="201" spans="1:46" ht="15.75" customHeight="1" x14ac:dyDescent="0.25">
      <c r="A201" s="70"/>
      <c r="B201" s="16">
        <v>7</v>
      </c>
      <c r="C201" s="16" t="s">
        <v>24</v>
      </c>
      <c r="D201" s="17">
        <v>37</v>
      </c>
      <c r="E201" s="31">
        <f ca="1">IFERROR(__xludf.DUMMYFUNCTION("COUNT(IMPORTRANGE(""https://docs.google.com/spreadsheets/d/1E2x4oDZxEIsuC5nl-5Z0--MoN8b1dt9SbpRcCfNP84Q/edit"",""8!d2:d45""))"),37)</f>
        <v>37</v>
      </c>
      <c r="F201" s="32">
        <f ca="1">IFERROR(__xludf.DUMMYFUNCTION("SUM(IMPORTRANGE(""https://docs.google.com/spreadsheets/d/1E2x4oDZxEIsuC5nl-5Z0--MoN8b1dt9SbpRcCfNP84Q/edit"",""8!Q2:Q45""))"),6610.78399999999)</f>
        <v>6610.7839999999896</v>
      </c>
      <c r="G201" s="31">
        <f ca="1">IFERROR(__xludf.DUMMYFUNCTION("IMPORTRANGE(""https://docs.google.com/spreadsheets/d/1E2x4oDZxEIsuC5nl-5Z0--MoN8b1dt9SbpRcCfNP84Q/edit"",""8!e53"")"),763)</f>
        <v>763</v>
      </c>
      <c r="H201" s="31">
        <f ca="1">IFERROR(__xludf.DUMMYFUNCTION("IMPORTRANGE(""https://docs.google.com/spreadsheets/d/1E2x4oDZxEIsuC5nl-5Z0--MoN8b1dt9SbpRcCfNP84Q/edit"",""8!e54"")"),25)</f>
        <v>25</v>
      </c>
      <c r="I201" s="31">
        <f t="shared" ca="1" si="537"/>
        <v>788</v>
      </c>
      <c r="J201" s="31">
        <f ca="1">IFERROR(__xludf.DUMMYFUNCTION("IMPORTRANGE(""https://docs.google.com/spreadsheets/d/1E2x4oDZxEIsuC5nl-5Z0--MoN8b1dt9SbpRcCfNP84Q/edit"",""8!e57"")"),1112)</f>
        <v>1112</v>
      </c>
      <c r="K201" s="31">
        <f ca="1">IFERROR(__xludf.DUMMYFUNCTION("IMPORTRANGE(""https://docs.google.com/spreadsheets/d/1E2x4oDZxEIsuC5nl-5Z0--MoN8b1dt9SbpRcCfNP84Q/edit"",""8!e58"")"),28)</f>
        <v>28</v>
      </c>
      <c r="L201" s="18">
        <f t="shared" ca="1" si="538"/>
        <v>1140</v>
      </c>
      <c r="M201" s="18">
        <f t="shared" ca="1" si="539"/>
        <v>1928</v>
      </c>
      <c r="N201" s="19">
        <f t="shared" ca="1" si="540"/>
        <v>178.66983783783755</v>
      </c>
      <c r="O201" s="16">
        <v>1580</v>
      </c>
      <c r="P201" s="33">
        <f t="shared" ca="1" si="541"/>
        <v>1.2202531645569621</v>
      </c>
      <c r="Q201" s="21">
        <v>1.5</v>
      </c>
      <c r="R201" s="20">
        <f t="shared" ca="1" si="542"/>
        <v>0.19442978825708648</v>
      </c>
      <c r="S201" s="22">
        <f t="shared" ca="1" si="543"/>
        <v>0.29164468238562974</v>
      </c>
      <c r="T201" s="21">
        <f ca="1">F201/26.805</f>
        <v>246.62503264316319</v>
      </c>
      <c r="U201" s="21">
        <f t="shared" ca="1" si="544"/>
        <v>6.6655414227881948</v>
      </c>
      <c r="V201" s="18">
        <f t="shared" ca="1" si="545"/>
        <v>52.108108108108105</v>
      </c>
      <c r="W201" s="76"/>
      <c r="X201" s="8">
        <v>1</v>
      </c>
      <c r="Y201" s="8" t="s">
        <v>28</v>
      </c>
      <c r="Z201" s="8">
        <f t="shared" ref="Z201:AI201" si="556">SUM(D196)</f>
        <v>26</v>
      </c>
      <c r="AA201" s="9">
        <f t="shared" ca="1" si="556"/>
        <v>26</v>
      </c>
      <c r="AB201" s="11">
        <f t="shared" ca="1" si="556"/>
        <v>5093.29899999999</v>
      </c>
      <c r="AC201" s="9">
        <f t="shared" ca="1" si="556"/>
        <v>1884</v>
      </c>
      <c r="AD201" s="9">
        <f t="shared" ca="1" si="556"/>
        <v>99</v>
      </c>
      <c r="AE201" s="9">
        <f t="shared" ca="1" si="556"/>
        <v>1983</v>
      </c>
      <c r="AF201" s="9">
        <f t="shared" ca="1" si="556"/>
        <v>2018</v>
      </c>
      <c r="AG201" s="9">
        <f t="shared" ca="1" si="556"/>
        <v>55</v>
      </c>
      <c r="AH201" s="9">
        <f t="shared" ca="1" si="556"/>
        <v>2073</v>
      </c>
      <c r="AI201" s="9">
        <f t="shared" ca="1" si="556"/>
        <v>4056</v>
      </c>
      <c r="AJ201" s="11">
        <f t="shared" ref="AJ201:AJ207" ca="1" si="557">AB201/AA201</f>
        <v>195.896115384615</v>
      </c>
      <c r="AK201" s="8">
        <f t="shared" ref="AK201:AK202" si="558">SUM(O196)</f>
        <v>7315</v>
      </c>
      <c r="AL201" s="12">
        <f t="shared" ref="AL201:AL207" ca="1" si="559">AI201/AK201</f>
        <v>0.5544771018455229</v>
      </c>
      <c r="AM201" s="13">
        <f t="shared" ref="AM201:AM202" si="560">SUM(Q196)</f>
        <v>1.5</v>
      </c>
      <c r="AN201" s="12">
        <f t="shared" ref="AN201:AN207" ca="1" si="561">AO201/AM201</f>
        <v>0.5308936310238227</v>
      </c>
      <c r="AO201" s="14">
        <f t="shared" ref="AO201:AO207" ca="1" si="562">AI201/AB201</f>
        <v>0.7963404465357341</v>
      </c>
      <c r="AP201" s="13">
        <f t="shared" ref="AP201:AQ201" ca="1" si="563">SUM(T196)</f>
        <v>164.84768747774834</v>
      </c>
      <c r="AQ201" s="13">
        <f t="shared" ca="1" si="563"/>
        <v>6.3402956722210897</v>
      </c>
      <c r="AR201" s="9">
        <f t="shared" ref="AR201:AR207" ca="1" si="564">AI201/AA201</f>
        <v>156</v>
      </c>
      <c r="AS201" s="76"/>
      <c r="AT201" s="76"/>
    </row>
    <row r="202" spans="1:46" ht="15.75" customHeight="1" x14ac:dyDescent="0.25">
      <c r="A202" s="70"/>
      <c r="B202" s="16">
        <v>8</v>
      </c>
      <c r="C202" s="16" t="s">
        <v>25</v>
      </c>
      <c r="D202" s="34">
        <v>27</v>
      </c>
      <c r="E202" s="18">
        <f ca="1">IFERROR(__xludf.DUMMYFUNCTION("COUNT(IMPORTRANGE(""https://docs.google.com/spreadsheets/d/1KbRFOEYB0B44J_NSh1MwYQ1sLDlZXUHI-wuMLcZDn5k/edit"",""8!d2:D33""))"),26)</f>
        <v>26</v>
      </c>
      <c r="F202" s="23">
        <f ca="1">IFERROR(__xludf.DUMMYFUNCTION("SUM(IMPORTRANGE(""https://docs.google.com/spreadsheets/d/1KbRFOEYB0B44J_NSh1MwYQ1sLDlZXUHI-wuMLcZDn5k/edit"",""8!Q2:Q33""))"),4933.112)</f>
        <v>4933.1120000000001</v>
      </c>
      <c r="G202" s="18">
        <f ca="1">IFERROR(__xludf.DUMMYFUNCTION("IMPORTRANGE(""https://docs.google.com/spreadsheets/d/1KbRFOEYB0B44J_NSh1MwYQ1sLDlZXUHI-wuMLcZDn5k/edit"",""8!e40"")"),1855)</f>
        <v>1855</v>
      </c>
      <c r="H202" s="18">
        <f ca="1">IFERROR(__xludf.DUMMYFUNCTION("IMPORTRANGE(""https://docs.google.com/spreadsheets/d/1KbRFOEYB0B44J_NSh1MwYQ1sLDlZXUHI-wuMLcZDn5k/edit"",""8!e41"")"),176)</f>
        <v>176</v>
      </c>
      <c r="I202" s="18">
        <f t="shared" ca="1" si="537"/>
        <v>2031</v>
      </c>
      <c r="J202" s="18">
        <f ca="1">IFERROR(__xludf.DUMMYFUNCTION("IMPORTRANGE(""https://docs.google.com/spreadsheets/d/1KbRFOEYB0B44J_NSh1MwYQ1sLDlZXUHI-wuMLcZDn5k/edit"",""8!e44"")"),2479)</f>
        <v>2479</v>
      </c>
      <c r="K202" s="18">
        <f ca="1">IFERROR(__xludf.DUMMYFUNCTION("IMPORTRANGE(""https://docs.google.com/spreadsheets/d/1KbRFOEYB0B44J_NSh1MwYQ1sLDlZXUHI-wuMLcZDn5k/edit"",""8!e45"")"),312)</f>
        <v>312</v>
      </c>
      <c r="L202" s="18">
        <f ca="1">J202+K202</f>
        <v>2791</v>
      </c>
      <c r="M202" s="18">
        <f t="shared" ca="1" si="539"/>
        <v>4822</v>
      </c>
      <c r="N202" s="19">
        <f t="shared" ca="1" si="540"/>
        <v>189.73507692307692</v>
      </c>
      <c r="O202" s="16">
        <v>6622</v>
      </c>
      <c r="P202" s="20">
        <f t="shared" ca="1" si="541"/>
        <v>0.72817879794623985</v>
      </c>
      <c r="Q202" s="21">
        <v>1.5</v>
      </c>
      <c r="R202" s="20">
        <f t="shared" ca="1" si="542"/>
        <v>0.6516508578492981</v>
      </c>
      <c r="S202" s="22">
        <f t="shared" ca="1" si="543"/>
        <v>0.97747628677394716</v>
      </c>
      <c r="T202" s="21">
        <f ca="1">F202/23.84</f>
        <v>206.92583892617449</v>
      </c>
      <c r="U202" s="21">
        <f t="shared" ca="1" si="544"/>
        <v>7.9586861125451724</v>
      </c>
      <c r="V202" s="18">
        <f t="shared" ca="1" si="545"/>
        <v>185.46153846153845</v>
      </c>
      <c r="W202" s="76"/>
      <c r="X202" s="8">
        <v>2</v>
      </c>
      <c r="Y202" s="8" t="s">
        <v>30</v>
      </c>
      <c r="Z202" s="8">
        <f t="shared" ref="Z202:AI202" si="565">SUM(D197)</f>
        <v>48</v>
      </c>
      <c r="AA202" s="9">
        <f t="shared" ca="1" si="565"/>
        <v>46</v>
      </c>
      <c r="AB202" s="10">
        <f t="shared" ca="1" si="565"/>
        <v>8999.3119999999908</v>
      </c>
      <c r="AC202" s="9">
        <f t="shared" ca="1" si="565"/>
        <v>2576</v>
      </c>
      <c r="AD202" s="9">
        <f t="shared" ca="1" si="565"/>
        <v>0</v>
      </c>
      <c r="AE202" s="9">
        <f t="shared" ca="1" si="565"/>
        <v>2576</v>
      </c>
      <c r="AF202" s="9">
        <f t="shared" ca="1" si="565"/>
        <v>4500</v>
      </c>
      <c r="AG202" s="9">
        <f t="shared" ca="1" si="565"/>
        <v>36</v>
      </c>
      <c r="AH202" s="9">
        <f t="shared" ca="1" si="565"/>
        <v>4536</v>
      </c>
      <c r="AI202" s="9">
        <f t="shared" ca="1" si="565"/>
        <v>7112</v>
      </c>
      <c r="AJ202" s="11">
        <f t="shared" ca="1" si="557"/>
        <v>195.63721739130415</v>
      </c>
      <c r="AK202" s="8">
        <f t="shared" si="558"/>
        <v>11164</v>
      </c>
      <c r="AL202" s="12">
        <f t="shared" ca="1" si="559"/>
        <v>0.6370476531709065</v>
      </c>
      <c r="AM202" s="13">
        <f t="shared" si="560"/>
        <v>1.5</v>
      </c>
      <c r="AN202" s="12">
        <f t="shared" ca="1" si="561"/>
        <v>0.52685508995947006</v>
      </c>
      <c r="AO202" s="14">
        <f t="shared" ca="1" si="562"/>
        <v>0.79028263493920503</v>
      </c>
      <c r="AP202" s="13">
        <f t="shared" ref="AP202:AQ202" ca="1" si="566">SUM(T197)</f>
        <v>303.99999999999966</v>
      </c>
      <c r="AQ202" s="13">
        <f t="shared" ca="1" si="566"/>
        <v>6.608695652173906</v>
      </c>
      <c r="AR202" s="9">
        <f t="shared" ca="1" si="564"/>
        <v>154.60869565217391</v>
      </c>
      <c r="AS202" s="76"/>
      <c r="AT202" s="76"/>
    </row>
    <row r="203" spans="1:46" ht="15.75" customHeight="1" x14ac:dyDescent="0.25">
      <c r="A203" s="70"/>
      <c r="B203" s="16">
        <v>9</v>
      </c>
      <c r="C203" s="16" t="s">
        <v>36</v>
      </c>
      <c r="D203" s="34">
        <v>23</v>
      </c>
      <c r="E203" s="18">
        <f ca="1">IFERROR(__xludf.DUMMYFUNCTION("COUNT(IMPORTRANGE(""https://docs.google.com/spreadsheets/d/1VqqqRGfmmkT0JC4ILJva2p8P11jjV0FX-TSKAaqOigw/edit"",""8!d2:d31""))"),23)</f>
        <v>23</v>
      </c>
      <c r="F203" s="23">
        <f ca="1">IFERROR(__xludf.DUMMYFUNCTION("SUM(IMPORTRANGE(""https://docs.google.com/spreadsheets/d/1VqqqRGfmmkT0JC4ILJva2p8P11jjV0FX-TSKAaqOigw/edit"",""8!Q2:Q31""))"),4520.71)</f>
        <v>4520.71</v>
      </c>
      <c r="G203" s="18">
        <f ca="1">IFERROR(__xludf.DUMMYFUNCTION("IMPORTRANGE(""https://docs.google.com/spreadsheets/d/1VqqqRGfmmkT0JC4ILJva2p8P11jjV0FX-TSKAaqOigw/edit"",""8!e38"")"),1031)</f>
        <v>1031</v>
      </c>
      <c r="H203" s="18">
        <f ca="1">IFERROR(__xludf.DUMMYFUNCTION("IMPORTRANGE(""https://docs.google.com/spreadsheets/d/1VqqqRGfmmkT0JC4ILJva2p8P11jjV0FX-TSKAaqOigw/edit"",""8!e39"")"),56)</f>
        <v>56</v>
      </c>
      <c r="I203" s="18">
        <f t="shared" ca="1" si="537"/>
        <v>1087</v>
      </c>
      <c r="J203" s="18">
        <f ca="1">IFERROR(__xludf.DUMMYFUNCTION("IMPORTRANGE(""https://docs.google.com/spreadsheets/d/1VqqqRGfmmkT0JC4ILJva2p8P11jjV0FX-TSKAaqOigw/edit"",""8!e42"")"),1507)</f>
        <v>1507</v>
      </c>
      <c r="K203" s="18">
        <f ca="1">IFERROR(__xludf.DUMMYFUNCTION("IMPORTRANGE(""https://docs.google.com/spreadsheets/d/1VqqqRGfmmkT0JC4ILJva2p8P11jjV0FX-TSKAaqOigw/edit"",""8!e43"")"),55)</f>
        <v>55</v>
      </c>
      <c r="L203" s="18">
        <f t="shared" ref="L203:L212" ca="1" si="567">SUM(J203:K203)</f>
        <v>1562</v>
      </c>
      <c r="M203" s="18">
        <f t="shared" ca="1" si="539"/>
        <v>2649</v>
      </c>
      <c r="N203" s="19">
        <f t="shared" ca="1" si="540"/>
        <v>196.55260869565217</v>
      </c>
      <c r="O203" s="16">
        <v>4796</v>
      </c>
      <c r="P203" s="20">
        <f t="shared" ca="1" si="541"/>
        <v>0.55233527939949956</v>
      </c>
      <c r="Q203" s="21">
        <v>1.5</v>
      </c>
      <c r="R203" s="20">
        <f t="shared" ca="1" si="542"/>
        <v>0.39064660197181417</v>
      </c>
      <c r="S203" s="22">
        <f t="shared" ca="1" si="543"/>
        <v>0.58596990295772122</v>
      </c>
      <c r="T203" s="21">
        <f ca="1">F203/37.414</f>
        <v>120.82936868551879</v>
      </c>
      <c r="U203" s="21">
        <f t="shared" ca="1" si="544"/>
        <v>5.2534508124138606</v>
      </c>
      <c r="V203" s="18">
        <f t="shared" ca="1" si="545"/>
        <v>115.17391304347827</v>
      </c>
      <c r="W203" s="76"/>
      <c r="X203" s="8">
        <v>3</v>
      </c>
      <c r="Y203" s="8" t="s">
        <v>34</v>
      </c>
      <c r="Z203" s="8">
        <f t="shared" ref="Z203:AI203" si="568">SUM(D199)</f>
        <v>32</v>
      </c>
      <c r="AA203" s="9">
        <f t="shared" ca="1" si="568"/>
        <v>31</v>
      </c>
      <c r="AB203" s="10">
        <f t="shared" ca="1" si="568"/>
        <v>6136.4219999999996</v>
      </c>
      <c r="AC203" s="9">
        <f t="shared" ca="1" si="568"/>
        <v>1953</v>
      </c>
      <c r="AD203" s="9">
        <f t="shared" ca="1" si="568"/>
        <v>0</v>
      </c>
      <c r="AE203" s="9">
        <f t="shared" ca="1" si="568"/>
        <v>1953</v>
      </c>
      <c r="AF203" s="9">
        <f t="shared" ca="1" si="568"/>
        <v>2730</v>
      </c>
      <c r="AG203" s="9">
        <f t="shared" ca="1" si="568"/>
        <v>0</v>
      </c>
      <c r="AH203" s="9">
        <f t="shared" ca="1" si="568"/>
        <v>2730</v>
      </c>
      <c r="AI203" s="9">
        <f t="shared" ca="1" si="568"/>
        <v>4683</v>
      </c>
      <c r="AJ203" s="11">
        <f t="shared" ca="1" si="557"/>
        <v>197.94909677419352</v>
      </c>
      <c r="AK203" s="8">
        <f>SUM(O199)</f>
        <v>9354</v>
      </c>
      <c r="AL203" s="12">
        <f t="shared" ca="1" si="559"/>
        <v>0.5006414368184734</v>
      </c>
      <c r="AM203" s="13">
        <f>SUM(Q199)</f>
        <v>1.5</v>
      </c>
      <c r="AN203" s="12">
        <f t="shared" ca="1" si="561"/>
        <v>0.50876553144487136</v>
      </c>
      <c r="AO203" s="14">
        <f t="shared" ca="1" si="562"/>
        <v>0.76314829716730703</v>
      </c>
      <c r="AP203" s="13">
        <f t="shared" ref="AP203:AQ203" ca="1" si="569">SUM(T199)</f>
        <v>199.79884739361179</v>
      </c>
      <c r="AQ203" s="13">
        <f t="shared" ca="1" si="569"/>
        <v>6.4451241094713483</v>
      </c>
      <c r="AR203" s="9">
        <f t="shared" ca="1" si="564"/>
        <v>151.06451612903226</v>
      </c>
      <c r="AS203" s="76"/>
      <c r="AT203" s="76"/>
    </row>
    <row r="204" spans="1:46" ht="15.75" customHeight="1" x14ac:dyDescent="0.25">
      <c r="A204" s="70"/>
      <c r="B204" s="16">
        <v>10</v>
      </c>
      <c r="C204" s="16" t="s">
        <v>37</v>
      </c>
      <c r="D204" s="17">
        <v>24</v>
      </c>
      <c r="E204" s="18">
        <f ca="1">IFERROR(__xludf.DUMMYFUNCTION("COUNT(IMPORTRANGE(""https://docs.google.com/spreadsheets/d/1IYeRjQd_D6MRqoBKNaky3aSEUloYCJc5XDnPAbdyetk/edit"",""8!d2:d31""))"),23)</f>
        <v>23</v>
      </c>
      <c r="F204" s="23">
        <f ca="1">IFERROR(__xludf.DUMMYFUNCTION("SUM(IMPORTRANGE(""https://docs.google.com/spreadsheets/d/1IYeRjQd_D6MRqoBKNaky3aSEUloYCJc5XDnPAbdyetk/edit"",""8!Q2:Q31""))"),4583.898)</f>
        <v>4583.8980000000001</v>
      </c>
      <c r="G204" s="18">
        <f ca="1">IFERROR(__xludf.DUMMYFUNCTION("(IMPORTRANGE(""https://docs.google.com/spreadsheets/d/1IYeRjQd_D6MRqoBKNaky3aSEUloYCJc5XDnPAbdyetk/edit"",""8!e38""))"),1578)</f>
        <v>1578</v>
      </c>
      <c r="H204" s="18">
        <f ca="1">IFERROR(__xludf.DUMMYFUNCTION("(IMPORTRANGE(""https://docs.google.com/spreadsheets/d/1IYeRjQd_D6MRqoBKNaky3aSEUloYCJc5XDnPAbdyetk/edit"",""8!e39""))"),0)</f>
        <v>0</v>
      </c>
      <c r="I204" s="18">
        <f t="shared" ca="1" si="537"/>
        <v>1578</v>
      </c>
      <c r="J204" s="18">
        <f ca="1">IFERROR(__xludf.DUMMYFUNCTION("(IMPORTRANGE(""https://docs.google.com/spreadsheets/d/1IYeRjQd_D6MRqoBKNaky3aSEUloYCJc5XDnPAbdyetk/edit"",""8!e42""))"),2312)</f>
        <v>2312</v>
      </c>
      <c r="K204" s="18">
        <f ca="1">IFERROR(__xludf.DUMMYFUNCTION("(IMPORTRANGE(""https://docs.google.com/spreadsheets/d/1IYeRjQd_D6MRqoBKNaky3aSEUloYCJc5XDnPAbdyetk/edit"",""8!e43""))"),83)</f>
        <v>83</v>
      </c>
      <c r="L204" s="18">
        <f t="shared" ca="1" si="567"/>
        <v>2395</v>
      </c>
      <c r="M204" s="18">
        <f t="shared" ca="1" si="539"/>
        <v>3973</v>
      </c>
      <c r="N204" s="19">
        <f t="shared" ca="1" si="540"/>
        <v>199.29991304347826</v>
      </c>
      <c r="O204" s="16">
        <v>5887</v>
      </c>
      <c r="P204" s="20">
        <f t="shared" ca="1" si="541"/>
        <v>0.67487684729064035</v>
      </c>
      <c r="Q204" s="21">
        <v>1.5</v>
      </c>
      <c r="R204" s="20">
        <f t="shared" ca="1" si="542"/>
        <v>0.57781972170119544</v>
      </c>
      <c r="S204" s="22">
        <f t="shared" ca="1" si="543"/>
        <v>0.86672958255179322</v>
      </c>
      <c r="T204" s="21">
        <f ca="1">F204/24.792</f>
        <v>184.89424007744432</v>
      </c>
      <c r="U204" s="21">
        <f t="shared" ca="1" si="544"/>
        <v>8.0388800033671437</v>
      </c>
      <c r="V204" s="18">
        <f t="shared" ca="1" si="545"/>
        <v>172.7391304347826</v>
      </c>
      <c r="W204" s="76"/>
      <c r="X204" s="8">
        <v>4</v>
      </c>
      <c r="Y204" s="8" t="s">
        <v>38</v>
      </c>
      <c r="Z204" s="8">
        <f t="shared" ref="Z204:AI204" si="570">SUM(D207)</f>
        <v>24</v>
      </c>
      <c r="AA204" s="9">
        <f t="shared" ca="1" si="570"/>
        <v>24</v>
      </c>
      <c r="AB204" s="10">
        <f t="shared" ca="1" si="570"/>
        <v>4551.6059999999998</v>
      </c>
      <c r="AC204" s="9">
        <f t="shared" ca="1" si="570"/>
        <v>1531</v>
      </c>
      <c r="AD204" s="9">
        <f t="shared" ca="1" si="570"/>
        <v>0</v>
      </c>
      <c r="AE204" s="9">
        <f t="shared" ca="1" si="570"/>
        <v>1531</v>
      </c>
      <c r="AF204" s="9">
        <f t="shared" ca="1" si="570"/>
        <v>2241</v>
      </c>
      <c r="AG204" s="9">
        <f t="shared" ca="1" si="570"/>
        <v>109</v>
      </c>
      <c r="AH204" s="9">
        <f t="shared" ca="1" si="570"/>
        <v>2350</v>
      </c>
      <c r="AI204" s="9">
        <f t="shared" ca="1" si="570"/>
        <v>3881</v>
      </c>
      <c r="AJ204" s="11">
        <f t="shared" ca="1" si="557"/>
        <v>189.65025</v>
      </c>
      <c r="AK204" s="8">
        <v>7324</v>
      </c>
      <c r="AL204" s="12">
        <f t="shared" ca="1" si="559"/>
        <v>0.52990169306389956</v>
      </c>
      <c r="AM204" s="13">
        <f>SUM(Q207)</f>
        <v>1.5</v>
      </c>
      <c r="AN204" s="12">
        <f t="shared" ca="1" si="561"/>
        <v>0.56844404663613968</v>
      </c>
      <c r="AO204" s="14">
        <f t="shared" ca="1" si="562"/>
        <v>0.85266606995420957</v>
      </c>
      <c r="AP204" s="13">
        <f t="shared" ref="AP204:AQ204" ca="1" si="571">SUM(T207)</f>
        <v>110.46246814706953</v>
      </c>
      <c r="AQ204" s="13">
        <f t="shared" ca="1" si="571"/>
        <v>4.6026028394612304</v>
      </c>
      <c r="AR204" s="9">
        <f t="shared" ca="1" si="564"/>
        <v>161.70833333333334</v>
      </c>
      <c r="AS204" s="76"/>
      <c r="AT204" s="76"/>
    </row>
    <row r="205" spans="1:46" ht="15.75" customHeight="1" x14ac:dyDescent="0.25">
      <c r="A205" s="70"/>
      <c r="B205" s="16">
        <v>12</v>
      </c>
      <c r="C205" s="16" t="s">
        <v>39</v>
      </c>
      <c r="D205" s="17">
        <v>22</v>
      </c>
      <c r="E205" s="18">
        <f ca="1">IFERROR(__xludf.DUMMYFUNCTION("COUNT(IMPORTRANGE(""https://docs.google.com/spreadsheets/d/1TAY2D35yAzyl8a_p5CuZehQvmatfj0b0Q8ICl8GtJBY/edit"",""8!d2:d29""))"),22)</f>
        <v>22</v>
      </c>
      <c r="F205" s="23">
        <f ca="1">IFERROR(__xludf.DUMMYFUNCTION("SUM(IMPORTRANGE(""https://docs.google.com/spreadsheets/d/1TAY2D35yAzyl8a_p5CuZehQvmatfj0b0Q8ICl8GtJBY/edit"",""8!Q2:Q29""))"),4340.983)</f>
        <v>4340.9830000000002</v>
      </c>
      <c r="G205" s="18">
        <f ca="1">IFERROR(__xludf.DUMMYFUNCTION("IMPORTRANGE(""https://docs.google.com/spreadsheets/d/1TAY2D35yAzyl8a_p5CuZehQvmatfj0b0Q8ICl8GtJBY/edit"",""8!e36"")"),1015)</f>
        <v>1015</v>
      </c>
      <c r="H205" s="18">
        <f ca="1">IFERROR(__xludf.DUMMYFUNCTION("(IMPORTRANGE(""https://docs.google.com/spreadsheets/d/1TAY2D35yAzyl8a_p5CuZehQvmatfj0b0Q8ICl8GtJBY/edit"",""8!e37""))"),0)</f>
        <v>0</v>
      </c>
      <c r="I205" s="18">
        <f t="shared" ca="1" si="537"/>
        <v>1015</v>
      </c>
      <c r="J205" s="18">
        <f ca="1">IFERROR(__xludf.DUMMYFUNCTION("IMPORTRANGE(""https://docs.google.com/spreadsheets/d/1TAY2D35yAzyl8a_p5CuZehQvmatfj0b0Q8ICl8GtJBY/edit"",""8!e40"")"),1811)</f>
        <v>1811</v>
      </c>
      <c r="K205" s="18">
        <f ca="1">IFERROR(__xludf.DUMMYFUNCTION("IMPORTRANGE(""https://docs.google.com/spreadsheets/d/1TAY2D35yAzyl8a_p5CuZehQvmatfj0b0Q8ICl8GtJBY/edit"",""8!e41"")"),0)</f>
        <v>0</v>
      </c>
      <c r="L205" s="18">
        <f t="shared" ca="1" si="567"/>
        <v>1811</v>
      </c>
      <c r="M205" s="18">
        <f t="shared" ca="1" si="539"/>
        <v>2826</v>
      </c>
      <c r="N205" s="19">
        <f t="shared" ca="1" si="540"/>
        <v>197.31740909090911</v>
      </c>
      <c r="O205" s="16">
        <v>3569</v>
      </c>
      <c r="P205" s="20">
        <f t="shared" ca="1" si="541"/>
        <v>0.79181843653684503</v>
      </c>
      <c r="Q205" s="21">
        <v>1.5</v>
      </c>
      <c r="R205" s="20">
        <f t="shared" ca="1" si="542"/>
        <v>0.43400308179046082</v>
      </c>
      <c r="S205" s="22">
        <f t="shared" ca="1" si="543"/>
        <v>0.65100462268569126</v>
      </c>
      <c r="T205" s="21">
        <f ca="1">F205/21.463</f>
        <v>202.25425150258584</v>
      </c>
      <c r="U205" s="21">
        <f t="shared" ca="1" si="544"/>
        <v>9.1933750682993569</v>
      </c>
      <c r="V205" s="18">
        <f t="shared" ca="1" si="545"/>
        <v>128.45454545454547</v>
      </c>
      <c r="W205" s="76"/>
      <c r="X205" s="8">
        <v>5</v>
      </c>
      <c r="Y205" s="8" t="s">
        <v>40</v>
      </c>
      <c r="Z205" s="8">
        <f t="shared" ref="Z205:AI205" si="572">SUM(D209)</f>
        <v>24</v>
      </c>
      <c r="AA205" s="9">
        <f t="shared" ca="1" si="572"/>
        <v>23</v>
      </c>
      <c r="AB205" s="10">
        <f t="shared" ca="1" si="572"/>
        <v>4550.88</v>
      </c>
      <c r="AC205" s="9">
        <f t="shared" ca="1" si="572"/>
        <v>2501</v>
      </c>
      <c r="AD205" s="9">
        <f t="shared" ca="1" si="572"/>
        <v>0</v>
      </c>
      <c r="AE205" s="9">
        <f t="shared" ca="1" si="572"/>
        <v>2501</v>
      </c>
      <c r="AF205" s="9">
        <f t="shared" ca="1" si="572"/>
        <v>3311</v>
      </c>
      <c r="AG205" s="9">
        <f t="shared" ca="1" si="572"/>
        <v>0</v>
      </c>
      <c r="AH205" s="9">
        <f t="shared" ca="1" si="572"/>
        <v>3311</v>
      </c>
      <c r="AI205" s="9">
        <f t="shared" ca="1" si="572"/>
        <v>5812</v>
      </c>
      <c r="AJ205" s="11">
        <f t="shared" ca="1" si="557"/>
        <v>197.86434782608697</v>
      </c>
      <c r="AK205" s="8">
        <f t="shared" ref="AK205:AK206" si="573">SUM(O209)</f>
        <v>8239</v>
      </c>
      <c r="AL205" s="12">
        <f t="shared" ca="1" si="559"/>
        <v>0.70542541570578954</v>
      </c>
      <c r="AM205" s="13">
        <f t="shared" ref="AM205:AM206" si="574">SUM(Q209)</f>
        <v>1.5</v>
      </c>
      <c r="AN205" s="12">
        <f t="shared" ca="1" si="561"/>
        <v>0.85141042318555238</v>
      </c>
      <c r="AO205" s="14">
        <f t="shared" ca="1" si="562"/>
        <v>1.2771156347783286</v>
      </c>
      <c r="AP205" s="13">
        <f t="shared" ref="AP205:AQ205" ca="1" si="575">SUM(T209)</f>
        <v>160</v>
      </c>
      <c r="AQ205" s="13">
        <f t="shared" ca="1" si="575"/>
        <v>6.9565217391304346</v>
      </c>
      <c r="AR205" s="9">
        <f t="shared" ca="1" si="564"/>
        <v>252.69565217391303</v>
      </c>
      <c r="AS205" s="76"/>
      <c r="AT205" s="76"/>
    </row>
    <row r="206" spans="1:46" ht="15.75" customHeight="1" x14ac:dyDescent="0.25">
      <c r="A206" s="70"/>
      <c r="B206" s="16">
        <v>12</v>
      </c>
      <c r="C206" s="16" t="s">
        <v>41</v>
      </c>
      <c r="D206" s="17">
        <v>20</v>
      </c>
      <c r="E206" s="18">
        <f ca="1">IFERROR(__xludf.DUMMYFUNCTION("COUNT(IMPORTRANGE(""https://docs.google.com/spreadsheets/d/1VAsUtLQHi7oV9NsI9EIHPnO1bcPJHeRgSbMoxSvPBME/edit"",""8!d2:d25""))"),20)</f>
        <v>20</v>
      </c>
      <c r="F206" s="23">
        <f ca="1">IFERROR(__xludf.DUMMYFUNCTION("SUM(IMPORTRANGE(""https://docs.google.com/spreadsheets/d/1VAsUtLQHi7oV9NsI9EIHPnO1bcPJHeRgSbMoxSvPBME/edit"",""8!Q2:Q25""))"),4006.364)</f>
        <v>4006.364</v>
      </c>
      <c r="G206" s="18">
        <f ca="1">IFERROR(__xludf.DUMMYFUNCTION("IMPORTRANGE(""https://docs.google.com/spreadsheets/d/1VAsUtLQHi7oV9NsI9EIHPnO1bcPJHeRgSbMoxSvPBME/edit"",""8!e32"")"),1013)</f>
        <v>1013</v>
      </c>
      <c r="H206" s="18">
        <f ca="1">IFERROR(__xludf.DUMMYFUNCTION("IMPORTRANGE(""https://docs.google.com/spreadsheets/d/1VAsUtLQHi7oV9NsI9EIHPnO1bcPJHeRgSbMoxSvPBME/edit"",""8!e33"")"),0)</f>
        <v>0</v>
      </c>
      <c r="I206" s="18">
        <f t="shared" ca="1" si="537"/>
        <v>1013</v>
      </c>
      <c r="J206" s="18">
        <f ca="1">IFERROR(__xludf.DUMMYFUNCTION("IMPORTRANGE(""https://docs.google.com/spreadsheets/d/1VAsUtLQHi7oV9NsI9EIHPnO1bcPJHeRgSbMoxSvPBME/edit"",""8!e36"")"),1399)</f>
        <v>1399</v>
      </c>
      <c r="K206" s="18">
        <f ca="1">IFERROR(__xludf.DUMMYFUNCTION("IMPORTRANGE(""https://docs.google.com/spreadsheets/d/1VAsUtLQHi7oV9NsI9EIHPnO1bcPJHeRgSbMoxSvPBME/edit"",""8!e37"")"),0)</f>
        <v>0</v>
      </c>
      <c r="L206" s="18">
        <f t="shared" ca="1" si="567"/>
        <v>1399</v>
      </c>
      <c r="M206" s="18">
        <f t="shared" ca="1" si="539"/>
        <v>2412</v>
      </c>
      <c r="N206" s="19">
        <f t="shared" ca="1" si="540"/>
        <v>200.31819999999999</v>
      </c>
      <c r="O206" s="16">
        <v>3801</v>
      </c>
      <c r="P206" s="20">
        <f t="shared" ca="1" si="541"/>
        <v>0.63456985003946331</v>
      </c>
      <c r="Q206" s="21">
        <v>1.5</v>
      </c>
      <c r="R206" s="20">
        <f t="shared" ca="1" si="542"/>
        <v>0.40136143395857188</v>
      </c>
      <c r="S206" s="22">
        <f t="shared" ca="1" si="543"/>
        <v>0.60204215093785785</v>
      </c>
      <c r="T206" s="21">
        <f ca="1">F206/29.628</f>
        <v>135.22222222222223</v>
      </c>
      <c r="U206" s="21">
        <f t="shared" ca="1" si="544"/>
        <v>6.7611111111111111</v>
      </c>
      <c r="V206" s="18">
        <f t="shared" ca="1" si="545"/>
        <v>120.6</v>
      </c>
      <c r="W206" s="76"/>
      <c r="X206" s="8">
        <v>6</v>
      </c>
      <c r="Y206" s="8" t="s">
        <v>42</v>
      </c>
      <c r="Z206" s="8">
        <f t="shared" ref="Z206:AI206" si="576">SUM(D210)</f>
        <v>26</v>
      </c>
      <c r="AA206" s="9">
        <f t="shared" ca="1" si="576"/>
        <v>25</v>
      </c>
      <c r="AB206" s="10">
        <f t="shared" ca="1" si="576"/>
        <v>4890.9849999999897</v>
      </c>
      <c r="AC206" s="9">
        <f t="shared" ca="1" si="576"/>
        <v>2317</v>
      </c>
      <c r="AD206" s="9">
        <f t="shared" ca="1" si="576"/>
        <v>0</v>
      </c>
      <c r="AE206" s="9">
        <f t="shared" ca="1" si="576"/>
        <v>2317</v>
      </c>
      <c r="AF206" s="9">
        <f t="shared" ca="1" si="576"/>
        <v>3533</v>
      </c>
      <c r="AG206" s="9">
        <f t="shared" ca="1" si="576"/>
        <v>0</v>
      </c>
      <c r="AH206" s="9">
        <f t="shared" ca="1" si="576"/>
        <v>3533</v>
      </c>
      <c r="AI206" s="9">
        <f t="shared" ca="1" si="576"/>
        <v>5850</v>
      </c>
      <c r="AJ206" s="11">
        <f t="shared" ca="1" si="557"/>
        <v>195.6393999999996</v>
      </c>
      <c r="AK206" s="8">
        <f t="shared" si="573"/>
        <v>9877</v>
      </c>
      <c r="AL206" s="12">
        <f t="shared" ca="1" si="559"/>
        <v>0.59228510681380986</v>
      </c>
      <c r="AM206" s="13">
        <f t="shared" si="574"/>
        <v>1.5</v>
      </c>
      <c r="AN206" s="12">
        <f t="shared" ca="1" si="561"/>
        <v>0.79738539373970851</v>
      </c>
      <c r="AO206" s="14">
        <f t="shared" ca="1" si="562"/>
        <v>1.1960780906095627</v>
      </c>
      <c r="AP206" s="13">
        <f t="shared" ref="AP206:AQ206" ca="1" si="577">SUM(T210)</f>
        <v>186.9999999999996</v>
      </c>
      <c r="AQ206" s="13">
        <f t="shared" ca="1" si="577"/>
        <v>7.4799999999999844</v>
      </c>
      <c r="AR206" s="9">
        <f t="shared" ca="1" si="564"/>
        <v>234</v>
      </c>
      <c r="AS206" s="76"/>
      <c r="AT206" s="76"/>
    </row>
    <row r="207" spans="1:46" ht="15.75" customHeight="1" x14ac:dyDescent="0.25">
      <c r="A207" s="70"/>
      <c r="B207" s="16">
        <v>13</v>
      </c>
      <c r="C207" s="16" t="s">
        <v>43</v>
      </c>
      <c r="D207" s="17">
        <v>24</v>
      </c>
      <c r="E207" s="18">
        <f ca="1">IFERROR(__xludf.DUMMYFUNCTION("COUNT(IMPORTRANGE(""https://docs.google.com/spreadsheets/d/1p9Y_DGk7-TpRBFth-ljZceOIGCjQ0ylUeUq6xqnsZ-Q/edit"",""8!d2:d31""))"),24)</f>
        <v>24</v>
      </c>
      <c r="F207" s="23">
        <f ca="1">IFERROR(__xludf.DUMMYFUNCTION("SUM(IMPORTRANGE(""https://docs.google.com/spreadsheets/d/1p9Y_DGk7-TpRBFth-ljZceOIGCjQ0ylUeUq6xqnsZ-Q/edit"",""8!Q2:Q31""))"),4551.606)</f>
        <v>4551.6059999999998</v>
      </c>
      <c r="G207" s="18">
        <f ca="1">IFERROR(__xludf.DUMMYFUNCTION("IMPORTRANGE(""https://docs.google.com/spreadsheets/d/1p9Y_DGk7-TpRBFth-ljZceOIGCjQ0ylUeUq6xqnsZ-Q/edit"",""8!e38"")"),1531)</f>
        <v>1531</v>
      </c>
      <c r="H207" s="18">
        <f ca="1">IFERROR(__xludf.DUMMYFUNCTION("IMPORTRANGE(""https://docs.google.com/spreadsheets/d/1p9Y_DGk7-TpRBFth-ljZceOIGCjQ0ylUeUq6xqnsZ-Q/edit"",""8!e39"")"),0)</f>
        <v>0</v>
      </c>
      <c r="I207" s="18">
        <f t="shared" ca="1" si="537"/>
        <v>1531</v>
      </c>
      <c r="J207" s="18">
        <f ca="1">IFERROR(__xludf.DUMMYFUNCTION("IMPORTRANGE(""https://docs.google.com/spreadsheets/d/1p9Y_DGk7-TpRBFth-ljZceOIGCjQ0ylUeUq6xqnsZ-Q/edit"",""8!e42"")"),2241)</f>
        <v>2241</v>
      </c>
      <c r="K207" s="18">
        <f ca="1">IFERROR(__xludf.DUMMYFUNCTION("IMPORTRANGE(""https://docs.google.com/spreadsheets/d/1p9Y_DGk7-TpRBFth-ljZceOIGCjQ0ylUeUq6xqnsZ-Q/edit"",""8!e43"")"),109)</f>
        <v>109</v>
      </c>
      <c r="L207" s="18">
        <f t="shared" ca="1" si="567"/>
        <v>2350</v>
      </c>
      <c r="M207" s="18">
        <f t="shared" ca="1" si="539"/>
        <v>3881</v>
      </c>
      <c r="N207" s="19">
        <f t="shared" ca="1" si="540"/>
        <v>189.65025</v>
      </c>
      <c r="O207" s="16">
        <v>8345</v>
      </c>
      <c r="P207" s="20">
        <f t="shared" ca="1" si="541"/>
        <v>0.46506890353505093</v>
      </c>
      <c r="Q207" s="21">
        <v>1.5</v>
      </c>
      <c r="R207" s="20">
        <f t="shared" ca="1" si="542"/>
        <v>0.56844404663613968</v>
      </c>
      <c r="S207" s="22">
        <f t="shared" ca="1" si="543"/>
        <v>0.85266606995420957</v>
      </c>
      <c r="T207" s="21">
        <f ca="1">F207/41.205</f>
        <v>110.46246814706953</v>
      </c>
      <c r="U207" s="21">
        <f t="shared" ca="1" si="544"/>
        <v>4.6026028394612304</v>
      </c>
      <c r="V207" s="18">
        <f t="shared" ca="1" si="545"/>
        <v>161.70833333333334</v>
      </c>
      <c r="W207" s="76"/>
      <c r="X207" s="24" t="s">
        <v>33</v>
      </c>
      <c r="Y207" s="24">
        <v>6</v>
      </c>
      <c r="Z207" s="24">
        <f t="shared" ref="Z207:AI207" si="578">SUM(Z201:Z206)</f>
        <v>180</v>
      </c>
      <c r="AA207" s="25">
        <f t="shared" ca="1" si="578"/>
        <v>175</v>
      </c>
      <c r="AB207" s="27">
        <f t="shared" ca="1" si="578"/>
        <v>34222.503999999972</v>
      </c>
      <c r="AC207" s="25">
        <f t="shared" ca="1" si="578"/>
        <v>12762</v>
      </c>
      <c r="AD207" s="25">
        <f t="shared" ca="1" si="578"/>
        <v>99</v>
      </c>
      <c r="AE207" s="25">
        <f t="shared" ca="1" si="578"/>
        <v>12861</v>
      </c>
      <c r="AF207" s="25">
        <f t="shared" ca="1" si="578"/>
        <v>18333</v>
      </c>
      <c r="AG207" s="25">
        <f t="shared" ca="1" si="578"/>
        <v>200</v>
      </c>
      <c r="AH207" s="25">
        <f t="shared" ca="1" si="578"/>
        <v>18533</v>
      </c>
      <c r="AI207" s="25">
        <f t="shared" ca="1" si="578"/>
        <v>31394</v>
      </c>
      <c r="AJ207" s="27">
        <f t="shared" ca="1" si="557"/>
        <v>195.55716571428556</v>
      </c>
      <c r="AK207" s="24">
        <f>SUM(AK201:AK206)</f>
        <v>53273</v>
      </c>
      <c r="AL207" s="28">
        <f t="shared" ca="1" si="559"/>
        <v>0.58930415032004957</v>
      </c>
      <c r="AM207" s="29">
        <v>1.5</v>
      </c>
      <c r="AN207" s="28">
        <f t="shared" ca="1" si="561"/>
        <v>0.61156639307671201</v>
      </c>
      <c r="AO207" s="30">
        <f t="shared" ca="1" si="562"/>
        <v>0.91734958961506807</v>
      </c>
      <c r="AP207" s="29">
        <f ca="1">SUM(AP201:AP206)</f>
        <v>1126.1090030184289</v>
      </c>
      <c r="AQ207" s="29">
        <f ca="1">AP207/AA207</f>
        <v>6.4349085886767368</v>
      </c>
      <c r="AR207" s="25">
        <f t="shared" ca="1" si="564"/>
        <v>179.3942857142857</v>
      </c>
      <c r="AS207" s="76"/>
      <c r="AT207" s="76"/>
    </row>
    <row r="208" spans="1:46" ht="15.75" customHeight="1" x14ac:dyDescent="0.25">
      <c r="A208" s="70"/>
      <c r="B208" s="16">
        <v>14</v>
      </c>
      <c r="C208" s="16" t="s">
        <v>27</v>
      </c>
      <c r="D208" s="17">
        <v>24</v>
      </c>
      <c r="E208" s="18">
        <f ca="1">IFERROR(__xludf.DUMMYFUNCTION("COUNT(IMPORTRANGE(""https://docs.google.com/spreadsheets/d/1zJUDEKztv_fercXA0LYNw155qdzS7TJGhWLhquaW5IY/edit"",""8!d2:d31""))"),21)</f>
        <v>21</v>
      </c>
      <c r="F208" s="23">
        <f ca="1">IFERROR(__xludf.DUMMYFUNCTION("SUM(IMPORTRANGE(""https://docs.google.com/spreadsheets/d/1zJUDEKztv_fercXA0LYNw155qdzS7TJGhWLhquaW5IY/edit"",""8!Q2:Q31""))"),4012.87799999999)</f>
        <v>4012.8779999999902</v>
      </c>
      <c r="G208" s="18">
        <f ca="1">IFERROR(__xludf.DUMMYFUNCTION("IMPORTRANGE(""https://docs.google.com/spreadsheets/d/1zJUDEKztv_fercXA0LYNw155qdzS7TJGhWLhquaW5IY/edit"",""8!e38"")"),1829)</f>
        <v>1829</v>
      </c>
      <c r="H208" s="18">
        <f ca="1">IFERROR(__xludf.DUMMYFUNCTION("IMPORTRANGE(""https://docs.google.com/spreadsheets/d/1zJUDEKztv_fercXA0LYNw155qdzS7TJGhWLhquaW5IY/edit"",""8!e39"")"),0)</f>
        <v>0</v>
      </c>
      <c r="I208" s="18">
        <f t="shared" ca="1" si="537"/>
        <v>1829</v>
      </c>
      <c r="J208" s="18">
        <f ca="1">IFERROR(__xludf.DUMMYFUNCTION("IMPORTRANGE(""https://docs.google.com/spreadsheets/d/1zJUDEKztv_fercXA0LYNw155qdzS7TJGhWLhquaW5IY/edit"",""8!e42"")"),2420)</f>
        <v>2420</v>
      </c>
      <c r="K208" s="18">
        <f ca="1">IFERROR(__xludf.DUMMYFUNCTION("IMPORTRANGE(""https://docs.google.com/spreadsheets/d/1zJUDEKztv_fercXA0LYNw155qdzS7TJGhWLhquaW5IY/edit"",""8!e43"")"),0)</f>
        <v>0</v>
      </c>
      <c r="L208" s="18">
        <f t="shared" ca="1" si="567"/>
        <v>2420</v>
      </c>
      <c r="M208" s="18">
        <f t="shared" ca="1" si="539"/>
        <v>4249</v>
      </c>
      <c r="N208" s="19">
        <f t="shared" ca="1" si="540"/>
        <v>191.0894285714281</v>
      </c>
      <c r="O208" s="16">
        <v>8101</v>
      </c>
      <c r="P208" s="20">
        <f t="shared" ca="1" si="541"/>
        <v>0.52450314775953588</v>
      </c>
      <c r="Q208" s="21">
        <v>1.5</v>
      </c>
      <c r="R208" s="20">
        <f t="shared" ca="1" si="542"/>
        <v>0.70589404080230533</v>
      </c>
      <c r="S208" s="22">
        <f t="shared" ca="1" si="543"/>
        <v>1.058841061203458</v>
      </c>
      <c r="T208" s="21">
        <f ca="1">F208/19.985</f>
        <v>200.79449587190345</v>
      </c>
      <c r="U208" s="21">
        <f t="shared" ca="1" si="544"/>
        <v>9.5616426605668305</v>
      </c>
      <c r="V208" s="18">
        <f t="shared" ca="1" si="545"/>
        <v>202.33333333333334</v>
      </c>
      <c r="W208" s="76"/>
      <c r="X208" s="97" t="s">
        <v>44</v>
      </c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9"/>
      <c r="AS208" s="76"/>
      <c r="AT208" s="76"/>
    </row>
    <row r="209" spans="1:46" ht="15.75" customHeight="1" x14ac:dyDescent="0.25">
      <c r="A209" s="70"/>
      <c r="B209" s="16">
        <v>15</v>
      </c>
      <c r="C209" s="16" t="s">
        <v>40</v>
      </c>
      <c r="D209" s="17">
        <v>24</v>
      </c>
      <c r="E209" s="18">
        <f ca="1">IFERROR(__xludf.DUMMYFUNCTION("COUNT(IMPORTRANGE(""https://docs.google.com/spreadsheets/d/15GJA66Ucb-8RQ5vWVpq5HYaWoZZFX82SCeHChBujbrI/edit"",""8!d2:d31""))"),23)</f>
        <v>23</v>
      </c>
      <c r="F209" s="23">
        <f ca="1">IFERROR(__xludf.DUMMYFUNCTION("SUM(IMPORTRANGE(""https://docs.google.com/spreadsheets/d/15GJA66Ucb-8RQ5vWVpq5HYaWoZZFX82SCeHChBujbrI/edit"",""8!Q2:Q31""))"),4550.88)</f>
        <v>4550.88</v>
      </c>
      <c r="G209" s="18">
        <f ca="1">IFERROR(__xludf.DUMMYFUNCTION("IMPORTRANGE(""https://docs.google.com/spreadsheets/d/15GJA66Ucb-8RQ5vWVpq5HYaWoZZFX82SCeHChBujbrI/edit"",""8!e38"")"),2501)</f>
        <v>2501</v>
      </c>
      <c r="H209" s="18">
        <f ca="1">IFERROR(__xludf.DUMMYFUNCTION("IMPORTRANGE(""https://docs.google.com/spreadsheets/d/15GJA66Ucb-8RQ5vWVpq5HYaWoZZFX82SCeHChBujbrI/edit"",""8!e39"")"),0)</f>
        <v>0</v>
      </c>
      <c r="I209" s="18">
        <f t="shared" ca="1" si="537"/>
        <v>2501</v>
      </c>
      <c r="J209" s="18">
        <f ca="1">IFERROR(__xludf.DUMMYFUNCTION("IMPORTRANGE(""https://docs.google.com/spreadsheets/d/15GJA66Ucb-8RQ5vWVpq5HYaWoZZFX82SCeHChBujbrI/edit"",""8!e42"")"),3311)</f>
        <v>3311</v>
      </c>
      <c r="K209" s="18">
        <f ca="1">IFERROR(__xludf.DUMMYFUNCTION("IMPORTRANGE(""https://docs.google.com/spreadsheets/d/15GJA66Ucb-8RQ5vWVpq5HYaWoZZFX82SCeHChBujbrI/edit"",""8!e43"")"),0)</f>
        <v>0</v>
      </c>
      <c r="L209" s="18">
        <f t="shared" ca="1" si="567"/>
        <v>3311</v>
      </c>
      <c r="M209" s="18">
        <f t="shared" ca="1" si="539"/>
        <v>5812</v>
      </c>
      <c r="N209" s="19">
        <f t="shared" ca="1" si="540"/>
        <v>197.86434782608697</v>
      </c>
      <c r="O209" s="16">
        <v>8239</v>
      </c>
      <c r="P209" s="20">
        <f t="shared" ca="1" si="541"/>
        <v>0.70542541570578954</v>
      </c>
      <c r="Q209" s="21">
        <v>1.5</v>
      </c>
      <c r="R209" s="20">
        <f t="shared" ca="1" si="542"/>
        <v>0.85141042318555238</v>
      </c>
      <c r="S209" s="22">
        <f t="shared" ca="1" si="543"/>
        <v>1.2771156347783286</v>
      </c>
      <c r="T209" s="21">
        <f ca="1">F209/28.443</f>
        <v>160</v>
      </c>
      <c r="U209" s="21">
        <f t="shared" ca="1" si="544"/>
        <v>6.9565217391304346</v>
      </c>
      <c r="V209" s="18">
        <f t="shared" ca="1" si="545"/>
        <v>252.69565217391303</v>
      </c>
      <c r="W209" s="76"/>
      <c r="X209" s="1" t="s">
        <v>2</v>
      </c>
      <c r="Y209" s="1" t="s">
        <v>3</v>
      </c>
      <c r="Z209" s="1" t="s">
        <v>4</v>
      </c>
      <c r="AA209" s="1" t="s">
        <v>5</v>
      </c>
      <c r="AB209" s="2" t="s">
        <v>6</v>
      </c>
      <c r="AC209" s="1" t="s">
        <v>7</v>
      </c>
      <c r="AD209" s="1" t="s">
        <v>8</v>
      </c>
      <c r="AE209" s="1" t="s">
        <v>9</v>
      </c>
      <c r="AF209" s="1" t="s">
        <v>10</v>
      </c>
      <c r="AG209" s="1" t="s">
        <v>11</v>
      </c>
      <c r="AH209" s="1" t="s">
        <v>12</v>
      </c>
      <c r="AI209" s="1" t="s">
        <v>13</v>
      </c>
      <c r="AJ209" s="2" t="s">
        <v>14</v>
      </c>
      <c r="AK209" s="1" t="s">
        <v>15</v>
      </c>
      <c r="AL209" s="1" t="s">
        <v>16</v>
      </c>
      <c r="AM209" s="3" t="s">
        <v>17</v>
      </c>
      <c r="AN209" s="4" t="s">
        <v>18</v>
      </c>
      <c r="AO209" s="5" t="s">
        <v>19</v>
      </c>
      <c r="AP209" s="6" t="s">
        <v>20</v>
      </c>
      <c r="AQ209" s="6" t="s">
        <v>21</v>
      </c>
      <c r="AR209" s="7" t="s">
        <v>22</v>
      </c>
      <c r="AS209" s="76"/>
      <c r="AT209" s="76"/>
    </row>
    <row r="210" spans="1:46" ht="15.75" customHeight="1" x14ac:dyDescent="0.25">
      <c r="A210" s="70"/>
      <c r="B210" s="16">
        <v>16</v>
      </c>
      <c r="C210" s="16" t="s">
        <v>42</v>
      </c>
      <c r="D210" s="17">
        <v>26</v>
      </c>
      <c r="E210" s="18">
        <f ca="1">IFERROR(__xludf.DUMMYFUNCTION("COUNT(IMPORTRANGE(""https://docs.google.com/spreadsheets/d/14Tu_jFPEdrIQ6DHYu6vRvJKQsbXr-48NY1tKy4-8JKI/edit"",""8!d2:d34""))"),25)</f>
        <v>25</v>
      </c>
      <c r="F210" s="23">
        <f ca="1">IFERROR(__xludf.DUMMYFUNCTION("SUM(IMPORTRANGE(""https://docs.google.com/spreadsheets/d/14Tu_jFPEdrIQ6DHYu6vRvJKQsbXr-48NY1tKy4-8JKI/edit"",""8!Q2:Q34""))"),4890.98499999999)</f>
        <v>4890.9849999999897</v>
      </c>
      <c r="G210" s="18">
        <f ca="1">IFERROR(__xludf.DUMMYFUNCTION("IMPORTRANGE(""https://docs.google.com/spreadsheets/d/14Tu_jFPEdrIQ6DHYu6vRvJKQsbXr-48NY1tKy4-8JKI/edit"",""8!e41"")"),2317)</f>
        <v>2317</v>
      </c>
      <c r="H210" s="18">
        <f ca="1">IFERROR(__xludf.DUMMYFUNCTION("IMPORTRANGE(""https://docs.google.com/spreadsheets/d/14Tu_jFPEdrIQ6DHYu6vRvJKQsbXr-48NY1tKy4-8JKI/edit"",""8!e42"")"),0)</f>
        <v>0</v>
      </c>
      <c r="I210" s="18">
        <f t="shared" ca="1" si="537"/>
        <v>2317</v>
      </c>
      <c r="J210" s="18">
        <f ca="1">IFERROR(__xludf.DUMMYFUNCTION("IMPORTRANGE(""https://docs.google.com/spreadsheets/d/14Tu_jFPEdrIQ6DHYu6vRvJKQsbXr-48NY1tKy4-8JKI/edit"",""8!e45"")"),3533)</f>
        <v>3533</v>
      </c>
      <c r="K210" s="18">
        <f ca="1">IFERROR(__xludf.DUMMYFUNCTION("IMPORTRANGE(""https://docs.google.com/spreadsheets/d/14Tu_jFPEdrIQ6DHYu6vRvJKQsbXr-48NY1tKy4-8JKI/edit"",""8!e46"")"),0)</f>
        <v>0</v>
      </c>
      <c r="L210" s="18">
        <f t="shared" ca="1" si="567"/>
        <v>3533</v>
      </c>
      <c r="M210" s="18">
        <f t="shared" ca="1" si="539"/>
        <v>5850</v>
      </c>
      <c r="N210" s="19">
        <f t="shared" ca="1" si="540"/>
        <v>195.6393999999996</v>
      </c>
      <c r="O210" s="16">
        <v>9877</v>
      </c>
      <c r="P210" s="20">
        <f t="shared" ca="1" si="541"/>
        <v>0.59228510681380986</v>
      </c>
      <c r="Q210" s="21">
        <v>1.5</v>
      </c>
      <c r="R210" s="20">
        <f t="shared" ca="1" si="542"/>
        <v>0.79738539373970851</v>
      </c>
      <c r="S210" s="22">
        <f t="shared" ca="1" si="543"/>
        <v>1.1960780906095627</v>
      </c>
      <c r="T210" s="21">
        <f ca="1">F210/26.155</f>
        <v>186.9999999999996</v>
      </c>
      <c r="U210" s="21">
        <f t="shared" ca="1" si="544"/>
        <v>7.4799999999999844</v>
      </c>
      <c r="V210" s="18">
        <f t="shared" ca="1" si="545"/>
        <v>234</v>
      </c>
      <c r="W210" s="76"/>
      <c r="X210" s="8">
        <v>1</v>
      </c>
      <c r="Y210" s="8" t="s">
        <v>26</v>
      </c>
      <c r="Z210" s="8">
        <f t="shared" ref="Z210:AI210" si="579">SUM(D195)</f>
        <v>16</v>
      </c>
      <c r="AA210" s="9">
        <f t="shared" ca="1" si="579"/>
        <v>16</v>
      </c>
      <c r="AB210" s="11">
        <f t="shared" ca="1" si="579"/>
        <v>3150.2129999999902</v>
      </c>
      <c r="AC210" s="9">
        <f t="shared" ca="1" si="579"/>
        <v>1714</v>
      </c>
      <c r="AD210" s="9">
        <f t="shared" ca="1" si="579"/>
        <v>30</v>
      </c>
      <c r="AE210" s="9">
        <f t="shared" ca="1" si="579"/>
        <v>1744</v>
      </c>
      <c r="AF210" s="9">
        <f t="shared" ca="1" si="579"/>
        <v>1923</v>
      </c>
      <c r="AG210" s="9">
        <f t="shared" ca="1" si="579"/>
        <v>110</v>
      </c>
      <c r="AH210" s="9">
        <f t="shared" ca="1" si="579"/>
        <v>2033</v>
      </c>
      <c r="AI210" s="9">
        <f t="shared" ca="1" si="579"/>
        <v>3777</v>
      </c>
      <c r="AJ210" s="11">
        <f t="shared" ref="AJ210:AJ216" ca="1" si="580">AB210/AA210</f>
        <v>196.88831249999939</v>
      </c>
      <c r="AK210" s="8">
        <f>SUM(O195)</f>
        <v>5161</v>
      </c>
      <c r="AL210" s="12">
        <f t="shared" ref="AL210:AL216" ca="1" si="581">AI210/AK210</f>
        <v>0.73183491571400894</v>
      </c>
      <c r="AM210" s="13">
        <f>SUM(Q195)</f>
        <v>1.5</v>
      </c>
      <c r="AN210" s="12">
        <f t="shared" ref="AN210:AN216" ca="1" si="582">AO210/AM210</f>
        <v>0.79931103071443355</v>
      </c>
      <c r="AO210" s="14">
        <f t="shared" ref="AO210:AO216" ca="1" si="583">AI210/AB210</f>
        <v>1.1989665460716503</v>
      </c>
      <c r="AP210" s="13">
        <f t="shared" ref="AP210:AQ210" ca="1" si="584">SUM(T195)</f>
        <v>218.53714880332919</v>
      </c>
      <c r="AQ210" s="13">
        <f t="shared" ca="1" si="584"/>
        <v>13.658571800208074</v>
      </c>
      <c r="AR210" s="9">
        <f t="shared" ref="AR210:AR216" ca="1" si="585">AI210/AA210</f>
        <v>236.0625</v>
      </c>
      <c r="AS210" s="76"/>
      <c r="AT210" s="76"/>
    </row>
    <row r="211" spans="1:46" ht="15.75" customHeight="1" x14ac:dyDescent="0.25">
      <c r="A211" s="70"/>
      <c r="B211" s="16">
        <v>17</v>
      </c>
      <c r="C211" s="16" t="s">
        <v>29</v>
      </c>
      <c r="D211" s="17">
        <v>24</v>
      </c>
      <c r="E211" s="18">
        <f ca="1">IFERROR(__xludf.DUMMYFUNCTION("COUNT(IMPORTRANGE(""https://docs.google.com/spreadsheets/d/1ja_RQYsP0p5wRrACHojay4CW1wLx0QdS5tSwp-vYQ-s/edit"",""8!d2:d31""))"),24)</f>
        <v>24</v>
      </c>
      <c r="F211" s="23">
        <f ca="1">IFERROR(__xludf.DUMMYFUNCTION("SUM(IMPORTRANGE(""https://docs.google.com/spreadsheets/d/1ja_RQYsP0p5wRrACHojay4CW1wLx0QdS5tSwp-vYQ-s/edit"",""8!Q2:Q31""))"),4738.916)</f>
        <v>4738.9160000000002</v>
      </c>
      <c r="G211" s="18">
        <f ca="1">IFERROR(__xludf.DUMMYFUNCTION("IMPORTRANGE(""https://docs.google.com/spreadsheets/d/1ja_RQYsP0p5wRrACHojay4CW1wLx0QdS5tSwp-vYQ-s/edit"",""8!e38"")"),1627)</f>
        <v>1627</v>
      </c>
      <c r="H211" s="18">
        <f ca="1">IFERROR(__xludf.DUMMYFUNCTION("IMPORTRANGE(""https://docs.google.com/spreadsheets/d/1ja_RQYsP0p5wRrACHojay4CW1wLx0QdS5tSwp-vYQ-s/edit"",""8!e39"")"),0)</f>
        <v>0</v>
      </c>
      <c r="I211" s="18">
        <f t="shared" ca="1" si="537"/>
        <v>1627</v>
      </c>
      <c r="J211" s="18">
        <f ca="1">IFERROR(__xludf.DUMMYFUNCTION("IMPORTRANGE(""https://docs.google.com/spreadsheets/d/1ja_RQYsP0p5wRrACHojay4CW1wLx0QdS5tSwp-vYQ-s/edit"",""8!e42"")"),3426)</f>
        <v>3426</v>
      </c>
      <c r="K211" s="18">
        <f ca="1">IFERROR(__xludf.DUMMYFUNCTION("IMPORTRANGE(""https://docs.google.com/spreadsheets/d/1ja_RQYsP0p5wRrACHojay4CW1wLx0QdS5tSwp-vYQ-s/edit"",""8!e43"")"),0)</f>
        <v>0</v>
      </c>
      <c r="L211" s="18">
        <f t="shared" ca="1" si="567"/>
        <v>3426</v>
      </c>
      <c r="M211" s="18">
        <f t="shared" ca="1" si="539"/>
        <v>5053</v>
      </c>
      <c r="N211" s="19">
        <f t="shared" ca="1" si="540"/>
        <v>197.45483333333334</v>
      </c>
      <c r="O211" s="16">
        <v>9201</v>
      </c>
      <c r="P211" s="20">
        <f t="shared" ca="1" si="541"/>
        <v>0.54917943701771543</v>
      </c>
      <c r="Q211" s="21">
        <v>1.5</v>
      </c>
      <c r="R211" s="20">
        <f t="shared" ca="1" si="542"/>
        <v>0.71085173627611598</v>
      </c>
      <c r="S211" s="22">
        <f t="shared" ca="1" si="543"/>
        <v>1.066277604414174</v>
      </c>
      <c r="T211" s="21">
        <f ca="1">F211/26.038</f>
        <v>182</v>
      </c>
      <c r="U211" s="21">
        <f t="shared" ca="1" si="544"/>
        <v>7.583333333333333</v>
      </c>
      <c r="V211" s="18">
        <f t="shared" ca="1" si="545"/>
        <v>210.54166666666666</v>
      </c>
      <c r="W211" s="76"/>
      <c r="X211" s="8">
        <v>2</v>
      </c>
      <c r="Y211" s="8" t="s">
        <v>32</v>
      </c>
      <c r="Z211" s="8">
        <f t="shared" ref="Z211:AI211" si="586">SUM(D198)</f>
        <v>33</v>
      </c>
      <c r="AA211" s="9">
        <f t="shared" ca="1" si="586"/>
        <v>33</v>
      </c>
      <c r="AB211" s="10">
        <f t="shared" ca="1" si="586"/>
        <v>6436.4029999999902</v>
      </c>
      <c r="AC211" s="8">
        <f t="shared" ca="1" si="586"/>
        <v>3720</v>
      </c>
      <c r="AD211" s="8">
        <f t="shared" ca="1" si="586"/>
        <v>0</v>
      </c>
      <c r="AE211" s="9">
        <f t="shared" ca="1" si="586"/>
        <v>3720</v>
      </c>
      <c r="AF211" s="8">
        <f t="shared" ca="1" si="586"/>
        <v>3841</v>
      </c>
      <c r="AG211" s="8">
        <f t="shared" ca="1" si="586"/>
        <v>0</v>
      </c>
      <c r="AH211" s="9">
        <f t="shared" ca="1" si="586"/>
        <v>3841</v>
      </c>
      <c r="AI211" s="9">
        <f t="shared" ca="1" si="586"/>
        <v>7561</v>
      </c>
      <c r="AJ211" s="11">
        <f t="shared" ca="1" si="580"/>
        <v>195.04251515151486</v>
      </c>
      <c r="AK211" s="8">
        <f>SUM(O198)</f>
        <v>13817</v>
      </c>
      <c r="AL211" s="12">
        <f t="shared" ca="1" si="581"/>
        <v>0.54722443366866902</v>
      </c>
      <c r="AM211" s="13">
        <f>SUM(Q198)</f>
        <v>1.5</v>
      </c>
      <c r="AN211" s="12">
        <f t="shared" ca="1" si="582"/>
        <v>0.78314963601046639</v>
      </c>
      <c r="AO211" s="14">
        <f t="shared" ca="1" si="583"/>
        <v>1.1747244540156996</v>
      </c>
      <c r="AP211" s="13">
        <f t="shared" ref="AP211:AQ211" ca="1" si="587">SUM(T198)</f>
        <v>256.54282753397865</v>
      </c>
      <c r="AQ211" s="13">
        <f t="shared" ca="1" si="587"/>
        <v>7.7740250767872316</v>
      </c>
      <c r="AR211" s="9">
        <f t="shared" ca="1" si="585"/>
        <v>229.12121212121212</v>
      </c>
      <c r="AS211" s="76"/>
      <c r="AT211" s="76"/>
    </row>
    <row r="212" spans="1:46" ht="15.75" customHeight="1" x14ac:dyDescent="0.25">
      <c r="A212" s="70"/>
      <c r="B212" s="16">
        <v>18</v>
      </c>
      <c r="C212" s="16" t="s">
        <v>31</v>
      </c>
      <c r="D212" s="17">
        <v>12</v>
      </c>
      <c r="E212" s="18">
        <f ca="1">IFERROR(__xludf.DUMMYFUNCTION("COUNT(IMPORTRANGE(""https://docs.google.com/spreadsheets/d/1ObnK1oSznTOmyW9Zcd2kxExl7TOnO2MNq_0giEKc_mE/edit"",""8!d2:d16""))"),11)</f>
        <v>11</v>
      </c>
      <c r="F212" s="19">
        <f ca="1">IFERROR(__xludf.DUMMYFUNCTION("SUM(IMPORTRANGE(""https://docs.google.com/spreadsheets/d/1ObnK1oSznTOmyW9Zcd2kxExl7TOnO2MNq_0giEKc_mE/edit"",""8!Q2:Q16""))"),2129.785)</f>
        <v>2129.7849999999999</v>
      </c>
      <c r="G212" s="18">
        <f ca="1">IFERROR(__xludf.DUMMYFUNCTION("IMPORTRANGE(""https://docs.google.com/spreadsheets/d/1ObnK1oSznTOmyW9Zcd2kxExl7TOnO2MNq_0giEKc_mE/edit"",""8!e23"")"),570)</f>
        <v>570</v>
      </c>
      <c r="H212" s="18">
        <f ca="1">IFERROR(__xludf.DUMMYFUNCTION("IMPORTRANGE(""https://docs.google.com/spreadsheets/d/1ObnK1oSznTOmyW9Zcd2kxExl7TOnO2MNq_0giEKc_mE/edit"",""8!e24"")"),42)</f>
        <v>42</v>
      </c>
      <c r="I212" s="18">
        <f t="shared" ca="1" si="537"/>
        <v>612</v>
      </c>
      <c r="J212" s="18">
        <f ca="1">IFERROR(__xludf.DUMMYFUNCTION("IMPORTRANGE(""https://docs.google.com/spreadsheets/d/1ObnK1oSznTOmyW9Zcd2kxExl7TOnO2MNq_0giEKc_mE/edit"",""8!e27"")"),769)</f>
        <v>769</v>
      </c>
      <c r="K212" s="18">
        <f ca="1">IFERROR(__xludf.DUMMYFUNCTION("IMPORTRANGE(""https://docs.google.com/spreadsheets/d/1ObnK1oSznTOmyW9Zcd2kxExl7TOnO2MNq_0giEKc_mE/edit"",""8!e28"")"),0)</f>
        <v>0</v>
      </c>
      <c r="L212" s="18">
        <f t="shared" ca="1" si="567"/>
        <v>769</v>
      </c>
      <c r="M212" s="18">
        <f t="shared" ca="1" si="539"/>
        <v>1381</v>
      </c>
      <c r="N212" s="19">
        <f t="shared" ca="1" si="540"/>
        <v>193.61681818181816</v>
      </c>
      <c r="O212" s="16">
        <v>2717</v>
      </c>
      <c r="P212" s="20">
        <f t="shared" ca="1" si="541"/>
        <v>0.50828119249171877</v>
      </c>
      <c r="Q212" s="21">
        <v>1.5</v>
      </c>
      <c r="R212" s="20">
        <f t="shared" ca="1" si="542"/>
        <v>0.43228150572319118</v>
      </c>
      <c r="S212" s="22">
        <f t="shared" ca="1" si="543"/>
        <v>0.64842225858478675</v>
      </c>
      <c r="T212" s="21">
        <f ca="1">F212/43.465</f>
        <v>48.999999999999993</v>
      </c>
      <c r="U212" s="21">
        <f t="shared" ca="1" si="544"/>
        <v>4.4545454545454541</v>
      </c>
      <c r="V212" s="18">
        <f t="shared" ca="1" si="545"/>
        <v>125.54545454545455</v>
      </c>
      <c r="W212" s="76"/>
      <c r="X212" s="8">
        <v>3</v>
      </c>
      <c r="Y212" s="8" t="s">
        <v>36</v>
      </c>
      <c r="Z212" s="8">
        <f t="shared" ref="Z212:AI212" si="588">SUM(D203)</f>
        <v>23</v>
      </c>
      <c r="AA212" s="9">
        <f t="shared" ca="1" si="588"/>
        <v>23</v>
      </c>
      <c r="AB212" s="10">
        <f t="shared" ca="1" si="588"/>
        <v>4520.71</v>
      </c>
      <c r="AC212" s="9">
        <f t="shared" ca="1" si="588"/>
        <v>1031</v>
      </c>
      <c r="AD212" s="9">
        <f t="shared" ca="1" si="588"/>
        <v>56</v>
      </c>
      <c r="AE212" s="9">
        <f t="shared" ca="1" si="588"/>
        <v>1087</v>
      </c>
      <c r="AF212" s="9">
        <f t="shared" ca="1" si="588"/>
        <v>1507</v>
      </c>
      <c r="AG212" s="9">
        <f t="shared" ca="1" si="588"/>
        <v>55</v>
      </c>
      <c r="AH212" s="9">
        <f t="shared" ca="1" si="588"/>
        <v>1562</v>
      </c>
      <c r="AI212" s="9">
        <f t="shared" ca="1" si="588"/>
        <v>2649</v>
      </c>
      <c r="AJ212" s="11">
        <f t="shared" ca="1" si="580"/>
        <v>196.55260869565217</v>
      </c>
      <c r="AK212" s="8">
        <f t="shared" ref="AK212:AK215" si="589">SUM(O203)</f>
        <v>4796</v>
      </c>
      <c r="AL212" s="12">
        <f t="shared" ca="1" si="581"/>
        <v>0.55233527939949956</v>
      </c>
      <c r="AM212" s="13">
        <f t="shared" ref="AM212:AM215" si="590">SUM(Q203)</f>
        <v>1.5</v>
      </c>
      <c r="AN212" s="12">
        <f t="shared" ca="1" si="582"/>
        <v>0.39064660197181417</v>
      </c>
      <c r="AO212" s="14">
        <f t="shared" ca="1" si="583"/>
        <v>0.58596990295772122</v>
      </c>
      <c r="AP212" s="13">
        <f t="shared" ref="AP212:AQ212" ca="1" si="591">SUM(T203)</f>
        <v>120.82936868551879</v>
      </c>
      <c r="AQ212" s="13">
        <f t="shared" ca="1" si="591"/>
        <v>5.2534508124138606</v>
      </c>
      <c r="AR212" s="9">
        <f t="shared" ca="1" si="585"/>
        <v>115.17391304347827</v>
      </c>
      <c r="AS212" s="76"/>
      <c r="AT212" s="76"/>
    </row>
    <row r="213" spans="1:46" ht="15.75" customHeight="1" x14ac:dyDescent="0.2">
      <c r="A213" s="70"/>
      <c r="B213" s="98" t="s">
        <v>33</v>
      </c>
      <c r="C213" s="98">
        <v>18</v>
      </c>
      <c r="D213" s="98">
        <f t="shared" ref="D213:M213" si="592">SUM(D195:D212)</f>
        <v>470</v>
      </c>
      <c r="E213" s="74">
        <f t="shared" ca="1" si="592"/>
        <v>459</v>
      </c>
      <c r="F213" s="99">
        <f t="shared" ca="1" si="592"/>
        <v>89118.689999999944</v>
      </c>
      <c r="G213" s="74">
        <f t="shared" ca="1" si="592"/>
        <v>30715</v>
      </c>
      <c r="H213" s="74">
        <f t="shared" ca="1" si="592"/>
        <v>428</v>
      </c>
      <c r="I213" s="74">
        <f t="shared" ca="1" si="592"/>
        <v>31143</v>
      </c>
      <c r="J213" s="74">
        <f t="shared" ca="1" si="592"/>
        <v>43760</v>
      </c>
      <c r="K213" s="74">
        <f t="shared" ca="1" si="592"/>
        <v>788</v>
      </c>
      <c r="L213" s="74">
        <f t="shared" ca="1" si="592"/>
        <v>44548</v>
      </c>
      <c r="M213" s="74">
        <f t="shared" ca="1" si="592"/>
        <v>75691</v>
      </c>
      <c r="N213" s="99">
        <f t="shared" ca="1" si="540"/>
        <v>194.15836601307177</v>
      </c>
      <c r="O213" s="98">
        <f>SUM(O195:O212)</f>
        <v>126399</v>
      </c>
      <c r="P213" s="69">
        <f t="shared" ca="1" si="541"/>
        <v>0.59882594007863987</v>
      </c>
      <c r="Q213" s="72">
        <v>1.5</v>
      </c>
      <c r="R213" s="69">
        <f t="shared" ca="1" si="542"/>
        <v>0.5662186760899055</v>
      </c>
      <c r="S213" s="73">
        <f t="shared" ca="1" si="543"/>
        <v>0.84932801413485826</v>
      </c>
      <c r="T213" s="72">
        <f ca="1">SUM(T195:T212)</f>
        <v>3290.7344292847488</v>
      </c>
      <c r="U213" s="72">
        <f t="shared" ca="1" si="544"/>
        <v>7.1693560550865989</v>
      </c>
      <c r="V213" s="74">
        <f t="shared" ca="1" si="545"/>
        <v>164.90413943355119</v>
      </c>
      <c r="W213" s="76"/>
      <c r="X213" s="8">
        <v>4</v>
      </c>
      <c r="Y213" s="8" t="s">
        <v>37</v>
      </c>
      <c r="Z213" s="8">
        <f t="shared" ref="Z213:AI213" si="593">SUM(D204)</f>
        <v>24</v>
      </c>
      <c r="AA213" s="9">
        <f t="shared" ca="1" si="593"/>
        <v>23</v>
      </c>
      <c r="AB213" s="10">
        <f t="shared" ca="1" si="593"/>
        <v>4583.8980000000001</v>
      </c>
      <c r="AC213" s="9">
        <f t="shared" ca="1" si="593"/>
        <v>1578</v>
      </c>
      <c r="AD213" s="9">
        <f t="shared" ca="1" si="593"/>
        <v>0</v>
      </c>
      <c r="AE213" s="9">
        <f t="shared" ca="1" si="593"/>
        <v>1578</v>
      </c>
      <c r="AF213" s="9">
        <f t="shared" ca="1" si="593"/>
        <v>2312</v>
      </c>
      <c r="AG213" s="9">
        <f t="shared" ca="1" si="593"/>
        <v>83</v>
      </c>
      <c r="AH213" s="9">
        <f t="shared" ca="1" si="593"/>
        <v>2395</v>
      </c>
      <c r="AI213" s="9">
        <f t="shared" ca="1" si="593"/>
        <v>3973</v>
      </c>
      <c r="AJ213" s="11">
        <f t="shared" ca="1" si="580"/>
        <v>199.29991304347826</v>
      </c>
      <c r="AK213" s="8">
        <f t="shared" si="589"/>
        <v>5887</v>
      </c>
      <c r="AL213" s="12">
        <f t="shared" ca="1" si="581"/>
        <v>0.67487684729064035</v>
      </c>
      <c r="AM213" s="13">
        <f t="shared" si="590"/>
        <v>1.5</v>
      </c>
      <c r="AN213" s="12">
        <f t="shared" ca="1" si="582"/>
        <v>0.57781972170119544</v>
      </c>
      <c r="AO213" s="14">
        <f t="shared" ca="1" si="583"/>
        <v>0.86672958255179322</v>
      </c>
      <c r="AP213" s="13">
        <f t="shared" ref="AP213:AQ213" ca="1" si="594">SUM(T204)</f>
        <v>184.89424007744432</v>
      </c>
      <c r="AQ213" s="13">
        <f t="shared" ca="1" si="594"/>
        <v>8.0388800033671437</v>
      </c>
      <c r="AR213" s="9">
        <f t="shared" ca="1" si="585"/>
        <v>172.7391304347826</v>
      </c>
      <c r="AS213" s="76"/>
      <c r="AT213" s="76"/>
    </row>
    <row r="214" spans="1:46" ht="15.75" customHeight="1" x14ac:dyDescent="0.2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6"/>
      <c r="X214" s="8">
        <v>5</v>
      </c>
      <c r="Y214" s="8" t="s">
        <v>39</v>
      </c>
      <c r="Z214" s="8">
        <f t="shared" ref="Z214:AI214" si="595">SUM(D205)</f>
        <v>22</v>
      </c>
      <c r="AA214" s="9">
        <f t="shared" ca="1" si="595"/>
        <v>22</v>
      </c>
      <c r="AB214" s="10">
        <f t="shared" ca="1" si="595"/>
        <v>4340.9830000000002</v>
      </c>
      <c r="AC214" s="9">
        <f t="shared" ca="1" si="595"/>
        <v>1015</v>
      </c>
      <c r="AD214" s="9">
        <f t="shared" ca="1" si="595"/>
        <v>0</v>
      </c>
      <c r="AE214" s="9">
        <f t="shared" ca="1" si="595"/>
        <v>1015</v>
      </c>
      <c r="AF214" s="9">
        <f t="shared" ca="1" si="595"/>
        <v>1811</v>
      </c>
      <c r="AG214" s="9">
        <f t="shared" ca="1" si="595"/>
        <v>0</v>
      </c>
      <c r="AH214" s="9">
        <f t="shared" ca="1" si="595"/>
        <v>1811</v>
      </c>
      <c r="AI214" s="9">
        <f t="shared" ca="1" si="595"/>
        <v>2826</v>
      </c>
      <c r="AJ214" s="11">
        <f t="shared" ca="1" si="580"/>
        <v>197.31740909090911</v>
      </c>
      <c r="AK214" s="8">
        <f t="shared" si="589"/>
        <v>3569</v>
      </c>
      <c r="AL214" s="12">
        <f t="shared" ca="1" si="581"/>
        <v>0.79181843653684503</v>
      </c>
      <c r="AM214" s="13">
        <f t="shared" si="590"/>
        <v>1.5</v>
      </c>
      <c r="AN214" s="12">
        <f t="shared" ca="1" si="582"/>
        <v>0.43400308179046082</v>
      </c>
      <c r="AO214" s="14">
        <f t="shared" ca="1" si="583"/>
        <v>0.65100462268569126</v>
      </c>
      <c r="AP214" s="13">
        <f t="shared" ref="AP214:AQ214" ca="1" si="596">SUM(T205)</f>
        <v>202.25425150258584</v>
      </c>
      <c r="AQ214" s="13">
        <f t="shared" ca="1" si="596"/>
        <v>9.1933750682993569</v>
      </c>
      <c r="AR214" s="9">
        <f t="shared" ca="1" si="585"/>
        <v>128.45454545454547</v>
      </c>
      <c r="AS214" s="76"/>
      <c r="AT214" s="76"/>
    </row>
    <row r="215" spans="1:46" ht="15.75" customHeight="1" x14ac:dyDescent="0.2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6"/>
      <c r="X215" s="8">
        <v>6</v>
      </c>
      <c r="Y215" s="8" t="s">
        <v>41</v>
      </c>
      <c r="Z215" s="8">
        <f t="shared" ref="Z215:AI215" si="597">SUM(D206)</f>
        <v>20</v>
      </c>
      <c r="AA215" s="9">
        <f t="shared" ca="1" si="597"/>
        <v>20</v>
      </c>
      <c r="AB215" s="10">
        <f t="shared" ca="1" si="597"/>
        <v>4006.364</v>
      </c>
      <c r="AC215" s="9">
        <f t="shared" ca="1" si="597"/>
        <v>1013</v>
      </c>
      <c r="AD215" s="9">
        <f t="shared" ca="1" si="597"/>
        <v>0</v>
      </c>
      <c r="AE215" s="9">
        <f t="shared" ca="1" si="597"/>
        <v>1013</v>
      </c>
      <c r="AF215" s="9">
        <f t="shared" ca="1" si="597"/>
        <v>1399</v>
      </c>
      <c r="AG215" s="9">
        <f t="shared" ca="1" si="597"/>
        <v>0</v>
      </c>
      <c r="AH215" s="9">
        <f t="shared" ca="1" si="597"/>
        <v>1399</v>
      </c>
      <c r="AI215" s="9">
        <f t="shared" ca="1" si="597"/>
        <v>2412</v>
      </c>
      <c r="AJ215" s="11">
        <f t="shared" ca="1" si="580"/>
        <v>200.31819999999999</v>
      </c>
      <c r="AK215" s="8">
        <f t="shared" si="589"/>
        <v>3801</v>
      </c>
      <c r="AL215" s="12">
        <f t="shared" ca="1" si="581"/>
        <v>0.63456985003946331</v>
      </c>
      <c r="AM215" s="13">
        <f t="shared" si="590"/>
        <v>1.5</v>
      </c>
      <c r="AN215" s="12">
        <f t="shared" ca="1" si="582"/>
        <v>0.40136143395857188</v>
      </c>
      <c r="AO215" s="14">
        <f t="shared" ca="1" si="583"/>
        <v>0.60204215093785785</v>
      </c>
      <c r="AP215" s="13">
        <f t="shared" ref="AP215:AQ215" ca="1" si="598">SUM(T206)</f>
        <v>135.22222222222223</v>
      </c>
      <c r="AQ215" s="13">
        <f t="shared" ca="1" si="598"/>
        <v>6.7611111111111111</v>
      </c>
      <c r="AR215" s="9">
        <f t="shared" ca="1" si="585"/>
        <v>120.6</v>
      </c>
      <c r="AS215" s="76"/>
      <c r="AT215" s="76"/>
    </row>
    <row r="216" spans="1:46" ht="15.75" customHeight="1" x14ac:dyDescent="0.25">
      <c r="A216" s="110" t="s">
        <v>45</v>
      </c>
      <c r="B216" s="76"/>
      <c r="C216" s="76"/>
      <c r="D216" s="75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24" t="s">
        <v>33</v>
      </c>
      <c r="Y216" s="24">
        <v>6</v>
      </c>
      <c r="Z216" s="24">
        <f t="shared" ref="Z216:AI216" si="599">SUM(Z210:Z215)</f>
        <v>138</v>
      </c>
      <c r="AA216" s="25">
        <f t="shared" ca="1" si="599"/>
        <v>137</v>
      </c>
      <c r="AB216" s="27">
        <f t="shared" ca="1" si="599"/>
        <v>27038.570999999982</v>
      </c>
      <c r="AC216" s="25">
        <f t="shared" ca="1" si="599"/>
        <v>10071</v>
      </c>
      <c r="AD216" s="25">
        <f t="shared" ca="1" si="599"/>
        <v>86</v>
      </c>
      <c r="AE216" s="25">
        <f t="shared" ca="1" si="599"/>
        <v>10157</v>
      </c>
      <c r="AF216" s="25">
        <f t="shared" ca="1" si="599"/>
        <v>12793</v>
      </c>
      <c r="AG216" s="25">
        <f t="shared" ca="1" si="599"/>
        <v>248</v>
      </c>
      <c r="AH216" s="25">
        <f t="shared" ca="1" si="599"/>
        <v>13041</v>
      </c>
      <c r="AI216" s="25">
        <f t="shared" ca="1" si="599"/>
        <v>23198</v>
      </c>
      <c r="AJ216" s="27">
        <f t="shared" ca="1" si="580"/>
        <v>197.36183211678818</v>
      </c>
      <c r="AK216" s="24">
        <f>SUM(AK210:AK215)</f>
        <v>37031</v>
      </c>
      <c r="AL216" s="28">
        <f t="shared" ca="1" si="581"/>
        <v>0.62644811104209985</v>
      </c>
      <c r="AM216" s="29">
        <v>1.5</v>
      </c>
      <c r="AN216" s="28">
        <f t="shared" ca="1" si="582"/>
        <v>0.57197302820971363</v>
      </c>
      <c r="AO216" s="30">
        <f t="shared" ca="1" si="583"/>
        <v>0.85795954231457039</v>
      </c>
      <c r="AP216" s="29">
        <f ca="1">SUM(AP210:AP215)</f>
        <v>1118.2800588250791</v>
      </c>
      <c r="AQ216" s="29">
        <f ca="1">AP216/AA216</f>
        <v>8.1626281666064173</v>
      </c>
      <c r="AR216" s="25">
        <f t="shared" ca="1" si="585"/>
        <v>169.32846715328466</v>
      </c>
      <c r="AS216" s="76"/>
      <c r="AT216" s="76"/>
    </row>
    <row r="217" spans="1:46" ht="15.75" customHeight="1" x14ac:dyDescent="0.2">
      <c r="A217" s="110" t="s">
        <v>45</v>
      </c>
      <c r="B217" s="76"/>
      <c r="C217" s="76"/>
      <c r="D217" s="75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7" t="s">
        <v>1</v>
      </c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9"/>
      <c r="AS217" s="76"/>
      <c r="AT217" s="76"/>
    </row>
    <row r="218" spans="1:46" ht="15.75" customHeight="1" x14ac:dyDescent="0.2">
      <c r="A218" s="113">
        <v>46243</v>
      </c>
      <c r="B218" s="80" t="s">
        <v>2</v>
      </c>
      <c r="C218" s="80" t="s">
        <v>3</v>
      </c>
      <c r="D218" s="80" t="s">
        <v>4</v>
      </c>
      <c r="E218" s="80" t="s">
        <v>5</v>
      </c>
      <c r="F218" s="81" t="s">
        <v>6</v>
      </c>
      <c r="G218" s="80" t="s">
        <v>7</v>
      </c>
      <c r="H218" s="80" t="s">
        <v>8</v>
      </c>
      <c r="I218" s="80" t="s">
        <v>9</v>
      </c>
      <c r="J218" s="80" t="s">
        <v>10</v>
      </c>
      <c r="K218" s="80" t="s">
        <v>11</v>
      </c>
      <c r="L218" s="80" t="s">
        <v>12</v>
      </c>
      <c r="M218" s="80" t="s">
        <v>13</v>
      </c>
      <c r="N218" s="81" t="s">
        <v>14</v>
      </c>
      <c r="O218" s="80" t="s">
        <v>15</v>
      </c>
      <c r="P218" s="80" t="s">
        <v>16</v>
      </c>
      <c r="Q218" s="80" t="s">
        <v>17</v>
      </c>
      <c r="R218" s="80" t="s">
        <v>18</v>
      </c>
      <c r="S218" s="106" t="s">
        <v>19</v>
      </c>
      <c r="T218" s="107" t="s">
        <v>20</v>
      </c>
      <c r="U218" s="107" t="s">
        <v>21</v>
      </c>
      <c r="V218" s="105" t="s">
        <v>22</v>
      </c>
      <c r="W218" s="76"/>
      <c r="X218" s="1" t="s">
        <v>2</v>
      </c>
      <c r="Y218" s="1" t="s">
        <v>3</v>
      </c>
      <c r="Z218" s="1" t="s">
        <v>4</v>
      </c>
      <c r="AA218" s="1" t="s">
        <v>5</v>
      </c>
      <c r="AB218" s="2" t="s">
        <v>6</v>
      </c>
      <c r="AC218" s="1" t="s">
        <v>7</v>
      </c>
      <c r="AD218" s="1" t="s">
        <v>8</v>
      </c>
      <c r="AE218" s="1" t="s">
        <v>9</v>
      </c>
      <c r="AF218" s="1" t="s">
        <v>10</v>
      </c>
      <c r="AG218" s="1" t="s">
        <v>11</v>
      </c>
      <c r="AH218" s="1" t="s">
        <v>12</v>
      </c>
      <c r="AI218" s="1" t="s">
        <v>13</v>
      </c>
      <c r="AJ218" s="2" t="s">
        <v>14</v>
      </c>
      <c r="AK218" s="1" t="s">
        <v>15</v>
      </c>
      <c r="AL218" s="1" t="s">
        <v>16</v>
      </c>
      <c r="AM218" s="3" t="s">
        <v>17</v>
      </c>
      <c r="AN218" s="4" t="s">
        <v>18</v>
      </c>
      <c r="AO218" s="5" t="s">
        <v>19</v>
      </c>
      <c r="AP218" s="6" t="s">
        <v>20</v>
      </c>
      <c r="AQ218" s="6" t="s">
        <v>21</v>
      </c>
      <c r="AR218" s="7" t="s">
        <v>22</v>
      </c>
      <c r="AS218" s="76"/>
      <c r="AT218" s="76"/>
    </row>
    <row r="219" spans="1:46" ht="15.75" customHeight="1" x14ac:dyDescent="0.2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6"/>
      <c r="X219" s="8">
        <v>1</v>
      </c>
      <c r="Y219" s="8" t="s">
        <v>23</v>
      </c>
      <c r="Z219" s="8">
        <f t="shared" ref="Z219:AI219" si="600">SUM(D227)</f>
        <v>26</v>
      </c>
      <c r="AA219" s="9">
        <f t="shared" ca="1" si="600"/>
        <v>26</v>
      </c>
      <c r="AB219" s="10">
        <f t="shared" ca="1" si="600"/>
        <v>5195.95999999999</v>
      </c>
      <c r="AC219" s="9">
        <f t="shared" ca="1" si="600"/>
        <v>994</v>
      </c>
      <c r="AD219" s="9">
        <f t="shared" ca="1" si="600"/>
        <v>0</v>
      </c>
      <c r="AE219" s="9">
        <f t="shared" ca="1" si="600"/>
        <v>994</v>
      </c>
      <c r="AF219" s="9">
        <f t="shared" ca="1" si="600"/>
        <v>2012</v>
      </c>
      <c r="AG219" s="9">
        <f t="shared" ca="1" si="600"/>
        <v>0</v>
      </c>
      <c r="AH219" s="9">
        <f t="shared" ca="1" si="600"/>
        <v>2012</v>
      </c>
      <c r="AI219" s="9">
        <f t="shared" ca="1" si="600"/>
        <v>3006</v>
      </c>
      <c r="AJ219" s="11">
        <f t="shared" ref="AJ219:AJ221" ca="1" si="601">AB219/AA219</f>
        <v>199.844615384615</v>
      </c>
      <c r="AK219" s="8">
        <f>SUM(O227)</f>
        <v>6853</v>
      </c>
      <c r="AL219" s="12">
        <f t="shared" ref="AL219:AL225" ca="1" si="602">AI219/AK219</f>
        <v>0.43864001167371952</v>
      </c>
      <c r="AM219" s="13">
        <f t="shared" ref="AM219:AM221" si="603">SUM(Q227)</f>
        <v>1.5</v>
      </c>
      <c r="AN219" s="12">
        <f t="shared" ref="AN219:AN225" ca="1" si="604">AO219/AM219</f>
        <v>0.38568426238847175</v>
      </c>
      <c r="AO219" s="14">
        <f t="shared" ref="AO219:AO225" ca="1" si="605">AI219/AB219</f>
        <v>0.57852639358270763</v>
      </c>
      <c r="AP219" s="13">
        <f t="shared" ref="AP219:AQ219" ca="1" si="606">SUM(T227)</f>
        <v>153.99999999999969</v>
      </c>
      <c r="AQ219" s="13">
        <f t="shared" ca="1" si="606"/>
        <v>5.9230769230769109</v>
      </c>
      <c r="AR219" s="9">
        <f t="shared" ref="AR219:AR225" ca="1" si="607">AI219/AA219</f>
        <v>115.61538461538461</v>
      </c>
      <c r="AS219" s="76"/>
      <c r="AT219" s="76"/>
    </row>
    <row r="220" spans="1:46" ht="15.75" customHeight="1" x14ac:dyDescent="0.2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6"/>
      <c r="X220" s="8">
        <v>2</v>
      </c>
      <c r="Y220" s="8" t="s">
        <v>24</v>
      </c>
      <c r="Z220" s="8">
        <f t="shared" ref="Z220:AI220" si="608">SUM(D228)</f>
        <v>35</v>
      </c>
      <c r="AA220" s="9">
        <f t="shared" ca="1" si="608"/>
        <v>34</v>
      </c>
      <c r="AB220" s="10">
        <f t="shared" ca="1" si="608"/>
        <v>6420.1489999999903</v>
      </c>
      <c r="AC220" s="9">
        <f t="shared" ca="1" si="608"/>
        <v>669</v>
      </c>
      <c r="AD220" s="9">
        <f t="shared" ca="1" si="608"/>
        <v>0</v>
      </c>
      <c r="AE220" s="9">
        <f t="shared" ca="1" si="608"/>
        <v>669</v>
      </c>
      <c r="AF220" s="9">
        <f t="shared" ca="1" si="608"/>
        <v>960</v>
      </c>
      <c r="AG220" s="9">
        <f t="shared" ca="1" si="608"/>
        <v>20</v>
      </c>
      <c r="AH220" s="9">
        <f t="shared" ca="1" si="608"/>
        <v>980</v>
      </c>
      <c r="AI220" s="9">
        <f t="shared" ca="1" si="608"/>
        <v>1649</v>
      </c>
      <c r="AJ220" s="11">
        <f t="shared" ca="1" si="601"/>
        <v>188.82791176470559</v>
      </c>
      <c r="AK220" s="8">
        <v>1580</v>
      </c>
      <c r="AL220" s="15">
        <f t="shared" ca="1" si="602"/>
        <v>1.0436708860759494</v>
      </c>
      <c r="AM220" s="13">
        <f t="shared" si="603"/>
        <v>1.5</v>
      </c>
      <c r="AN220" s="12">
        <f t="shared" ca="1" si="604"/>
        <v>0.17123174763285634</v>
      </c>
      <c r="AO220" s="14">
        <f t="shared" ca="1" si="605"/>
        <v>0.25684762144928452</v>
      </c>
      <c r="AP220" s="13">
        <f t="shared" ref="AP220:AQ220" ca="1" si="609">SUM(T228)</f>
        <v>239.5131132251442</v>
      </c>
      <c r="AQ220" s="13">
        <f t="shared" ca="1" si="609"/>
        <v>7.0445033301512998</v>
      </c>
      <c r="AR220" s="9">
        <f t="shared" ca="1" si="607"/>
        <v>48.5</v>
      </c>
      <c r="AS220" s="76"/>
      <c r="AT220" s="76"/>
    </row>
    <row r="221" spans="1:46" ht="15.75" customHeight="1" x14ac:dyDescent="0.2">
      <c r="A221" s="70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6"/>
      <c r="X221" s="8">
        <v>3</v>
      </c>
      <c r="Y221" s="8" t="s">
        <v>25</v>
      </c>
      <c r="Z221" s="8">
        <f t="shared" ref="Z221:AI221" si="610">SUM(D229)</f>
        <v>26</v>
      </c>
      <c r="AA221" s="9">
        <f t="shared" ca="1" si="610"/>
        <v>25</v>
      </c>
      <c r="AB221" s="10">
        <f t="shared" ca="1" si="610"/>
        <v>4817.4479999999903</v>
      </c>
      <c r="AC221" s="9">
        <f t="shared" ca="1" si="610"/>
        <v>1478</v>
      </c>
      <c r="AD221" s="9">
        <f t="shared" ca="1" si="610"/>
        <v>319</v>
      </c>
      <c r="AE221" s="9">
        <f t="shared" ca="1" si="610"/>
        <v>1797</v>
      </c>
      <c r="AF221" s="9">
        <f t="shared" ca="1" si="610"/>
        <v>2619</v>
      </c>
      <c r="AG221" s="9">
        <f t="shared" ca="1" si="610"/>
        <v>306</v>
      </c>
      <c r="AH221" s="9">
        <f t="shared" ca="1" si="610"/>
        <v>2925</v>
      </c>
      <c r="AI221" s="9">
        <f t="shared" ca="1" si="610"/>
        <v>4722</v>
      </c>
      <c r="AJ221" s="11">
        <f t="shared" ca="1" si="601"/>
        <v>192.69791999999961</v>
      </c>
      <c r="AK221" s="8">
        <f>SUM(O229)</f>
        <v>6622</v>
      </c>
      <c r="AL221" s="12">
        <f t="shared" ca="1" si="602"/>
        <v>0.71307762005436426</v>
      </c>
      <c r="AM221" s="13">
        <f t="shared" si="603"/>
        <v>1.5</v>
      </c>
      <c r="AN221" s="12">
        <f t="shared" ca="1" si="604"/>
        <v>0.65345801345442778</v>
      </c>
      <c r="AO221" s="14">
        <f t="shared" ca="1" si="605"/>
        <v>0.98018702018164172</v>
      </c>
      <c r="AP221" s="13">
        <f t="shared" ref="AP221:AQ221" ca="1" si="611">SUM(T229)</f>
        <v>202.07416107382511</v>
      </c>
      <c r="AQ221" s="13">
        <f t="shared" ca="1" si="611"/>
        <v>8.0829664429530048</v>
      </c>
      <c r="AR221" s="9">
        <f t="shared" ca="1" si="607"/>
        <v>188.88</v>
      </c>
      <c r="AS221" s="76"/>
      <c r="AT221" s="76"/>
    </row>
    <row r="222" spans="1:46" ht="15.75" customHeight="1" x14ac:dyDescent="0.25">
      <c r="A222" s="70"/>
      <c r="B222" s="16">
        <v>1</v>
      </c>
      <c r="C222" s="16" t="s">
        <v>26</v>
      </c>
      <c r="D222" s="17">
        <v>15</v>
      </c>
      <c r="E222" s="18">
        <f ca="1">IFERROR(__xludf.DUMMYFUNCTION("COUNT(IMPORTRANGE(""https://docs.google.com/spreadsheets/d/1iVFEBQOAONhqDIMRa2hQ7WkCQv0dJWSAmc0AzfvSCMg/edit"",""9!d2:d21""))"),15)</f>
        <v>15</v>
      </c>
      <c r="F222" s="19">
        <f ca="1">IFERROR(__xludf.DUMMYFUNCTION("SUM(IMPORTRANGE(""https://docs.google.com/spreadsheets/d/1iVFEBQOAONhqDIMRa2hQ7WkCQv0dJWSAmc0AzfvSCMg/edit"",""9!Q2:Q21""))"),2897.874)</f>
        <v>2897.8739999999998</v>
      </c>
      <c r="G222" s="18">
        <f ca="1">IFERROR(__xludf.DUMMYFUNCTION("IMPORTRANGE(""https://docs.google.com/spreadsheets/d/1iVFEBQOAONhqDIMRa2hQ7WkCQv0dJWSAmc0AzfvSCMg/edit"",""9!e28"")"),1462)</f>
        <v>1462</v>
      </c>
      <c r="H222" s="18">
        <f ca="1">IFERROR(__xludf.DUMMYFUNCTION("IMPORTRANGE(""https://docs.google.com/spreadsheets/d/1iVFEBQOAONhqDIMRa2hQ7WkCQv0dJWSAmc0AzfvSCMg/edit"",""9!e29"")"),0)</f>
        <v>0</v>
      </c>
      <c r="I222" s="18">
        <f t="shared" ref="I222:I239" ca="1" si="612">SUM(G222:H222)</f>
        <v>1462</v>
      </c>
      <c r="J222" s="18">
        <f ca="1">IFERROR(__xludf.DUMMYFUNCTION("IMPORTRANGE(""https://docs.google.com/spreadsheets/d/1iVFEBQOAONhqDIMRa2hQ7WkCQv0dJWSAmc0AzfvSCMg/edit"",""9!e32"")"),2067)</f>
        <v>2067</v>
      </c>
      <c r="K222" s="18">
        <f ca="1">IFERROR(__xludf.DUMMYFUNCTION("IMPORTRANGE(""https://docs.google.com/spreadsheets/d/1iVFEBQOAONhqDIMRa2hQ7WkCQv0dJWSAmc0AzfvSCMg/edit"",""9!e33"")"),48)</f>
        <v>48</v>
      </c>
      <c r="L222" s="18">
        <f t="shared" ref="L222:L228" ca="1" si="613">SUM(J222:K222)</f>
        <v>2115</v>
      </c>
      <c r="M222" s="18">
        <f t="shared" ref="M222:M239" ca="1" si="614">SUM(I222+L222)</f>
        <v>3577</v>
      </c>
      <c r="N222" s="19">
        <f t="shared" ref="N222:N240" ca="1" si="615">F222/E222</f>
        <v>193.19159999999999</v>
      </c>
      <c r="O222" s="16">
        <v>5161</v>
      </c>
      <c r="P222" s="20">
        <f t="shared" ref="P222:P240" ca="1" si="616">M222/O222</f>
        <v>0.69308273590389458</v>
      </c>
      <c r="Q222" s="21">
        <v>1.5</v>
      </c>
      <c r="R222" s="20">
        <f t="shared" ref="R222:R240" ca="1" si="617">S222/Q222</f>
        <v>0.82290212295864729</v>
      </c>
      <c r="S222" s="22">
        <f t="shared" ref="S222:S240" ca="1" si="618">M222/F222</f>
        <v>1.2343531844379709</v>
      </c>
      <c r="T222" s="21">
        <f ca="1">F222/14.415</f>
        <v>201.0318418314256</v>
      </c>
      <c r="U222" s="21">
        <f t="shared" ref="U222:U240" ca="1" si="619">T222/E222</f>
        <v>13.402122788761707</v>
      </c>
      <c r="V222" s="18">
        <f t="shared" ref="V222:V240" ca="1" si="620">M222/E222</f>
        <v>238.46666666666667</v>
      </c>
      <c r="W222" s="76"/>
      <c r="X222" s="8">
        <v>4</v>
      </c>
      <c r="Y222" s="8" t="s">
        <v>27</v>
      </c>
      <c r="Z222" s="8">
        <f t="shared" ref="Z222:AK222" si="621">SUM(D235)</f>
        <v>23</v>
      </c>
      <c r="AA222" s="9">
        <f t="shared" ca="1" si="621"/>
        <v>22</v>
      </c>
      <c r="AB222" s="10">
        <f t="shared" ca="1" si="621"/>
        <v>4272.68299999999</v>
      </c>
      <c r="AC222" s="9">
        <f t="shared" ca="1" si="621"/>
        <v>1460</v>
      </c>
      <c r="AD222" s="9">
        <f t="shared" ca="1" si="621"/>
        <v>0</v>
      </c>
      <c r="AE222" s="9">
        <f t="shared" ca="1" si="621"/>
        <v>1460</v>
      </c>
      <c r="AF222" s="9">
        <f t="shared" ca="1" si="621"/>
        <v>2428</v>
      </c>
      <c r="AG222" s="9">
        <f t="shared" ca="1" si="621"/>
        <v>0</v>
      </c>
      <c r="AH222" s="9">
        <f t="shared" ca="1" si="621"/>
        <v>2428</v>
      </c>
      <c r="AI222" s="9">
        <f t="shared" ca="1" si="621"/>
        <v>3888</v>
      </c>
      <c r="AJ222" s="11">
        <f t="shared" ca="1" si="621"/>
        <v>194.21286363636318</v>
      </c>
      <c r="AK222" s="8">
        <f t="shared" si="621"/>
        <v>8101</v>
      </c>
      <c r="AL222" s="12">
        <f t="shared" ca="1" si="602"/>
        <v>0.47994074805579556</v>
      </c>
      <c r="AM222" s="13">
        <f>SUM(Q235)</f>
        <v>1.5</v>
      </c>
      <c r="AN222" s="12">
        <f t="shared" ca="1" si="604"/>
        <v>0.60664458374281593</v>
      </c>
      <c r="AO222" s="14">
        <f t="shared" ca="1" si="605"/>
        <v>0.90996687561422396</v>
      </c>
      <c r="AP222" s="13">
        <f t="shared" ref="AP222:AQ222" ca="1" si="622">SUM(T235)</f>
        <v>213.79449587190342</v>
      </c>
      <c r="AQ222" s="13">
        <f t="shared" ca="1" si="622"/>
        <v>9.7179316305410648</v>
      </c>
      <c r="AR222" s="9">
        <f t="shared" ca="1" si="607"/>
        <v>176.72727272727272</v>
      </c>
      <c r="AS222" s="76"/>
      <c r="AT222" s="76"/>
    </row>
    <row r="223" spans="1:46" ht="15.75" customHeight="1" x14ac:dyDescent="0.25">
      <c r="A223" s="70"/>
      <c r="B223" s="16">
        <v>2</v>
      </c>
      <c r="C223" s="16" t="s">
        <v>28</v>
      </c>
      <c r="D223" s="17">
        <v>24</v>
      </c>
      <c r="E223" s="18">
        <f ca="1">IFERROR(__xludf.DUMMYFUNCTION("COUNT(IMPORTRANGE(""https://docs.google.com/spreadsheets/d/1tJCeYclgeJZ4Dc78t_SkhVjtacKW-5-VGim8X1rzUzk/edit"",""9!d2:d34""))"),24)</f>
        <v>24</v>
      </c>
      <c r="F223" s="19">
        <f ca="1">IFERROR(__xludf.DUMMYFUNCTION("SUM(IMPORTRANGE(""https://docs.google.com/spreadsheets/d/1tJCeYclgeJZ4Dc78t_SkhVjtacKW-5-VGim8X1rzUzk/edit"",""9!Q2:Q34""))"),4691.63799999999)</f>
        <v>4691.6379999999899</v>
      </c>
      <c r="G223" s="18">
        <f ca="1">IFERROR(__xludf.DUMMYFUNCTION("IMPORTRANGE(""https://docs.google.com/spreadsheets/d/1tJCeYclgeJZ4Dc78t_SkhVjtacKW-5-VGim8X1rzUzk/edit"",""9!e41"")"),1593)</f>
        <v>1593</v>
      </c>
      <c r="H223" s="18">
        <f ca="1">IFERROR(__xludf.DUMMYFUNCTION("IMPORTRANGE(""https://docs.google.com/spreadsheets/d/1tJCeYclgeJZ4Dc78t_SkhVjtacKW-5-VGim8X1rzUzk/edit"",""9!e42"")"),58)</f>
        <v>58</v>
      </c>
      <c r="I223" s="18">
        <f t="shared" ca="1" si="612"/>
        <v>1651</v>
      </c>
      <c r="J223" s="18">
        <f ca="1">IFERROR(__xludf.DUMMYFUNCTION("IMPORTRANGE(""https://docs.google.com/spreadsheets/d/1tJCeYclgeJZ4Dc78t_SkhVjtacKW-5-VGim8X1rzUzk/edit"",""9!e45"")"),1863)</f>
        <v>1863</v>
      </c>
      <c r="K223" s="18">
        <f ca="1">IFERROR(__xludf.DUMMYFUNCTION("IMPORTRANGE(""https://docs.google.com/spreadsheets/d/1tJCeYclgeJZ4Dc78t_SkhVjtacKW-5-VGim8X1rzUzk/edit"",""9!e46"")"),101)</f>
        <v>101</v>
      </c>
      <c r="L223" s="18">
        <f t="shared" ca="1" si="613"/>
        <v>1964</v>
      </c>
      <c r="M223" s="18">
        <f t="shared" ca="1" si="614"/>
        <v>3615</v>
      </c>
      <c r="N223" s="19">
        <f t="shared" ca="1" si="615"/>
        <v>195.48491666666624</v>
      </c>
      <c r="O223" s="16">
        <v>7315</v>
      </c>
      <c r="P223" s="20">
        <f t="shared" ca="1" si="616"/>
        <v>0.49419002050580996</v>
      </c>
      <c r="Q223" s="21">
        <v>1.5</v>
      </c>
      <c r="R223" s="20">
        <f t="shared" ca="1" si="617"/>
        <v>0.51367987044183827</v>
      </c>
      <c r="S223" s="22">
        <f t="shared" ca="1" si="618"/>
        <v>0.77051980566275735</v>
      </c>
      <c r="T223" s="21">
        <f ca="1">F223/30.897</f>
        <v>151.84768747774834</v>
      </c>
      <c r="U223" s="21">
        <f t="shared" ca="1" si="619"/>
        <v>6.3269869782395141</v>
      </c>
      <c r="V223" s="18">
        <f t="shared" ca="1" si="620"/>
        <v>150.625</v>
      </c>
      <c r="W223" s="76"/>
      <c r="X223" s="8">
        <v>5</v>
      </c>
      <c r="Y223" s="8" t="s">
        <v>29</v>
      </c>
      <c r="Z223" s="8">
        <f t="shared" ref="Z223:AI223" si="623">SUM(D238)</f>
        <v>23</v>
      </c>
      <c r="AA223" s="9">
        <f t="shared" ca="1" si="623"/>
        <v>22</v>
      </c>
      <c r="AB223" s="10">
        <f t="shared" ca="1" si="623"/>
        <v>4296.2700000000004</v>
      </c>
      <c r="AC223" s="9">
        <f t="shared" ca="1" si="623"/>
        <v>1718</v>
      </c>
      <c r="AD223" s="9">
        <f t="shared" ca="1" si="623"/>
        <v>0</v>
      </c>
      <c r="AE223" s="9">
        <f t="shared" ca="1" si="623"/>
        <v>1718</v>
      </c>
      <c r="AF223" s="9">
        <f t="shared" ca="1" si="623"/>
        <v>2638</v>
      </c>
      <c r="AG223" s="9">
        <f t="shared" ca="1" si="623"/>
        <v>0</v>
      </c>
      <c r="AH223" s="9">
        <f t="shared" ca="1" si="623"/>
        <v>2638</v>
      </c>
      <c r="AI223" s="9">
        <f t="shared" ca="1" si="623"/>
        <v>4356</v>
      </c>
      <c r="AJ223" s="11">
        <f t="shared" ref="AJ223:AJ225" ca="1" si="624">AB223/AA223</f>
        <v>195.28500000000003</v>
      </c>
      <c r="AK223" s="8">
        <f t="shared" ref="AK223:AK224" si="625">SUM(O238)</f>
        <v>9201</v>
      </c>
      <c r="AL223" s="12">
        <f t="shared" ca="1" si="602"/>
        <v>0.47342680143462668</v>
      </c>
      <c r="AM223" s="13">
        <f t="shared" ref="AM223:AM224" si="626">SUM(Q238)</f>
        <v>1.5</v>
      </c>
      <c r="AN223" s="12">
        <f t="shared" ca="1" si="604"/>
        <v>0.67593517167217143</v>
      </c>
      <c r="AO223" s="14">
        <f t="shared" ca="1" si="605"/>
        <v>1.0139027575082571</v>
      </c>
      <c r="AP223" s="13">
        <f t="shared" ref="AP223:AQ223" ca="1" si="627">SUM(T238)</f>
        <v>165.00000000000003</v>
      </c>
      <c r="AQ223" s="13">
        <f t="shared" ca="1" si="627"/>
        <v>7.5000000000000009</v>
      </c>
      <c r="AR223" s="9">
        <f t="shared" ca="1" si="607"/>
        <v>198</v>
      </c>
      <c r="AS223" s="76"/>
      <c r="AT223" s="76"/>
    </row>
    <row r="224" spans="1:46" ht="15.75" customHeight="1" x14ac:dyDescent="0.25">
      <c r="A224" s="70"/>
      <c r="B224" s="16">
        <v>3</v>
      </c>
      <c r="C224" s="16" t="s">
        <v>30</v>
      </c>
      <c r="D224" s="17">
        <v>45</v>
      </c>
      <c r="E224" s="18">
        <f ca="1">IFERROR(__xludf.DUMMYFUNCTION("COUNT(IMPORTRANGE(""https://docs.google.com/spreadsheets/d/130gLEONC13J8KkQ6dk06x3bLRy_jCrAw2hXatQf2W50/edit"",""9!d2:d61""))"),43)</f>
        <v>43</v>
      </c>
      <c r="F224" s="23">
        <f ca="1">IFERROR(__xludf.DUMMYFUNCTION("SUM(IMPORTRANGE(""https://docs.google.com/spreadsheets/d/130gLEONC13J8KkQ6dk06x3bLRy_jCrAw2hXatQf2W50/edit"",""9!Q2:Q61""))"),8555.26699999999)</f>
        <v>8555.2669999999907</v>
      </c>
      <c r="G224" s="18">
        <f ca="1">IFERROR(__xludf.DUMMYFUNCTION("IMPORTRANGE(""https://docs.google.com/spreadsheets/d/130gLEONC13J8KkQ6dk06x3bLRy_jCrAw2hXatQf2W50/edit"",""9!e68"")"),2092)</f>
        <v>2092</v>
      </c>
      <c r="H224" s="18">
        <f ca="1">IFERROR(__xludf.DUMMYFUNCTION("IMPORTRANGE(""https://docs.google.com/spreadsheets/d/130gLEONC13J8KkQ6dk06x3bLRy_jCrAw2hXatQf2W50/edit"",""9!e69"")"),0)</f>
        <v>0</v>
      </c>
      <c r="I224" s="18">
        <f t="shared" ca="1" si="612"/>
        <v>2092</v>
      </c>
      <c r="J224" s="18">
        <f ca="1">IFERROR(__xludf.DUMMYFUNCTION("IMPORTRANGE(""https://docs.google.com/spreadsheets/d/130gLEONC13J8KkQ6dk06x3bLRy_jCrAw2hXatQf2W50/edit"",""9!e72"")"),4130)</f>
        <v>4130</v>
      </c>
      <c r="K224" s="18">
        <f ca="1">IFERROR(__xludf.DUMMYFUNCTION("IMPORTRANGE(""https://docs.google.com/spreadsheets/d/130gLEONC13J8KkQ6dk06x3bLRy_jCrAw2hXatQf2W50/edit"",""9!e73"")"),0)</f>
        <v>0</v>
      </c>
      <c r="L224" s="18">
        <f t="shared" ca="1" si="613"/>
        <v>4130</v>
      </c>
      <c r="M224" s="18">
        <f t="shared" ca="1" si="614"/>
        <v>6222</v>
      </c>
      <c r="N224" s="19">
        <f t="shared" ca="1" si="615"/>
        <v>198.95969767441838</v>
      </c>
      <c r="O224" s="16">
        <v>11164</v>
      </c>
      <c r="P224" s="20">
        <f t="shared" ca="1" si="616"/>
        <v>0.55732712289501973</v>
      </c>
      <c r="Q224" s="21">
        <v>1.5</v>
      </c>
      <c r="R224" s="20">
        <f t="shared" ca="1" si="617"/>
        <v>0.48484752141575527</v>
      </c>
      <c r="S224" s="22">
        <f t="shared" ca="1" si="618"/>
        <v>0.7272712821236329</v>
      </c>
      <c r="T224" s="21">
        <f ca="1">F224/29.603</f>
        <v>288.99999999999966</v>
      </c>
      <c r="U224" s="21">
        <f t="shared" ca="1" si="619"/>
        <v>6.7209302325581319</v>
      </c>
      <c r="V224" s="18">
        <f t="shared" ca="1" si="620"/>
        <v>144.69767441860466</v>
      </c>
      <c r="W224" s="76"/>
      <c r="X224" s="8">
        <v>6</v>
      </c>
      <c r="Y224" s="8" t="s">
        <v>31</v>
      </c>
      <c r="Z224" s="8">
        <f t="shared" ref="Z224:AI224" si="628">SUM(D239)</f>
        <v>11</v>
      </c>
      <c r="AA224" s="9">
        <f t="shared" ca="1" si="628"/>
        <v>11</v>
      </c>
      <c r="AB224" s="11">
        <f t="shared" ca="1" si="628"/>
        <v>2129.7849999999999</v>
      </c>
      <c r="AC224" s="9">
        <f t="shared" ca="1" si="628"/>
        <v>410</v>
      </c>
      <c r="AD224" s="9">
        <f t="shared" ca="1" si="628"/>
        <v>0</v>
      </c>
      <c r="AE224" s="9">
        <f t="shared" ca="1" si="628"/>
        <v>410</v>
      </c>
      <c r="AF224" s="9">
        <f t="shared" ca="1" si="628"/>
        <v>672</v>
      </c>
      <c r="AG224" s="9">
        <f t="shared" ca="1" si="628"/>
        <v>0</v>
      </c>
      <c r="AH224" s="9">
        <f t="shared" ca="1" si="628"/>
        <v>672</v>
      </c>
      <c r="AI224" s="9">
        <f t="shared" ca="1" si="628"/>
        <v>1082</v>
      </c>
      <c r="AJ224" s="11">
        <f t="shared" ca="1" si="624"/>
        <v>193.61681818181816</v>
      </c>
      <c r="AK224" s="8">
        <f t="shared" si="625"/>
        <v>2717</v>
      </c>
      <c r="AL224" s="12">
        <f t="shared" ca="1" si="602"/>
        <v>0.39823334560176665</v>
      </c>
      <c r="AM224" s="13">
        <f t="shared" si="626"/>
        <v>1.5</v>
      </c>
      <c r="AN224" s="12">
        <f t="shared" ca="1" si="604"/>
        <v>0.33868833395546188</v>
      </c>
      <c r="AO224" s="14">
        <f t="shared" ca="1" si="605"/>
        <v>0.50803250093319285</v>
      </c>
      <c r="AP224" s="13">
        <f t="shared" ref="AP224:AQ224" ca="1" si="629">SUM(T239)</f>
        <v>48.999999999999993</v>
      </c>
      <c r="AQ224" s="13">
        <f t="shared" ca="1" si="629"/>
        <v>4.4545454545454541</v>
      </c>
      <c r="AR224" s="9">
        <f t="shared" ca="1" si="607"/>
        <v>98.36363636363636</v>
      </c>
      <c r="AS224" s="76"/>
      <c r="AT224" s="76"/>
    </row>
    <row r="225" spans="1:46" ht="15.75" customHeight="1" x14ac:dyDescent="0.25">
      <c r="A225" s="70"/>
      <c r="B225" s="16">
        <v>4</v>
      </c>
      <c r="C225" s="16" t="s">
        <v>32</v>
      </c>
      <c r="D225" s="17">
        <v>32</v>
      </c>
      <c r="E225" s="18">
        <f ca="1">IFERROR(__xludf.DUMMYFUNCTION("COUNT(IMPORTRANGE(""https://docs.google.com/spreadsheets/d/1gYHli7FuKQLm2Q-5LMR0UtkD-gRRA_p8s-phLPLDLgc/edit"",""9!d2:d43""))"),31)</f>
        <v>31</v>
      </c>
      <c r="F225" s="23">
        <f ca="1">IFERROR(__xludf.DUMMYFUNCTION("SUM(IMPORTRANGE(""https://docs.google.com/spreadsheets/d/1gYHli7FuKQLm2Q-5LMR0UtkD-gRRA_p8s-phLPLDLgc/edit"",""9!Q2:Q43""))"),6032.82999999999)</f>
        <v>6032.8299999999899</v>
      </c>
      <c r="G225" s="16">
        <f ca="1">IFERROR(__xludf.DUMMYFUNCTION("IMPORTRANGE(""https://docs.google.com/spreadsheets/d/1gYHli7FuKQLm2Q-5LMR0UtkD-gRRA_p8s-phLPLDLgc/edit"",""9!e50"")"),3179)</f>
        <v>3179</v>
      </c>
      <c r="H225" s="16">
        <f ca="1">IFERROR(__xludf.DUMMYFUNCTION("IMPORTRANGE(""https://docs.google.com/spreadsheets/d/1gYHli7FuKQLm2Q-5LMR0UtkD-gRRA_p8s-phLPLDLgc/edit"",""9!e51"")"),0)</f>
        <v>0</v>
      </c>
      <c r="I225" s="18">
        <f t="shared" ca="1" si="612"/>
        <v>3179</v>
      </c>
      <c r="J225" s="16">
        <f ca="1">IFERROR(__xludf.DUMMYFUNCTION("IMPORTRANGE(""https://docs.google.com/spreadsheets/d/1gYHli7FuKQLm2Q-5LMR0UtkD-gRRA_p8s-phLPLDLgc/edit"",""9!e54"")"),3910)</f>
        <v>3910</v>
      </c>
      <c r="K225" s="16">
        <f ca="1">IFERROR(__xludf.DUMMYFUNCTION("IMPORTRANGE(""https://docs.google.com/spreadsheets/d/1gYHli7FuKQLm2Q-5LMR0UtkD-gRRA_p8s-phLPLDLgc/edit"",""9!e55"")"),0)</f>
        <v>0</v>
      </c>
      <c r="L225" s="18">
        <f t="shared" ca="1" si="613"/>
        <v>3910</v>
      </c>
      <c r="M225" s="18">
        <f t="shared" ca="1" si="614"/>
        <v>7089</v>
      </c>
      <c r="N225" s="19">
        <f t="shared" ca="1" si="615"/>
        <v>194.60741935483838</v>
      </c>
      <c r="O225" s="16">
        <v>13817</v>
      </c>
      <c r="P225" s="20">
        <f t="shared" ca="1" si="616"/>
        <v>0.51306361728305705</v>
      </c>
      <c r="Q225" s="21">
        <v>1.5</v>
      </c>
      <c r="R225" s="20">
        <f t="shared" ca="1" si="617"/>
        <v>0.78338027095078233</v>
      </c>
      <c r="S225" s="22">
        <f t="shared" ca="1" si="618"/>
        <v>1.1750704064261734</v>
      </c>
      <c r="T225" s="21">
        <f ca="1">F225/25.089</f>
        <v>240.45717246602058</v>
      </c>
      <c r="U225" s="21">
        <f t="shared" ca="1" si="619"/>
        <v>7.7566829827748576</v>
      </c>
      <c r="V225" s="18">
        <f t="shared" ca="1" si="620"/>
        <v>228.67741935483872</v>
      </c>
      <c r="W225" s="76"/>
      <c r="X225" s="24" t="s">
        <v>33</v>
      </c>
      <c r="Y225" s="24">
        <v>6</v>
      </c>
      <c r="Z225" s="24">
        <f t="shared" ref="Z225:AI225" si="630">SUM(Z219:Z224)</f>
        <v>144</v>
      </c>
      <c r="AA225" s="25">
        <f t="shared" ca="1" si="630"/>
        <v>140</v>
      </c>
      <c r="AB225" s="26">
        <f t="shared" ca="1" si="630"/>
        <v>27132.294999999962</v>
      </c>
      <c r="AC225" s="25">
        <f t="shared" ca="1" si="630"/>
        <v>6729</v>
      </c>
      <c r="AD225" s="25">
        <f t="shared" ca="1" si="630"/>
        <v>319</v>
      </c>
      <c r="AE225" s="25">
        <f t="shared" ca="1" si="630"/>
        <v>7048</v>
      </c>
      <c r="AF225" s="25">
        <f t="shared" ca="1" si="630"/>
        <v>11329</v>
      </c>
      <c r="AG225" s="25">
        <f t="shared" ca="1" si="630"/>
        <v>326</v>
      </c>
      <c r="AH225" s="25">
        <f t="shared" ca="1" si="630"/>
        <v>11655</v>
      </c>
      <c r="AI225" s="25">
        <f t="shared" ca="1" si="630"/>
        <v>18703</v>
      </c>
      <c r="AJ225" s="27">
        <f t="shared" ca="1" si="624"/>
        <v>193.80210714285687</v>
      </c>
      <c r="AK225" s="24">
        <f>SUM(AK219:AK224)</f>
        <v>35074</v>
      </c>
      <c r="AL225" s="28">
        <f t="shared" ca="1" si="602"/>
        <v>0.53324399840337577</v>
      </c>
      <c r="AM225" s="29">
        <v>1.5</v>
      </c>
      <c r="AN225" s="28">
        <f t="shared" ca="1" si="604"/>
        <v>0.4595507555356701</v>
      </c>
      <c r="AO225" s="30">
        <f t="shared" ca="1" si="605"/>
        <v>0.68932613330350512</v>
      </c>
      <c r="AP225" s="29">
        <f ca="1">SUM(AP219:AP224)</f>
        <v>1023.3817701708725</v>
      </c>
      <c r="AQ225" s="29">
        <f ca="1">AP225/AA225</f>
        <v>7.3098697869348035</v>
      </c>
      <c r="AR225" s="25">
        <f t="shared" ca="1" si="607"/>
        <v>133.59285714285716</v>
      </c>
      <c r="AS225" s="76"/>
      <c r="AT225" s="76"/>
    </row>
    <row r="226" spans="1:46" ht="15.75" customHeight="1" x14ac:dyDescent="0.25">
      <c r="A226" s="70"/>
      <c r="B226" s="16">
        <v>5</v>
      </c>
      <c r="C226" s="16" t="s">
        <v>34</v>
      </c>
      <c r="D226" s="17">
        <v>30</v>
      </c>
      <c r="E226" s="18">
        <f ca="1">IFERROR(__xludf.DUMMYFUNCTION("COUNT(IMPORTRANGE(""https://docs.google.com/spreadsheets/d/1ptS0qWBCKWkc9h2aXWT_YgMhN7yIv5WgAHRbF8l9Zpo/edit"",""9!d2:d41""))"),30)</f>
        <v>30</v>
      </c>
      <c r="F226" s="23">
        <f ca="1">IFERROR(__xludf.DUMMYFUNCTION("SUM(IMPORTRANGE(""https://docs.google.com/spreadsheets/d/1ptS0qWBCKWkc9h2aXWT_YgMhN7yIv5WgAHRbF8l9Zpo/edit"",""9!Q2:Q41""))"),5809.728)</f>
        <v>5809.7280000000001</v>
      </c>
      <c r="G226" s="18">
        <f ca="1">IFERROR(__xludf.DUMMYFUNCTION("IMPORTRANGE(""https://docs.google.com/spreadsheets/d/1ptS0qWBCKWkc9h2aXWT_YgMhN7yIv5WgAHRbF8l9Zpo/edit"",""9!e48"")"),1892)</f>
        <v>1892</v>
      </c>
      <c r="H226" s="18">
        <f ca="1">IFERROR(__xludf.DUMMYFUNCTION("IMPORTRANGE(""https://docs.google.com/spreadsheets/d/1ptS0qWBCKWkc9h2aXWT_YgMhN7yIv5WgAHRbF8l9Zpo/edit"",""9!e49"")"),0)</f>
        <v>0</v>
      </c>
      <c r="I226" s="18">
        <f t="shared" ca="1" si="612"/>
        <v>1892</v>
      </c>
      <c r="J226" s="18">
        <f ca="1">IFERROR(__xludf.DUMMYFUNCTION("IMPORTRANGE(""https://docs.google.com/spreadsheets/d/1ptS0qWBCKWkc9h2aXWT_YgMhN7yIv5WgAHRbF8l9Zpo/edit"",""9!e52"")"),2318)</f>
        <v>2318</v>
      </c>
      <c r="K226" s="18">
        <f ca="1">IFERROR(__xludf.DUMMYFUNCTION("IMPORTRANGE(""https://docs.google.com/spreadsheets/d/1ptS0qWBCKWkc9h2aXWT_YgMhN7yIv5WgAHRbF8l9Zpo/edit"",""9!e53"")"),38)</f>
        <v>38</v>
      </c>
      <c r="L226" s="18">
        <f t="shared" ca="1" si="613"/>
        <v>2356</v>
      </c>
      <c r="M226" s="18">
        <f t="shared" ca="1" si="614"/>
        <v>4248</v>
      </c>
      <c r="N226" s="19">
        <f t="shared" ca="1" si="615"/>
        <v>193.6576</v>
      </c>
      <c r="O226" s="16">
        <v>9354</v>
      </c>
      <c r="P226" s="20">
        <f t="shared" ca="1" si="616"/>
        <v>0.45413726747915328</v>
      </c>
      <c r="Q226" s="21">
        <v>1.5</v>
      </c>
      <c r="R226" s="20">
        <f t="shared" ca="1" si="617"/>
        <v>0.48745827687630122</v>
      </c>
      <c r="S226" s="22">
        <f t="shared" ca="1" si="618"/>
        <v>0.73118741531445186</v>
      </c>
      <c r="T226" s="21">
        <f ca="1">F226/30.713</f>
        <v>189.16185328688178</v>
      </c>
      <c r="U226" s="21">
        <f t="shared" ca="1" si="619"/>
        <v>6.3053951095627259</v>
      </c>
      <c r="V226" s="18">
        <f t="shared" ca="1" si="620"/>
        <v>141.6</v>
      </c>
      <c r="W226" s="76"/>
      <c r="X226" s="100" t="s">
        <v>35</v>
      </c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9"/>
      <c r="AS226" s="76"/>
      <c r="AT226" s="76"/>
    </row>
    <row r="227" spans="1:46" ht="15.75" customHeight="1" x14ac:dyDescent="0.25">
      <c r="A227" s="70"/>
      <c r="B227" s="16">
        <v>6</v>
      </c>
      <c r="C227" s="16" t="s">
        <v>23</v>
      </c>
      <c r="D227" s="17">
        <v>26</v>
      </c>
      <c r="E227" s="18">
        <f ca="1">IFERROR(__xludf.DUMMYFUNCTION("COUNT(IMPORTRANGE(""https://docs.google.com/spreadsheets/d/1829CoYW82aTBBUgqkPnJa94KlBWI-DowAnP4ENQCmaQ/edit"",""9!d2:d36""))"),26)</f>
        <v>26</v>
      </c>
      <c r="F227" s="23">
        <f ca="1">IFERROR(__xludf.DUMMYFUNCTION("SUM(IMPORTRANGE(""https://docs.google.com/spreadsheets/d/1829CoYW82aTBBUgqkPnJa94KlBWI-DowAnP4ENQCmaQ/edit"",""9!Q2:Q36""))"),5195.95999999999)</f>
        <v>5195.95999999999</v>
      </c>
      <c r="G227" s="18">
        <f ca="1">IFERROR(__xludf.DUMMYFUNCTION("IMPORTRANGE(""https://docs.google.com/spreadsheets/d/1829CoYW82aTBBUgqkPnJa94KlBWI-DowAnP4ENQCmaQ/edit"",""9!e43"")"),994)</f>
        <v>994</v>
      </c>
      <c r="H227" s="18">
        <f ca="1">IFERROR(__xludf.DUMMYFUNCTION("IMPORTRANGE(""https://docs.google.com/spreadsheets/d/1829CoYW82aTBBUgqkPnJa94KlBWI-DowAnP4ENQCmaQ/edit"",""9!e44"")"),0)</f>
        <v>0</v>
      </c>
      <c r="I227" s="18">
        <f t="shared" ca="1" si="612"/>
        <v>994</v>
      </c>
      <c r="J227" s="18">
        <f ca="1">IFERROR(__xludf.DUMMYFUNCTION("IMPORTRANGE(""https://docs.google.com/spreadsheets/d/1829CoYW82aTBBUgqkPnJa94KlBWI-DowAnP4ENQCmaQ/edit"",""9!e47"")"),2012)</f>
        <v>2012</v>
      </c>
      <c r="K227" s="18">
        <f ca="1">IFERROR(__xludf.DUMMYFUNCTION("IMPORTRANGE(""https://docs.google.com/spreadsheets/d/1829CoYW82aTBBUgqkPnJa94KlBWI-DowAnP4ENQCmaQ/edit"",""9!e48"")"),0)</f>
        <v>0</v>
      </c>
      <c r="L227" s="18">
        <f t="shared" ca="1" si="613"/>
        <v>2012</v>
      </c>
      <c r="M227" s="18">
        <f t="shared" ca="1" si="614"/>
        <v>3006</v>
      </c>
      <c r="N227" s="19">
        <f t="shared" ca="1" si="615"/>
        <v>199.844615384615</v>
      </c>
      <c r="O227" s="16">
        <v>6853</v>
      </c>
      <c r="P227" s="20">
        <f t="shared" ca="1" si="616"/>
        <v>0.43864001167371952</v>
      </c>
      <c r="Q227" s="21">
        <v>1.5</v>
      </c>
      <c r="R227" s="20">
        <f t="shared" ca="1" si="617"/>
        <v>0.38568426238847175</v>
      </c>
      <c r="S227" s="22">
        <f t="shared" ca="1" si="618"/>
        <v>0.57852639358270763</v>
      </c>
      <c r="T227" s="21">
        <f ca="1">F227/33.74</f>
        <v>153.99999999999969</v>
      </c>
      <c r="U227" s="21">
        <f t="shared" ca="1" si="619"/>
        <v>5.9230769230769109</v>
      </c>
      <c r="V227" s="18">
        <f t="shared" ca="1" si="620"/>
        <v>115.61538461538461</v>
      </c>
      <c r="W227" s="76"/>
      <c r="X227" s="1" t="s">
        <v>2</v>
      </c>
      <c r="Y227" s="1" t="s">
        <v>3</v>
      </c>
      <c r="Z227" s="1" t="s">
        <v>4</v>
      </c>
      <c r="AA227" s="1" t="s">
        <v>5</v>
      </c>
      <c r="AB227" s="2" t="s">
        <v>6</v>
      </c>
      <c r="AC227" s="1" t="s">
        <v>7</v>
      </c>
      <c r="AD227" s="1" t="s">
        <v>8</v>
      </c>
      <c r="AE227" s="1" t="s">
        <v>9</v>
      </c>
      <c r="AF227" s="1" t="s">
        <v>10</v>
      </c>
      <c r="AG227" s="1" t="s">
        <v>11</v>
      </c>
      <c r="AH227" s="1" t="s">
        <v>12</v>
      </c>
      <c r="AI227" s="1" t="s">
        <v>13</v>
      </c>
      <c r="AJ227" s="2" t="s">
        <v>14</v>
      </c>
      <c r="AK227" s="1" t="s">
        <v>15</v>
      </c>
      <c r="AL227" s="1" t="s">
        <v>16</v>
      </c>
      <c r="AM227" s="3" t="s">
        <v>17</v>
      </c>
      <c r="AN227" s="4" t="s">
        <v>18</v>
      </c>
      <c r="AO227" s="5" t="s">
        <v>19</v>
      </c>
      <c r="AP227" s="6" t="s">
        <v>20</v>
      </c>
      <c r="AQ227" s="6" t="s">
        <v>21</v>
      </c>
      <c r="AR227" s="7" t="s">
        <v>22</v>
      </c>
      <c r="AS227" s="76"/>
      <c r="AT227" s="76"/>
    </row>
    <row r="228" spans="1:46" ht="15.75" customHeight="1" x14ac:dyDescent="0.25">
      <c r="A228" s="70"/>
      <c r="B228" s="16">
        <v>7</v>
      </c>
      <c r="C228" s="16" t="s">
        <v>24</v>
      </c>
      <c r="D228" s="17">
        <v>35</v>
      </c>
      <c r="E228" s="31">
        <f ca="1">IFERROR(__xludf.DUMMYFUNCTION("COUNT(IMPORTRANGE(""https://docs.google.com/spreadsheets/d/1E2x4oDZxEIsuC5nl-5Z0--MoN8b1dt9SbpRcCfNP84Q/edit"",""9!d2:d45""))"),34)</f>
        <v>34</v>
      </c>
      <c r="F228" s="32">
        <f ca="1">IFERROR(__xludf.DUMMYFUNCTION("SUM(IMPORTRANGE(""https://docs.google.com/spreadsheets/d/1E2x4oDZxEIsuC5nl-5Z0--MoN8b1dt9SbpRcCfNP84Q/edit"",""9!Q2:Q45""))"),6420.14899999999)</f>
        <v>6420.1489999999903</v>
      </c>
      <c r="G228" s="31">
        <f ca="1">IFERROR(__xludf.DUMMYFUNCTION("IMPORTRANGE(""https://docs.google.com/spreadsheets/d/1E2x4oDZxEIsuC5nl-5Z0--MoN8b1dt9SbpRcCfNP84Q/edit"",""9!e53"")"),669)</f>
        <v>669</v>
      </c>
      <c r="H228" s="31">
        <f ca="1">IFERROR(__xludf.DUMMYFUNCTION("IMPORTRANGE(""https://docs.google.com/spreadsheets/d/1E2x4oDZxEIsuC5nl-5Z0--MoN8b1dt9SbpRcCfNP84Q/edit"",""9!e54"")"),0)</f>
        <v>0</v>
      </c>
      <c r="I228" s="31">
        <f t="shared" ca="1" si="612"/>
        <v>669</v>
      </c>
      <c r="J228" s="31">
        <f ca="1">IFERROR(__xludf.DUMMYFUNCTION("IMPORTRANGE(""https://docs.google.com/spreadsheets/d/1E2x4oDZxEIsuC5nl-5Z0--MoN8b1dt9SbpRcCfNP84Q/edit"",""9!e57"")"),960)</f>
        <v>960</v>
      </c>
      <c r="K228" s="31">
        <f ca="1">IFERROR(__xludf.DUMMYFUNCTION("IMPORTRANGE(""https://docs.google.com/spreadsheets/d/1E2x4oDZxEIsuC5nl-5Z0--MoN8b1dt9SbpRcCfNP84Q/edit"",""9!e58"")"),20)</f>
        <v>20</v>
      </c>
      <c r="L228" s="18">
        <f t="shared" ca="1" si="613"/>
        <v>980</v>
      </c>
      <c r="M228" s="18">
        <f t="shared" ca="1" si="614"/>
        <v>1649</v>
      </c>
      <c r="N228" s="19">
        <f t="shared" ca="1" si="615"/>
        <v>188.82791176470559</v>
      </c>
      <c r="O228" s="16">
        <v>1580</v>
      </c>
      <c r="P228" s="33">
        <f t="shared" ca="1" si="616"/>
        <v>1.0436708860759494</v>
      </c>
      <c r="Q228" s="21">
        <v>1.5</v>
      </c>
      <c r="R228" s="20">
        <f t="shared" ca="1" si="617"/>
        <v>0.17123174763285634</v>
      </c>
      <c r="S228" s="22">
        <f t="shared" ca="1" si="618"/>
        <v>0.25684762144928452</v>
      </c>
      <c r="T228" s="21">
        <f ca="1">F228/26.805</f>
        <v>239.5131132251442</v>
      </c>
      <c r="U228" s="21">
        <f t="shared" ca="1" si="619"/>
        <v>7.0445033301512998</v>
      </c>
      <c r="V228" s="18">
        <f t="shared" ca="1" si="620"/>
        <v>48.5</v>
      </c>
      <c r="W228" s="76"/>
      <c r="X228" s="8">
        <v>1</v>
      </c>
      <c r="Y228" s="8" t="s">
        <v>28</v>
      </c>
      <c r="Z228" s="8">
        <f t="shared" ref="Z228:AI228" si="631">SUM(D223)</f>
        <v>24</v>
      </c>
      <c r="AA228" s="9">
        <f t="shared" ca="1" si="631"/>
        <v>24</v>
      </c>
      <c r="AB228" s="11">
        <f t="shared" ca="1" si="631"/>
        <v>4691.6379999999899</v>
      </c>
      <c r="AC228" s="9">
        <f t="shared" ca="1" si="631"/>
        <v>1593</v>
      </c>
      <c r="AD228" s="9">
        <f t="shared" ca="1" si="631"/>
        <v>58</v>
      </c>
      <c r="AE228" s="9">
        <f t="shared" ca="1" si="631"/>
        <v>1651</v>
      </c>
      <c r="AF228" s="9">
        <f t="shared" ca="1" si="631"/>
        <v>1863</v>
      </c>
      <c r="AG228" s="9">
        <f t="shared" ca="1" si="631"/>
        <v>101</v>
      </c>
      <c r="AH228" s="9">
        <f t="shared" ca="1" si="631"/>
        <v>1964</v>
      </c>
      <c r="AI228" s="9">
        <f t="shared" ca="1" si="631"/>
        <v>3615</v>
      </c>
      <c r="AJ228" s="11">
        <f t="shared" ref="AJ228:AJ234" ca="1" si="632">AB228/AA228</f>
        <v>195.48491666666624</v>
      </c>
      <c r="AK228" s="8">
        <f t="shared" ref="AK228:AK229" si="633">SUM(O223)</f>
        <v>7315</v>
      </c>
      <c r="AL228" s="12">
        <f t="shared" ref="AL228:AL234" ca="1" si="634">AI228/AK228</f>
        <v>0.49419002050580996</v>
      </c>
      <c r="AM228" s="13">
        <f t="shared" ref="AM228:AM229" si="635">SUM(Q223)</f>
        <v>1.5</v>
      </c>
      <c r="AN228" s="12">
        <f t="shared" ref="AN228:AN234" ca="1" si="636">AO228/AM228</f>
        <v>0.51367987044183827</v>
      </c>
      <c r="AO228" s="14">
        <f t="shared" ref="AO228:AO234" ca="1" si="637">AI228/AB228</f>
        <v>0.77051980566275735</v>
      </c>
      <c r="AP228" s="13">
        <f t="shared" ref="AP228:AQ228" ca="1" si="638">SUM(T223)</f>
        <v>151.84768747774834</v>
      </c>
      <c r="AQ228" s="13">
        <f t="shared" ca="1" si="638"/>
        <v>6.3269869782395141</v>
      </c>
      <c r="AR228" s="9">
        <f t="shared" ref="AR228:AR234" ca="1" si="639">AI228/AA228</f>
        <v>150.625</v>
      </c>
      <c r="AS228" s="76"/>
      <c r="AT228" s="76"/>
    </row>
    <row r="229" spans="1:46" ht="15.75" customHeight="1" x14ac:dyDescent="0.25">
      <c r="A229" s="70"/>
      <c r="B229" s="16">
        <v>8</v>
      </c>
      <c r="C229" s="16" t="s">
        <v>25</v>
      </c>
      <c r="D229" s="34">
        <v>26</v>
      </c>
      <c r="E229" s="18">
        <f ca="1">IFERROR(__xludf.DUMMYFUNCTION("COUNT(IMPORTRANGE(""https://docs.google.com/spreadsheets/d/1KbRFOEYB0B44J_NSh1MwYQ1sLDlZXUHI-wuMLcZDn5k/edit"",""9!d2:D33""))"),25)</f>
        <v>25</v>
      </c>
      <c r="F229" s="23">
        <f ca="1">IFERROR(__xludf.DUMMYFUNCTION("SUM(IMPORTRANGE(""https://docs.google.com/spreadsheets/d/1KbRFOEYB0B44J_NSh1MwYQ1sLDlZXUHI-wuMLcZDn5k/edit"",""9!Q2:Q33""))"),4817.44799999999)</f>
        <v>4817.4479999999903</v>
      </c>
      <c r="G229" s="18">
        <f ca="1">IFERROR(__xludf.DUMMYFUNCTION("IMPORTRANGE(""https://docs.google.com/spreadsheets/d/1KbRFOEYB0B44J_NSh1MwYQ1sLDlZXUHI-wuMLcZDn5k/edit"",""9!e40"")"),1478)</f>
        <v>1478</v>
      </c>
      <c r="H229" s="18">
        <f ca="1">IFERROR(__xludf.DUMMYFUNCTION("IMPORTRANGE(""https://docs.google.com/spreadsheets/d/1KbRFOEYB0B44J_NSh1MwYQ1sLDlZXUHI-wuMLcZDn5k/edit"",""9!e41"")"),319)</f>
        <v>319</v>
      </c>
      <c r="I229" s="18">
        <f t="shared" ca="1" si="612"/>
        <v>1797</v>
      </c>
      <c r="J229" s="18">
        <f ca="1">IFERROR(__xludf.DUMMYFUNCTION("IMPORTRANGE(""https://docs.google.com/spreadsheets/d/1KbRFOEYB0B44J_NSh1MwYQ1sLDlZXUHI-wuMLcZDn5k/edit"",""9!e44"")"),2619)</f>
        <v>2619</v>
      </c>
      <c r="K229" s="18">
        <f ca="1">IFERROR(__xludf.DUMMYFUNCTION("IMPORTRANGE(""https://docs.google.com/spreadsheets/d/1KbRFOEYB0B44J_NSh1MwYQ1sLDlZXUHI-wuMLcZDn5k/edit"",""9!e45"")"),306)</f>
        <v>306</v>
      </c>
      <c r="L229" s="18">
        <f ca="1">J229+K229</f>
        <v>2925</v>
      </c>
      <c r="M229" s="18">
        <f t="shared" ca="1" si="614"/>
        <v>4722</v>
      </c>
      <c r="N229" s="19">
        <f t="shared" ca="1" si="615"/>
        <v>192.69791999999961</v>
      </c>
      <c r="O229" s="16">
        <v>6622</v>
      </c>
      <c r="P229" s="20">
        <f t="shared" ca="1" si="616"/>
        <v>0.71307762005436426</v>
      </c>
      <c r="Q229" s="21">
        <v>1.5</v>
      </c>
      <c r="R229" s="20">
        <f t="shared" ca="1" si="617"/>
        <v>0.65345801345442778</v>
      </c>
      <c r="S229" s="22">
        <f t="shared" ca="1" si="618"/>
        <v>0.98018702018164172</v>
      </c>
      <c r="T229" s="21">
        <f ca="1">F229/23.84</f>
        <v>202.07416107382511</v>
      </c>
      <c r="U229" s="21">
        <f t="shared" ca="1" si="619"/>
        <v>8.0829664429530048</v>
      </c>
      <c r="V229" s="18">
        <f t="shared" ca="1" si="620"/>
        <v>188.88</v>
      </c>
      <c r="W229" s="76"/>
      <c r="X229" s="8">
        <v>2</v>
      </c>
      <c r="Y229" s="8" t="s">
        <v>30</v>
      </c>
      <c r="Z229" s="8">
        <f t="shared" ref="Z229:AI229" si="640">SUM(D224)</f>
        <v>45</v>
      </c>
      <c r="AA229" s="9">
        <f t="shared" ca="1" si="640"/>
        <v>43</v>
      </c>
      <c r="AB229" s="10">
        <f t="shared" ca="1" si="640"/>
        <v>8555.2669999999907</v>
      </c>
      <c r="AC229" s="9">
        <f t="shared" ca="1" si="640"/>
        <v>2092</v>
      </c>
      <c r="AD229" s="9">
        <f t="shared" ca="1" si="640"/>
        <v>0</v>
      </c>
      <c r="AE229" s="9">
        <f t="shared" ca="1" si="640"/>
        <v>2092</v>
      </c>
      <c r="AF229" s="9">
        <f t="shared" ca="1" si="640"/>
        <v>4130</v>
      </c>
      <c r="AG229" s="9">
        <f t="shared" ca="1" si="640"/>
        <v>0</v>
      </c>
      <c r="AH229" s="9">
        <f t="shared" ca="1" si="640"/>
        <v>4130</v>
      </c>
      <c r="AI229" s="9">
        <f t="shared" ca="1" si="640"/>
        <v>6222</v>
      </c>
      <c r="AJ229" s="11">
        <f t="shared" ca="1" si="632"/>
        <v>198.95969767441838</v>
      </c>
      <c r="AK229" s="8">
        <f t="shared" si="633"/>
        <v>11164</v>
      </c>
      <c r="AL229" s="12">
        <f t="shared" ca="1" si="634"/>
        <v>0.55732712289501973</v>
      </c>
      <c r="AM229" s="13">
        <f t="shared" si="635"/>
        <v>1.5</v>
      </c>
      <c r="AN229" s="12">
        <f t="shared" ca="1" si="636"/>
        <v>0.48484752141575527</v>
      </c>
      <c r="AO229" s="14">
        <f t="shared" ca="1" si="637"/>
        <v>0.7272712821236329</v>
      </c>
      <c r="AP229" s="13">
        <f t="shared" ref="AP229:AQ229" ca="1" si="641">SUM(T224)</f>
        <v>288.99999999999966</v>
      </c>
      <c r="AQ229" s="13">
        <f t="shared" ca="1" si="641"/>
        <v>6.7209302325581319</v>
      </c>
      <c r="AR229" s="9">
        <f t="shared" ca="1" si="639"/>
        <v>144.69767441860466</v>
      </c>
      <c r="AS229" s="76"/>
      <c r="AT229" s="76"/>
    </row>
    <row r="230" spans="1:46" ht="15.75" customHeight="1" x14ac:dyDescent="0.25">
      <c r="A230" s="70"/>
      <c r="B230" s="16">
        <v>9</v>
      </c>
      <c r="C230" s="16" t="s">
        <v>36</v>
      </c>
      <c r="D230" s="34">
        <v>22</v>
      </c>
      <c r="E230" s="18">
        <f ca="1">IFERROR(__xludf.DUMMYFUNCTION("COUNT(IMPORTRANGE(""https://docs.google.com/spreadsheets/d/1VqqqRGfmmkT0JC4ILJva2p8P11jjV0FX-TSKAaqOigw/edit"",""9!d2:d31""))"),22)</f>
        <v>22</v>
      </c>
      <c r="F230" s="23">
        <f ca="1">IFERROR(__xludf.DUMMYFUNCTION("SUM(IMPORTRANGE(""https://docs.google.com/spreadsheets/d/1VqqqRGfmmkT0JC4ILJva2p8P11jjV0FX-TSKAaqOigw/edit"",""9!Q2:Q31""))"),4372.64999999999)</f>
        <v>4372.6499999999896</v>
      </c>
      <c r="G230" s="18">
        <f ca="1">IFERROR(__xludf.DUMMYFUNCTION("IMPORTRANGE(""https://docs.google.com/spreadsheets/d/1VqqqRGfmmkT0JC4ILJva2p8P11jjV0FX-TSKAaqOigw/edit"",""9!e38"")"),915)</f>
        <v>915</v>
      </c>
      <c r="H230" s="18">
        <f ca="1">IFERROR(__xludf.DUMMYFUNCTION("IMPORTRANGE(""https://docs.google.com/spreadsheets/d/1VqqqRGfmmkT0JC4ILJva2p8P11jjV0FX-TSKAaqOigw/edit"",""9!e39"")"),0)</f>
        <v>0</v>
      </c>
      <c r="I230" s="18">
        <f t="shared" ca="1" si="612"/>
        <v>915</v>
      </c>
      <c r="J230" s="18">
        <f ca="1">IFERROR(__xludf.DUMMYFUNCTION("IMPORTRANGE(""https://docs.google.com/spreadsheets/d/1VqqqRGfmmkT0JC4ILJva2p8P11jjV0FX-TSKAaqOigw/edit"",""9!e42"")"),1586)</f>
        <v>1586</v>
      </c>
      <c r="K230" s="18">
        <f ca="1">IFERROR(__xludf.DUMMYFUNCTION("IMPORTRANGE(""https://docs.google.com/spreadsheets/d/1VqqqRGfmmkT0JC4ILJva2p8P11jjV0FX-TSKAaqOigw/edit"",""9!e43"")"),0)</f>
        <v>0</v>
      </c>
      <c r="L230" s="18">
        <f t="shared" ref="L230:L239" ca="1" si="642">SUM(J230:K230)</f>
        <v>1586</v>
      </c>
      <c r="M230" s="18">
        <f t="shared" ca="1" si="614"/>
        <v>2501</v>
      </c>
      <c r="N230" s="19">
        <f t="shared" ca="1" si="615"/>
        <v>198.75681818181772</v>
      </c>
      <c r="O230" s="16">
        <v>4796</v>
      </c>
      <c r="P230" s="20">
        <f t="shared" ca="1" si="616"/>
        <v>0.52147623019182654</v>
      </c>
      <c r="Q230" s="21">
        <v>1.5</v>
      </c>
      <c r="R230" s="20">
        <f t="shared" ca="1" si="617"/>
        <v>0.38130957962181683</v>
      </c>
      <c r="S230" s="22">
        <f t="shared" ca="1" si="618"/>
        <v>0.57196436943272522</v>
      </c>
      <c r="T230" s="21">
        <f ca="1">F230/37.414</f>
        <v>116.87202651413881</v>
      </c>
      <c r="U230" s="21">
        <f t="shared" ca="1" si="619"/>
        <v>5.3123648415517639</v>
      </c>
      <c r="V230" s="18">
        <f t="shared" ca="1" si="620"/>
        <v>113.68181818181819</v>
      </c>
      <c r="W230" s="76"/>
      <c r="X230" s="8">
        <v>3</v>
      </c>
      <c r="Y230" s="8" t="s">
        <v>34</v>
      </c>
      <c r="Z230" s="8">
        <f t="shared" ref="Z230:AI230" si="643">SUM(D226)</f>
        <v>30</v>
      </c>
      <c r="AA230" s="9">
        <f t="shared" ca="1" si="643"/>
        <v>30</v>
      </c>
      <c r="AB230" s="10">
        <f t="shared" ca="1" si="643"/>
        <v>5809.7280000000001</v>
      </c>
      <c r="AC230" s="9">
        <f t="shared" ca="1" si="643"/>
        <v>1892</v>
      </c>
      <c r="AD230" s="9">
        <f t="shared" ca="1" si="643"/>
        <v>0</v>
      </c>
      <c r="AE230" s="9">
        <f t="shared" ca="1" si="643"/>
        <v>1892</v>
      </c>
      <c r="AF230" s="9">
        <f t="shared" ca="1" si="643"/>
        <v>2318</v>
      </c>
      <c r="AG230" s="9">
        <f t="shared" ca="1" si="643"/>
        <v>38</v>
      </c>
      <c r="AH230" s="9">
        <f t="shared" ca="1" si="643"/>
        <v>2356</v>
      </c>
      <c r="AI230" s="9">
        <f t="shared" ca="1" si="643"/>
        <v>4248</v>
      </c>
      <c r="AJ230" s="11">
        <f t="shared" ca="1" si="632"/>
        <v>193.6576</v>
      </c>
      <c r="AK230" s="8">
        <f>SUM(O226)</f>
        <v>9354</v>
      </c>
      <c r="AL230" s="12">
        <f t="shared" ca="1" si="634"/>
        <v>0.45413726747915328</v>
      </c>
      <c r="AM230" s="13">
        <f>SUM(Q226)</f>
        <v>1.5</v>
      </c>
      <c r="AN230" s="12">
        <f t="shared" ca="1" si="636"/>
        <v>0.48745827687630122</v>
      </c>
      <c r="AO230" s="14">
        <f t="shared" ca="1" si="637"/>
        <v>0.73118741531445186</v>
      </c>
      <c r="AP230" s="13">
        <f t="shared" ref="AP230:AQ230" ca="1" si="644">SUM(T226)</f>
        <v>189.16185328688178</v>
      </c>
      <c r="AQ230" s="13">
        <f t="shared" ca="1" si="644"/>
        <v>6.3053951095627259</v>
      </c>
      <c r="AR230" s="9">
        <f t="shared" ca="1" si="639"/>
        <v>141.6</v>
      </c>
      <c r="AS230" s="76"/>
      <c r="AT230" s="76"/>
    </row>
    <row r="231" spans="1:46" ht="15.75" customHeight="1" x14ac:dyDescent="0.25">
      <c r="A231" s="70"/>
      <c r="B231" s="16">
        <v>10</v>
      </c>
      <c r="C231" s="16" t="s">
        <v>37</v>
      </c>
      <c r="D231" s="17">
        <v>23</v>
      </c>
      <c r="E231" s="18">
        <f ca="1">IFERROR(__xludf.DUMMYFUNCTION("COUNT(IMPORTRANGE(""https://docs.google.com/spreadsheets/d/1IYeRjQd_D6MRqoBKNaky3aSEUloYCJc5XDnPAbdyetk/edit"",""9!d2:d31""))"),23)</f>
        <v>23</v>
      </c>
      <c r="F231" s="23">
        <f ca="1">IFERROR(__xludf.DUMMYFUNCTION("SUM(IMPORTRANGE(""https://docs.google.com/spreadsheets/d/1IYeRjQd_D6MRqoBKNaky3aSEUloYCJc5XDnPAbdyetk/edit"",""9!Q2:Q31""))"),4597.38)</f>
        <v>4597.38</v>
      </c>
      <c r="G231" s="18">
        <f ca="1">IFERROR(__xludf.DUMMYFUNCTION("(IMPORTRANGE(""https://docs.google.com/spreadsheets/d/1IYeRjQd_D6MRqoBKNaky3aSEUloYCJc5XDnPAbdyetk/edit"",""9!e38""))"),922)</f>
        <v>922</v>
      </c>
      <c r="H231" s="18">
        <f ca="1">IFERROR(__xludf.DUMMYFUNCTION("(IMPORTRANGE(""https://docs.google.com/spreadsheets/d/1IYeRjQd_D6MRqoBKNaky3aSEUloYCJc5XDnPAbdyetk/edit"",""9!e39""))"),38)</f>
        <v>38</v>
      </c>
      <c r="I231" s="18">
        <f t="shared" ca="1" si="612"/>
        <v>960</v>
      </c>
      <c r="J231" s="18">
        <f ca="1">IFERROR(__xludf.DUMMYFUNCTION("(IMPORTRANGE(""https://docs.google.com/spreadsheets/d/1IYeRjQd_D6MRqoBKNaky3aSEUloYCJc5XDnPAbdyetk/edit"",""9!e42""))"),1869)</f>
        <v>1869</v>
      </c>
      <c r="K231" s="18">
        <f ca="1">IFERROR(__xludf.DUMMYFUNCTION("(IMPORTRANGE(""https://docs.google.com/spreadsheets/d/1IYeRjQd_D6MRqoBKNaky3aSEUloYCJc5XDnPAbdyetk/edit"",""9!e43""))"),49)</f>
        <v>49</v>
      </c>
      <c r="L231" s="18">
        <f t="shared" ca="1" si="642"/>
        <v>1918</v>
      </c>
      <c r="M231" s="18">
        <f t="shared" ca="1" si="614"/>
        <v>2878</v>
      </c>
      <c r="N231" s="19">
        <f t="shared" ca="1" si="615"/>
        <v>199.88608695652175</v>
      </c>
      <c r="O231" s="16">
        <v>5887</v>
      </c>
      <c r="P231" s="20">
        <f t="shared" ca="1" si="616"/>
        <v>0.48887378970613216</v>
      </c>
      <c r="Q231" s="21">
        <v>1.5</v>
      </c>
      <c r="R231" s="20">
        <f t="shared" ca="1" si="617"/>
        <v>0.4173391511397071</v>
      </c>
      <c r="S231" s="22">
        <f t="shared" ca="1" si="618"/>
        <v>0.62600872670956065</v>
      </c>
      <c r="T231" s="21">
        <f ca="1">F231/24.792</f>
        <v>185.4380445304937</v>
      </c>
      <c r="U231" s="21">
        <f t="shared" ca="1" si="619"/>
        <v>8.0625236752388556</v>
      </c>
      <c r="V231" s="18">
        <f t="shared" ca="1" si="620"/>
        <v>125.1304347826087</v>
      </c>
      <c r="W231" s="76"/>
      <c r="X231" s="8">
        <v>4</v>
      </c>
      <c r="Y231" s="8" t="s">
        <v>38</v>
      </c>
      <c r="Z231" s="8">
        <f t="shared" ref="Z231:AI231" si="645">SUM(D234)</f>
        <v>23</v>
      </c>
      <c r="AA231" s="9">
        <f t="shared" ca="1" si="645"/>
        <v>22</v>
      </c>
      <c r="AB231" s="10">
        <f t="shared" ca="1" si="645"/>
        <v>4244.1149999999998</v>
      </c>
      <c r="AC231" s="9">
        <f t="shared" ca="1" si="645"/>
        <v>1196</v>
      </c>
      <c r="AD231" s="9">
        <f t="shared" ca="1" si="645"/>
        <v>0</v>
      </c>
      <c r="AE231" s="9">
        <f t="shared" ca="1" si="645"/>
        <v>1196</v>
      </c>
      <c r="AF231" s="9">
        <f t="shared" ca="1" si="645"/>
        <v>1810</v>
      </c>
      <c r="AG231" s="9">
        <f t="shared" ca="1" si="645"/>
        <v>197</v>
      </c>
      <c r="AH231" s="9">
        <f t="shared" ca="1" si="645"/>
        <v>2007</v>
      </c>
      <c r="AI231" s="9">
        <f t="shared" ca="1" si="645"/>
        <v>3203</v>
      </c>
      <c r="AJ231" s="11">
        <f t="shared" ca="1" si="632"/>
        <v>192.91431818181817</v>
      </c>
      <c r="AK231" s="8">
        <v>7324</v>
      </c>
      <c r="AL231" s="12">
        <f t="shared" ca="1" si="634"/>
        <v>0.43732932823593662</v>
      </c>
      <c r="AM231" s="13">
        <f>SUM(Q234)</f>
        <v>1.5</v>
      </c>
      <c r="AN231" s="12">
        <f t="shared" ca="1" si="636"/>
        <v>0.50312805692902607</v>
      </c>
      <c r="AO231" s="14">
        <f t="shared" ca="1" si="637"/>
        <v>0.75469208539353905</v>
      </c>
      <c r="AP231" s="13">
        <f t="shared" ref="AP231:AQ231" ca="1" si="646">SUM(T234)</f>
        <v>103</v>
      </c>
      <c r="AQ231" s="13">
        <f t="shared" ca="1" si="646"/>
        <v>4.6818181818181817</v>
      </c>
      <c r="AR231" s="9">
        <f t="shared" ca="1" si="639"/>
        <v>145.59090909090909</v>
      </c>
      <c r="AS231" s="76"/>
      <c r="AT231" s="76"/>
    </row>
    <row r="232" spans="1:46" ht="15.75" customHeight="1" x14ac:dyDescent="0.25">
      <c r="A232" s="70"/>
      <c r="B232" s="16">
        <v>12</v>
      </c>
      <c r="C232" s="16" t="s">
        <v>39</v>
      </c>
      <c r="D232" s="17">
        <v>21</v>
      </c>
      <c r="E232" s="18">
        <f ca="1">IFERROR(__xludf.DUMMYFUNCTION("COUNT(IMPORTRANGE(""https://docs.google.com/spreadsheets/d/1TAY2D35yAzyl8a_p5CuZehQvmatfj0b0Q8ICl8GtJBY/edit"",""9!d2:d29""))"),21)</f>
        <v>21</v>
      </c>
      <c r="F232" s="23">
        <f ca="1">IFERROR(__xludf.DUMMYFUNCTION("SUM(IMPORTRANGE(""https://docs.google.com/spreadsheets/d/1TAY2D35yAzyl8a_p5CuZehQvmatfj0b0Q8ICl8GtJBY/edit"",""9!Q2:Q29""))"),325.948)</f>
        <v>325.94799999999998</v>
      </c>
      <c r="G232" s="18">
        <f ca="1">IFERROR(__xludf.DUMMYFUNCTION("IMPORTRANGE(""https://docs.google.com/spreadsheets/d/1TAY2D35yAzyl8a_p5CuZehQvmatfj0b0Q8ICl8GtJBY/edit"",""9!e36"")"),773)</f>
        <v>773</v>
      </c>
      <c r="H232" s="18">
        <f ca="1">IFERROR(__xludf.DUMMYFUNCTION("(IMPORTRANGE(""https://docs.google.com/spreadsheets/d/1TAY2D35yAzyl8a_p5CuZehQvmatfj0b0Q8ICl8GtJBY/edit"",""9!e37""))"),0)</f>
        <v>0</v>
      </c>
      <c r="I232" s="18">
        <f t="shared" ca="1" si="612"/>
        <v>773</v>
      </c>
      <c r="J232" s="18">
        <f ca="1">IFERROR(__xludf.DUMMYFUNCTION("IMPORTRANGE(""https://docs.google.com/spreadsheets/d/1TAY2D35yAzyl8a_p5CuZehQvmatfj0b0Q8ICl8GtJBY/edit"",""9!e40"")"),1281)</f>
        <v>1281</v>
      </c>
      <c r="K232" s="18">
        <f ca="1">IFERROR(__xludf.DUMMYFUNCTION("IMPORTRANGE(""https://docs.google.com/spreadsheets/d/1TAY2D35yAzyl8a_p5CuZehQvmatfj0b0Q8ICl8GtJBY/edit"",""9!e41"")"),201)</f>
        <v>201</v>
      </c>
      <c r="L232" s="18">
        <f t="shared" ca="1" si="642"/>
        <v>1482</v>
      </c>
      <c r="M232" s="18">
        <f t="shared" ca="1" si="614"/>
        <v>2255</v>
      </c>
      <c r="N232" s="19">
        <f t="shared" ca="1" si="615"/>
        <v>15.521333333333333</v>
      </c>
      <c r="O232" s="16">
        <v>3569</v>
      </c>
      <c r="P232" s="20">
        <f t="shared" ca="1" si="616"/>
        <v>0.63182964415802745</v>
      </c>
      <c r="Q232" s="21">
        <v>1.5</v>
      </c>
      <c r="R232" s="20">
        <f t="shared" ca="1" si="617"/>
        <v>4.6121876291105739</v>
      </c>
      <c r="S232" s="22">
        <f t="shared" ca="1" si="618"/>
        <v>6.9182814436658608</v>
      </c>
      <c r="T232" s="21">
        <f ca="1">F232/21.463</f>
        <v>15.186507012067278</v>
      </c>
      <c r="U232" s="21">
        <f t="shared" ca="1" si="619"/>
        <v>0.72316700057463223</v>
      </c>
      <c r="V232" s="18">
        <f t="shared" ca="1" si="620"/>
        <v>107.38095238095238</v>
      </c>
      <c r="W232" s="76"/>
      <c r="X232" s="8">
        <v>5</v>
      </c>
      <c r="Y232" s="8" t="s">
        <v>40</v>
      </c>
      <c r="Z232" s="8">
        <f t="shared" ref="Z232:AI232" si="647">SUM(D236)</f>
        <v>23</v>
      </c>
      <c r="AA232" s="9">
        <f t="shared" ca="1" si="647"/>
        <v>23</v>
      </c>
      <c r="AB232" s="10">
        <f t="shared" ca="1" si="647"/>
        <v>4493.9939999999997</v>
      </c>
      <c r="AC232" s="9">
        <f t="shared" ca="1" si="647"/>
        <v>2198</v>
      </c>
      <c r="AD232" s="9">
        <f t="shared" ca="1" si="647"/>
        <v>0</v>
      </c>
      <c r="AE232" s="9">
        <f t="shared" ca="1" si="647"/>
        <v>2198</v>
      </c>
      <c r="AF232" s="9">
        <f t="shared" ca="1" si="647"/>
        <v>2786</v>
      </c>
      <c r="AG232" s="9">
        <f t="shared" ca="1" si="647"/>
        <v>0</v>
      </c>
      <c r="AH232" s="9">
        <f t="shared" ca="1" si="647"/>
        <v>2786</v>
      </c>
      <c r="AI232" s="9">
        <f t="shared" ca="1" si="647"/>
        <v>4984</v>
      </c>
      <c r="AJ232" s="11">
        <f t="shared" ca="1" si="632"/>
        <v>195.39104347826085</v>
      </c>
      <c r="AK232" s="8">
        <f t="shared" ref="AK232:AK233" si="648">SUM(O236)</f>
        <v>8239</v>
      </c>
      <c r="AL232" s="12">
        <f t="shared" ca="1" si="634"/>
        <v>0.60492778249787593</v>
      </c>
      <c r="AM232" s="13">
        <f t="shared" ref="AM232:AM233" si="649">SUM(Q236)</f>
        <v>1.5</v>
      </c>
      <c r="AN232" s="12">
        <f t="shared" ca="1" si="636"/>
        <v>0.73935716573423704</v>
      </c>
      <c r="AO232" s="14">
        <f t="shared" ca="1" si="637"/>
        <v>1.1090357486013556</v>
      </c>
      <c r="AP232" s="13">
        <f t="shared" ref="AP232:AQ232" ca="1" si="650">SUM(T236)</f>
        <v>157.99999999999997</v>
      </c>
      <c r="AQ232" s="13">
        <f t="shared" ca="1" si="650"/>
        <v>6.8695652173913029</v>
      </c>
      <c r="AR232" s="9">
        <f t="shared" ca="1" si="639"/>
        <v>216.69565217391303</v>
      </c>
      <c r="AS232" s="76"/>
      <c r="AT232" s="76"/>
    </row>
    <row r="233" spans="1:46" ht="15.75" customHeight="1" x14ac:dyDescent="0.25">
      <c r="A233" s="70"/>
      <c r="B233" s="16">
        <v>12</v>
      </c>
      <c r="C233" s="16" t="s">
        <v>41</v>
      </c>
      <c r="D233" s="17">
        <v>19</v>
      </c>
      <c r="E233" s="18">
        <f ca="1">IFERROR(__xludf.DUMMYFUNCTION("COUNT(IMPORTRANGE(""https://docs.google.com/spreadsheets/d/1VAsUtLQHi7oV9NsI9EIHPnO1bcPJHeRgSbMoxSvPBME/edit"",""9!d2:d25""))"),19)</f>
        <v>19</v>
      </c>
      <c r="F233" s="23">
        <f ca="1">IFERROR(__xludf.DUMMYFUNCTION("SUM(IMPORTRANGE(""https://docs.google.com/spreadsheets/d/1VAsUtLQHi7oV9NsI9EIHPnO1bcPJHeRgSbMoxSvPBME/edit"",""9!Q2:Q25""))"),3802.26)</f>
        <v>3802.26</v>
      </c>
      <c r="G233" s="18">
        <f ca="1">IFERROR(__xludf.DUMMYFUNCTION("IMPORTRANGE(""https://docs.google.com/spreadsheets/d/1VAsUtLQHi7oV9NsI9EIHPnO1bcPJHeRgSbMoxSvPBME/edit"",""9!e32"")"),834)</f>
        <v>834</v>
      </c>
      <c r="H233" s="18">
        <f ca="1">IFERROR(__xludf.DUMMYFUNCTION("IMPORTRANGE(""https://docs.google.com/spreadsheets/d/1VAsUtLQHi7oV9NsI9EIHPnO1bcPJHeRgSbMoxSvPBME/edit"",""9!e33"")"),0)</f>
        <v>0</v>
      </c>
      <c r="I233" s="18">
        <f t="shared" ca="1" si="612"/>
        <v>834</v>
      </c>
      <c r="J233" s="18">
        <f ca="1">IFERROR(__xludf.DUMMYFUNCTION("IMPORTRANGE(""https://docs.google.com/spreadsheets/d/1VAsUtLQHi7oV9NsI9EIHPnO1bcPJHeRgSbMoxSvPBME/edit"",""9!e36"")"),995)</f>
        <v>995</v>
      </c>
      <c r="K233" s="18">
        <f ca="1">IFERROR(__xludf.DUMMYFUNCTION("IMPORTRANGE(""https://docs.google.com/spreadsheets/d/1VAsUtLQHi7oV9NsI9EIHPnO1bcPJHeRgSbMoxSvPBME/edit"",""9!e37"")"),24)</f>
        <v>24</v>
      </c>
      <c r="L233" s="18">
        <f t="shared" ca="1" si="642"/>
        <v>1019</v>
      </c>
      <c r="M233" s="18">
        <f t="shared" ca="1" si="614"/>
        <v>1853</v>
      </c>
      <c r="N233" s="19">
        <f t="shared" ca="1" si="615"/>
        <v>200.11894736842106</v>
      </c>
      <c r="O233" s="16">
        <v>3801</v>
      </c>
      <c r="P233" s="20">
        <f t="shared" ca="1" si="616"/>
        <v>0.48750328860826098</v>
      </c>
      <c r="Q233" s="21">
        <v>1.5</v>
      </c>
      <c r="R233" s="20">
        <f t="shared" ca="1" si="617"/>
        <v>0.32489449257371489</v>
      </c>
      <c r="S233" s="22">
        <f t="shared" ca="1" si="618"/>
        <v>0.48734173886057236</v>
      </c>
      <c r="T233" s="21">
        <f ca="1">F233/29.628</f>
        <v>128.33333333333334</v>
      </c>
      <c r="U233" s="21">
        <f t="shared" ca="1" si="619"/>
        <v>6.7543859649122808</v>
      </c>
      <c r="V233" s="18">
        <f t="shared" ca="1" si="620"/>
        <v>97.526315789473685</v>
      </c>
      <c r="W233" s="76"/>
      <c r="X233" s="8">
        <v>6</v>
      </c>
      <c r="Y233" s="8" t="s">
        <v>42</v>
      </c>
      <c r="Z233" s="8">
        <f t="shared" ref="Z233:AI233" si="651">SUM(D237)</f>
        <v>24</v>
      </c>
      <c r="AA233" s="9">
        <f t="shared" ca="1" si="651"/>
        <v>24</v>
      </c>
      <c r="AB233" s="10">
        <f t="shared" ca="1" si="651"/>
        <v>5021.7599999999902</v>
      </c>
      <c r="AC233" s="9">
        <f t="shared" ca="1" si="651"/>
        <v>1969</v>
      </c>
      <c r="AD233" s="9">
        <f t="shared" ca="1" si="651"/>
        <v>0</v>
      </c>
      <c r="AE233" s="9">
        <f t="shared" ca="1" si="651"/>
        <v>1969</v>
      </c>
      <c r="AF233" s="9">
        <f t="shared" ca="1" si="651"/>
        <v>3093</v>
      </c>
      <c r="AG233" s="9">
        <f t="shared" ca="1" si="651"/>
        <v>141</v>
      </c>
      <c r="AH233" s="9">
        <f t="shared" ca="1" si="651"/>
        <v>3234</v>
      </c>
      <c r="AI233" s="9">
        <f t="shared" ca="1" si="651"/>
        <v>5203</v>
      </c>
      <c r="AJ233" s="11">
        <f t="shared" ca="1" si="632"/>
        <v>209.23999999999958</v>
      </c>
      <c r="AK233" s="8">
        <f t="shared" si="648"/>
        <v>9877</v>
      </c>
      <c r="AL233" s="12">
        <f t="shared" ca="1" si="634"/>
        <v>0.52677938645337652</v>
      </c>
      <c r="AM233" s="13">
        <f t="shared" si="649"/>
        <v>1.5</v>
      </c>
      <c r="AN233" s="12">
        <f t="shared" ca="1" si="636"/>
        <v>0.69072728817519613</v>
      </c>
      <c r="AO233" s="14">
        <f t="shared" ca="1" si="637"/>
        <v>1.0360909322627943</v>
      </c>
      <c r="AP233" s="13">
        <f t="shared" ref="AP233:AQ233" ca="1" si="652">SUM(T237)</f>
        <v>191.99999999999963</v>
      </c>
      <c r="AQ233" s="13">
        <f t="shared" ca="1" si="652"/>
        <v>7.9999999999999849</v>
      </c>
      <c r="AR233" s="9">
        <f t="shared" ca="1" si="639"/>
        <v>216.79166666666666</v>
      </c>
      <c r="AS233" s="76"/>
      <c r="AT233" s="76"/>
    </row>
    <row r="234" spans="1:46" ht="15.75" customHeight="1" x14ac:dyDescent="0.25">
      <c r="A234" s="70"/>
      <c r="B234" s="16">
        <v>13</v>
      </c>
      <c r="C234" s="16" t="s">
        <v>43</v>
      </c>
      <c r="D234" s="17">
        <v>23</v>
      </c>
      <c r="E234" s="18">
        <f ca="1">IFERROR(__xludf.DUMMYFUNCTION("COUNT(IMPORTRANGE(""https://docs.google.com/spreadsheets/d/1p9Y_DGk7-TpRBFth-ljZceOIGCjQ0ylUeUq6xqnsZ-Q/edit"",""9!d2:d31""))"),22)</f>
        <v>22</v>
      </c>
      <c r="F234" s="23">
        <f ca="1">IFERROR(__xludf.DUMMYFUNCTION("SUM(IMPORTRANGE(""https://docs.google.com/spreadsheets/d/1p9Y_DGk7-TpRBFth-ljZceOIGCjQ0ylUeUq6xqnsZ-Q/edit"",""9!Q2:Q31""))"),4244.115)</f>
        <v>4244.1149999999998</v>
      </c>
      <c r="G234" s="18">
        <f ca="1">IFERROR(__xludf.DUMMYFUNCTION("IMPORTRANGE(""https://docs.google.com/spreadsheets/d/1p9Y_DGk7-TpRBFth-ljZceOIGCjQ0ylUeUq6xqnsZ-Q/edit"",""9!e38"")"),1196)</f>
        <v>1196</v>
      </c>
      <c r="H234" s="18">
        <f ca="1">IFERROR(__xludf.DUMMYFUNCTION("IMPORTRANGE(""https://docs.google.com/spreadsheets/d/1p9Y_DGk7-TpRBFth-ljZceOIGCjQ0ylUeUq6xqnsZ-Q/edit"",""9!e39"")"),0)</f>
        <v>0</v>
      </c>
      <c r="I234" s="18">
        <f t="shared" ca="1" si="612"/>
        <v>1196</v>
      </c>
      <c r="J234" s="18">
        <f ca="1">IFERROR(__xludf.DUMMYFUNCTION("IMPORTRANGE(""https://docs.google.com/spreadsheets/d/1p9Y_DGk7-TpRBFth-ljZceOIGCjQ0ylUeUq6xqnsZ-Q/edit"",""9!e42"")"),1810)</f>
        <v>1810</v>
      </c>
      <c r="K234" s="18">
        <f ca="1">IFERROR(__xludf.DUMMYFUNCTION("IMPORTRANGE(""https://docs.google.com/spreadsheets/d/1p9Y_DGk7-TpRBFth-ljZceOIGCjQ0ylUeUq6xqnsZ-Q/edit"",""9!e43"")"),197)</f>
        <v>197</v>
      </c>
      <c r="L234" s="18">
        <f t="shared" ca="1" si="642"/>
        <v>2007</v>
      </c>
      <c r="M234" s="18">
        <f t="shared" ca="1" si="614"/>
        <v>3203</v>
      </c>
      <c r="N234" s="19">
        <f t="shared" ca="1" si="615"/>
        <v>192.91431818181817</v>
      </c>
      <c r="O234" s="16">
        <v>8345</v>
      </c>
      <c r="P234" s="20">
        <f t="shared" ca="1" si="616"/>
        <v>0.38382264829239066</v>
      </c>
      <c r="Q234" s="21">
        <v>1.5</v>
      </c>
      <c r="R234" s="20">
        <f t="shared" ca="1" si="617"/>
        <v>0.50312805692902607</v>
      </c>
      <c r="S234" s="22">
        <f t="shared" ca="1" si="618"/>
        <v>0.75469208539353905</v>
      </c>
      <c r="T234" s="21">
        <f ca="1">F234/41.205</f>
        <v>103</v>
      </c>
      <c r="U234" s="21">
        <f t="shared" ca="1" si="619"/>
        <v>4.6818181818181817</v>
      </c>
      <c r="V234" s="18">
        <f t="shared" ca="1" si="620"/>
        <v>145.59090909090909</v>
      </c>
      <c r="W234" s="76"/>
      <c r="X234" s="24" t="s">
        <v>33</v>
      </c>
      <c r="Y234" s="24">
        <v>6</v>
      </c>
      <c r="Z234" s="24">
        <f t="shared" ref="Z234:AI234" si="653">SUM(Z228:Z233)</f>
        <v>169</v>
      </c>
      <c r="AA234" s="25">
        <f t="shared" ca="1" si="653"/>
        <v>166</v>
      </c>
      <c r="AB234" s="27">
        <f t="shared" ca="1" si="653"/>
        <v>32816.501999999964</v>
      </c>
      <c r="AC234" s="25">
        <f t="shared" ca="1" si="653"/>
        <v>10940</v>
      </c>
      <c r="AD234" s="25">
        <f t="shared" ca="1" si="653"/>
        <v>58</v>
      </c>
      <c r="AE234" s="25">
        <f t="shared" ca="1" si="653"/>
        <v>10998</v>
      </c>
      <c r="AF234" s="25">
        <f t="shared" ca="1" si="653"/>
        <v>16000</v>
      </c>
      <c r="AG234" s="25">
        <f t="shared" ca="1" si="653"/>
        <v>477</v>
      </c>
      <c r="AH234" s="25">
        <f t="shared" ca="1" si="653"/>
        <v>16477</v>
      </c>
      <c r="AI234" s="25">
        <f t="shared" ca="1" si="653"/>
        <v>27475</v>
      </c>
      <c r="AJ234" s="27">
        <f t="shared" ca="1" si="632"/>
        <v>197.68977108433714</v>
      </c>
      <c r="AK234" s="24">
        <f>SUM(AK228:AK233)</f>
        <v>53273</v>
      </c>
      <c r="AL234" s="28">
        <f t="shared" ca="1" si="634"/>
        <v>0.51573968051358099</v>
      </c>
      <c r="AM234" s="29">
        <v>1.5</v>
      </c>
      <c r="AN234" s="28">
        <f t="shared" ca="1" si="636"/>
        <v>0.55815414655305695</v>
      </c>
      <c r="AO234" s="30">
        <f t="shared" ca="1" si="637"/>
        <v>0.83723121982958548</v>
      </c>
      <c r="AP234" s="29">
        <f ca="1">SUM(AP228:AP233)</f>
        <v>1083.0095407646293</v>
      </c>
      <c r="AQ234" s="29">
        <f ca="1">AP234/AA234</f>
        <v>6.5241538600278872</v>
      </c>
      <c r="AR234" s="25">
        <f t="shared" ca="1" si="639"/>
        <v>165.51204819277109</v>
      </c>
      <c r="AS234" s="76"/>
      <c r="AT234" s="76"/>
    </row>
    <row r="235" spans="1:46" ht="15.75" customHeight="1" x14ac:dyDescent="0.25">
      <c r="A235" s="70"/>
      <c r="B235" s="16">
        <v>14</v>
      </c>
      <c r="C235" s="16" t="s">
        <v>27</v>
      </c>
      <c r="D235" s="17">
        <v>23</v>
      </c>
      <c r="E235" s="18">
        <f ca="1">IFERROR(__xludf.DUMMYFUNCTION("COUNT(IMPORTRANGE(""https://docs.google.com/spreadsheets/d/1zJUDEKztv_fercXA0LYNw155qdzS7TJGhWLhquaW5IY/edit"",""9!d2:d31""))"),22)</f>
        <v>22</v>
      </c>
      <c r="F235" s="23">
        <f ca="1">IFERROR(__xludf.DUMMYFUNCTION("SUM(IMPORTRANGE(""https://docs.google.com/spreadsheets/d/1zJUDEKztv_fercXA0LYNw155qdzS7TJGhWLhquaW5IY/edit"",""9!Q2:Q31""))"),4272.68299999999)</f>
        <v>4272.68299999999</v>
      </c>
      <c r="G235" s="18">
        <f ca="1">IFERROR(__xludf.DUMMYFUNCTION("IMPORTRANGE(""https://docs.google.com/spreadsheets/d/1zJUDEKztv_fercXA0LYNw155qdzS7TJGhWLhquaW5IY/edit"",""9!e38"")"),1460)</f>
        <v>1460</v>
      </c>
      <c r="H235" s="18">
        <f ca="1">IFERROR(__xludf.DUMMYFUNCTION("IMPORTRANGE(""https://docs.google.com/spreadsheets/d/1zJUDEKztv_fercXA0LYNw155qdzS7TJGhWLhquaW5IY/edit"",""9!e39"")"),0)</f>
        <v>0</v>
      </c>
      <c r="I235" s="18">
        <f t="shared" ca="1" si="612"/>
        <v>1460</v>
      </c>
      <c r="J235" s="18">
        <f ca="1">IFERROR(__xludf.DUMMYFUNCTION("IMPORTRANGE(""https://docs.google.com/spreadsheets/d/1zJUDEKztv_fercXA0LYNw155qdzS7TJGhWLhquaW5IY/edit"",""9!e42"")"),2428)</f>
        <v>2428</v>
      </c>
      <c r="K235" s="18">
        <f ca="1">IFERROR(__xludf.DUMMYFUNCTION("IMPORTRANGE(""https://docs.google.com/spreadsheets/d/1zJUDEKztv_fercXA0LYNw155qdzS7TJGhWLhquaW5IY/edit"",""9!e43"")"),0)</f>
        <v>0</v>
      </c>
      <c r="L235" s="18">
        <f t="shared" ca="1" si="642"/>
        <v>2428</v>
      </c>
      <c r="M235" s="18">
        <f t="shared" ca="1" si="614"/>
        <v>3888</v>
      </c>
      <c r="N235" s="19">
        <f t="shared" ca="1" si="615"/>
        <v>194.21286363636318</v>
      </c>
      <c r="O235" s="16">
        <v>8101</v>
      </c>
      <c r="P235" s="20">
        <f t="shared" ca="1" si="616"/>
        <v>0.47994074805579556</v>
      </c>
      <c r="Q235" s="21">
        <v>1.5</v>
      </c>
      <c r="R235" s="20">
        <f t="shared" ca="1" si="617"/>
        <v>0.60664458374281593</v>
      </c>
      <c r="S235" s="22">
        <f t="shared" ca="1" si="618"/>
        <v>0.90996687561422396</v>
      </c>
      <c r="T235" s="21">
        <f ca="1">F235/19.985</f>
        <v>213.79449587190342</v>
      </c>
      <c r="U235" s="21">
        <f t="shared" ca="1" si="619"/>
        <v>9.7179316305410648</v>
      </c>
      <c r="V235" s="18">
        <f t="shared" ca="1" si="620"/>
        <v>176.72727272727272</v>
      </c>
      <c r="W235" s="76"/>
      <c r="X235" s="97" t="s">
        <v>44</v>
      </c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9"/>
      <c r="AS235" s="76"/>
      <c r="AT235" s="76"/>
    </row>
    <row r="236" spans="1:46" ht="15.75" customHeight="1" x14ac:dyDescent="0.25">
      <c r="A236" s="70"/>
      <c r="B236" s="16">
        <v>15</v>
      </c>
      <c r="C236" s="16" t="s">
        <v>40</v>
      </c>
      <c r="D236" s="17">
        <v>23</v>
      </c>
      <c r="E236" s="18">
        <f ca="1">IFERROR(__xludf.DUMMYFUNCTION("COUNT(IMPORTRANGE(""https://docs.google.com/spreadsheets/d/15GJA66Ucb-8RQ5vWVpq5HYaWoZZFX82SCeHChBujbrI/edit"",""9!d2:d31""))"),23)</f>
        <v>23</v>
      </c>
      <c r="F236" s="23">
        <f ca="1">IFERROR(__xludf.DUMMYFUNCTION("SUM(IMPORTRANGE(""https://docs.google.com/spreadsheets/d/15GJA66Ucb-8RQ5vWVpq5HYaWoZZFX82SCeHChBujbrI/edit"",""9!Q2:Q31""))"),4493.994)</f>
        <v>4493.9939999999997</v>
      </c>
      <c r="G236" s="18">
        <f ca="1">IFERROR(__xludf.DUMMYFUNCTION("IMPORTRANGE(""https://docs.google.com/spreadsheets/d/15GJA66Ucb-8RQ5vWVpq5HYaWoZZFX82SCeHChBujbrI/edit"",""9!e38"")"),2198)</f>
        <v>2198</v>
      </c>
      <c r="H236" s="18">
        <f ca="1">IFERROR(__xludf.DUMMYFUNCTION("IMPORTRANGE(""https://docs.google.com/spreadsheets/d/15GJA66Ucb-8RQ5vWVpq5HYaWoZZFX82SCeHChBujbrI/edit"",""9!e39"")"),0)</f>
        <v>0</v>
      </c>
      <c r="I236" s="18">
        <f t="shared" ca="1" si="612"/>
        <v>2198</v>
      </c>
      <c r="J236" s="18">
        <f ca="1">IFERROR(__xludf.DUMMYFUNCTION("IMPORTRANGE(""https://docs.google.com/spreadsheets/d/15GJA66Ucb-8RQ5vWVpq5HYaWoZZFX82SCeHChBujbrI/edit"",""9!e42"")"),2786)</f>
        <v>2786</v>
      </c>
      <c r="K236" s="18">
        <f ca="1">IFERROR(__xludf.DUMMYFUNCTION("IMPORTRANGE(""https://docs.google.com/spreadsheets/d/15GJA66Ucb-8RQ5vWVpq5HYaWoZZFX82SCeHChBujbrI/edit"",""9!e43"")"),0)</f>
        <v>0</v>
      </c>
      <c r="L236" s="18">
        <f t="shared" ca="1" si="642"/>
        <v>2786</v>
      </c>
      <c r="M236" s="18">
        <f t="shared" ca="1" si="614"/>
        <v>4984</v>
      </c>
      <c r="N236" s="19">
        <f t="shared" ca="1" si="615"/>
        <v>195.39104347826085</v>
      </c>
      <c r="O236" s="16">
        <v>8239</v>
      </c>
      <c r="P236" s="20">
        <f t="shared" ca="1" si="616"/>
        <v>0.60492778249787593</v>
      </c>
      <c r="Q236" s="21">
        <v>1.5</v>
      </c>
      <c r="R236" s="20">
        <f t="shared" ca="1" si="617"/>
        <v>0.73935716573423704</v>
      </c>
      <c r="S236" s="22">
        <f t="shared" ca="1" si="618"/>
        <v>1.1090357486013556</v>
      </c>
      <c r="T236" s="21">
        <f ca="1">F236/28.443</f>
        <v>157.99999999999997</v>
      </c>
      <c r="U236" s="21">
        <f t="shared" ca="1" si="619"/>
        <v>6.8695652173913029</v>
      </c>
      <c r="V236" s="18">
        <f t="shared" ca="1" si="620"/>
        <v>216.69565217391303</v>
      </c>
      <c r="W236" s="76"/>
      <c r="X236" s="1" t="s">
        <v>2</v>
      </c>
      <c r="Y236" s="1" t="s">
        <v>3</v>
      </c>
      <c r="Z236" s="1" t="s">
        <v>4</v>
      </c>
      <c r="AA236" s="1" t="s">
        <v>5</v>
      </c>
      <c r="AB236" s="2" t="s">
        <v>6</v>
      </c>
      <c r="AC236" s="1" t="s">
        <v>7</v>
      </c>
      <c r="AD236" s="1" t="s">
        <v>8</v>
      </c>
      <c r="AE236" s="1" t="s">
        <v>9</v>
      </c>
      <c r="AF236" s="1" t="s">
        <v>10</v>
      </c>
      <c r="AG236" s="1" t="s">
        <v>11</v>
      </c>
      <c r="AH236" s="1" t="s">
        <v>12</v>
      </c>
      <c r="AI236" s="1" t="s">
        <v>13</v>
      </c>
      <c r="AJ236" s="2" t="s">
        <v>14</v>
      </c>
      <c r="AK236" s="1" t="s">
        <v>15</v>
      </c>
      <c r="AL236" s="1" t="s">
        <v>16</v>
      </c>
      <c r="AM236" s="3" t="s">
        <v>17</v>
      </c>
      <c r="AN236" s="4" t="s">
        <v>18</v>
      </c>
      <c r="AO236" s="5" t="s">
        <v>19</v>
      </c>
      <c r="AP236" s="6" t="s">
        <v>20</v>
      </c>
      <c r="AQ236" s="6" t="s">
        <v>21</v>
      </c>
      <c r="AR236" s="7" t="s">
        <v>22</v>
      </c>
      <c r="AS236" s="76"/>
      <c r="AT236" s="76"/>
    </row>
    <row r="237" spans="1:46" ht="15.75" customHeight="1" x14ac:dyDescent="0.25">
      <c r="A237" s="70"/>
      <c r="B237" s="16">
        <v>16</v>
      </c>
      <c r="C237" s="16" t="s">
        <v>42</v>
      </c>
      <c r="D237" s="17">
        <v>24</v>
      </c>
      <c r="E237" s="18">
        <f ca="1">IFERROR(__xludf.DUMMYFUNCTION("COUNT(IMPORTRANGE(""https://docs.google.com/spreadsheets/d/14Tu_jFPEdrIQ6DHYu6vRvJKQsbXr-48NY1tKy4-8JKI/edit"",""9!d2:d34""))"),24)</f>
        <v>24</v>
      </c>
      <c r="F237" s="23">
        <f ca="1">IFERROR(__xludf.DUMMYFUNCTION("SUM(IMPORTRANGE(""https://docs.google.com/spreadsheets/d/14Tu_jFPEdrIQ6DHYu6vRvJKQsbXr-48NY1tKy4-8JKI/edit"",""9!Q2:Q34""))"),5021.75999999999)</f>
        <v>5021.7599999999902</v>
      </c>
      <c r="G237" s="18">
        <f ca="1">IFERROR(__xludf.DUMMYFUNCTION("IMPORTRANGE(""https://docs.google.com/spreadsheets/d/14Tu_jFPEdrIQ6DHYu6vRvJKQsbXr-48NY1tKy4-8JKI/edit"",""9!e41"")"),1969)</f>
        <v>1969</v>
      </c>
      <c r="H237" s="18">
        <f ca="1">IFERROR(__xludf.DUMMYFUNCTION("IMPORTRANGE(""https://docs.google.com/spreadsheets/d/14Tu_jFPEdrIQ6DHYu6vRvJKQsbXr-48NY1tKy4-8JKI/edit"",""9!e42"")"),0)</f>
        <v>0</v>
      </c>
      <c r="I237" s="18">
        <f t="shared" ca="1" si="612"/>
        <v>1969</v>
      </c>
      <c r="J237" s="18">
        <f ca="1">IFERROR(__xludf.DUMMYFUNCTION("IMPORTRANGE(""https://docs.google.com/spreadsheets/d/14Tu_jFPEdrIQ6DHYu6vRvJKQsbXr-48NY1tKy4-8JKI/edit"",""9!e45"")"),3093)</f>
        <v>3093</v>
      </c>
      <c r="K237" s="18">
        <f ca="1">IFERROR(__xludf.DUMMYFUNCTION("IMPORTRANGE(""https://docs.google.com/spreadsheets/d/14Tu_jFPEdrIQ6DHYu6vRvJKQsbXr-48NY1tKy4-8JKI/edit"",""9!e46"")"),141)</f>
        <v>141</v>
      </c>
      <c r="L237" s="18">
        <f t="shared" ca="1" si="642"/>
        <v>3234</v>
      </c>
      <c r="M237" s="18">
        <f t="shared" ca="1" si="614"/>
        <v>5203</v>
      </c>
      <c r="N237" s="19">
        <f t="shared" ca="1" si="615"/>
        <v>209.23999999999958</v>
      </c>
      <c r="O237" s="16">
        <v>9877</v>
      </c>
      <c r="P237" s="20">
        <f t="shared" ca="1" si="616"/>
        <v>0.52677938645337652</v>
      </c>
      <c r="Q237" s="21">
        <v>1.5</v>
      </c>
      <c r="R237" s="20">
        <f t="shared" ca="1" si="617"/>
        <v>0.69072728817519613</v>
      </c>
      <c r="S237" s="22">
        <f t="shared" ca="1" si="618"/>
        <v>1.0360909322627943</v>
      </c>
      <c r="T237" s="21">
        <f ca="1">F237/26.155</f>
        <v>191.99999999999963</v>
      </c>
      <c r="U237" s="21">
        <f t="shared" ca="1" si="619"/>
        <v>7.9999999999999849</v>
      </c>
      <c r="V237" s="18">
        <f t="shared" ca="1" si="620"/>
        <v>216.79166666666666</v>
      </c>
      <c r="W237" s="76"/>
      <c r="X237" s="8">
        <v>1</v>
      </c>
      <c r="Y237" s="8" t="s">
        <v>26</v>
      </c>
      <c r="Z237" s="8">
        <f t="shared" ref="Z237:AI237" si="654">SUM(D222)</f>
        <v>15</v>
      </c>
      <c r="AA237" s="9">
        <f t="shared" ca="1" si="654"/>
        <v>15</v>
      </c>
      <c r="AB237" s="11">
        <f t="shared" ca="1" si="654"/>
        <v>2897.8739999999998</v>
      </c>
      <c r="AC237" s="9">
        <f t="shared" ca="1" si="654"/>
        <v>1462</v>
      </c>
      <c r="AD237" s="9">
        <f t="shared" ca="1" si="654"/>
        <v>0</v>
      </c>
      <c r="AE237" s="9">
        <f t="shared" ca="1" si="654"/>
        <v>1462</v>
      </c>
      <c r="AF237" s="9">
        <f t="shared" ca="1" si="654"/>
        <v>2067</v>
      </c>
      <c r="AG237" s="9">
        <f t="shared" ca="1" si="654"/>
        <v>48</v>
      </c>
      <c r="AH237" s="9">
        <f t="shared" ca="1" si="654"/>
        <v>2115</v>
      </c>
      <c r="AI237" s="9">
        <f t="shared" ca="1" si="654"/>
        <v>3577</v>
      </c>
      <c r="AJ237" s="11">
        <f t="shared" ref="AJ237:AJ243" ca="1" si="655">AB237/AA237</f>
        <v>193.19159999999999</v>
      </c>
      <c r="AK237" s="8">
        <f>SUM(O222)</f>
        <v>5161</v>
      </c>
      <c r="AL237" s="12">
        <f t="shared" ref="AL237:AL243" ca="1" si="656">AI237/AK237</f>
        <v>0.69308273590389458</v>
      </c>
      <c r="AM237" s="13">
        <f>SUM(Q222)</f>
        <v>1.5</v>
      </c>
      <c r="AN237" s="12">
        <f t="shared" ref="AN237:AN243" ca="1" si="657">AO237/AM237</f>
        <v>0.82290212295864729</v>
      </c>
      <c r="AO237" s="14">
        <f t="shared" ref="AO237:AO243" ca="1" si="658">AI237/AB237</f>
        <v>1.2343531844379709</v>
      </c>
      <c r="AP237" s="13">
        <f t="shared" ref="AP237:AQ237" ca="1" si="659">SUM(T222)</f>
        <v>201.0318418314256</v>
      </c>
      <c r="AQ237" s="13">
        <f t="shared" ca="1" si="659"/>
        <v>13.402122788761707</v>
      </c>
      <c r="AR237" s="9">
        <f t="shared" ref="AR237:AR243" ca="1" si="660">AI237/AA237</f>
        <v>238.46666666666667</v>
      </c>
      <c r="AS237" s="76"/>
      <c r="AT237" s="76"/>
    </row>
    <row r="238" spans="1:46" ht="15.75" customHeight="1" x14ac:dyDescent="0.25">
      <c r="A238" s="70"/>
      <c r="B238" s="16">
        <v>17</v>
      </c>
      <c r="C238" s="16" t="s">
        <v>29</v>
      </c>
      <c r="D238" s="17">
        <v>23</v>
      </c>
      <c r="E238" s="18">
        <f ca="1">IFERROR(__xludf.DUMMYFUNCTION("COUNT(IMPORTRANGE(""https://docs.google.com/spreadsheets/d/1ja_RQYsP0p5wRrACHojay4CW1wLx0QdS5tSwp-vYQ-s/edit"",""9!d2:d31""))"),22)</f>
        <v>22</v>
      </c>
      <c r="F238" s="23">
        <f ca="1">IFERROR(__xludf.DUMMYFUNCTION("SUM(IMPORTRANGE(""https://docs.google.com/spreadsheets/d/1ja_RQYsP0p5wRrACHojay4CW1wLx0QdS5tSwp-vYQ-s/edit"",""9!Q2:Q31""))"),4296.27)</f>
        <v>4296.2700000000004</v>
      </c>
      <c r="G238" s="18">
        <f ca="1">IFERROR(__xludf.DUMMYFUNCTION("IMPORTRANGE(""https://docs.google.com/spreadsheets/d/1ja_RQYsP0p5wRrACHojay4CW1wLx0QdS5tSwp-vYQ-s/edit"",""9!e38"")"),1718)</f>
        <v>1718</v>
      </c>
      <c r="H238" s="18">
        <f ca="1">IFERROR(__xludf.DUMMYFUNCTION("IMPORTRANGE(""https://docs.google.com/spreadsheets/d/1ja_RQYsP0p5wRrACHojay4CW1wLx0QdS5tSwp-vYQ-s/edit"",""9!e39"")"),0)</f>
        <v>0</v>
      </c>
      <c r="I238" s="18">
        <f t="shared" ca="1" si="612"/>
        <v>1718</v>
      </c>
      <c r="J238" s="18">
        <f ca="1">IFERROR(__xludf.DUMMYFUNCTION("IMPORTRANGE(""https://docs.google.com/spreadsheets/d/1ja_RQYsP0p5wRrACHojay4CW1wLx0QdS5tSwp-vYQ-s/edit"",""9!e42"")"),2638)</f>
        <v>2638</v>
      </c>
      <c r="K238" s="18">
        <f ca="1">IFERROR(__xludf.DUMMYFUNCTION("IMPORTRANGE(""https://docs.google.com/spreadsheets/d/1ja_RQYsP0p5wRrACHojay4CW1wLx0QdS5tSwp-vYQ-s/edit"",""9!e43"")"),0)</f>
        <v>0</v>
      </c>
      <c r="L238" s="18">
        <f t="shared" ca="1" si="642"/>
        <v>2638</v>
      </c>
      <c r="M238" s="18">
        <f t="shared" ca="1" si="614"/>
        <v>4356</v>
      </c>
      <c r="N238" s="19">
        <f t="shared" ca="1" si="615"/>
        <v>195.28500000000003</v>
      </c>
      <c r="O238" s="16">
        <v>9201</v>
      </c>
      <c r="P238" s="20">
        <f t="shared" ca="1" si="616"/>
        <v>0.47342680143462668</v>
      </c>
      <c r="Q238" s="21">
        <v>1.5</v>
      </c>
      <c r="R238" s="20">
        <f t="shared" ca="1" si="617"/>
        <v>0.67593517167217143</v>
      </c>
      <c r="S238" s="22">
        <f t="shared" ca="1" si="618"/>
        <v>1.0139027575082571</v>
      </c>
      <c r="T238" s="21">
        <f ca="1">F238/26.038</f>
        <v>165.00000000000003</v>
      </c>
      <c r="U238" s="21">
        <f t="shared" ca="1" si="619"/>
        <v>7.5000000000000009</v>
      </c>
      <c r="V238" s="18">
        <f t="shared" ca="1" si="620"/>
        <v>198</v>
      </c>
      <c r="W238" s="76"/>
      <c r="X238" s="8">
        <v>2</v>
      </c>
      <c r="Y238" s="8" t="s">
        <v>32</v>
      </c>
      <c r="Z238" s="8">
        <f t="shared" ref="Z238:AI238" si="661">SUM(D225)</f>
        <v>32</v>
      </c>
      <c r="AA238" s="9">
        <f t="shared" ca="1" si="661"/>
        <v>31</v>
      </c>
      <c r="AB238" s="10">
        <f t="shared" ca="1" si="661"/>
        <v>6032.8299999999899</v>
      </c>
      <c r="AC238" s="8">
        <f t="shared" ca="1" si="661"/>
        <v>3179</v>
      </c>
      <c r="AD238" s="8">
        <f t="shared" ca="1" si="661"/>
        <v>0</v>
      </c>
      <c r="AE238" s="9">
        <f t="shared" ca="1" si="661"/>
        <v>3179</v>
      </c>
      <c r="AF238" s="8">
        <f t="shared" ca="1" si="661"/>
        <v>3910</v>
      </c>
      <c r="AG238" s="8">
        <f t="shared" ca="1" si="661"/>
        <v>0</v>
      </c>
      <c r="AH238" s="9">
        <f t="shared" ca="1" si="661"/>
        <v>3910</v>
      </c>
      <c r="AI238" s="9">
        <f t="shared" ca="1" si="661"/>
        <v>7089</v>
      </c>
      <c r="AJ238" s="11">
        <f t="shared" ca="1" si="655"/>
        <v>194.60741935483838</v>
      </c>
      <c r="AK238" s="8">
        <f>SUM(O225)</f>
        <v>13817</v>
      </c>
      <c r="AL238" s="12">
        <f t="shared" ca="1" si="656"/>
        <v>0.51306361728305705</v>
      </c>
      <c r="AM238" s="13">
        <f>SUM(Q225)</f>
        <v>1.5</v>
      </c>
      <c r="AN238" s="12">
        <f t="shared" ca="1" si="657"/>
        <v>0.78338027095078233</v>
      </c>
      <c r="AO238" s="14">
        <f t="shared" ca="1" si="658"/>
        <v>1.1750704064261734</v>
      </c>
      <c r="AP238" s="13">
        <f t="shared" ref="AP238:AQ238" ca="1" si="662">SUM(T225)</f>
        <v>240.45717246602058</v>
      </c>
      <c r="AQ238" s="13">
        <f t="shared" ca="1" si="662"/>
        <v>7.7566829827748576</v>
      </c>
      <c r="AR238" s="9">
        <f t="shared" ca="1" si="660"/>
        <v>228.67741935483872</v>
      </c>
      <c r="AS238" s="76"/>
      <c r="AT238" s="76"/>
    </row>
    <row r="239" spans="1:46" ht="15.75" customHeight="1" x14ac:dyDescent="0.25">
      <c r="A239" s="70"/>
      <c r="B239" s="16">
        <v>18</v>
      </c>
      <c r="C239" s="16" t="s">
        <v>31</v>
      </c>
      <c r="D239" s="17">
        <v>11</v>
      </c>
      <c r="E239" s="18">
        <f ca="1">IFERROR(__xludf.DUMMYFUNCTION("COUNT(IMPORTRANGE(""https://docs.google.com/spreadsheets/d/1ObnK1oSznTOmyW9Zcd2kxExl7TOnO2MNq_0giEKc_mE/edit"",""9!d2:d16""))"),11)</f>
        <v>11</v>
      </c>
      <c r="F239" s="19">
        <f ca="1">IFERROR(__xludf.DUMMYFUNCTION("SUM(IMPORTRANGE(""https://docs.google.com/spreadsheets/d/1ObnK1oSznTOmyW9Zcd2kxExl7TOnO2MNq_0giEKc_mE/edit"",""9!Q2:Q16""))"),2129.785)</f>
        <v>2129.7849999999999</v>
      </c>
      <c r="G239" s="18">
        <f ca="1">IFERROR(__xludf.DUMMYFUNCTION("IMPORTRANGE(""https://docs.google.com/spreadsheets/d/1ObnK1oSznTOmyW9Zcd2kxExl7TOnO2MNq_0giEKc_mE/edit"",""9!e23"")"),410)</f>
        <v>410</v>
      </c>
      <c r="H239" s="18">
        <f ca="1">IFERROR(__xludf.DUMMYFUNCTION("IMPORTRANGE(""https://docs.google.com/spreadsheets/d/1ObnK1oSznTOmyW9Zcd2kxExl7TOnO2MNq_0giEKc_mE/edit"",""9!e24"")"),0)</f>
        <v>0</v>
      </c>
      <c r="I239" s="18">
        <f t="shared" ca="1" si="612"/>
        <v>410</v>
      </c>
      <c r="J239" s="18">
        <f ca="1">IFERROR(__xludf.DUMMYFUNCTION("IMPORTRANGE(""https://docs.google.com/spreadsheets/d/1ObnK1oSznTOmyW9Zcd2kxExl7TOnO2MNq_0giEKc_mE/edit"",""9!e27"")"),672)</f>
        <v>672</v>
      </c>
      <c r="K239" s="18">
        <f ca="1">IFERROR(__xludf.DUMMYFUNCTION("IMPORTRANGE(""https://docs.google.com/spreadsheets/d/1ObnK1oSznTOmyW9Zcd2kxExl7TOnO2MNq_0giEKc_mE/edit"",""9!e28"")"),0)</f>
        <v>0</v>
      </c>
      <c r="L239" s="18">
        <f t="shared" ca="1" si="642"/>
        <v>672</v>
      </c>
      <c r="M239" s="18">
        <f t="shared" ca="1" si="614"/>
        <v>1082</v>
      </c>
      <c r="N239" s="19">
        <f t="shared" ca="1" si="615"/>
        <v>193.61681818181816</v>
      </c>
      <c r="O239" s="16">
        <v>2717</v>
      </c>
      <c r="P239" s="20">
        <f t="shared" ca="1" si="616"/>
        <v>0.39823334560176665</v>
      </c>
      <c r="Q239" s="21">
        <v>1.5</v>
      </c>
      <c r="R239" s="20">
        <f t="shared" ca="1" si="617"/>
        <v>0.33868833395546188</v>
      </c>
      <c r="S239" s="22">
        <f t="shared" ca="1" si="618"/>
        <v>0.50803250093319285</v>
      </c>
      <c r="T239" s="21">
        <f ca="1">F239/43.465</f>
        <v>48.999999999999993</v>
      </c>
      <c r="U239" s="21">
        <f t="shared" ca="1" si="619"/>
        <v>4.4545454545454541</v>
      </c>
      <c r="V239" s="18">
        <f t="shared" ca="1" si="620"/>
        <v>98.36363636363636</v>
      </c>
      <c r="W239" s="76"/>
      <c r="X239" s="8">
        <v>3</v>
      </c>
      <c r="Y239" s="8" t="s">
        <v>36</v>
      </c>
      <c r="Z239" s="8">
        <f t="shared" ref="Z239:AI239" si="663">SUM(D230)</f>
        <v>22</v>
      </c>
      <c r="AA239" s="9">
        <f t="shared" ca="1" si="663"/>
        <v>22</v>
      </c>
      <c r="AB239" s="10">
        <f t="shared" ca="1" si="663"/>
        <v>4372.6499999999896</v>
      </c>
      <c r="AC239" s="9">
        <f t="shared" ca="1" si="663"/>
        <v>915</v>
      </c>
      <c r="AD239" s="9">
        <f t="shared" ca="1" si="663"/>
        <v>0</v>
      </c>
      <c r="AE239" s="9">
        <f t="shared" ca="1" si="663"/>
        <v>915</v>
      </c>
      <c r="AF239" s="9">
        <f t="shared" ca="1" si="663"/>
        <v>1586</v>
      </c>
      <c r="AG239" s="9">
        <f t="shared" ca="1" si="663"/>
        <v>0</v>
      </c>
      <c r="AH239" s="9">
        <f t="shared" ca="1" si="663"/>
        <v>1586</v>
      </c>
      <c r="AI239" s="9">
        <f t="shared" ca="1" si="663"/>
        <v>2501</v>
      </c>
      <c r="AJ239" s="11">
        <f t="shared" ca="1" si="655"/>
        <v>198.75681818181772</v>
      </c>
      <c r="AK239" s="8">
        <f t="shared" ref="AK239:AK242" si="664">SUM(O230)</f>
        <v>4796</v>
      </c>
      <c r="AL239" s="12">
        <f t="shared" ca="1" si="656"/>
        <v>0.52147623019182654</v>
      </c>
      <c r="AM239" s="13">
        <f t="shared" ref="AM239:AM242" si="665">SUM(Q230)</f>
        <v>1.5</v>
      </c>
      <c r="AN239" s="12">
        <f t="shared" ca="1" si="657"/>
        <v>0.38130957962181683</v>
      </c>
      <c r="AO239" s="14">
        <f t="shared" ca="1" si="658"/>
        <v>0.57196436943272522</v>
      </c>
      <c r="AP239" s="13">
        <f t="shared" ref="AP239:AQ239" ca="1" si="666">SUM(T230)</f>
        <v>116.87202651413881</v>
      </c>
      <c r="AQ239" s="13">
        <f t="shared" ca="1" si="666"/>
        <v>5.3123648415517639</v>
      </c>
      <c r="AR239" s="9">
        <f t="shared" ca="1" si="660"/>
        <v>113.68181818181819</v>
      </c>
      <c r="AS239" s="76"/>
      <c r="AT239" s="76"/>
    </row>
    <row r="240" spans="1:46" ht="15.75" customHeight="1" x14ac:dyDescent="0.2">
      <c r="A240" s="70"/>
      <c r="B240" s="98" t="s">
        <v>33</v>
      </c>
      <c r="C240" s="98">
        <v>18</v>
      </c>
      <c r="D240" s="98">
        <f t="shared" ref="D240:M240" si="667">SUM(D222:D239)</f>
        <v>445</v>
      </c>
      <c r="E240" s="74">
        <f t="shared" ca="1" si="667"/>
        <v>437</v>
      </c>
      <c r="F240" s="99">
        <f t="shared" ca="1" si="667"/>
        <v>81977.738999999914</v>
      </c>
      <c r="G240" s="74">
        <f t="shared" ca="1" si="667"/>
        <v>25754</v>
      </c>
      <c r="H240" s="74">
        <f t="shared" ca="1" si="667"/>
        <v>415</v>
      </c>
      <c r="I240" s="74">
        <f t="shared" ca="1" si="667"/>
        <v>26169</v>
      </c>
      <c r="J240" s="74">
        <f t="shared" ca="1" si="667"/>
        <v>39037</v>
      </c>
      <c r="K240" s="74">
        <f t="shared" ca="1" si="667"/>
        <v>1125</v>
      </c>
      <c r="L240" s="74">
        <f t="shared" ca="1" si="667"/>
        <v>40162</v>
      </c>
      <c r="M240" s="74">
        <f t="shared" ca="1" si="667"/>
        <v>66331</v>
      </c>
      <c r="N240" s="99">
        <f t="shared" ca="1" si="615"/>
        <v>187.59208009153298</v>
      </c>
      <c r="O240" s="98">
        <f>SUM(O222:O239)</f>
        <v>126399</v>
      </c>
      <c r="P240" s="69">
        <f t="shared" ca="1" si="616"/>
        <v>0.52477472131899783</v>
      </c>
      <c r="Q240" s="72">
        <v>1.5</v>
      </c>
      <c r="R240" s="69">
        <f t="shared" ca="1" si="617"/>
        <v>0.53942286291485442</v>
      </c>
      <c r="S240" s="73">
        <f t="shared" ca="1" si="618"/>
        <v>0.80913429437228157</v>
      </c>
      <c r="T240" s="72">
        <f ca="1">SUM(T222:T239)</f>
        <v>2993.710236622981</v>
      </c>
      <c r="U240" s="72">
        <f t="shared" ca="1" si="619"/>
        <v>6.8505955071464095</v>
      </c>
      <c r="V240" s="74">
        <f t="shared" ca="1" si="620"/>
        <v>151.78718535469108</v>
      </c>
      <c r="W240" s="76"/>
      <c r="X240" s="8">
        <v>4</v>
      </c>
      <c r="Y240" s="8" t="s">
        <v>37</v>
      </c>
      <c r="Z240" s="8">
        <f t="shared" ref="Z240:AI240" si="668">SUM(D231)</f>
        <v>23</v>
      </c>
      <c r="AA240" s="9">
        <f t="shared" ca="1" si="668"/>
        <v>23</v>
      </c>
      <c r="AB240" s="10">
        <f t="shared" ca="1" si="668"/>
        <v>4597.38</v>
      </c>
      <c r="AC240" s="9">
        <f t="shared" ca="1" si="668"/>
        <v>922</v>
      </c>
      <c r="AD240" s="9">
        <f t="shared" ca="1" si="668"/>
        <v>38</v>
      </c>
      <c r="AE240" s="9">
        <f t="shared" ca="1" si="668"/>
        <v>960</v>
      </c>
      <c r="AF240" s="9">
        <f t="shared" ca="1" si="668"/>
        <v>1869</v>
      </c>
      <c r="AG240" s="9">
        <f t="shared" ca="1" si="668"/>
        <v>49</v>
      </c>
      <c r="AH240" s="9">
        <f t="shared" ca="1" si="668"/>
        <v>1918</v>
      </c>
      <c r="AI240" s="9">
        <f t="shared" ca="1" si="668"/>
        <v>2878</v>
      </c>
      <c r="AJ240" s="11">
        <f t="shared" ca="1" si="655"/>
        <v>199.88608695652175</v>
      </c>
      <c r="AK240" s="8">
        <f t="shared" si="664"/>
        <v>5887</v>
      </c>
      <c r="AL240" s="12">
        <f t="shared" ca="1" si="656"/>
        <v>0.48887378970613216</v>
      </c>
      <c r="AM240" s="13">
        <f t="shared" si="665"/>
        <v>1.5</v>
      </c>
      <c r="AN240" s="12">
        <f t="shared" ca="1" si="657"/>
        <v>0.4173391511397071</v>
      </c>
      <c r="AO240" s="14">
        <f t="shared" ca="1" si="658"/>
        <v>0.62600872670956065</v>
      </c>
      <c r="AP240" s="13">
        <f t="shared" ref="AP240:AQ240" ca="1" si="669">SUM(T231)</f>
        <v>185.4380445304937</v>
      </c>
      <c r="AQ240" s="13">
        <f t="shared" ca="1" si="669"/>
        <v>8.0625236752388556</v>
      </c>
      <c r="AR240" s="9">
        <f t="shared" ca="1" si="660"/>
        <v>125.1304347826087</v>
      </c>
      <c r="AS240" s="76"/>
      <c r="AT240" s="76"/>
    </row>
    <row r="241" spans="1:46" ht="15.75" customHeight="1" x14ac:dyDescent="0.2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6"/>
      <c r="X241" s="8">
        <v>5</v>
      </c>
      <c r="Y241" s="8" t="s">
        <v>39</v>
      </c>
      <c r="Z241" s="8">
        <f t="shared" ref="Z241:AI241" si="670">SUM(D232)</f>
        <v>21</v>
      </c>
      <c r="AA241" s="9">
        <f t="shared" ca="1" si="670"/>
        <v>21</v>
      </c>
      <c r="AB241" s="10">
        <f t="shared" ca="1" si="670"/>
        <v>325.94799999999998</v>
      </c>
      <c r="AC241" s="9">
        <f t="shared" ca="1" si="670"/>
        <v>773</v>
      </c>
      <c r="AD241" s="9">
        <f t="shared" ca="1" si="670"/>
        <v>0</v>
      </c>
      <c r="AE241" s="9">
        <f t="shared" ca="1" si="670"/>
        <v>773</v>
      </c>
      <c r="AF241" s="9">
        <f t="shared" ca="1" si="670"/>
        <v>1281</v>
      </c>
      <c r="AG241" s="9">
        <f t="shared" ca="1" si="670"/>
        <v>201</v>
      </c>
      <c r="AH241" s="9">
        <f t="shared" ca="1" si="670"/>
        <v>1482</v>
      </c>
      <c r="AI241" s="9">
        <f t="shared" ca="1" si="670"/>
        <v>2255</v>
      </c>
      <c r="AJ241" s="11">
        <f t="shared" ca="1" si="655"/>
        <v>15.521333333333333</v>
      </c>
      <c r="AK241" s="8">
        <f t="shared" si="664"/>
        <v>3569</v>
      </c>
      <c r="AL241" s="12">
        <f t="shared" ca="1" si="656"/>
        <v>0.63182964415802745</v>
      </c>
      <c r="AM241" s="13">
        <f t="shared" si="665"/>
        <v>1.5</v>
      </c>
      <c r="AN241" s="12">
        <f t="shared" ca="1" si="657"/>
        <v>4.6121876291105739</v>
      </c>
      <c r="AO241" s="14">
        <f t="shared" ca="1" si="658"/>
        <v>6.9182814436658608</v>
      </c>
      <c r="AP241" s="13">
        <f t="shared" ref="AP241:AQ241" ca="1" si="671">SUM(T232)</f>
        <v>15.186507012067278</v>
      </c>
      <c r="AQ241" s="13">
        <f t="shared" ca="1" si="671"/>
        <v>0.72316700057463223</v>
      </c>
      <c r="AR241" s="9">
        <f t="shared" ca="1" si="660"/>
        <v>107.38095238095238</v>
      </c>
      <c r="AS241" s="76"/>
      <c r="AT241" s="76"/>
    </row>
    <row r="242" spans="1:46" ht="15.75" customHeight="1" x14ac:dyDescent="0.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6"/>
      <c r="X242" s="8">
        <v>6</v>
      </c>
      <c r="Y242" s="8" t="s">
        <v>41</v>
      </c>
      <c r="Z242" s="8">
        <f t="shared" ref="Z242:AI242" si="672">SUM(D233)</f>
        <v>19</v>
      </c>
      <c r="AA242" s="9">
        <f t="shared" ca="1" si="672"/>
        <v>19</v>
      </c>
      <c r="AB242" s="10">
        <f t="shared" ca="1" si="672"/>
        <v>3802.26</v>
      </c>
      <c r="AC242" s="9">
        <f t="shared" ca="1" si="672"/>
        <v>834</v>
      </c>
      <c r="AD242" s="9">
        <f t="shared" ca="1" si="672"/>
        <v>0</v>
      </c>
      <c r="AE242" s="9">
        <f t="shared" ca="1" si="672"/>
        <v>834</v>
      </c>
      <c r="AF242" s="9">
        <f t="shared" ca="1" si="672"/>
        <v>995</v>
      </c>
      <c r="AG242" s="9">
        <f t="shared" ca="1" si="672"/>
        <v>24</v>
      </c>
      <c r="AH242" s="9">
        <f t="shared" ca="1" si="672"/>
        <v>1019</v>
      </c>
      <c r="AI242" s="9">
        <f t="shared" ca="1" si="672"/>
        <v>1853</v>
      </c>
      <c r="AJ242" s="11">
        <f t="shared" ca="1" si="655"/>
        <v>200.11894736842106</v>
      </c>
      <c r="AK242" s="8">
        <f t="shared" si="664"/>
        <v>3801</v>
      </c>
      <c r="AL242" s="12">
        <f t="shared" ca="1" si="656"/>
        <v>0.48750328860826098</v>
      </c>
      <c r="AM242" s="13">
        <f t="shared" si="665"/>
        <v>1.5</v>
      </c>
      <c r="AN242" s="12">
        <f t="shared" ca="1" si="657"/>
        <v>0.32489449257371489</v>
      </c>
      <c r="AO242" s="14">
        <f t="shared" ca="1" si="658"/>
        <v>0.48734173886057236</v>
      </c>
      <c r="AP242" s="13">
        <f t="shared" ref="AP242:AQ242" ca="1" si="673">SUM(T233)</f>
        <v>128.33333333333334</v>
      </c>
      <c r="AQ242" s="13">
        <f t="shared" ca="1" si="673"/>
        <v>6.7543859649122808</v>
      </c>
      <c r="AR242" s="9">
        <f t="shared" ca="1" si="660"/>
        <v>97.526315789473685</v>
      </c>
      <c r="AS242" s="76"/>
      <c r="AT242" s="76"/>
    </row>
    <row r="243" spans="1:46" ht="15.75" customHeight="1" x14ac:dyDescent="0.25">
      <c r="A243" s="110" t="s">
        <v>45</v>
      </c>
      <c r="B243" s="76"/>
      <c r="C243" s="76"/>
      <c r="D243" s="75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24" t="s">
        <v>33</v>
      </c>
      <c r="Y243" s="24">
        <v>6</v>
      </c>
      <c r="Z243" s="24">
        <f t="shared" ref="Z243:AI243" si="674">SUM(Z237:Z242)</f>
        <v>132</v>
      </c>
      <c r="AA243" s="25">
        <f t="shared" ca="1" si="674"/>
        <v>131</v>
      </c>
      <c r="AB243" s="27">
        <f t="shared" ca="1" si="674"/>
        <v>22028.941999999981</v>
      </c>
      <c r="AC243" s="25">
        <f t="shared" ca="1" si="674"/>
        <v>8085</v>
      </c>
      <c r="AD243" s="25">
        <f t="shared" ca="1" si="674"/>
        <v>38</v>
      </c>
      <c r="AE243" s="25">
        <f t="shared" ca="1" si="674"/>
        <v>8123</v>
      </c>
      <c r="AF243" s="25">
        <f t="shared" ca="1" si="674"/>
        <v>11708</v>
      </c>
      <c r="AG243" s="25">
        <f t="shared" ca="1" si="674"/>
        <v>322</v>
      </c>
      <c r="AH243" s="25">
        <f t="shared" ca="1" si="674"/>
        <v>12030</v>
      </c>
      <c r="AI243" s="25">
        <f t="shared" ca="1" si="674"/>
        <v>20153</v>
      </c>
      <c r="AJ243" s="27">
        <f t="shared" ca="1" si="655"/>
        <v>168.1598625954197</v>
      </c>
      <c r="AK243" s="24">
        <f>SUM(AK237:AK242)</f>
        <v>37031</v>
      </c>
      <c r="AL243" s="28">
        <f t="shared" ca="1" si="656"/>
        <v>0.54421970781237339</v>
      </c>
      <c r="AM243" s="29">
        <v>1.5</v>
      </c>
      <c r="AN243" s="28">
        <f t="shared" ca="1" si="657"/>
        <v>0.60989462559451768</v>
      </c>
      <c r="AO243" s="30">
        <f t="shared" ca="1" si="658"/>
        <v>0.91484193839177652</v>
      </c>
      <c r="AP243" s="29">
        <f ca="1">SUM(AP237:AP242)</f>
        <v>887.31892568747935</v>
      </c>
      <c r="AQ243" s="29">
        <f ca="1">AP243/AA243</f>
        <v>6.7734269136448804</v>
      </c>
      <c r="AR243" s="25">
        <f t="shared" ca="1" si="660"/>
        <v>153.83969465648855</v>
      </c>
      <c r="AS243" s="76"/>
      <c r="AT243" s="76"/>
    </row>
    <row r="244" spans="1:46" ht="15.75" customHeight="1" x14ac:dyDescent="0.2">
      <c r="A244" s="110" t="s">
        <v>45</v>
      </c>
      <c r="B244" s="76"/>
      <c r="C244" s="76"/>
      <c r="D244" s="75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7" t="s">
        <v>1</v>
      </c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9"/>
      <c r="AS244" s="76"/>
      <c r="AT244" s="76"/>
    </row>
    <row r="245" spans="1:46" ht="15.75" customHeight="1" x14ac:dyDescent="0.2">
      <c r="A245" s="109">
        <v>46244</v>
      </c>
      <c r="B245" s="80" t="s">
        <v>2</v>
      </c>
      <c r="C245" s="80" t="s">
        <v>3</v>
      </c>
      <c r="D245" s="80" t="s">
        <v>4</v>
      </c>
      <c r="E245" s="80" t="s">
        <v>5</v>
      </c>
      <c r="F245" s="81" t="s">
        <v>6</v>
      </c>
      <c r="G245" s="80" t="s">
        <v>7</v>
      </c>
      <c r="H245" s="80" t="s">
        <v>8</v>
      </c>
      <c r="I245" s="80" t="s">
        <v>9</v>
      </c>
      <c r="J245" s="80" t="s">
        <v>10</v>
      </c>
      <c r="K245" s="80" t="s">
        <v>11</v>
      </c>
      <c r="L245" s="80" t="s">
        <v>12</v>
      </c>
      <c r="M245" s="80" t="s">
        <v>13</v>
      </c>
      <c r="N245" s="81" t="s">
        <v>14</v>
      </c>
      <c r="O245" s="80" t="s">
        <v>15</v>
      </c>
      <c r="P245" s="80" t="s">
        <v>16</v>
      </c>
      <c r="Q245" s="80" t="s">
        <v>17</v>
      </c>
      <c r="R245" s="80" t="s">
        <v>18</v>
      </c>
      <c r="S245" s="106" t="s">
        <v>19</v>
      </c>
      <c r="T245" s="107" t="s">
        <v>20</v>
      </c>
      <c r="U245" s="107" t="s">
        <v>21</v>
      </c>
      <c r="V245" s="105" t="s">
        <v>22</v>
      </c>
      <c r="W245" s="76"/>
      <c r="X245" s="1" t="s">
        <v>2</v>
      </c>
      <c r="Y245" s="1" t="s">
        <v>3</v>
      </c>
      <c r="Z245" s="1" t="s">
        <v>4</v>
      </c>
      <c r="AA245" s="1" t="s">
        <v>5</v>
      </c>
      <c r="AB245" s="2" t="s">
        <v>6</v>
      </c>
      <c r="AC245" s="1" t="s">
        <v>7</v>
      </c>
      <c r="AD245" s="1" t="s">
        <v>8</v>
      </c>
      <c r="AE245" s="1" t="s">
        <v>9</v>
      </c>
      <c r="AF245" s="1" t="s">
        <v>10</v>
      </c>
      <c r="AG245" s="1" t="s">
        <v>11</v>
      </c>
      <c r="AH245" s="1" t="s">
        <v>12</v>
      </c>
      <c r="AI245" s="1" t="s">
        <v>13</v>
      </c>
      <c r="AJ245" s="2" t="s">
        <v>14</v>
      </c>
      <c r="AK245" s="1" t="s">
        <v>15</v>
      </c>
      <c r="AL245" s="1" t="s">
        <v>16</v>
      </c>
      <c r="AM245" s="3" t="s">
        <v>17</v>
      </c>
      <c r="AN245" s="4" t="s">
        <v>18</v>
      </c>
      <c r="AO245" s="5" t="s">
        <v>19</v>
      </c>
      <c r="AP245" s="6" t="s">
        <v>20</v>
      </c>
      <c r="AQ245" s="6" t="s">
        <v>21</v>
      </c>
      <c r="AR245" s="7" t="s">
        <v>22</v>
      </c>
      <c r="AS245" s="76"/>
      <c r="AT245" s="76"/>
    </row>
    <row r="246" spans="1:46" ht="15.75" customHeight="1" x14ac:dyDescent="0.2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6"/>
      <c r="X246" s="8">
        <v>1</v>
      </c>
      <c r="Y246" s="8" t="s">
        <v>23</v>
      </c>
      <c r="Z246" s="8">
        <f t="shared" ref="Z246:AI246" si="675">SUM(D254)</f>
        <v>35</v>
      </c>
      <c r="AA246" s="9">
        <f t="shared" ca="1" si="675"/>
        <v>35</v>
      </c>
      <c r="AB246" s="10">
        <f t="shared" ca="1" si="675"/>
        <v>6714.2599999999902</v>
      </c>
      <c r="AC246" s="9">
        <f t="shared" ca="1" si="675"/>
        <v>1677</v>
      </c>
      <c r="AD246" s="9">
        <f t="shared" ca="1" si="675"/>
        <v>0</v>
      </c>
      <c r="AE246" s="9">
        <f t="shared" ca="1" si="675"/>
        <v>1677</v>
      </c>
      <c r="AF246" s="9">
        <f t="shared" ca="1" si="675"/>
        <v>3319</v>
      </c>
      <c r="AG246" s="9">
        <f t="shared" ca="1" si="675"/>
        <v>0</v>
      </c>
      <c r="AH246" s="9">
        <f t="shared" ca="1" si="675"/>
        <v>3319</v>
      </c>
      <c r="AI246" s="9">
        <f t="shared" ca="1" si="675"/>
        <v>4996</v>
      </c>
      <c r="AJ246" s="11">
        <f t="shared" ref="AJ246:AJ248" ca="1" si="676">AB246/AA246</f>
        <v>191.83599999999973</v>
      </c>
      <c r="AK246" s="8">
        <f>SUM(O254)</f>
        <v>6853</v>
      </c>
      <c r="AL246" s="12">
        <f t="shared" ref="AL246:AL252" ca="1" si="677">AI246/AK246</f>
        <v>0.72902378520356048</v>
      </c>
      <c r="AM246" s="13">
        <f t="shared" ref="AM246:AM248" si="678">SUM(Q254)</f>
        <v>1.5</v>
      </c>
      <c r="AN246" s="12">
        <f t="shared" ref="AN246:AN252" ca="1" si="679">AO246/AM246</f>
        <v>0.49605863738769002</v>
      </c>
      <c r="AO246" s="14">
        <f t="shared" ref="AO246:AO252" ca="1" si="680">AI246/AB246</f>
        <v>0.744087956081535</v>
      </c>
      <c r="AP246" s="13">
        <f t="shared" ref="AP246:AQ246" ca="1" si="681">SUM(T254)</f>
        <v>198.99999999999969</v>
      </c>
      <c r="AQ246" s="13">
        <f t="shared" ca="1" si="681"/>
        <v>5.6857142857142771</v>
      </c>
      <c r="AR246" s="9">
        <f t="shared" ref="AR246:AR252" ca="1" si="682">AI246/AA246</f>
        <v>142.74285714285713</v>
      </c>
      <c r="AS246" s="76"/>
      <c r="AT246" s="76"/>
    </row>
    <row r="247" spans="1:46" ht="15.75" customHeight="1" x14ac:dyDescent="0.2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6"/>
      <c r="X247" s="8">
        <v>2</v>
      </c>
      <c r="Y247" s="8" t="s">
        <v>24</v>
      </c>
      <c r="Z247" s="8">
        <f t="shared" ref="Z247:AI247" si="683">SUM(D255)</f>
        <v>44</v>
      </c>
      <c r="AA247" s="9">
        <f t="shared" ca="1" si="683"/>
        <v>42</v>
      </c>
      <c r="AB247" s="10">
        <f t="shared" ca="1" si="683"/>
        <v>8211.6209999999901</v>
      </c>
      <c r="AC247" s="9">
        <f t="shared" ca="1" si="683"/>
        <v>1076</v>
      </c>
      <c r="AD247" s="9">
        <f t="shared" ca="1" si="683"/>
        <v>0</v>
      </c>
      <c r="AE247" s="9">
        <f t="shared" ca="1" si="683"/>
        <v>1076</v>
      </c>
      <c r="AF247" s="9">
        <f t="shared" ca="1" si="683"/>
        <v>1377</v>
      </c>
      <c r="AG247" s="9">
        <f t="shared" ca="1" si="683"/>
        <v>0</v>
      </c>
      <c r="AH247" s="9">
        <f t="shared" ca="1" si="683"/>
        <v>1377</v>
      </c>
      <c r="AI247" s="9">
        <f t="shared" ca="1" si="683"/>
        <v>2453</v>
      </c>
      <c r="AJ247" s="11">
        <f t="shared" ca="1" si="676"/>
        <v>195.51478571428547</v>
      </c>
      <c r="AK247" s="8">
        <v>1580</v>
      </c>
      <c r="AL247" s="15">
        <f t="shared" ca="1" si="677"/>
        <v>1.5525316455696203</v>
      </c>
      <c r="AM247" s="13">
        <f t="shared" si="678"/>
        <v>1.5</v>
      </c>
      <c r="AN247" s="12">
        <f t="shared" ca="1" si="679"/>
        <v>0.19914866179690163</v>
      </c>
      <c r="AO247" s="14">
        <f t="shared" ca="1" si="680"/>
        <v>0.29872299269535246</v>
      </c>
      <c r="AP247" s="13">
        <f t="shared" ref="AP247:AQ247" ca="1" si="684">SUM(T255)</f>
        <v>306.34661443760456</v>
      </c>
      <c r="AQ247" s="13">
        <f t="shared" ca="1" si="684"/>
        <v>7.2939670104191565</v>
      </c>
      <c r="AR247" s="9">
        <f t="shared" ca="1" si="682"/>
        <v>58.404761904761905</v>
      </c>
      <c r="AS247" s="76"/>
      <c r="AT247" s="76"/>
    </row>
    <row r="248" spans="1:46" ht="15.75" customHeight="1" x14ac:dyDescent="0.2">
      <c r="A248" s="70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6"/>
      <c r="X248" s="8">
        <v>3</v>
      </c>
      <c r="Y248" s="8" t="s">
        <v>25</v>
      </c>
      <c r="Z248" s="8">
        <f t="shared" ref="Z248:AI248" si="685">SUM(D256)</f>
        <v>32</v>
      </c>
      <c r="AA248" s="9">
        <f t="shared" ca="1" si="685"/>
        <v>32</v>
      </c>
      <c r="AB248" s="10">
        <f t="shared" ca="1" si="685"/>
        <v>5558.2560000000003</v>
      </c>
      <c r="AC248" s="9">
        <f t="shared" ca="1" si="685"/>
        <v>2333</v>
      </c>
      <c r="AD248" s="9">
        <f t="shared" ca="1" si="685"/>
        <v>375</v>
      </c>
      <c r="AE248" s="9">
        <f t="shared" ca="1" si="685"/>
        <v>2708</v>
      </c>
      <c r="AF248" s="9">
        <f t="shared" ca="1" si="685"/>
        <v>2595</v>
      </c>
      <c r="AG248" s="9">
        <f t="shared" ca="1" si="685"/>
        <v>478</v>
      </c>
      <c r="AH248" s="9">
        <f t="shared" ca="1" si="685"/>
        <v>3073</v>
      </c>
      <c r="AI248" s="9">
        <f t="shared" ca="1" si="685"/>
        <v>5781</v>
      </c>
      <c r="AJ248" s="11">
        <f t="shared" ca="1" si="676"/>
        <v>173.69550000000001</v>
      </c>
      <c r="AK248" s="8">
        <f>SUM(O256)</f>
        <v>6622</v>
      </c>
      <c r="AL248" s="12">
        <f t="shared" ca="1" si="677"/>
        <v>0.87299909392932651</v>
      </c>
      <c r="AM248" s="13">
        <f t="shared" si="678"/>
        <v>1.5</v>
      </c>
      <c r="AN248" s="12">
        <f t="shared" ca="1" si="679"/>
        <v>0.69338296041060354</v>
      </c>
      <c r="AO248" s="14">
        <f t="shared" ca="1" si="680"/>
        <v>1.0400744406159053</v>
      </c>
      <c r="AP248" s="13">
        <f t="shared" ref="AP248:AQ248" ca="1" si="686">SUM(T256)</f>
        <v>233.14832214765102</v>
      </c>
      <c r="AQ248" s="13">
        <f t="shared" ca="1" si="686"/>
        <v>7.2858850671140942</v>
      </c>
      <c r="AR248" s="9">
        <f t="shared" ca="1" si="682"/>
        <v>180.65625</v>
      </c>
      <c r="AS248" s="76"/>
      <c r="AT248" s="76"/>
    </row>
    <row r="249" spans="1:46" ht="15.75" customHeight="1" x14ac:dyDescent="0.25">
      <c r="A249" s="70"/>
      <c r="B249" s="16">
        <v>1</v>
      </c>
      <c r="C249" s="16" t="s">
        <v>26</v>
      </c>
      <c r="D249" s="17">
        <v>20</v>
      </c>
      <c r="E249" s="18">
        <f ca="1">IFERROR(__xludf.DUMMYFUNCTION("COUNT(IMPORTRANGE(""https://docs.google.com/spreadsheets/d/1iVFEBQOAONhqDIMRa2hQ7WkCQv0dJWSAmc0AzfvSCMg/edit"",""10!d2:d21""))"),20)</f>
        <v>20</v>
      </c>
      <c r="F249" s="19">
        <f ca="1">IFERROR(__xludf.DUMMYFUNCTION("SUM(IMPORTRANGE(""https://docs.google.com/spreadsheets/d/1iVFEBQOAONhqDIMRa2hQ7WkCQv0dJWSAmc0AzfvSCMg/edit"",""10!Q2:Q21""))"),3525.003)</f>
        <v>3525.0030000000002</v>
      </c>
      <c r="G249" s="18">
        <f ca="1">IFERROR(__xludf.DUMMYFUNCTION("IMPORTRANGE(""https://docs.google.com/spreadsheets/d/1iVFEBQOAONhqDIMRa2hQ7WkCQv0dJWSAmc0AzfvSCMg/edit"",""10!e28"")"),2012)</f>
        <v>2012</v>
      </c>
      <c r="H249" s="18">
        <f ca="1">IFERROR(__xludf.DUMMYFUNCTION("IMPORTRANGE(""https://docs.google.com/spreadsheets/d/1iVFEBQOAONhqDIMRa2hQ7WkCQv0dJWSAmc0AzfvSCMg/edit"",""10!e29"")"),0)</f>
        <v>0</v>
      </c>
      <c r="I249" s="18">
        <f t="shared" ref="I249:I266" ca="1" si="687">SUM(G249:H249)</f>
        <v>2012</v>
      </c>
      <c r="J249" s="18">
        <f ca="1">IFERROR(__xludf.DUMMYFUNCTION("IMPORTRANGE(""https://docs.google.com/spreadsheets/d/1iVFEBQOAONhqDIMRa2hQ7WkCQv0dJWSAmc0AzfvSCMg/edit"",""10!e32"")"),2751)</f>
        <v>2751</v>
      </c>
      <c r="K249" s="18">
        <f ca="1">IFERROR(__xludf.DUMMYFUNCTION("IMPORTRANGE(""https://docs.google.com/spreadsheets/d/1iVFEBQOAONhqDIMRa2hQ7WkCQv0dJWSAmc0AzfvSCMg/edit"",""10!e33"")"),0)</f>
        <v>0</v>
      </c>
      <c r="L249" s="18">
        <f t="shared" ref="L249:L255" ca="1" si="688">SUM(J249:K249)</f>
        <v>2751</v>
      </c>
      <c r="M249" s="18">
        <f t="shared" ref="M249:M266" ca="1" si="689">SUM(I249+L249)</f>
        <v>4763</v>
      </c>
      <c r="N249" s="19">
        <f t="shared" ref="N249:N267" ca="1" si="690">F249/E249</f>
        <v>176.25015000000002</v>
      </c>
      <c r="O249" s="16">
        <v>5161</v>
      </c>
      <c r="P249" s="20">
        <f t="shared" ref="P249:P267" ca="1" si="691">M249/O249</f>
        <v>0.92288316217787247</v>
      </c>
      <c r="Q249" s="21">
        <v>1.5</v>
      </c>
      <c r="R249" s="20">
        <f t="shared" ref="R249:R267" ca="1" si="692">S249/Q249</f>
        <v>0.90080301586504552</v>
      </c>
      <c r="S249" s="22">
        <f t="shared" ref="S249:S267" ca="1" si="693">M249/F249</f>
        <v>1.3512045237975683</v>
      </c>
      <c r="T249" s="21">
        <f ca="1">F249/14.415</f>
        <v>244.5371488033299</v>
      </c>
      <c r="U249" s="21">
        <f t="shared" ref="U249:U267" ca="1" si="694">T249/E249</f>
        <v>12.226857440166494</v>
      </c>
      <c r="V249" s="18">
        <f t="shared" ref="V249:V267" ca="1" si="695">M249/E249</f>
        <v>238.15</v>
      </c>
      <c r="W249" s="76"/>
      <c r="X249" s="8">
        <v>4</v>
      </c>
      <c r="Y249" s="8" t="s">
        <v>27</v>
      </c>
      <c r="Z249" s="8">
        <f t="shared" ref="Z249:AK249" si="696">SUM(D262)</f>
        <v>30</v>
      </c>
      <c r="AA249" s="9">
        <f t="shared" ca="1" si="696"/>
        <v>28</v>
      </c>
      <c r="AB249" s="10">
        <f t="shared" ca="1" si="696"/>
        <v>5305.88</v>
      </c>
      <c r="AC249" s="9">
        <f t="shared" ca="1" si="696"/>
        <v>2462</v>
      </c>
      <c r="AD249" s="9">
        <f t="shared" ca="1" si="696"/>
        <v>0</v>
      </c>
      <c r="AE249" s="9">
        <f t="shared" ca="1" si="696"/>
        <v>2462</v>
      </c>
      <c r="AF249" s="9">
        <f t="shared" ca="1" si="696"/>
        <v>3395</v>
      </c>
      <c r="AG249" s="9">
        <f t="shared" ca="1" si="696"/>
        <v>183</v>
      </c>
      <c r="AH249" s="9">
        <f t="shared" ca="1" si="696"/>
        <v>3578</v>
      </c>
      <c r="AI249" s="9">
        <f t="shared" ca="1" si="696"/>
        <v>6040</v>
      </c>
      <c r="AJ249" s="11">
        <f t="shared" ca="1" si="696"/>
        <v>189.49571428571429</v>
      </c>
      <c r="AK249" s="8">
        <f t="shared" si="696"/>
        <v>8101</v>
      </c>
      <c r="AL249" s="12">
        <f t="shared" ca="1" si="677"/>
        <v>0.74558696457227502</v>
      </c>
      <c r="AM249" s="13">
        <f>SUM(Q262)</f>
        <v>1.5</v>
      </c>
      <c r="AN249" s="12">
        <f t="shared" ca="1" si="679"/>
        <v>0.75890647105978015</v>
      </c>
      <c r="AO249" s="14">
        <f t="shared" ca="1" si="680"/>
        <v>1.1383597065896702</v>
      </c>
      <c r="AP249" s="13">
        <f t="shared" ref="AP249:AQ249" ca="1" si="697">SUM(T262)</f>
        <v>265.49311983987991</v>
      </c>
      <c r="AQ249" s="13">
        <f t="shared" ca="1" si="697"/>
        <v>9.481897137138569</v>
      </c>
      <c r="AR249" s="9">
        <f t="shared" ca="1" si="682"/>
        <v>215.71428571428572</v>
      </c>
      <c r="AS249" s="76"/>
      <c r="AT249" s="76"/>
    </row>
    <row r="250" spans="1:46" ht="15.75" customHeight="1" x14ac:dyDescent="0.25">
      <c r="A250" s="70"/>
      <c r="B250" s="16">
        <v>2</v>
      </c>
      <c r="C250" s="16" t="s">
        <v>28</v>
      </c>
      <c r="D250" s="17">
        <v>33</v>
      </c>
      <c r="E250" s="18">
        <f ca="1">IFERROR(__xludf.DUMMYFUNCTION("COUNT(IMPORTRANGE(""https://docs.google.com/spreadsheets/d/1tJCeYclgeJZ4Dc78t_SkhVjtacKW-5-VGim8X1rzUzk/edit"",""10!d2:d34""))"),33)</f>
        <v>33</v>
      </c>
      <c r="F250" s="19">
        <f ca="1">IFERROR(__xludf.DUMMYFUNCTION("SUM(IMPORTRANGE(""https://docs.google.com/spreadsheets/d/1tJCeYclgeJZ4Dc78t_SkhVjtacKW-5-VGim8X1rzUzk/edit"",""10!Q2:Q34""))"),6483.664)</f>
        <v>6483.6639999999998</v>
      </c>
      <c r="G250" s="18">
        <f ca="1">IFERROR(__xludf.DUMMYFUNCTION("IMPORTRANGE(""https://docs.google.com/spreadsheets/d/1tJCeYclgeJZ4Dc78t_SkhVjtacKW-5-VGim8X1rzUzk/edit"",""10!e41"")"),2685)</f>
        <v>2685</v>
      </c>
      <c r="H250" s="18">
        <f ca="1">IFERROR(__xludf.DUMMYFUNCTION("IMPORTRANGE(""https://docs.google.com/spreadsheets/d/1tJCeYclgeJZ4Dc78t_SkhVjtacKW-5-VGim8X1rzUzk/edit"",""10!e42"")"),92)</f>
        <v>92</v>
      </c>
      <c r="I250" s="18">
        <f t="shared" ca="1" si="687"/>
        <v>2777</v>
      </c>
      <c r="J250" s="18">
        <f ca="1">IFERROR(__xludf.DUMMYFUNCTION("IMPORTRANGE(""https://docs.google.com/spreadsheets/d/1tJCeYclgeJZ4Dc78t_SkhVjtacKW-5-VGim8X1rzUzk/edit"",""10!e45"")"),3104)</f>
        <v>3104</v>
      </c>
      <c r="K250" s="18">
        <f ca="1">IFERROR(__xludf.DUMMYFUNCTION("IMPORTRANGE(""https://docs.google.com/spreadsheets/d/1tJCeYclgeJZ4Dc78t_SkhVjtacKW-5-VGim8X1rzUzk/edit"",""10!e46"")"),101)</f>
        <v>101</v>
      </c>
      <c r="L250" s="18">
        <f t="shared" ca="1" si="688"/>
        <v>3205</v>
      </c>
      <c r="M250" s="18">
        <f t="shared" ca="1" si="689"/>
        <v>5982</v>
      </c>
      <c r="N250" s="19">
        <f t="shared" ca="1" si="690"/>
        <v>196.47466666666665</v>
      </c>
      <c r="O250" s="16">
        <v>7315</v>
      </c>
      <c r="P250" s="20">
        <f t="shared" ca="1" si="691"/>
        <v>0.81777170198222826</v>
      </c>
      <c r="Q250" s="21">
        <v>1.5</v>
      </c>
      <c r="R250" s="20">
        <f t="shared" ca="1" si="692"/>
        <v>0.61508431035291156</v>
      </c>
      <c r="S250" s="22">
        <f t="shared" ca="1" si="693"/>
        <v>0.92262646552936733</v>
      </c>
      <c r="T250" s="21">
        <f ca="1">F250/30.897</f>
        <v>209.84768747774865</v>
      </c>
      <c r="U250" s="21">
        <f t="shared" ca="1" si="694"/>
        <v>6.3590208326590503</v>
      </c>
      <c r="V250" s="18">
        <f t="shared" ca="1" si="695"/>
        <v>181.27272727272728</v>
      </c>
      <c r="W250" s="76"/>
      <c r="X250" s="8">
        <v>5</v>
      </c>
      <c r="Y250" s="8" t="s">
        <v>29</v>
      </c>
      <c r="Z250" s="8">
        <f t="shared" ref="Z250:AI250" si="698">SUM(D265)</f>
        <v>30</v>
      </c>
      <c r="AA250" s="9">
        <f t="shared" ca="1" si="698"/>
        <v>29</v>
      </c>
      <c r="AB250" s="10">
        <f t="shared" ca="1" si="698"/>
        <v>5695.5649999999896</v>
      </c>
      <c r="AC250" s="9">
        <f t="shared" ca="1" si="698"/>
        <v>2870</v>
      </c>
      <c r="AD250" s="9">
        <f t="shared" ca="1" si="698"/>
        <v>0</v>
      </c>
      <c r="AE250" s="9">
        <f t="shared" ca="1" si="698"/>
        <v>2870</v>
      </c>
      <c r="AF250" s="9">
        <f t="shared" ca="1" si="698"/>
        <v>4131</v>
      </c>
      <c r="AG250" s="9">
        <f t="shared" ca="1" si="698"/>
        <v>0</v>
      </c>
      <c r="AH250" s="9">
        <f t="shared" ca="1" si="698"/>
        <v>4131</v>
      </c>
      <c r="AI250" s="9">
        <f t="shared" ca="1" si="698"/>
        <v>7001</v>
      </c>
      <c r="AJ250" s="11">
        <f t="shared" ref="AJ250:AJ252" ca="1" si="699">AB250/AA250</f>
        <v>196.39879310344793</v>
      </c>
      <c r="AK250" s="8">
        <f t="shared" ref="AK250:AK251" si="700">SUM(O265)</f>
        <v>9201</v>
      </c>
      <c r="AL250" s="12">
        <f t="shared" ca="1" si="677"/>
        <v>0.76089555483099658</v>
      </c>
      <c r="AM250" s="13">
        <f t="shared" ref="AM250:AM251" si="701">SUM(Q265)</f>
        <v>1.5</v>
      </c>
      <c r="AN250" s="12">
        <f t="shared" ca="1" si="679"/>
        <v>0.81946801297735028</v>
      </c>
      <c r="AO250" s="14">
        <f t="shared" ca="1" si="680"/>
        <v>1.2292020194660254</v>
      </c>
      <c r="AP250" s="13">
        <f t="shared" ref="AP250:AQ250" ca="1" si="702">SUM(T265)</f>
        <v>214.9999999999996</v>
      </c>
      <c r="AQ250" s="13">
        <f t="shared" ca="1" si="702"/>
        <v>7.4137931034482625</v>
      </c>
      <c r="AR250" s="9">
        <f t="shared" ca="1" si="682"/>
        <v>241.41379310344828</v>
      </c>
      <c r="AS250" s="76"/>
      <c r="AT250" s="76"/>
    </row>
    <row r="251" spans="1:46" ht="15.75" customHeight="1" x14ac:dyDescent="0.25">
      <c r="A251" s="70"/>
      <c r="B251" s="16">
        <v>3</v>
      </c>
      <c r="C251" s="16" t="s">
        <v>30</v>
      </c>
      <c r="D251" s="17">
        <v>60</v>
      </c>
      <c r="E251" s="18">
        <f ca="1">IFERROR(__xludf.DUMMYFUNCTION("COUNT(IMPORTRANGE(""https://docs.google.com/spreadsheets/d/130gLEONC13J8KkQ6dk06x3bLRy_jCrAw2hXatQf2W50/edit"",""10!d2:d61""))"),59)</f>
        <v>59</v>
      </c>
      <c r="F251" s="23">
        <f ca="1">IFERROR(__xludf.DUMMYFUNCTION("SUM(IMPORTRANGE(""https://docs.google.com/spreadsheets/d/130gLEONC13J8KkQ6dk06x3bLRy_jCrAw2hXatQf2W50/edit"",""10!Q2:Q61""))"),11367.5519999999)</f>
        <v>11367.5519999999</v>
      </c>
      <c r="G251" s="18">
        <f ca="1">IFERROR(__xludf.DUMMYFUNCTION("IMPORTRANGE(""https://docs.google.com/spreadsheets/d/130gLEONC13J8KkQ6dk06x3bLRy_jCrAw2hXatQf2W50/edit"",""10!e68"")"),3322)</f>
        <v>3322</v>
      </c>
      <c r="H251" s="18">
        <f ca="1">IFERROR(__xludf.DUMMYFUNCTION("IMPORTRANGE(""https://docs.google.com/spreadsheets/d/130gLEONC13J8KkQ6dk06x3bLRy_jCrAw2hXatQf2W50/edit"",""10!e69"")"),0)</f>
        <v>0</v>
      </c>
      <c r="I251" s="18">
        <f t="shared" ca="1" si="687"/>
        <v>3322</v>
      </c>
      <c r="J251" s="18">
        <f ca="1">IFERROR(__xludf.DUMMYFUNCTION("IMPORTRANGE(""https://docs.google.com/spreadsheets/d/130gLEONC13J8KkQ6dk06x3bLRy_jCrAw2hXatQf2W50/edit"",""10!e72"")"),5754)</f>
        <v>5754</v>
      </c>
      <c r="K251" s="18">
        <f ca="1">IFERROR(__xludf.DUMMYFUNCTION("IMPORTRANGE(""https://docs.google.com/spreadsheets/d/130gLEONC13J8KkQ6dk06x3bLRy_jCrAw2hXatQf2W50/edit"",""10!e73"")"),0)</f>
        <v>0</v>
      </c>
      <c r="L251" s="18">
        <f t="shared" ca="1" si="688"/>
        <v>5754</v>
      </c>
      <c r="M251" s="18">
        <f t="shared" ca="1" si="689"/>
        <v>9076</v>
      </c>
      <c r="N251" s="19">
        <f t="shared" ca="1" si="690"/>
        <v>192.67037288135424</v>
      </c>
      <c r="O251" s="16">
        <v>11164</v>
      </c>
      <c r="P251" s="20">
        <f t="shared" ca="1" si="691"/>
        <v>0.81297026155499819</v>
      </c>
      <c r="Q251" s="21">
        <v>1.5</v>
      </c>
      <c r="R251" s="20">
        <f t="shared" ca="1" si="692"/>
        <v>0.53227525738758186</v>
      </c>
      <c r="S251" s="22">
        <f t="shared" ca="1" si="693"/>
        <v>0.79841288608137273</v>
      </c>
      <c r="T251" s="21">
        <f ca="1">F251/29.603</f>
        <v>383.99999999999659</v>
      </c>
      <c r="U251" s="21">
        <f t="shared" ca="1" si="694"/>
        <v>6.5084745762711282</v>
      </c>
      <c r="V251" s="18">
        <f t="shared" ca="1" si="695"/>
        <v>153.83050847457628</v>
      </c>
      <c r="W251" s="76"/>
      <c r="X251" s="8">
        <v>6</v>
      </c>
      <c r="Y251" s="8" t="s">
        <v>31</v>
      </c>
      <c r="Z251" s="8">
        <f t="shared" ref="Z251:AI251" si="703">SUM(D266)</f>
        <v>15</v>
      </c>
      <c r="AA251" s="9">
        <f t="shared" ca="1" si="703"/>
        <v>14</v>
      </c>
      <c r="AB251" s="11">
        <f t="shared" ca="1" si="703"/>
        <v>2520.9699999999998</v>
      </c>
      <c r="AC251" s="9">
        <f t="shared" ca="1" si="703"/>
        <v>778</v>
      </c>
      <c r="AD251" s="9">
        <f t="shared" ca="1" si="703"/>
        <v>0</v>
      </c>
      <c r="AE251" s="9">
        <f t="shared" ca="1" si="703"/>
        <v>778</v>
      </c>
      <c r="AF251" s="9">
        <f t="shared" ca="1" si="703"/>
        <v>891</v>
      </c>
      <c r="AG251" s="9">
        <f t="shared" ca="1" si="703"/>
        <v>0</v>
      </c>
      <c r="AH251" s="9">
        <f t="shared" ca="1" si="703"/>
        <v>891</v>
      </c>
      <c r="AI251" s="9">
        <f t="shared" ca="1" si="703"/>
        <v>1669</v>
      </c>
      <c r="AJ251" s="11">
        <f t="shared" ca="1" si="699"/>
        <v>180.06928571428571</v>
      </c>
      <c r="AK251" s="8">
        <f t="shared" si="700"/>
        <v>2717</v>
      </c>
      <c r="AL251" s="12">
        <f t="shared" ca="1" si="677"/>
        <v>0.6142804563857196</v>
      </c>
      <c r="AM251" s="13">
        <f t="shared" si="701"/>
        <v>1.5</v>
      </c>
      <c r="AN251" s="12">
        <f t="shared" ca="1" si="679"/>
        <v>0.4413645012303466</v>
      </c>
      <c r="AO251" s="14">
        <f t="shared" ca="1" si="680"/>
        <v>0.66204675184551987</v>
      </c>
      <c r="AP251" s="13">
        <f t="shared" ref="AP251:AQ251" ca="1" si="704">SUM(T266)</f>
        <v>57.999999999999993</v>
      </c>
      <c r="AQ251" s="13">
        <f t="shared" ca="1" si="704"/>
        <v>4.1428571428571423</v>
      </c>
      <c r="AR251" s="9">
        <f t="shared" ca="1" si="682"/>
        <v>119.21428571428571</v>
      </c>
      <c r="AS251" s="76"/>
      <c r="AT251" s="76"/>
    </row>
    <row r="252" spans="1:46" ht="15.75" customHeight="1" x14ac:dyDescent="0.25">
      <c r="A252" s="70"/>
      <c r="B252" s="16">
        <v>4</v>
      </c>
      <c r="C252" s="16" t="s">
        <v>32</v>
      </c>
      <c r="D252" s="17">
        <v>42</v>
      </c>
      <c r="E252" s="18">
        <f ca="1">IFERROR(__xludf.DUMMYFUNCTION("COUNT(IMPORTRANGE(""https://docs.google.com/spreadsheets/d/1gYHli7FuKQLm2Q-5LMR0UtkD-gRRA_p8s-phLPLDLgc/edit"",""10!d2:d43""))"),42)</f>
        <v>42</v>
      </c>
      <c r="F252" s="23">
        <f ca="1">IFERROR(__xludf.DUMMYFUNCTION("SUM(IMPORTRANGE(""https://docs.google.com/spreadsheets/d/1gYHli7FuKQLm2Q-5LMR0UtkD-gRRA_p8s-phLPLDLgc/edit"",""10!Q2:Q43""))"),8379.72599999999)</f>
        <v>8379.7259999999897</v>
      </c>
      <c r="G252" s="16">
        <f ca="1">IFERROR(__xludf.DUMMYFUNCTION("IMPORTRANGE(""https://docs.google.com/spreadsheets/d/1gYHli7FuKQLm2Q-5LMR0UtkD-gRRA_p8s-phLPLDLgc/edit"",""10!e50"")"),4945)</f>
        <v>4945</v>
      </c>
      <c r="H252" s="16">
        <f ca="1">IFERROR(__xludf.DUMMYFUNCTION("IMPORTRANGE(""https://docs.google.com/spreadsheets/d/1gYHli7FuKQLm2Q-5LMR0UtkD-gRRA_p8s-phLPLDLgc/edit"",""10!e51"")"),0)</f>
        <v>0</v>
      </c>
      <c r="I252" s="18">
        <f t="shared" ca="1" si="687"/>
        <v>4945</v>
      </c>
      <c r="J252" s="16">
        <f ca="1">IFERROR(__xludf.DUMMYFUNCTION("IMPORTRANGE(""https://docs.google.com/spreadsheets/d/1gYHli7FuKQLm2Q-5LMR0UtkD-gRRA_p8s-phLPLDLgc/edit"",""10!e54"")"),5910)</f>
        <v>5910</v>
      </c>
      <c r="K252" s="16">
        <f ca="1">IFERROR(__xludf.DUMMYFUNCTION("IMPORTRANGE(""https://docs.google.com/spreadsheets/d/1gYHli7FuKQLm2Q-5LMR0UtkD-gRRA_p8s-phLPLDLgc/edit"",""10!e55"")"),0)</f>
        <v>0</v>
      </c>
      <c r="L252" s="18">
        <f t="shared" ca="1" si="688"/>
        <v>5910</v>
      </c>
      <c r="M252" s="18">
        <f t="shared" ca="1" si="689"/>
        <v>10855</v>
      </c>
      <c r="N252" s="19">
        <f t="shared" ca="1" si="690"/>
        <v>199.51728571428546</v>
      </c>
      <c r="O252" s="16">
        <v>13817</v>
      </c>
      <c r="P252" s="20">
        <f t="shared" ca="1" si="691"/>
        <v>0.78562640225808789</v>
      </c>
      <c r="Q252" s="21">
        <v>1.5</v>
      </c>
      <c r="R252" s="20">
        <f t="shared" ca="1" si="692"/>
        <v>0.86359227815643091</v>
      </c>
      <c r="S252" s="22">
        <f t="shared" ca="1" si="693"/>
        <v>1.2953884172346464</v>
      </c>
      <c r="T252" s="21">
        <f ca="1">F252/25.089</f>
        <v>333.9999999999996</v>
      </c>
      <c r="U252" s="21">
        <f t="shared" ca="1" si="694"/>
        <v>7.9523809523809428</v>
      </c>
      <c r="V252" s="18">
        <f t="shared" ca="1" si="695"/>
        <v>258.45238095238096</v>
      </c>
      <c r="W252" s="76"/>
      <c r="X252" s="24" t="s">
        <v>33</v>
      </c>
      <c r="Y252" s="24">
        <v>6</v>
      </c>
      <c r="Z252" s="24">
        <f t="shared" ref="Z252:AI252" si="705">SUM(Z246:Z251)</f>
        <v>186</v>
      </c>
      <c r="AA252" s="25">
        <f t="shared" ca="1" si="705"/>
        <v>180</v>
      </c>
      <c r="AB252" s="26">
        <f t="shared" ca="1" si="705"/>
        <v>34006.551999999974</v>
      </c>
      <c r="AC252" s="25">
        <f t="shared" ca="1" si="705"/>
        <v>11196</v>
      </c>
      <c r="AD252" s="25">
        <f t="shared" ca="1" si="705"/>
        <v>375</v>
      </c>
      <c r="AE252" s="25">
        <f t="shared" ca="1" si="705"/>
        <v>11571</v>
      </c>
      <c r="AF252" s="25">
        <f t="shared" ca="1" si="705"/>
        <v>15708</v>
      </c>
      <c r="AG252" s="25">
        <f t="shared" ca="1" si="705"/>
        <v>661</v>
      </c>
      <c r="AH252" s="25">
        <f t="shared" ca="1" si="705"/>
        <v>16369</v>
      </c>
      <c r="AI252" s="25">
        <f t="shared" ca="1" si="705"/>
        <v>27940</v>
      </c>
      <c r="AJ252" s="27">
        <f t="shared" ca="1" si="699"/>
        <v>188.92528888888876</v>
      </c>
      <c r="AK252" s="24">
        <f>SUM(AK246:AK251)</f>
        <v>35074</v>
      </c>
      <c r="AL252" s="28">
        <f t="shared" ca="1" si="677"/>
        <v>0.7966014711752295</v>
      </c>
      <c r="AM252" s="29">
        <v>1.5</v>
      </c>
      <c r="AN252" s="28">
        <f t="shared" ca="1" si="679"/>
        <v>0.54773758500028702</v>
      </c>
      <c r="AO252" s="30">
        <f t="shared" ca="1" si="680"/>
        <v>0.82160637750043053</v>
      </c>
      <c r="AP252" s="29">
        <f ca="1">SUM(AP246:AP251)</f>
        <v>1276.9880564251348</v>
      </c>
      <c r="AQ252" s="29">
        <f ca="1">AP252/AA252</f>
        <v>7.094378091250749</v>
      </c>
      <c r="AR252" s="25">
        <f t="shared" ca="1" si="682"/>
        <v>155.22222222222223</v>
      </c>
      <c r="AS252" s="76"/>
      <c r="AT252" s="76"/>
    </row>
    <row r="253" spans="1:46" ht="15.75" customHeight="1" x14ac:dyDescent="0.25">
      <c r="A253" s="70"/>
      <c r="B253" s="16">
        <v>5</v>
      </c>
      <c r="C253" s="16" t="s">
        <v>34</v>
      </c>
      <c r="D253" s="17">
        <v>40</v>
      </c>
      <c r="E253" s="18">
        <f ca="1">IFERROR(__xludf.DUMMYFUNCTION("COUNT(IMPORTRANGE(""https://docs.google.com/spreadsheets/d/1ptS0qWBCKWkc9h2aXWT_YgMhN7yIv5WgAHRbF8l9Zpo/edit"",""10!d2:d41""))"),39)</f>
        <v>39</v>
      </c>
      <c r="F253" s="23">
        <f ca="1">IFERROR(__xludf.DUMMYFUNCTION("SUM(IMPORTRANGE(""https://docs.google.com/spreadsheets/d/1ptS0qWBCKWkc9h2aXWT_YgMhN7yIv5WgAHRbF8l9Zpo/edit"",""10!Q2:Q41""))"),7708.977)</f>
        <v>7708.9769999999999</v>
      </c>
      <c r="G253" s="18">
        <f ca="1">IFERROR(__xludf.DUMMYFUNCTION("IMPORTRANGE(""https://docs.google.com/spreadsheets/d/1ptS0qWBCKWkc9h2aXWT_YgMhN7yIv5WgAHRbF8l9Zpo/edit"",""10!e48"")"),2878)</f>
        <v>2878</v>
      </c>
      <c r="H253" s="18">
        <f ca="1">IFERROR(__xludf.DUMMYFUNCTION("IMPORTRANGE(""https://docs.google.com/spreadsheets/d/1ptS0qWBCKWkc9h2aXWT_YgMhN7yIv5WgAHRbF8l9Zpo/edit"",""10!e49"")"),0)</f>
        <v>0</v>
      </c>
      <c r="I253" s="18">
        <f t="shared" ca="1" si="687"/>
        <v>2878</v>
      </c>
      <c r="J253" s="18">
        <f ca="1">IFERROR(__xludf.DUMMYFUNCTION("IMPORTRANGE(""https://docs.google.com/spreadsheets/d/1ptS0qWBCKWkc9h2aXWT_YgMhN7yIv5WgAHRbF8l9Zpo/edit"",""10!e52"")"),3522)</f>
        <v>3522</v>
      </c>
      <c r="K253" s="18">
        <f ca="1">IFERROR(__xludf.DUMMYFUNCTION("IMPORTRANGE(""https://docs.google.com/spreadsheets/d/1ptS0qWBCKWkc9h2aXWT_YgMhN7yIv5WgAHRbF8l9Zpo/edit"",""10!e53"")"),0)</f>
        <v>0</v>
      </c>
      <c r="L253" s="18">
        <f t="shared" ca="1" si="688"/>
        <v>3522</v>
      </c>
      <c r="M253" s="18">
        <f t="shared" ca="1" si="689"/>
        <v>6400</v>
      </c>
      <c r="N253" s="19">
        <f t="shared" ca="1" si="690"/>
        <v>197.66607692307693</v>
      </c>
      <c r="O253" s="16">
        <v>9354</v>
      </c>
      <c r="P253" s="20">
        <f t="shared" ca="1" si="691"/>
        <v>0.68419927303827244</v>
      </c>
      <c r="Q253" s="21">
        <v>1.5</v>
      </c>
      <c r="R253" s="20">
        <f t="shared" ca="1" si="692"/>
        <v>0.55346729749831491</v>
      </c>
      <c r="S253" s="22">
        <f t="shared" ca="1" si="693"/>
        <v>0.83020094624747232</v>
      </c>
      <c r="T253" s="21">
        <f ca="1">F253/30.713</f>
        <v>251.00045583303486</v>
      </c>
      <c r="U253" s="21">
        <f t="shared" ca="1" si="694"/>
        <v>6.4359091239239712</v>
      </c>
      <c r="V253" s="18">
        <f t="shared" ca="1" si="695"/>
        <v>164.10256410256412</v>
      </c>
      <c r="W253" s="76"/>
      <c r="X253" s="100" t="s">
        <v>35</v>
      </c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9"/>
      <c r="AS253" s="76"/>
      <c r="AT253" s="76"/>
    </row>
    <row r="254" spans="1:46" ht="15.75" customHeight="1" x14ac:dyDescent="0.25">
      <c r="A254" s="70"/>
      <c r="B254" s="16">
        <v>6</v>
      </c>
      <c r="C254" s="16" t="s">
        <v>23</v>
      </c>
      <c r="D254" s="17">
        <v>35</v>
      </c>
      <c r="E254" s="18">
        <f ca="1">IFERROR(__xludf.DUMMYFUNCTION("COUNT(IMPORTRANGE(""https://docs.google.com/spreadsheets/d/1829CoYW82aTBBUgqkPnJa94KlBWI-DowAnP4ENQCmaQ/edit"",""10!d2:d36""))"),35)</f>
        <v>35</v>
      </c>
      <c r="F254" s="23">
        <f ca="1">IFERROR(__xludf.DUMMYFUNCTION("SUM(IMPORTRANGE(""https://docs.google.com/spreadsheets/d/1829CoYW82aTBBUgqkPnJa94KlBWI-DowAnP4ENQCmaQ/edit"",""10!Q2:Q36""))"),6714.25999999999)</f>
        <v>6714.2599999999902</v>
      </c>
      <c r="G254" s="18">
        <f ca="1">IFERROR(__xludf.DUMMYFUNCTION("IMPORTRANGE(""https://docs.google.com/spreadsheets/d/1829CoYW82aTBBUgqkPnJa94KlBWI-DowAnP4ENQCmaQ/edit"",""10!e43"")"),1677)</f>
        <v>1677</v>
      </c>
      <c r="H254" s="18">
        <f ca="1">IFERROR(__xludf.DUMMYFUNCTION("IMPORTRANGE(""https://docs.google.com/spreadsheets/d/1829CoYW82aTBBUgqkPnJa94KlBWI-DowAnP4ENQCmaQ/edit"",""10!e44"")"),0)</f>
        <v>0</v>
      </c>
      <c r="I254" s="18">
        <f t="shared" ca="1" si="687"/>
        <v>1677</v>
      </c>
      <c r="J254" s="18">
        <f ca="1">IFERROR(__xludf.DUMMYFUNCTION("IMPORTRANGE(""https://docs.google.com/spreadsheets/d/1829CoYW82aTBBUgqkPnJa94KlBWI-DowAnP4ENQCmaQ/edit"",""10!e47"")"),3319)</f>
        <v>3319</v>
      </c>
      <c r="K254" s="18">
        <f ca="1">IFERROR(__xludf.DUMMYFUNCTION("IMPORTRANGE(""https://docs.google.com/spreadsheets/d/1829CoYW82aTBBUgqkPnJa94KlBWI-DowAnP4ENQCmaQ/edit"",""10!e48"")"),0)</f>
        <v>0</v>
      </c>
      <c r="L254" s="18">
        <f t="shared" ca="1" si="688"/>
        <v>3319</v>
      </c>
      <c r="M254" s="18">
        <f t="shared" ca="1" si="689"/>
        <v>4996</v>
      </c>
      <c r="N254" s="19">
        <f t="shared" ca="1" si="690"/>
        <v>191.83599999999973</v>
      </c>
      <c r="O254" s="16">
        <v>6853</v>
      </c>
      <c r="P254" s="20">
        <f t="shared" ca="1" si="691"/>
        <v>0.72902378520356048</v>
      </c>
      <c r="Q254" s="21">
        <v>1.5</v>
      </c>
      <c r="R254" s="20">
        <f t="shared" ca="1" si="692"/>
        <v>0.49605863738769002</v>
      </c>
      <c r="S254" s="22">
        <f t="shared" ca="1" si="693"/>
        <v>0.744087956081535</v>
      </c>
      <c r="T254" s="21">
        <f ca="1">F254/33.74</f>
        <v>198.99999999999969</v>
      </c>
      <c r="U254" s="21">
        <f t="shared" ca="1" si="694"/>
        <v>5.6857142857142771</v>
      </c>
      <c r="V254" s="18">
        <f t="shared" ca="1" si="695"/>
        <v>142.74285714285713</v>
      </c>
      <c r="W254" s="76"/>
      <c r="X254" s="1" t="s">
        <v>2</v>
      </c>
      <c r="Y254" s="1" t="s">
        <v>3</v>
      </c>
      <c r="Z254" s="1" t="s">
        <v>4</v>
      </c>
      <c r="AA254" s="1" t="s">
        <v>5</v>
      </c>
      <c r="AB254" s="2" t="s">
        <v>6</v>
      </c>
      <c r="AC254" s="1" t="s">
        <v>7</v>
      </c>
      <c r="AD254" s="1" t="s">
        <v>8</v>
      </c>
      <c r="AE254" s="1" t="s">
        <v>9</v>
      </c>
      <c r="AF254" s="1" t="s">
        <v>10</v>
      </c>
      <c r="AG254" s="1" t="s">
        <v>11</v>
      </c>
      <c r="AH254" s="1" t="s">
        <v>12</v>
      </c>
      <c r="AI254" s="1" t="s">
        <v>13</v>
      </c>
      <c r="AJ254" s="2" t="s">
        <v>14</v>
      </c>
      <c r="AK254" s="1" t="s">
        <v>15</v>
      </c>
      <c r="AL254" s="1" t="s">
        <v>16</v>
      </c>
      <c r="AM254" s="3" t="s">
        <v>17</v>
      </c>
      <c r="AN254" s="4" t="s">
        <v>18</v>
      </c>
      <c r="AO254" s="5" t="s">
        <v>19</v>
      </c>
      <c r="AP254" s="6" t="s">
        <v>20</v>
      </c>
      <c r="AQ254" s="6" t="s">
        <v>21</v>
      </c>
      <c r="AR254" s="7" t="s">
        <v>22</v>
      </c>
      <c r="AS254" s="76"/>
      <c r="AT254" s="76"/>
    </row>
    <row r="255" spans="1:46" ht="15.75" customHeight="1" x14ac:dyDescent="0.25">
      <c r="A255" s="70"/>
      <c r="B255" s="16">
        <v>7</v>
      </c>
      <c r="C255" s="16" t="s">
        <v>24</v>
      </c>
      <c r="D255" s="17">
        <v>44</v>
      </c>
      <c r="E255" s="31">
        <f ca="1">IFERROR(__xludf.DUMMYFUNCTION("COUNT(IMPORTRANGE(""https://docs.google.com/spreadsheets/d/1E2x4oDZxEIsuC5nl-5Z0--MoN8b1dt9SbpRcCfNP84Q/edit"",""10!d2:d45""))"),42)</f>
        <v>42</v>
      </c>
      <c r="F255" s="32">
        <f ca="1">IFERROR(__xludf.DUMMYFUNCTION("SUM(IMPORTRANGE(""https://docs.google.com/spreadsheets/d/1E2x4oDZxEIsuC5nl-5Z0--MoN8b1dt9SbpRcCfNP84Q/edit"",""10!Q2:Q45""))"),8211.62099999999)</f>
        <v>8211.6209999999901</v>
      </c>
      <c r="G255" s="31">
        <f ca="1">IFERROR(__xludf.DUMMYFUNCTION("IMPORTRANGE(""https://docs.google.com/spreadsheets/d/1E2x4oDZxEIsuC5nl-5Z0--MoN8b1dt9SbpRcCfNP84Q/edit"",""10!e53"")"),1076)</f>
        <v>1076</v>
      </c>
      <c r="H255" s="31">
        <f ca="1">IFERROR(__xludf.DUMMYFUNCTION("IMPORTRANGE(""https://docs.google.com/spreadsheets/d/1E2x4oDZxEIsuC5nl-5Z0--MoN8b1dt9SbpRcCfNP84Q/edit"",""10!e54"")"),0)</f>
        <v>0</v>
      </c>
      <c r="I255" s="31">
        <f t="shared" ca="1" si="687"/>
        <v>1076</v>
      </c>
      <c r="J255" s="31">
        <f ca="1">IFERROR(__xludf.DUMMYFUNCTION("IMPORTRANGE(""https://docs.google.com/spreadsheets/d/1E2x4oDZxEIsuC5nl-5Z0--MoN8b1dt9SbpRcCfNP84Q/edit"",""10!e57"")"),1377)</f>
        <v>1377</v>
      </c>
      <c r="K255" s="31">
        <f ca="1">IFERROR(__xludf.DUMMYFUNCTION("IMPORTRANGE(""https://docs.google.com/spreadsheets/d/1E2x4oDZxEIsuC5nl-5Z0--MoN8b1dt9SbpRcCfNP84Q/edit"",""10!e58"")"),0)</f>
        <v>0</v>
      </c>
      <c r="L255" s="18">
        <f t="shared" ca="1" si="688"/>
        <v>1377</v>
      </c>
      <c r="M255" s="18">
        <f t="shared" ca="1" si="689"/>
        <v>2453</v>
      </c>
      <c r="N255" s="19">
        <f t="shared" ca="1" si="690"/>
        <v>195.51478571428547</v>
      </c>
      <c r="O255" s="16">
        <v>1580</v>
      </c>
      <c r="P255" s="33">
        <f t="shared" ca="1" si="691"/>
        <v>1.5525316455696203</v>
      </c>
      <c r="Q255" s="21">
        <v>1.5</v>
      </c>
      <c r="R255" s="20">
        <f t="shared" ca="1" si="692"/>
        <v>0.19914866179690163</v>
      </c>
      <c r="S255" s="22">
        <f t="shared" ca="1" si="693"/>
        <v>0.29872299269535246</v>
      </c>
      <c r="T255" s="21">
        <f ca="1">F255/26.805</f>
        <v>306.34661443760456</v>
      </c>
      <c r="U255" s="21">
        <f t="shared" ca="1" si="694"/>
        <v>7.2939670104191565</v>
      </c>
      <c r="V255" s="18">
        <f t="shared" ca="1" si="695"/>
        <v>58.404761904761905</v>
      </c>
      <c r="W255" s="76"/>
      <c r="X255" s="8">
        <v>1</v>
      </c>
      <c r="Y255" s="8" t="s">
        <v>28</v>
      </c>
      <c r="Z255" s="8">
        <f t="shared" ref="Z255:AI255" si="706">SUM(D250)</f>
        <v>33</v>
      </c>
      <c r="AA255" s="9">
        <f t="shared" ca="1" si="706"/>
        <v>33</v>
      </c>
      <c r="AB255" s="11">
        <f t="shared" ca="1" si="706"/>
        <v>6483.6639999999998</v>
      </c>
      <c r="AC255" s="9">
        <f t="shared" ca="1" si="706"/>
        <v>2685</v>
      </c>
      <c r="AD255" s="9">
        <f t="shared" ca="1" si="706"/>
        <v>92</v>
      </c>
      <c r="AE255" s="9">
        <f t="shared" ca="1" si="706"/>
        <v>2777</v>
      </c>
      <c r="AF255" s="9">
        <f t="shared" ca="1" si="706"/>
        <v>3104</v>
      </c>
      <c r="AG255" s="9">
        <f t="shared" ca="1" si="706"/>
        <v>101</v>
      </c>
      <c r="AH255" s="9">
        <f t="shared" ca="1" si="706"/>
        <v>3205</v>
      </c>
      <c r="AI255" s="9">
        <f t="shared" ca="1" si="706"/>
        <v>5982</v>
      </c>
      <c r="AJ255" s="11">
        <f t="shared" ref="AJ255:AJ261" ca="1" si="707">AB255/AA255</f>
        <v>196.47466666666665</v>
      </c>
      <c r="AK255" s="8">
        <f t="shared" ref="AK255:AK256" si="708">SUM(O250)</f>
        <v>7315</v>
      </c>
      <c r="AL255" s="12">
        <f t="shared" ref="AL255:AL261" ca="1" si="709">AI255/AK255</f>
        <v>0.81777170198222826</v>
      </c>
      <c r="AM255" s="13">
        <f t="shared" ref="AM255:AM256" si="710">SUM(Q250)</f>
        <v>1.5</v>
      </c>
      <c r="AN255" s="12">
        <f t="shared" ref="AN255:AN261" ca="1" si="711">AO255/AM255</f>
        <v>0.61508431035291156</v>
      </c>
      <c r="AO255" s="14">
        <f t="shared" ref="AO255:AO261" ca="1" si="712">AI255/AB255</f>
        <v>0.92262646552936733</v>
      </c>
      <c r="AP255" s="13">
        <f t="shared" ref="AP255:AQ255" ca="1" si="713">SUM(T250)</f>
        <v>209.84768747774865</v>
      </c>
      <c r="AQ255" s="13">
        <f t="shared" ca="1" si="713"/>
        <v>6.3590208326590503</v>
      </c>
      <c r="AR255" s="9">
        <f t="shared" ref="AR255:AR261" ca="1" si="714">AI255/AA255</f>
        <v>181.27272727272728</v>
      </c>
      <c r="AS255" s="76"/>
      <c r="AT255" s="76"/>
    </row>
    <row r="256" spans="1:46" ht="15.75" customHeight="1" x14ac:dyDescent="0.25">
      <c r="A256" s="70"/>
      <c r="B256" s="16">
        <v>8</v>
      </c>
      <c r="C256" s="16" t="s">
        <v>25</v>
      </c>
      <c r="D256" s="34">
        <v>32</v>
      </c>
      <c r="E256" s="18">
        <f ca="1">IFERROR(__xludf.DUMMYFUNCTION("COUNT(IMPORTRANGE(""https://docs.google.com/spreadsheets/d/1KbRFOEYB0B44J_NSh1MwYQ1sLDlZXUHI-wuMLcZDn5k/edit"",""10!d2:D33""))"),32)</f>
        <v>32</v>
      </c>
      <c r="F256" s="23">
        <f ca="1">IFERROR(__xludf.DUMMYFUNCTION("SUM(IMPORTRANGE(""https://docs.google.com/spreadsheets/d/1KbRFOEYB0B44J_NSh1MwYQ1sLDlZXUHI-wuMLcZDn5k/edit"",""10!Q2:Q33""))"),5558.256)</f>
        <v>5558.2560000000003</v>
      </c>
      <c r="G256" s="18">
        <f ca="1">IFERROR(__xludf.DUMMYFUNCTION("IMPORTRANGE(""https://docs.google.com/spreadsheets/d/1KbRFOEYB0B44J_NSh1MwYQ1sLDlZXUHI-wuMLcZDn5k/edit"",""10!e40"")"),2333)</f>
        <v>2333</v>
      </c>
      <c r="H256" s="18">
        <f ca="1">IFERROR(__xludf.DUMMYFUNCTION("IMPORTRANGE(""https://docs.google.com/spreadsheets/d/1KbRFOEYB0B44J_NSh1MwYQ1sLDlZXUHI-wuMLcZDn5k/edit"",""10!e41"")"),375)</f>
        <v>375</v>
      </c>
      <c r="I256" s="18">
        <f t="shared" ca="1" si="687"/>
        <v>2708</v>
      </c>
      <c r="J256" s="18">
        <f ca="1">IFERROR(__xludf.DUMMYFUNCTION("IMPORTRANGE(""https://docs.google.com/spreadsheets/d/1KbRFOEYB0B44J_NSh1MwYQ1sLDlZXUHI-wuMLcZDn5k/edit"",""10!e44"")"),2595)</f>
        <v>2595</v>
      </c>
      <c r="K256" s="18">
        <f ca="1">IFERROR(__xludf.DUMMYFUNCTION("IMPORTRANGE(""https://docs.google.com/spreadsheets/d/1KbRFOEYB0B44J_NSh1MwYQ1sLDlZXUHI-wuMLcZDn5k/edit"",""10!e45"")"),478)</f>
        <v>478</v>
      </c>
      <c r="L256" s="18">
        <f ca="1">J256+K256</f>
        <v>3073</v>
      </c>
      <c r="M256" s="18">
        <f t="shared" ca="1" si="689"/>
        <v>5781</v>
      </c>
      <c r="N256" s="19">
        <f t="shared" ca="1" si="690"/>
        <v>173.69550000000001</v>
      </c>
      <c r="O256" s="16">
        <v>6622</v>
      </c>
      <c r="P256" s="20">
        <f t="shared" ca="1" si="691"/>
        <v>0.87299909392932651</v>
      </c>
      <c r="Q256" s="21">
        <v>1.5</v>
      </c>
      <c r="R256" s="20">
        <f t="shared" ca="1" si="692"/>
        <v>0.69338296041060354</v>
      </c>
      <c r="S256" s="22">
        <f t="shared" ca="1" si="693"/>
        <v>1.0400744406159053</v>
      </c>
      <c r="T256" s="21">
        <f ca="1">F256/23.84</f>
        <v>233.14832214765102</v>
      </c>
      <c r="U256" s="21">
        <f t="shared" ca="1" si="694"/>
        <v>7.2858850671140942</v>
      </c>
      <c r="V256" s="18">
        <f t="shared" ca="1" si="695"/>
        <v>180.65625</v>
      </c>
      <c r="W256" s="76"/>
      <c r="X256" s="8">
        <v>2</v>
      </c>
      <c r="Y256" s="8" t="s">
        <v>30</v>
      </c>
      <c r="Z256" s="8">
        <f t="shared" ref="Z256:AI256" si="715">SUM(D251)</f>
        <v>60</v>
      </c>
      <c r="AA256" s="9">
        <f t="shared" ca="1" si="715"/>
        <v>59</v>
      </c>
      <c r="AB256" s="10">
        <f t="shared" ca="1" si="715"/>
        <v>11367.5519999999</v>
      </c>
      <c r="AC256" s="9">
        <f t="shared" ca="1" si="715"/>
        <v>3322</v>
      </c>
      <c r="AD256" s="9">
        <f t="shared" ca="1" si="715"/>
        <v>0</v>
      </c>
      <c r="AE256" s="9">
        <f t="shared" ca="1" si="715"/>
        <v>3322</v>
      </c>
      <c r="AF256" s="9">
        <f t="shared" ca="1" si="715"/>
        <v>5754</v>
      </c>
      <c r="AG256" s="9">
        <f t="shared" ca="1" si="715"/>
        <v>0</v>
      </c>
      <c r="AH256" s="9">
        <f t="shared" ca="1" si="715"/>
        <v>5754</v>
      </c>
      <c r="AI256" s="9">
        <f t="shared" ca="1" si="715"/>
        <v>9076</v>
      </c>
      <c r="AJ256" s="11">
        <f t="shared" ca="1" si="707"/>
        <v>192.67037288135424</v>
      </c>
      <c r="AK256" s="8">
        <f t="shared" si="708"/>
        <v>11164</v>
      </c>
      <c r="AL256" s="12">
        <f t="shared" ca="1" si="709"/>
        <v>0.81297026155499819</v>
      </c>
      <c r="AM256" s="13">
        <f t="shared" si="710"/>
        <v>1.5</v>
      </c>
      <c r="AN256" s="12">
        <f t="shared" ca="1" si="711"/>
        <v>0.53227525738758186</v>
      </c>
      <c r="AO256" s="14">
        <f t="shared" ca="1" si="712"/>
        <v>0.79841288608137273</v>
      </c>
      <c r="AP256" s="13">
        <f t="shared" ref="AP256:AQ256" ca="1" si="716">SUM(T251)</f>
        <v>383.99999999999659</v>
      </c>
      <c r="AQ256" s="13">
        <f t="shared" ca="1" si="716"/>
        <v>6.5084745762711282</v>
      </c>
      <c r="AR256" s="9">
        <f t="shared" ca="1" si="714"/>
        <v>153.83050847457628</v>
      </c>
      <c r="AS256" s="76"/>
      <c r="AT256" s="76"/>
    </row>
    <row r="257" spans="1:46" ht="15.75" customHeight="1" x14ac:dyDescent="0.25">
      <c r="A257" s="70"/>
      <c r="B257" s="16">
        <v>9</v>
      </c>
      <c r="C257" s="16" t="s">
        <v>36</v>
      </c>
      <c r="D257" s="34">
        <v>29</v>
      </c>
      <c r="E257" s="18">
        <f ca="1">IFERROR(__xludf.DUMMYFUNCTION("COUNT(IMPORTRANGE(""https://docs.google.com/spreadsheets/d/1VqqqRGfmmkT0JC4ILJva2p8P11jjV0FX-TSKAaqOigw/edit"",""10!d2:d31""))"),29)</f>
        <v>29</v>
      </c>
      <c r="F257" s="23">
        <f ca="1">IFERROR(__xludf.DUMMYFUNCTION("SUM(IMPORTRANGE(""https://docs.google.com/spreadsheets/d/1VqqqRGfmmkT0JC4ILJva2p8P11jjV0FX-TSKAaqOigw/edit"",""10!Q2:Q31""))"),5712.817)</f>
        <v>5712.817</v>
      </c>
      <c r="G257" s="18">
        <f ca="1">IFERROR(__xludf.DUMMYFUNCTION("IMPORTRANGE(""https://docs.google.com/spreadsheets/d/1VqqqRGfmmkT0JC4ILJva2p8P11jjV0FX-TSKAaqOigw/edit"",""10!e38"")"),1622)</f>
        <v>1622</v>
      </c>
      <c r="H257" s="18">
        <f ca="1">IFERROR(__xludf.DUMMYFUNCTION("IMPORTRANGE(""https://docs.google.com/spreadsheets/d/1VqqqRGfmmkT0JC4ILJva2p8P11jjV0FX-TSKAaqOigw/edit"",""10!e39"")"),0)</f>
        <v>0</v>
      </c>
      <c r="I257" s="18">
        <f t="shared" ca="1" si="687"/>
        <v>1622</v>
      </c>
      <c r="J257" s="18">
        <f ca="1">IFERROR(__xludf.DUMMYFUNCTION("IMPORTRANGE(""https://docs.google.com/spreadsheets/d/1VqqqRGfmmkT0JC4ILJva2p8P11jjV0FX-TSKAaqOigw/edit"",""10!e42"")"),2398)</f>
        <v>2398</v>
      </c>
      <c r="K257" s="18">
        <f ca="1">IFERROR(__xludf.DUMMYFUNCTION("IMPORTRANGE(""https://docs.google.com/spreadsheets/d/1VqqqRGfmmkT0JC4ILJva2p8P11jjV0FX-TSKAaqOigw/edit"",""10!e43"")"),0)</f>
        <v>0</v>
      </c>
      <c r="L257" s="18">
        <f t="shared" ref="L257:L266" ca="1" si="717">SUM(J257:K257)</f>
        <v>2398</v>
      </c>
      <c r="M257" s="18">
        <f t="shared" ca="1" si="689"/>
        <v>4020</v>
      </c>
      <c r="N257" s="19">
        <f t="shared" ca="1" si="690"/>
        <v>196.9936896551724</v>
      </c>
      <c r="O257" s="16">
        <v>4796</v>
      </c>
      <c r="P257" s="20">
        <f t="shared" ca="1" si="691"/>
        <v>0.83819849874895747</v>
      </c>
      <c r="Q257" s="21">
        <v>1.5</v>
      </c>
      <c r="R257" s="20">
        <f t="shared" ca="1" si="692"/>
        <v>0.46912057571597338</v>
      </c>
      <c r="S257" s="22">
        <f t="shared" ca="1" si="693"/>
        <v>0.70368086357396009</v>
      </c>
      <c r="T257" s="21">
        <f ca="1">F257/37.414</f>
        <v>152.69196022879134</v>
      </c>
      <c r="U257" s="21">
        <f t="shared" ca="1" si="694"/>
        <v>5.2652400078893571</v>
      </c>
      <c r="V257" s="18">
        <f t="shared" ca="1" si="695"/>
        <v>138.62068965517241</v>
      </c>
      <c r="W257" s="76"/>
      <c r="X257" s="8">
        <v>3</v>
      </c>
      <c r="Y257" s="8" t="s">
        <v>34</v>
      </c>
      <c r="Z257" s="8">
        <f t="shared" ref="Z257:AI257" si="718">SUM(D253)</f>
        <v>40</v>
      </c>
      <c r="AA257" s="9">
        <f t="shared" ca="1" si="718"/>
        <v>39</v>
      </c>
      <c r="AB257" s="10">
        <f t="shared" ca="1" si="718"/>
        <v>7708.9769999999999</v>
      </c>
      <c r="AC257" s="9">
        <f t="shared" ca="1" si="718"/>
        <v>2878</v>
      </c>
      <c r="AD257" s="9">
        <f t="shared" ca="1" si="718"/>
        <v>0</v>
      </c>
      <c r="AE257" s="9">
        <f t="shared" ca="1" si="718"/>
        <v>2878</v>
      </c>
      <c r="AF257" s="9">
        <f t="shared" ca="1" si="718"/>
        <v>3522</v>
      </c>
      <c r="AG257" s="9">
        <f t="shared" ca="1" si="718"/>
        <v>0</v>
      </c>
      <c r="AH257" s="9">
        <f t="shared" ca="1" si="718"/>
        <v>3522</v>
      </c>
      <c r="AI257" s="9">
        <f t="shared" ca="1" si="718"/>
        <v>6400</v>
      </c>
      <c r="AJ257" s="11">
        <f t="shared" ca="1" si="707"/>
        <v>197.66607692307693</v>
      </c>
      <c r="AK257" s="8">
        <f>SUM(O253)</f>
        <v>9354</v>
      </c>
      <c r="AL257" s="12">
        <f t="shared" ca="1" si="709"/>
        <v>0.68419927303827244</v>
      </c>
      <c r="AM257" s="13">
        <f>SUM(Q253)</f>
        <v>1.5</v>
      </c>
      <c r="AN257" s="12">
        <f t="shared" ca="1" si="711"/>
        <v>0.55346729749831491</v>
      </c>
      <c r="AO257" s="14">
        <f t="shared" ca="1" si="712"/>
        <v>0.83020094624747232</v>
      </c>
      <c r="AP257" s="13">
        <f t="shared" ref="AP257:AQ257" ca="1" si="719">SUM(T253)</f>
        <v>251.00045583303486</v>
      </c>
      <c r="AQ257" s="13">
        <f t="shared" ca="1" si="719"/>
        <v>6.4359091239239712</v>
      </c>
      <c r="AR257" s="9">
        <f t="shared" ca="1" si="714"/>
        <v>164.10256410256412</v>
      </c>
      <c r="AS257" s="76"/>
      <c r="AT257" s="76"/>
    </row>
    <row r="258" spans="1:46" ht="15.75" customHeight="1" x14ac:dyDescent="0.25">
      <c r="A258" s="70"/>
      <c r="B258" s="16">
        <v>10</v>
      </c>
      <c r="C258" s="16" t="s">
        <v>37</v>
      </c>
      <c r="D258" s="17">
        <v>30</v>
      </c>
      <c r="E258" s="18">
        <f ca="1">IFERROR(__xludf.DUMMYFUNCTION("COUNT(IMPORTRANGE(""https://docs.google.com/spreadsheets/d/1IYeRjQd_D6MRqoBKNaky3aSEUloYCJc5XDnPAbdyetk/edit"",""10!d2:d31""))"),30)</f>
        <v>30</v>
      </c>
      <c r="F258" s="23">
        <f ca="1">IFERROR(__xludf.DUMMYFUNCTION("SUM(IMPORTRANGE(""https://docs.google.com/spreadsheets/d/1IYeRjQd_D6MRqoBKNaky3aSEUloYCJc5XDnPAbdyetk/edit"",""10!Q2:Q31""))"),5699.53799999999)</f>
        <v>5699.5379999999896</v>
      </c>
      <c r="G258" s="18">
        <f ca="1">IFERROR(__xludf.DUMMYFUNCTION("(IMPORTRANGE(""https://docs.google.com/spreadsheets/d/1IYeRjQd_D6MRqoBKNaky3aSEUloYCJc5XDnPAbdyetk/edit"",""10!e38""))"),2197)</f>
        <v>2197</v>
      </c>
      <c r="H258" s="18">
        <f ca="1">IFERROR(__xludf.DUMMYFUNCTION("(IMPORTRANGE(""https://docs.google.com/spreadsheets/d/1IYeRjQd_D6MRqoBKNaky3aSEUloYCJc5XDnPAbdyetk/edit"",""10!e39""))"),0)</f>
        <v>0</v>
      </c>
      <c r="I258" s="18">
        <f t="shared" ca="1" si="687"/>
        <v>2197</v>
      </c>
      <c r="J258" s="18">
        <f ca="1">IFERROR(__xludf.DUMMYFUNCTION("(IMPORTRANGE(""https://docs.google.com/spreadsheets/d/1IYeRjQd_D6MRqoBKNaky3aSEUloYCJc5XDnPAbdyetk/edit"",""10!e42""))"),3031)</f>
        <v>3031</v>
      </c>
      <c r="K258" s="18">
        <f ca="1">IFERROR(__xludf.DUMMYFUNCTION("(IMPORTRANGE(""https://docs.google.com/spreadsheets/d/1IYeRjQd_D6MRqoBKNaky3aSEUloYCJc5XDnPAbdyetk/edit"",""10!e43""))"),0)</f>
        <v>0</v>
      </c>
      <c r="L258" s="18">
        <f t="shared" ca="1" si="717"/>
        <v>3031</v>
      </c>
      <c r="M258" s="18">
        <f t="shared" ca="1" si="689"/>
        <v>5228</v>
      </c>
      <c r="N258" s="19">
        <f t="shared" ca="1" si="690"/>
        <v>189.98459999999966</v>
      </c>
      <c r="O258" s="16">
        <v>5887</v>
      </c>
      <c r="P258" s="20">
        <f t="shared" ca="1" si="691"/>
        <v>0.88805843383726857</v>
      </c>
      <c r="Q258" s="21">
        <v>1.5</v>
      </c>
      <c r="R258" s="20">
        <f t="shared" ca="1" si="692"/>
        <v>0.61151155292470016</v>
      </c>
      <c r="S258" s="22">
        <f t="shared" ca="1" si="693"/>
        <v>0.91726732938705025</v>
      </c>
      <c r="T258" s="21">
        <f ca="1">F258/24.792</f>
        <v>229.8942400774439</v>
      </c>
      <c r="U258" s="21">
        <f t="shared" ca="1" si="694"/>
        <v>7.6631413359147968</v>
      </c>
      <c r="V258" s="18">
        <f t="shared" ca="1" si="695"/>
        <v>174.26666666666668</v>
      </c>
      <c r="W258" s="76"/>
      <c r="X258" s="8">
        <v>4</v>
      </c>
      <c r="Y258" s="8" t="s">
        <v>38</v>
      </c>
      <c r="Z258" s="8">
        <f t="shared" ref="Z258:AI258" si="720">SUM(D261)</f>
        <v>30</v>
      </c>
      <c r="AA258" s="9">
        <f t="shared" ca="1" si="720"/>
        <v>28</v>
      </c>
      <c r="AB258" s="10">
        <f t="shared" ca="1" si="720"/>
        <v>5892.3149999999996</v>
      </c>
      <c r="AC258" s="9">
        <f t="shared" ca="1" si="720"/>
        <v>2316</v>
      </c>
      <c r="AD258" s="9">
        <f t="shared" ca="1" si="720"/>
        <v>0</v>
      </c>
      <c r="AE258" s="9">
        <f t="shared" ca="1" si="720"/>
        <v>2316</v>
      </c>
      <c r="AF258" s="9">
        <f t="shared" ca="1" si="720"/>
        <v>3018</v>
      </c>
      <c r="AG258" s="9">
        <f t="shared" ca="1" si="720"/>
        <v>110</v>
      </c>
      <c r="AH258" s="9">
        <f t="shared" ca="1" si="720"/>
        <v>3128</v>
      </c>
      <c r="AI258" s="9">
        <f t="shared" ca="1" si="720"/>
        <v>5444</v>
      </c>
      <c r="AJ258" s="11">
        <f t="shared" ca="1" si="707"/>
        <v>210.43982142857141</v>
      </c>
      <c r="AK258" s="8">
        <v>7324</v>
      </c>
      <c r="AL258" s="12">
        <f t="shared" ca="1" si="709"/>
        <v>0.74330966684871658</v>
      </c>
      <c r="AM258" s="13">
        <f>SUM(Q261)</f>
        <v>1.5</v>
      </c>
      <c r="AN258" s="12">
        <f t="shared" ca="1" si="711"/>
        <v>0.61594353549213399</v>
      </c>
      <c r="AO258" s="14">
        <f t="shared" ca="1" si="712"/>
        <v>0.92391530323820104</v>
      </c>
      <c r="AP258" s="13">
        <f t="shared" ref="AP258:AQ258" ca="1" si="721">SUM(T261)</f>
        <v>143</v>
      </c>
      <c r="AQ258" s="13">
        <f t="shared" ca="1" si="721"/>
        <v>5.1071428571428568</v>
      </c>
      <c r="AR258" s="9">
        <f t="shared" ca="1" si="714"/>
        <v>194.42857142857142</v>
      </c>
      <c r="AS258" s="76"/>
      <c r="AT258" s="76"/>
    </row>
    <row r="259" spans="1:46" ht="15.75" customHeight="1" x14ac:dyDescent="0.25">
      <c r="A259" s="70"/>
      <c r="B259" s="16">
        <v>12</v>
      </c>
      <c r="C259" s="16" t="s">
        <v>39</v>
      </c>
      <c r="D259" s="17">
        <v>28</v>
      </c>
      <c r="E259" s="18">
        <f ca="1">IFERROR(__xludf.DUMMYFUNCTION("COUNT(IMPORTRANGE(""https://docs.google.com/spreadsheets/d/1TAY2D35yAzyl8a_p5CuZehQvmatfj0b0Q8ICl8GtJBY/edit"",""10!d2:d29""))"),28)</f>
        <v>28</v>
      </c>
      <c r="F259" s="23">
        <f ca="1">IFERROR(__xludf.DUMMYFUNCTION("SUM(IMPORTRANGE(""https://docs.google.com/spreadsheets/d/1TAY2D35yAzyl8a_p5CuZehQvmatfj0b0Q8ICl8GtJBY/edit"",""10!Q2:Q29""))"),5351.56299999999)</f>
        <v>5351.5629999999901</v>
      </c>
      <c r="G259" s="18">
        <f ca="1">IFERROR(__xludf.DUMMYFUNCTION("IMPORTRANGE(""https://docs.google.com/spreadsheets/d/1TAY2D35yAzyl8a_p5CuZehQvmatfj0b0Q8ICl8GtJBY/edit"",""10!e36"")"),1259)</f>
        <v>1259</v>
      </c>
      <c r="H259" s="18">
        <f ca="1">IFERROR(__xludf.DUMMYFUNCTION("(IMPORTRANGE(""https://docs.google.com/spreadsheets/d/1TAY2D35yAzyl8a_p5CuZehQvmatfj0b0Q8ICl8GtJBY/edit"",""10!e37""))"),0)</f>
        <v>0</v>
      </c>
      <c r="I259" s="18">
        <f t="shared" ca="1" si="687"/>
        <v>1259</v>
      </c>
      <c r="J259" s="18">
        <f ca="1">IFERROR(__xludf.DUMMYFUNCTION("IMPORTRANGE(""https://docs.google.com/spreadsheets/d/1TAY2D35yAzyl8a_p5CuZehQvmatfj0b0Q8ICl8GtJBY/edit"",""10!e40"")"),1734)</f>
        <v>1734</v>
      </c>
      <c r="K259" s="18">
        <f ca="1">IFERROR(__xludf.DUMMYFUNCTION("IMPORTRANGE(""https://docs.google.com/spreadsheets/d/1TAY2D35yAzyl8a_p5CuZehQvmatfj0b0Q8ICl8GtJBY/edit"",""10!e41"")"),111)</f>
        <v>111</v>
      </c>
      <c r="L259" s="18">
        <f t="shared" ca="1" si="717"/>
        <v>1845</v>
      </c>
      <c r="M259" s="18">
        <f t="shared" ca="1" si="689"/>
        <v>3104</v>
      </c>
      <c r="N259" s="19">
        <f t="shared" ca="1" si="690"/>
        <v>191.12724999999963</v>
      </c>
      <c r="O259" s="16">
        <v>3569</v>
      </c>
      <c r="P259" s="20">
        <f t="shared" ca="1" si="691"/>
        <v>0.86971140375455314</v>
      </c>
      <c r="Q259" s="21">
        <v>1.5</v>
      </c>
      <c r="R259" s="20">
        <f t="shared" ca="1" si="692"/>
        <v>0.3866783093711757</v>
      </c>
      <c r="S259" s="22">
        <f t="shared" ca="1" si="693"/>
        <v>0.58001746405676358</v>
      </c>
      <c r="T259" s="21">
        <f ca="1">F259/21.463</f>
        <v>249.33900200344732</v>
      </c>
      <c r="U259" s="21">
        <f t="shared" ca="1" si="694"/>
        <v>8.9049643572659765</v>
      </c>
      <c r="V259" s="18">
        <f t="shared" ca="1" si="695"/>
        <v>110.85714285714286</v>
      </c>
      <c r="W259" s="76"/>
      <c r="X259" s="8">
        <v>5</v>
      </c>
      <c r="Y259" s="8" t="s">
        <v>40</v>
      </c>
      <c r="Z259" s="8">
        <f t="shared" ref="Z259:AI259" si="722">SUM(D263)</f>
        <v>30</v>
      </c>
      <c r="AA259" s="9">
        <f t="shared" ca="1" si="722"/>
        <v>29</v>
      </c>
      <c r="AB259" s="10">
        <f t="shared" ca="1" si="722"/>
        <v>5688.5999999999904</v>
      </c>
      <c r="AC259" s="9">
        <f t="shared" ca="1" si="722"/>
        <v>3458</v>
      </c>
      <c r="AD259" s="9">
        <f t="shared" ca="1" si="722"/>
        <v>0</v>
      </c>
      <c r="AE259" s="9">
        <f t="shared" ca="1" si="722"/>
        <v>3458</v>
      </c>
      <c r="AF259" s="9">
        <f t="shared" ca="1" si="722"/>
        <v>3897</v>
      </c>
      <c r="AG259" s="9">
        <f t="shared" ca="1" si="722"/>
        <v>160</v>
      </c>
      <c r="AH259" s="9">
        <f t="shared" ca="1" si="722"/>
        <v>4057</v>
      </c>
      <c r="AI259" s="9">
        <f t="shared" ca="1" si="722"/>
        <v>7515</v>
      </c>
      <c r="AJ259" s="11">
        <f t="shared" ca="1" si="707"/>
        <v>196.15862068965484</v>
      </c>
      <c r="AK259" s="8">
        <f t="shared" ref="AK259:AK260" si="723">SUM(O263)</f>
        <v>8239</v>
      </c>
      <c r="AL259" s="12">
        <f t="shared" ca="1" si="709"/>
        <v>0.91212525791965049</v>
      </c>
      <c r="AM259" s="13">
        <f t="shared" ref="AM259:AM260" si="724">SUM(Q263)</f>
        <v>1.5</v>
      </c>
      <c r="AN259" s="12">
        <f t="shared" ca="1" si="711"/>
        <v>0.88070878599304026</v>
      </c>
      <c r="AO259" s="14">
        <f t="shared" ca="1" si="712"/>
        <v>1.3210631789895604</v>
      </c>
      <c r="AP259" s="13">
        <f t="shared" ref="AP259:AQ259" ca="1" si="725">SUM(T263)</f>
        <v>199.99999999999966</v>
      </c>
      <c r="AQ259" s="13">
        <f t="shared" ca="1" si="725"/>
        <v>6.8965517241379191</v>
      </c>
      <c r="AR259" s="9">
        <f t="shared" ca="1" si="714"/>
        <v>259.13793103448273</v>
      </c>
      <c r="AS259" s="76"/>
      <c r="AT259" s="76"/>
    </row>
    <row r="260" spans="1:46" ht="15.75" customHeight="1" x14ac:dyDescent="0.25">
      <c r="A260" s="70"/>
      <c r="B260" s="16">
        <v>12</v>
      </c>
      <c r="C260" s="16" t="s">
        <v>41</v>
      </c>
      <c r="D260" s="17">
        <v>24</v>
      </c>
      <c r="E260" s="18">
        <f ca="1">IFERROR(__xludf.DUMMYFUNCTION("COUNT(IMPORTRANGE(""https://docs.google.com/spreadsheets/d/1VAsUtLQHi7oV9NsI9EIHPnO1bcPJHeRgSbMoxSvPBME/edit"",""10!d2:d25""))"),24)</f>
        <v>24</v>
      </c>
      <c r="F260" s="23">
        <f ca="1">IFERROR(__xludf.DUMMYFUNCTION("SUM(IMPORTRANGE(""https://docs.google.com/spreadsheets/d/1VAsUtLQHi7oV9NsI9EIHPnO1bcPJHeRgSbMoxSvPBME/edit"",""10!Q2:Q25""))"),4793.152)</f>
        <v>4793.152</v>
      </c>
      <c r="G260" s="18">
        <f ca="1">IFERROR(__xludf.DUMMYFUNCTION("IMPORTRANGE(""https://docs.google.com/spreadsheets/d/1VAsUtLQHi7oV9NsI9EIHPnO1bcPJHeRgSbMoxSvPBME/edit"",""10!e32"")"),1352)</f>
        <v>1352</v>
      </c>
      <c r="H260" s="18">
        <f ca="1">IFERROR(__xludf.DUMMYFUNCTION("IMPORTRANGE(""https://docs.google.com/spreadsheets/d/1VAsUtLQHi7oV9NsI9EIHPnO1bcPJHeRgSbMoxSvPBME/edit"",""10!e33"")"),0)</f>
        <v>0</v>
      </c>
      <c r="I260" s="18">
        <f t="shared" ca="1" si="687"/>
        <v>1352</v>
      </c>
      <c r="J260" s="18">
        <f ca="1">IFERROR(__xludf.DUMMYFUNCTION("IMPORTRANGE(""https://docs.google.com/spreadsheets/d/1VAsUtLQHi7oV9NsI9EIHPnO1bcPJHeRgSbMoxSvPBME/edit"",""10!e36"")"),1662)</f>
        <v>1662</v>
      </c>
      <c r="K260" s="18">
        <f ca="1">IFERROR(__xludf.DUMMYFUNCTION("IMPORTRANGE(""https://docs.google.com/spreadsheets/d/1VAsUtLQHi7oV9NsI9EIHPnO1bcPJHeRgSbMoxSvPBME/edit"",""10!e37"")"),229)</f>
        <v>229</v>
      </c>
      <c r="L260" s="18">
        <f t="shared" ca="1" si="717"/>
        <v>1891</v>
      </c>
      <c r="M260" s="18">
        <f t="shared" ca="1" si="689"/>
        <v>3243</v>
      </c>
      <c r="N260" s="19">
        <f t="shared" ca="1" si="690"/>
        <v>199.71466666666666</v>
      </c>
      <c r="O260" s="16">
        <v>3801</v>
      </c>
      <c r="P260" s="20">
        <f t="shared" ca="1" si="691"/>
        <v>0.85319652722967643</v>
      </c>
      <c r="Q260" s="21">
        <v>1.5</v>
      </c>
      <c r="R260" s="20">
        <f t="shared" ca="1" si="692"/>
        <v>0.45106017918897628</v>
      </c>
      <c r="S260" s="22">
        <f t="shared" ca="1" si="693"/>
        <v>0.6765902687834644</v>
      </c>
      <c r="T260" s="21">
        <f ca="1">F260/29.628</f>
        <v>161.77777777777777</v>
      </c>
      <c r="U260" s="21">
        <f t="shared" ca="1" si="694"/>
        <v>6.7407407407407405</v>
      </c>
      <c r="V260" s="18">
        <f t="shared" ca="1" si="695"/>
        <v>135.125</v>
      </c>
      <c r="W260" s="76"/>
      <c r="X260" s="8">
        <v>6</v>
      </c>
      <c r="Y260" s="8" t="s">
        <v>42</v>
      </c>
      <c r="Z260" s="8">
        <f t="shared" ref="Z260:AI260" si="726">SUM(D264)</f>
        <v>33</v>
      </c>
      <c r="AA260" s="9">
        <f t="shared" ca="1" si="726"/>
        <v>33</v>
      </c>
      <c r="AB260" s="10">
        <f t="shared" ca="1" si="726"/>
        <v>6501.82599999999</v>
      </c>
      <c r="AC260" s="9">
        <f t="shared" ca="1" si="726"/>
        <v>3171</v>
      </c>
      <c r="AD260" s="9">
        <f t="shared" ca="1" si="726"/>
        <v>0</v>
      </c>
      <c r="AE260" s="9">
        <f t="shared" ca="1" si="726"/>
        <v>3171</v>
      </c>
      <c r="AF260" s="9">
        <f t="shared" ca="1" si="726"/>
        <v>4820</v>
      </c>
      <c r="AG260" s="9">
        <f t="shared" ca="1" si="726"/>
        <v>37</v>
      </c>
      <c r="AH260" s="9">
        <f t="shared" ca="1" si="726"/>
        <v>4857</v>
      </c>
      <c r="AI260" s="9">
        <f t="shared" ca="1" si="726"/>
        <v>8028</v>
      </c>
      <c r="AJ260" s="11">
        <f t="shared" ca="1" si="707"/>
        <v>197.02503030303001</v>
      </c>
      <c r="AK260" s="8">
        <f t="shared" si="723"/>
        <v>9877</v>
      </c>
      <c r="AL260" s="12">
        <f t="shared" ca="1" si="709"/>
        <v>0.81279740811987444</v>
      </c>
      <c r="AM260" s="13">
        <f t="shared" si="724"/>
        <v>1.5</v>
      </c>
      <c r="AN260" s="12">
        <f t="shared" ca="1" si="711"/>
        <v>0.82315337260640442</v>
      </c>
      <c r="AO260" s="14">
        <f t="shared" ca="1" si="712"/>
        <v>1.2347300589096066</v>
      </c>
      <c r="AP260" s="13">
        <f t="shared" ref="AP260:AQ260" ca="1" si="727">SUM(T264)</f>
        <v>248.58826228254597</v>
      </c>
      <c r="AQ260" s="13">
        <f t="shared" ca="1" si="727"/>
        <v>7.5329776449256354</v>
      </c>
      <c r="AR260" s="9">
        <f t="shared" ca="1" si="714"/>
        <v>243.27272727272728</v>
      </c>
      <c r="AS260" s="76"/>
      <c r="AT260" s="76"/>
    </row>
    <row r="261" spans="1:46" ht="15.75" customHeight="1" x14ac:dyDescent="0.25">
      <c r="A261" s="70"/>
      <c r="B261" s="16">
        <v>13</v>
      </c>
      <c r="C261" s="16" t="s">
        <v>43</v>
      </c>
      <c r="D261" s="17">
        <v>30</v>
      </c>
      <c r="E261" s="18">
        <f ca="1">IFERROR(__xludf.DUMMYFUNCTION("COUNT(IMPORTRANGE(""https://docs.google.com/spreadsheets/d/1p9Y_DGk7-TpRBFth-ljZceOIGCjQ0ylUeUq6xqnsZ-Q/edit"",""10!d2:d31""))"),28)</f>
        <v>28</v>
      </c>
      <c r="F261" s="23">
        <f ca="1">IFERROR(__xludf.DUMMYFUNCTION("SUM(IMPORTRANGE(""https://docs.google.com/spreadsheets/d/1p9Y_DGk7-TpRBFth-ljZceOIGCjQ0ylUeUq6xqnsZ-Q/edit"",""10!Q2:Q31""))"),5892.315)</f>
        <v>5892.3149999999996</v>
      </c>
      <c r="G261" s="18">
        <f ca="1">IFERROR(__xludf.DUMMYFUNCTION("IMPORTRANGE(""https://docs.google.com/spreadsheets/d/1p9Y_DGk7-TpRBFth-ljZceOIGCjQ0ylUeUq6xqnsZ-Q/edit"",""10!e38"")"),2316)</f>
        <v>2316</v>
      </c>
      <c r="H261" s="18">
        <f ca="1">IFERROR(__xludf.DUMMYFUNCTION("IMPORTRANGE(""https://docs.google.com/spreadsheets/d/1p9Y_DGk7-TpRBFth-ljZceOIGCjQ0ylUeUq6xqnsZ-Q/edit"",""10!e39"")"),0)</f>
        <v>0</v>
      </c>
      <c r="I261" s="18">
        <f t="shared" ca="1" si="687"/>
        <v>2316</v>
      </c>
      <c r="J261" s="18">
        <f ca="1">IFERROR(__xludf.DUMMYFUNCTION("IMPORTRANGE(""https://docs.google.com/spreadsheets/d/1p9Y_DGk7-TpRBFth-ljZceOIGCjQ0ylUeUq6xqnsZ-Q/edit"",""10!e42"")"),3018)</f>
        <v>3018</v>
      </c>
      <c r="K261" s="18">
        <f ca="1">IFERROR(__xludf.DUMMYFUNCTION("IMPORTRANGE(""https://docs.google.com/spreadsheets/d/1p9Y_DGk7-TpRBFth-ljZceOIGCjQ0ylUeUq6xqnsZ-Q/edit"",""10!e43"")"),110)</f>
        <v>110</v>
      </c>
      <c r="L261" s="18">
        <f t="shared" ca="1" si="717"/>
        <v>3128</v>
      </c>
      <c r="M261" s="18">
        <f t="shared" ca="1" si="689"/>
        <v>5444</v>
      </c>
      <c r="N261" s="19">
        <f t="shared" ca="1" si="690"/>
        <v>210.43982142857141</v>
      </c>
      <c r="O261" s="16">
        <v>8345</v>
      </c>
      <c r="P261" s="20">
        <f t="shared" ca="1" si="691"/>
        <v>0.65236668663870578</v>
      </c>
      <c r="Q261" s="21">
        <v>1.5</v>
      </c>
      <c r="R261" s="20">
        <f t="shared" ca="1" si="692"/>
        <v>0.61594353549213399</v>
      </c>
      <c r="S261" s="22">
        <f t="shared" ca="1" si="693"/>
        <v>0.92391530323820104</v>
      </c>
      <c r="T261" s="21">
        <f ca="1">F261/41.205</f>
        <v>143</v>
      </c>
      <c r="U261" s="21">
        <f t="shared" ca="1" si="694"/>
        <v>5.1071428571428568</v>
      </c>
      <c r="V261" s="18">
        <f t="shared" ca="1" si="695"/>
        <v>194.42857142857142</v>
      </c>
      <c r="W261" s="76"/>
      <c r="X261" s="24" t="s">
        <v>33</v>
      </c>
      <c r="Y261" s="24">
        <v>6</v>
      </c>
      <c r="Z261" s="24">
        <f t="shared" ref="Z261:AI261" si="728">SUM(Z255:Z260)</f>
        <v>226</v>
      </c>
      <c r="AA261" s="25">
        <f t="shared" ca="1" si="728"/>
        <v>221</v>
      </c>
      <c r="AB261" s="27">
        <f t="shared" ca="1" si="728"/>
        <v>43642.933999999877</v>
      </c>
      <c r="AC261" s="25">
        <f t="shared" ca="1" si="728"/>
        <v>17830</v>
      </c>
      <c r="AD261" s="25">
        <f t="shared" ca="1" si="728"/>
        <v>92</v>
      </c>
      <c r="AE261" s="25">
        <f t="shared" ca="1" si="728"/>
        <v>17922</v>
      </c>
      <c r="AF261" s="25">
        <f t="shared" ca="1" si="728"/>
        <v>24115</v>
      </c>
      <c r="AG261" s="25">
        <f t="shared" ca="1" si="728"/>
        <v>408</v>
      </c>
      <c r="AH261" s="25">
        <f t="shared" ca="1" si="728"/>
        <v>24523</v>
      </c>
      <c r="AI261" s="25">
        <f t="shared" ca="1" si="728"/>
        <v>42445</v>
      </c>
      <c r="AJ261" s="27">
        <f t="shared" ca="1" si="707"/>
        <v>197.47933936651529</v>
      </c>
      <c r="AK261" s="24">
        <f>SUM(AK255:AK260)</f>
        <v>53273</v>
      </c>
      <c r="AL261" s="28">
        <f t="shared" ca="1" si="709"/>
        <v>0.79674506785801436</v>
      </c>
      <c r="AM261" s="29">
        <v>1.5</v>
      </c>
      <c r="AN261" s="28">
        <f t="shared" ca="1" si="711"/>
        <v>0.64836765252003326</v>
      </c>
      <c r="AO261" s="30">
        <f t="shared" ca="1" si="712"/>
        <v>0.97255147878004988</v>
      </c>
      <c r="AP261" s="29">
        <f ca="1">SUM(AP255:AP260)</f>
        <v>1436.4364055933256</v>
      </c>
      <c r="AQ261" s="29">
        <f ca="1">AP261/AA261</f>
        <v>6.4997122425037359</v>
      </c>
      <c r="AR261" s="25">
        <f t="shared" ca="1" si="714"/>
        <v>192.05882352941177</v>
      </c>
      <c r="AS261" s="76"/>
      <c r="AT261" s="76"/>
    </row>
    <row r="262" spans="1:46" ht="15.75" customHeight="1" x14ac:dyDescent="0.25">
      <c r="A262" s="70"/>
      <c r="B262" s="16">
        <v>14</v>
      </c>
      <c r="C262" s="16" t="s">
        <v>27</v>
      </c>
      <c r="D262" s="17">
        <v>30</v>
      </c>
      <c r="E262" s="18">
        <f ca="1">IFERROR(__xludf.DUMMYFUNCTION("COUNT(IMPORTRANGE(""https://docs.google.com/spreadsheets/d/1zJUDEKztv_fercXA0LYNw155qdzS7TJGhWLhquaW5IY/edit"",""10!d2:d31""))"),28)</f>
        <v>28</v>
      </c>
      <c r="F262" s="23">
        <f ca="1">IFERROR(__xludf.DUMMYFUNCTION("SUM(IMPORTRANGE(""https://docs.google.com/spreadsheets/d/1zJUDEKztv_fercXA0LYNw155qdzS7TJGhWLhquaW5IY/edit"",""10!Q2:Q31""))"),5305.88)</f>
        <v>5305.88</v>
      </c>
      <c r="G262" s="18">
        <f ca="1">IFERROR(__xludf.DUMMYFUNCTION("IMPORTRANGE(""https://docs.google.com/spreadsheets/d/1zJUDEKztv_fercXA0LYNw155qdzS7TJGhWLhquaW5IY/edit"",""10!e38"")"),2462)</f>
        <v>2462</v>
      </c>
      <c r="H262" s="18">
        <f ca="1">IFERROR(__xludf.DUMMYFUNCTION("IMPORTRANGE(""https://docs.google.com/spreadsheets/d/1zJUDEKztv_fercXA0LYNw155qdzS7TJGhWLhquaW5IY/edit"",""10!e39"")"),0)</f>
        <v>0</v>
      </c>
      <c r="I262" s="18">
        <f t="shared" ca="1" si="687"/>
        <v>2462</v>
      </c>
      <c r="J262" s="18">
        <f ca="1">IFERROR(__xludf.DUMMYFUNCTION("IMPORTRANGE(""https://docs.google.com/spreadsheets/d/1zJUDEKztv_fercXA0LYNw155qdzS7TJGhWLhquaW5IY/edit"",""10!e42"")"),3395)</f>
        <v>3395</v>
      </c>
      <c r="K262" s="18">
        <f ca="1">IFERROR(__xludf.DUMMYFUNCTION("IMPORTRANGE(""https://docs.google.com/spreadsheets/d/1zJUDEKztv_fercXA0LYNw155qdzS7TJGhWLhquaW5IY/edit"",""10!e43"")"),183)</f>
        <v>183</v>
      </c>
      <c r="L262" s="18">
        <f t="shared" ca="1" si="717"/>
        <v>3578</v>
      </c>
      <c r="M262" s="18">
        <f t="shared" ca="1" si="689"/>
        <v>6040</v>
      </c>
      <c r="N262" s="19">
        <f t="shared" ca="1" si="690"/>
        <v>189.49571428571429</v>
      </c>
      <c r="O262" s="16">
        <v>8101</v>
      </c>
      <c r="P262" s="20">
        <f t="shared" ca="1" si="691"/>
        <v>0.74558696457227502</v>
      </c>
      <c r="Q262" s="21">
        <v>1.5</v>
      </c>
      <c r="R262" s="20">
        <f t="shared" ca="1" si="692"/>
        <v>0.75890647105978015</v>
      </c>
      <c r="S262" s="22">
        <f t="shared" ca="1" si="693"/>
        <v>1.1383597065896702</v>
      </c>
      <c r="T262" s="21">
        <f ca="1">F262/19.985</f>
        <v>265.49311983987991</v>
      </c>
      <c r="U262" s="21">
        <f t="shared" ca="1" si="694"/>
        <v>9.481897137138569</v>
      </c>
      <c r="V262" s="18">
        <f t="shared" ca="1" si="695"/>
        <v>215.71428571428572</v>
      </c>
      <c r="W262" s="76"/>
      <c r="X262" s="97" t="s">
        <v>44</v>
      </c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9"/>
      <c r="AS262" s="76"/>
      <c r="AT262" s="76"/>
    </row>
    <row r="263" spans="1:46" ht="15.75" customHeight="1" x14ac:dyDescent="0.25">
      <c r="A263" s="70"/>
      <c r="B263" s="16">
        <v>15</v>
      </c>
      <c r="C263" s="16" t="s">
        <v>40</v>
      </c>
      <c r="D263" s="17">
        <v>30</v>
      </c>
      <c r="E263" s="18">
        <f ca="1">IFERROR(__xludf.DUMMYFUNCTION("COUNT(IMPORTRANGE(""https://docs.google.com/spreadsheets/d/15GJA66Ucb-8RQ5vWVpq5HYaWoZZFX82SCeHChBujbrI/edit"",""10!d2:d31""))"),29)</f>
        <v>29</v>
      </c>
      <c r="F263" s="23">
        <f ca="1">IFERROR(__xludf.DUMMYFUNCTION("SUM(IMPORTRANGE(""https://docs.google.com/spreadsheets/d/15GJA66Ucb-8RQ5vWVpq5HYaWoZZFX82SCeHChBujbrI/edit"",""10!Q2:Q31""))"),5688.59999999999)</f>
        <v>5688.5999999999904</v>
      </c>
      <c r="G263" s="18">
        <f ca="1">IFERROR(__xludf.DUMMYFUNCTION("IMPORTRANGE(""https://docs.google.com/spreadsheets/d/15GJA66Ucb-8RQ5vWVpq5HYaWoZZFX82SCeHChBujbrI/edit"",""10!e38"")"),3458)</f>
        <v>3458</v>
      </c>
      <c r="H263" s="18">
        <f ca="1">IFERROR(__xludf.DUMMYFUNCTION("IMPORTRANGE(""https://docs.google.com/spreadsheets/d/15GJA66Ucb-8RQ5vWVpq5HYaWoZZFX82SCeHChBujbrI/edit"",""10!e39"")"),0)</f>
        <v>0</v>
      </c>
      <c r="I263" s="18">
        <f t="shared" ca="1" si="687"/>
        <v>3458</v>
      </c>
      <c r="J263" s="18">
        <f ca="1">IFERROR(__xludf.DUMMYFUNCTION("IMPORTRANGE(""https://docs.google.com/spreadsheets/d/15GJA66Ucb-8RQ5vWVpq5HYaWoZZFX82SCeHChBujbrI/edit"",""10!e42"")"),3897)</f>
        <v>3897</v>
      </c>
      <c r="K263" s="18">
        <f ca="1">IFERROR(__xludf.DUMMYFUNCTION("IMPORTRANGE(""https://docs.google.com/spreadsheets/d/15GJA66Ucb-8RQ5vWVpq5HYaWoZZFX82SCeHChBujbrI/edit"",""10!e43"")"),160)</f>
        <v>160</v>
      </c>
      <c r="L263" s="18">
        <f t="shared" ca="1" si="717"/>
        <v>4057</v>
      </c>
      <c r="M263" s="18">
        <f t="shared" ca="1" si="689"/>
        <v>7515</v>
      </c>
      <c r="N263" s="19">
        <f t="shared" ca="1" si="690"/>
        <v>196.15862068965484</v>
      </c>
      <c r="O263" s="16">
        <v>8239</v>
      </c>
      <c r="P263" s="20">
        <f t="shared" ca="1" si="691"/>
        <v>0.91212525791965049</v>
      </c>
      <c r="Q263" s="21">
        <v>1.5</v>
      </c>
      <c r="R263" s="20">
        <f t="shared" ca="1" si="692"/>
        <v>0.88070878599304026</v>
      </c>
      <c r="S263" s="22">
        <f t="shared" ca="1" si="693"/>
        <v>1.3210631789895604</v>
      </c>
      <c r="T263" s="21">
        <f ca="1">F263/28.443</f>
        <v>199.99999999999966</v>
      </c>
      <c r="U263" s="21">
        <f t="shared" ca="1" si="694"/>
        <v>6.8965517241379191</v>
      </c>
      <c r="V263" s="18">
        <f t="shared" ca="1" si="695"/>
        <v>259.13793103448273</v>
      </c>
      <c r="W263" s="76"/>
      <c r="X263" s="1" t="s">
        <v>2</v>
      </c>
      <c r="Y263" s="1" t="s">
        <v>3</v>
      </c>
      <c r="Z263" s="1" t="s">
        <v>4</v>
      </c>
      <c r="AA263" s="1" t="s">
        <v>5</v>
      </c>
      <c r="AB263" s="2" t="s">
        <v>6</v>
      </c>
      <c r="AC263" s="1" t="s">
        <v>7</v>
      </c>
      <c r="AD263" s="1" t="s">
        <v>8</v>
      </c>
      <c r="AE263" s="1" t="s">
        <v>9</v>
      </c>
      <c r="AF263" s="1" t="s">
        <v>10</v>
      </c>
      <c r="AG263" s="1" t="s">
        <v>11</v>
      </c>
      <c r="AH263" s="1" t="s">
        <v>12</v>
      </c>
      <c r="AI263" s="1" t="s">
        <v>13</v>
      </c>
      <c r="AJ263" s="2" t="s">
        <v>14</v>
      </c>
      <c r="AK263" s="1" t="s">
        <v>15</v>
      </c>
      <c r="AL263" s="1" t="s">
        <v>16</v>
      </c>
      <c r="AM263" s="3" t="s">
        <v>17</v>
      </c>
      <c r="AN263" s="4" t="s">
        <v>18</v>
      </c>
      <c r="AO263" s="5" t="s">
        <v>19</v>
      </c>
      <c r="AP263" s="6" t="s">
        <v>20</v>
      </c>
      <c r="AQ263" s="6" t="s">
        <v>21</v>
      </c>
      <c r="AR263" s="7" t="s">
        <v>22</v>
      </c>
      <c r="AS263" s="76"/>
      <c r="AT263" s="76"/>
    </row>
    <row r="264" spans="1:46" ht="15.75" customHeight="1" x14ac:dyDescent="0.25">
      <c r="A264" s="70"/>
      <c r="B264" s="16">
        <v>16</v>
      </c>
      <c r="C264" s="16" t="s">
        <v>42</v>
      </c>
      <c r="D264" s="17">
        <v>33</v>
      </c>
      <c r="E264" s="18">
        <f ca="1">IFERROR(__xludf.DUMMYFUNCTION("COUNT(IMPORTRANGE(""https://docs.google.com/spreadsheets/d/14Tu_jFPEdrIQ6DHYu6vRvJKQsbXr-48NY1tKy4-8JKI/edit"",""10!d2:d34""))"),33)</f>
        <v>33</v>
      </c>
      <c r="F264" s="23">
        <f ca="1">IFERROR(__xludf.DUMMYFUNCTION("SUM(IMPORTRANGE(""https://docs.google.com/spreadsheets/d/14Tu_jFPEdrIQ6DHYu6vRvJKQsbXr-48NY1tKy4-8JKI/edit"",""10!Q2:Q34""))"),6501.82599999999)</f>
        <v>6501.82599999999</v>
      </c>
      <c r="G264" s="18">
        <f ca="1">IFERROR(__xludf.DUMMYFUNCTION("IMPORTRANGE(""https://docs.google.com/spreadsheets/d/14Tu_jFPEdrIQ6DHYu6vRvJKQsbXr-48NY1tKy4-8JKI/edit"",""10!e41"")"),3171)</f>
        <v>3171</v>
      </c>
      <c r="H264" s="18">
        <f ca="1">IFERROR(__xludf.DUMMYFUNCTION("IMPORTRANGE(""https://docs.google.com/spreadsheets/d/14Tu_jFPEdrIQ6DHYu6vRvJKQsbXr-48NY1tKy4-8JKI/edit"",""10!e42"")"),0)</f>
        <v>0</v>
      </c>
      <c r="I264" s="18">
        <f t="shared" ca="1" si="687"/>
        <v>3171</v>
      </c>
      <c r="J264" s="18">
        <f ca="1">IFERROR(__xludf.DUMMYFUNCTION("IMPORTRANGE(""https://docs.google.com/spreadsheets/d/14Tu_jFPEdrIQ6DHYu6vRvJKQsbXr-48NY1tKy4-8JKI/edit"",""10!e45"")"),4820)</f>
        <v>4820</v>
      </c>
      <c r="K264" s="18">
        <f ca="1">IFERROR(__xludf.DUMMYFUNCTION("IMPORTRANGE(""https://docs.google.com/spreadsheets/d/14Tu_jFPEdrIQ6DHYu6vRvJKQsbXr-48NY1tKy4-8JKI/edit"",""10!e46"")"),37)</f>
        <v>37</v>
      </c>
      <c r="L264" s="18">
        <f t="shared" ca="1" si="717"/>
        <v>4857</v>
      </c>
      <c r="M264" s="18">
        <f t="shared" ca="1" si="689"/>
        <v>8028</v>
      </c>
      <c r="N264" s="19">
        <f t="shared" ca="1" si="690"/>
        <v>197.02503030303001</v>
      </c>
      <c r="O264" s="16">
        <v>9877</v>
      </c>
      <c r="P264" s="20">
        <f t="shared" ca="1" si="691"/>
        <v>0.81279740811987444</v>
      </c>
      <c r="Q264" s="21">
        <v>1.5</v>
      </c>
      <c r="R264" s="20">
        <f t="shared" ca="1" si="692"/>
        <v>0.82315337260640442</v>
      </c>
      <c r="S264" s="22">
        <f t="shared" ca="1" si="693"/>
        <v>1.2347300589096066</v>
      </c>
      <c r="T264" s="21">
        <f ca="1">F264/26.155</f>
        <v>248.58826228254597</v>
      </c>
      <c r="U264" s="21">
        <f t="shared" ca="1" si="694"/>
        <v>7.5329776449256354</v>
      </c>
      <c r="V264" s="18">
        <f t="shared" ca="1" si="695"/>
        <v>243.27272727272728</v>
      </c>
      <c r="W264" s="76"/>
      <c r="X264" s="8">
        <v>1</v>
      </c>
      <c r="Y264" s="8" t="s">
        <v>26</v>
      </c>
      <c r="Z264" s="8">
        <f t="shared" ref="Z264:AI264" si="729">SUM(D249)</f>
        <v>20</v>
      </c>
      <c r="AA264" s="9">
        <f t="shared" ca="1" si="729"/>
        <v>20</v>
      </c>
      <c r="AB264" s="11">
        <f t="shared" ca="1" si="729"/>
        <v>3525.0030000000002</v>
      </c>
      <c r="AC264" s="9">
        <f t="shared" ca="1" si="729"/>
        <v>2012</v>
      </c>
      <c r="AD264" s="9">
        <f t="shared" ca="1" si="729"/>
        <v>0</v>
      </c>
      <c r="AE264" s="9">
        <f t="shared" ca="1" si="729"/>
        <v>2012</v>
      </c>
      <c r="AF264" s="9">
        <f t="shared" ca="1" si="729"/>
        <v>2751</v>
      </c>
      <c r="AG264" s="9">
        <f t="shared" ca="1" si="729"/>
        <v>0</v>
      </c>
      <c r="AH264" s="9">
        <f t="shared" ca="1" si="729"/>
        <v>2751</v>
      </c>
      <c r="AI264" s="9">
        <f t="shared" ca="1" si="729"/>
        <v>4763</v>
      </c>
      <c r="AJ264" s="11">
        <f t="shared" ref="AJ264:AJ270" ca="1" si="730">AB264/AA264</f>
        <v>176.25015000000002</v>
      </c>
      <c r="AK264" s="8">
        <f>SUM(O249)</f>
        <v>5161</v>
      </c>
      <c r="AL264" s="12">
        <f t="shared" ref="AL264:AL270" ca="1" si="731">AI264/AK264</f>
        <v>0.92288316217787247</v>
      </c>
      <c r="AM264" s="13">
        <f>SUM(Q249)</f>
        <v>1.5</v>
      </c>
      <c r="AN264" s="12">
        <f t="shared" ref="AN264:AN270" ca="1" si="732">AO264/AM264</f>
        <v>0.90080301586504552</v>
      </c>
      <c r="AO264" s="14">
        <f t="shared" ref="AO264:AO270" ca="1" si="733">AI264/AB264</f>
        <v>1.3512045237975683</v>
      </c>
      <c r="AP264" s="13">
        <f t="shared" ref="AP264:AQ264" ca="1" si="734">SUM(T249)</f>
        <v>244.5371488033299</v>
      </c>
      <c r="AQ264" s="13">
        <f t="shared" ca="1" si="734"/>
        <v>12.226857440166494</v>
      </c>
      <c r="AR264" s="9">
        <f t="shared" ref="AR264:AR270" ca="1" si="735">AI264/AA264</f>
        <v>238.15</v>
      </c>
      <c r="AS264" s="76"/>
      <c r="AT264" s="76"/>
    </row>
    <row r="265" spans="1:46" ht="15.75" customHeight="1" x14ac:dyDescent="0.25">
      <c r="A265" s="70"/>
      <c r="B265" s="16">
        <v>17</v>
      </c>
      <c r="C265" s="16" t="s">
        <v>29</v>
      </c>
      <c r="D265" s="17">
        <v>30</v>
      </c>
      <c r="E265" s="18">
        <f ca="1">IFERROR(__xludf.DUMMYFUNCTION("COUNT(IMPORTRANGE(""https://docs.google.com/spreadsheets/d/1ja_RQYsP0p5wRrACHojay4CW1wLx0QdS5tSwp-vYQ-s/edit"",""10!d2:d31""))"),29)</f>
        <v>29</v>
      </c>
      <c r="F265" s="23">
        <f ca="1">IFERROR(__xludf.DUMMYFUNCTION("SUM(IMPORTRANGE(""https://docs.google.com/spreadsheets/d/1ja_RQYsP0p5wRrACHojay4CW1wLx0QdS5tSwp-vYQ-s/edit"",""10!Q2:Q31""))"),5695.56499999999)</f>
        <v>5695.5649999999896</v>
      </c>
      <c r="G265" s="18">
        <f ca="1">IFERROR(__xludf.DUMMYFUNCTION("IMPORTRANGE(""https://docs.google.com/spreadsheets/d/1ja_RQYsP0p5wRrACHojay4CW1wLx0QdS5tSwp-vYQ-s/edit"",""10!e38"")"),2870)</f>
        <v>2870</v>
      </c>
      <c r="H265" s="18">
        <f ca="1">IFERROR(__xludf.DUMMYFUNCTION("IMPORTRANGE(""https://docs.google.com/spreadsheets/d/1ja_RQYsP0p5wRrACHojay4CW1wLx0QdS5tSwp-vYQ-s/edit"",""10!e39"")"),0)</f>
        <v>0</v>
      </c>
      <c r="I265" s="18">
        <f t="shared" ca="1" si="687"/>
        <v>2870</v>
      </c>
      <c r="J265" s="18">
        <f ca="1">IFERROR(__xludf.DUMMYFUNCTION("IMPORTRANGE(""https://docs.google.com/spreadsheets/d/1ja_RQYsP0p5wRrACHojay4CW1wLx0QdS5tSwp-vYQ-s/edit"",""10!e42"")"),4131)</f>
        <v>4131</v>
      </c>
      <c r="K265" s="18">
        <f ca="1">IFERROR(__xludf.DUMMYFUNCTION("IMPORTRANGE(""https://docs.google.com/spreadsheets/d/1ja_RQYsP0p5wRrACHojay4CW1wLx0QdS5tSwp-vYQ-s/edit"",""10!e43"")"),0)</f>
        <v>0</v>
      </c>
      <c r="L265" s="18">
        <f t="shared" ca="1" si="717"/>
        <v>4131</v>
      </c>
      <c r="M265" s="18">
        <f t="shared" ca="1" si="689"/>
        <v>7001</v>
      </c>
      <c r="N265" s="19">
        <f t="shared" ca="1" si="690"/>
        <v>196.39879310344793</v>
      </c>
      <c r="O265" s="16">
        <v>9201</v>
      </c>
      <c r="P265" s="20">
        <f t="shared" ca="1" si="691"/>
        <v>0.76089555483099658</v>
      </c>
      <c r="Q265" s="21">
        <v>1.5</v>
      </c>
      <c r="R265" s="20">
        <f t="shared" ca="1" si="692"/>
        <v>0.81946801297735028</v>
      </c>
      <c r="S265" s="22">
        <f t="shared" ca="1" si="693"/>
        <v>1.2292020194660254</v>
      </c>
      <c r="T265" s="21">
        <f ca="1">F265/26.491</f>
        <v>214.9999999999996</v>
      </c>
      <c r="U265" s="21">
        <f t="shared" ca="1" si="694"/>
        <v>7.4137931034482625</v>
      </c>
      <c r="V265" s="18">
        <f t="shared" ca="1" si="695"/>
        <v>241.41379310344828</v>
      </c>
      <c r="W265" s="76"/>
      <c r="X265" s="8">
        <v>2</v>
      </c>
      <c r="Y265" s="8" t="s">
        <v>32</v>
      </c>
      <c r="Z265" s="8">
        <f t="shared" ref="Z265:AI265" si="736">SUM(D252)</f>
        <v>42</v>
      </c>
      <c r="AA265" s="9">
        <f t="shared" ca="1" si="736"/>
        <v>42</v>
      </c>
      <c r="AB265" s="10">
        <f t="shared" ca="1" si="736"/>
        <v>8379.7259999999897</v>
      </c>
      <c r="AC265" s="8">
        <f t="shared" ca="1" si="736"/>
        <v>4945</v>
      </c>
      <c r="AD265" s="8">
        <f t="shared" ca="1" si="736"/>
        <v>0</v>
      </c>
      <c r="AE265" s="9">
        <f t="shared" ca="1" si="736"/>
        <v>4945</v>
      </c>
      <c r="AF265" s="8">
        <f t="shared" ca="1" si="736"/>
        <v>5910</v>
      </c>
      <c r="AG265" s="8">
        <f t="shared" ca="1" si="736"/>
        <v>0</v>
      </c>
      <c r="AH265" s="9">
        <f t="shared" ca="1" si="736"/>
        <v>5910</v>
      </c>
      <c r="AI265" s="9">
        <f t="shared" ca="1" si="736"/>
        <v>10855</v>
      </c>
      <c r="AJ265" s="11">
        <f t="shared" ca="1" si="730"/>
        <v>199.51728571428546</v>
      </c>
      <c r="AK265" s="8">
        <f>SUM(O252)</f>
        <v>13817</v>
      </c>
      <c r="AL265" s="12">
        <f t="shared" ca="1" si="731"/>
        <v>0.78562640225808789</v>
      </c>
      <c r="AM265" s="13">
        <f>SUM(Q252)</f>
        <v>1.5</v>
      </c>
      <c r="AN265" s="12">
        <f t="shared" ca="1" si="732"/>
        <v>0.86359227815643091</v>
      </c>
      <c r="AO265" s="14">
        <f t="shared" ca="1" si="733"/>
        <v>1.2953884172346464</v>
      </c>
      <c r="AP265" s="13">
        <f t="shared" ref="AP265:AQ265" ca="1" si="737">SUM(T252)</f>
        <v>333.9999999999996</v>
      </c>
      <c r="AQ265" s="13">
        <f t="shared" ca="1" si="737"/>
        <v>7.9523809523809428</v>
      </c>
      <c r="AR265" s="9">
        <f t="shared" ca="1" si="735"/>
        <v>258.45238095238096</v>
      </c>
      <c r="AS265" s="76"/>
      <c r="AT265" s="76"/>
    </row>
    <row r="266" spans="1:46" ht="15.75" customHeight="1" x14ac:dyDescent="0.25">
      <c r="A266" s="70"/>
      <c r="B266" s="16">
        <v>18</v>
      </c>
      <c r="C266" s="16" t="s">
        <v>31</v>
      </c>
      <c r="D266" s="17">
        <v>15</v>
      </c>
      <c r="E266" s="18">
        <f ca="1">IFERROR(__xludf.DUMMYFUNCTION("COUNT(IMPORTRANGE(""https://docs.google.com/spreadsheets/d/1ObnK1oSznTOmyW9Zcd2kxExl7TOnO2MNq_0giEKc_mE/edit"",""10!d2:d16""))"),14)</f>
        <v>14</v>
      </c>
      <c r="F266" s="19">
        <f ca="1">IFERROR(__xludf.DUMMYFUNCTION("SUM(IMPORTRANGE(""https://docs.google.com/spreadsheets/d/1ObnK1oSznTOmyW9Zcd2kxExl7TOnO2MNq_0giEKc_mE/edit"",""10!Q2:Q16""))"),2520.97)</f>
        <v>2520.9699999999998</v>
      </c>
      <c r="G266" s="18">
        <f ca="1">IFERROR(__xludf.DUMMYFUNCTION("IMPORTRANGE(""https://docs.google.com/spreadsheets/d/1ObnK1oSznTOmyW9Zcd2kxExl7TOnO2MNq_0giEKc_mE/edit"",""10!e23"")"),778)</f>
        <v>778</v>
      </c>
      <c r="H266" s="18">
        <f ca="1">IFERROR(__xludf.DUMMYFUNCTION("IMPORTRANGE(""https://docs.google.com/spreadsheets/d/1ObnK1oSznTOmyW9Zcd2kxExl7TOnO2MNq_0giEKc_mE/edit"",""10!e24"")"),0)</f>
        <v>0</v>
      </c>
      <c r="I266" s="18">
        <f t="shared" ca="1" si="687"/>
        <v>778</v>
      </c>
      <c r="J266" s="18">
        <f ca="1">IFERROR(__xludf.DUMMYFUNCTION("IMPORTRANGE(""https://docs.google.com/spreadsheets/d/1ObnK1oSznTOmyW9Zcd2kxExl7TOnO2MNq_0giEKc_mE/edit"",""10!e27"")"),891)</f>
        <v>891</v>
      </c>
      <c r="K266" s="18">
        <f ca="1">IFERROR(__xludf.DUMMYFUNCTION("IMPORTRANGE(""https://docs.google.com/spreadsheets/d/1ObnK1oSznTOmyW9Zcd2kxExl7TOnO2MNq_0giEKc_mE/edit"",""10!e28"")"),0)</f>
        <v>0</v>
      </c>
      <c r="L266" s="18">
        <f t="shared" ca="1" si="717"/>
        <v>891</v>
      </c>
      <c r="M266" s="18">
        <f t="shared" ca="1" si="689"/>
        <v>1669</v>
      </c>
      <c r="N266" s="19">
        <f t="shared" ca="1" si="690"/>
        <v>180.06928571428571</v>
      </c>
      <c r="O266" s="16">
        <v>2717</v>
      </c>
      <c r="P266" s="20">
        <f t="shared" ca="1" si="691"/>
        <v>0.6142804563857196</v>
      </c>
      <c r="Q266" s="21">
        <v>1.5</v>
      </c>
      <c r="R266" s="20">
        <f t="shared" ca="1" si="692"/>
        <v>0.4413645012303466</v>
      </c>
      <c r="S266" s="22">
        <f t="shared" ca="1" si="693"/>
        <v>0.66204675184551987</v>
      </c>
      <c r="T266" s="21">
        <f ca="1">F266/43.465</f>
        <v>57.999999999999993</v>
      </c>
      <c r="U266" s="21">
        <f t="shared" ca="1" si="694"/>
        <v>4.1428571428571423</v>
      </c>
      <c r="V266" s="18">
        <f t="shared" ca="1" si="695"/>
        <v>119.21428571428571</v>
      </c>
      <c r="W266" s="76"/>
      <c r="X266" s="8">
        <v>3</v>
      </c>
      <c r="Y266" s="8" t="s">
        <v>36</v>
      </c>
      <c r="Z266" s="8">
        <f t="shared" ref="Z266:AI266" si="738">SUM(D257)</f>
        <v>29</v>
      </c>
      <c r="AA266" s="9">
        <f t="shared" ca="1" si="738"/>
        <v>29</v>
      </c>
      <c r="AB266" s="10">
        <f t="shared" ca="1" si="738"/>
        <v>5712.817</v>
      </c>
      <c r="AC266" s="9">
        <f t="shared" ca="1" si="738"/>
        <v>1622</v>
      </c>
      <c r="AD266" s="9">
        <f t="shared" ca="1" si="738"/>
        <v>0</v>
      </c>
      <c r="AE266" s="9">
        <f t="shared" ca="1" si="738"/>
        <v>1622</v>
      </c>
      <c r="AF266" s="9">
        <f t="shared" ca="1" si="738"/>
        <v>2398</v>
      </c>
      <c r="AG266" s="9">
        <f t="shared" ca="1" si="738"/>
        <v>0</v>
      </c>
      <c r="AH266" s="9">
        <f t="shared" ca="1" si="738"/>
        <v>2398</v>
      </c>
      <c r="AI266" s="9">
        <f t="shared" ca="1" si="738"/>
        <v>4020</v>
      </c>
      <c r="AJ266" s="11">
        <f t="shared" ca="1" si="730"/>
        <v>196.9936896551724</v>
      </c>
      <c r="AK266" s="8">
        <f t="shared" ref="AK266:AK269" si="739">SUM(O257)</f>
        <v>4796</v>
      </c>
      <c r="AL266" s="12">
        <f t="shared" ca="1" si="731"/>
        <v>0.83819849874895747</v>
      </c>
      <c r="AM266" s="13">
        <f t="shared" ref="AM266:AM269" si="740">SUM(Q257)</f>
        <v>1.5</v>
      </c>
      <c r="AN266" s="12">
        <f t="shared" ca="1" si="732"/>
        <v>0.46912057571597338</v>
      </c>
      <c r="AO266" s="14">
        <f t="shared" ca="1" si="733"/>
        <v>0.70368086357396009</v>
      </c>
      <c r="AP266" s="13">
        <f t="shared" ref="AP266:AQ266" ca="1" si="741">SUM(T257)</f>
        <v>152.69196022879134</v>
      </c>
      <c r="AQ266" s="13">
        <f t="shared" ca="1" si="741"/>
        <v>5.2652400078893571</v>
      </c>
      <c r="AR266" s="9">
        <f t="shared" ca="1" si="735"/>
        <v>138.62068965517241</v>
      </c>
      <c r="AS266" s="76"/>
      <c r="AT266" s="76"/>
    </row>
    <row r="267" spans="1:46" ht="15.75" customHeight="1" x14ac:dyDescent="0.2">
      <c r="A267" s="70"/>
      <c r="B267" s="98" t="s">
        <v>33</v>
      </c>
      <c r="C267" s="98">
        <v>18</v>
      </c>
      <c r="D267" s="98">
        <f t="shared" ref="D267:M267" si="742">SUM(D249:D266)</f>
        <v>585</v>
      </c>
      <c r="E267" s="74">
        <f t="shared" ca="1" si="742"/>
        <v>574</v>
      </c>
      <c r="F267" s="99">
        <f t="shared" ca="1" si="742"/>
        <v>111111.28499999983</v>
      </c>
      <c r="G267" s="74">
        <f t="shared" ca="1" si="742"/>
        <v>42413</v>
      </c>
      <c r="H267" s="74">
        <f t="shared" ca="1" si="742"/>
        <v>467</v>
      </c>
      <c r="I267" s="74">
        <f t="shared" ca="1" si="742"/>
        <v>42880</v>
      </c>
      <c r="J267" s="74">
        <f t="shared" ca="1" si="742"/>
        <v>57309</v>
      </c>
      <c r="K267" s="74">
        <f t="shared" ca="1" si="742"/>
        <v>1409</v>
      </c>
      <c r="L267" s="74">
        <f t="shared" ca="1" si="742"/>
        <v>58718</v>
      </c>
      <c r="M267" s="74">
        <f t="shared" ca="1" si="742"/>
        <v>101598</v>
      </c>
      <c r="N267" s="99">
        <f t="shared" ca="1" si="690"/>
        <v>193.57366724738645</v>
      </c>
      <c r="O267" s="98">
        <f>SUM(O249:O266)</f>
        <v>126399</v>
      </c>
      <c r="P267" s="69">
        <f t="shared" ca="1" si="691"/>
        <v>0.80378800465193556</v>
      </c>
      <c r="Q267" s="72">
        <v>1.5</v>
      </c>
      <c r="R267" s="69">
        <f t="shared" ca="1" si="692"/>
        <v>0.60958704599627389</v>
      </c>
      <c r="S267" s="73">
        <f t="shared" ca="1" si="693"/>
        <v>0.91438056899441089</v>
      </c>
      <c r="T267" s="72">
        <f ca="1">SUM(T249:T266)</f>
        <v>4085.6645909092504</v>
      </c>
      <c r="U267" s="72">
        <f t="shared" ca="1" si="694"/>
        <v>7.1178825625596698</v>
      </c>
      <c r="V267" s="74">
        <f t="shared" ca="1" si="695"/>
        <v>177</v>
      </c>
      <c r="W267" s="76"/>
      <c r="X267" s="8">
        <v>4</v>
      </c>
      <c r="Y267" s="8" t="s">
        <v>37</v>
      </c>
      <c r="Z267" s="8">
        <f t="shared" ref="Z267:AI267" si="743">SUM(D258)</f>
        <v>30</v>
      </c>
      <c r="AA267" s="9">
        <f t="shared" ca="1" si="743"/>
        <v>30</v>
      </c>
      <c r="AB267" s="10">
        <f t="shared" ca="1" si="743"/>
        <v>5699.5379999999896</v>
      </c>
      <c r="AC267" s="9">
        <f t="shared" ca="1" si="743"/>
        <v>2197</v>
      </c>
      <c r="AD267" s="9">
        <f t="shared" ca="1" si="743"/>
        <v>0</v>
      </c>
      <c r="AE267" s="9">
        <f t="shared" ca="1" si="743"/>
        <v>2197</v>
      </c>
      <c r="AF267" s="9">
        <f t="shared" ca="1" si="743"/>
        <v>3031</v>
      </c>
      <c r="AG267" s="9">
        <f t="shared" ca="1" si="743"/>
        <v>0</v>
      </c>
      <c r="AH267" s="9">
        <f t="shared" ca="1" si="743"/>
        <v>3031</v>
      </c>
      <c r="AI267" s="9">
        <f t="shared" ca="1" si="743"/>
        <v>5228</v>
      </c>
      <c r="AJ267" s="11">
        <f t="shared" ca="1" si="730"/>
        <v>189.98459999999966</v>
      </c>
      <c r="AK267" s="8">
        <f t="shared" si="739"/>
        <v>5887</v>
      </c>
      <c r="AL267" s="12">
        <f t="shared" ca="1" si="731"/>
        <v>0.88805843383726857</v>
      </c>
      <c r="AM267" s="13">
        <f t="shared" si="740"/>
        <v>1.5</v>
      </c>
      <c r="AN267" s="12">
        <f t="shared" ca="1" si="732"/>
        <v>0.61151155292470016</v>
      </c>
      <c r="AO267" s="14">
        <f t="shared" ca="1" si="733"/>
        <v>0.91726732938705025</v>
      </c>
      <c r="AP267" s="13">
        <f t="shared" ref="AP267:AQ267" ca="1" si="744">SUM(T258)</f>
        <v>229.8942400774439</v>
      </c>
      <c r="AQ267" s="13">
        <f t="shared" ca="1" si="744"/>
        <v>7.6631413359147968</v>
      </c>
      <c r="AR267" s="9">
        <f t="shared" ca="1" si="735"/>
        <v>174.26666666666668</v>
      </c>
      <c r="AS267" s="76"/>
      <c r="AT267" s="76"/>
    </row>
    <row r="268" spans="1:46" ht="15.75" customHeight="1" x14ac:dyDescent="0.2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6"/>
      <c r="X268" s="8">
        <v>5</v>
      </c>
      <c r="Y268" s="8" t="s">
        <v>39</v>
      </c>
      <c r="Z268" s="8">
        <f t="shared" ref="Z268:AI268" si="745">SUM(D259)</f>
        <v>28</v>
      </c>
      <c r="AA268" s="9">
        <f t="shared" ca="1" si="745"/>
        <v>28</v>
      </c>
      <c r="AB268" s="10">
        <f t="shared" ca="1" si="745"/>
        <v>5351.5629999999901</v>
      </c>
      <c r="AC268" s="9">
        <f t="shared" ca="1" si="745"/>
        <v>1259</v>
      </c>
      <c r="AD268" s="9">
        <f t="shared" ca="1" si="745"/>
        <v>0</v>
      </c>
      <c r="AE268" s="9">
        <f t="shared" ca="1" si="745"/>
        <v>1259</v>
      </c>
      <c r="AF268" s="9">
        <f t="shared" ca="1" si="745"/>
        <v>1734</v>
      </c>
      <c r="AG268" s="9">
        <f t="shared" ca="1" si="745"/>
        <v>111</v>
      </c>
      <c r="AH268" s="9">
        <f t="shared" ca="1" si="745"/>
        <v>1845</v>
      </c>
      <c r="AI268" s="9">
        <f t="shared" ca="1" si="745"/>
        <v>3104</v>
      </c>
      <c r="AJ268" s="11">
        <f t="shared" ca="1" si="730"/>
        <v>191.12724999999963</v>
      </c>
      <c r="AK268" s="8">
        <f t="shared" si="739"/>
        <v>3569</v>
      </c>
      <c r="AL268" s="12">
        <f t="shared" ca="1" si="731"/>
        <v>0.86971140375455314</v>
      </c>
      <c r="AM268" s="13">
        <f t="shared" si="740"/>
        <v>1.5</v>
      </c>
      <c r="AN268" s="12">
        <f t="shared" ca="1" si="732"/>
        <v>0.3866783093711757</v>
      </c>
      <c r="AO268" s="14">
        <f t="shared" ca="1" si="733"/>
        <v>0.58001746405676358</v>
      </c>
      <c r="AP268" s="13">
        <f t="shared" ref="AP268:AQ268" ca="1" si="746">SUM(T259)</f>
        <v>249.33900200344732</v>
      </c>
      <c r="AQ268" s="13">
        <f t="shared" ca="1" si="746"/>
        <v>8.9049643572659765</v>
      </c>
      <c r="AR268" s="9">
        <f t="shared" ca="1" si="735"/>
        <v>110.85714285714286</v>
      </c>
      <c r="AS268" s="76"/>
      <c r="AT268" s="76"/>
    </row>
    <row r="269" spans="1:46" ht="15.75" customHeight="1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6"/>
      <c r="X269" s="8">
        <v>6</v>
      </c>
      <c r="Y269" s="8" t="s">
        <v>41</v>
      </c>
      <c r="Z269" s="8">
        <f t="shared" ref="Z269:AI269" si="747">SUM(D260)</f>
        <v>24</v>
      </c>
      <c r="AA269" s="9">
        <f t="shared" ca="1" si="747"/>
        <v>24</v>
      </c>
      <c r="AB269" s="10">
        <f t="shared" ca="1" si="747"/>
        <v>4793.152</v>
      </c>
      <c r="AC269" s="9">
        <f t="shared" ca="1" si="747"/>
        <v>1352</v>
      </c>
      <c r="AD269" s="9">
        <f t="shared" ca="1" si="747"/>
        <v>0</v>
      </c>
      <c r="AE269" s="9">
        <f t="shared" ca="1" si="747"/>
        <v>1352</v>
      </c>
      <c r="AF269" s="9">
        <f t="shared" ca="1" si="747"/>
        <v>1662</v>
      </c>
      <c r="AG269" s="9">
        <f t="shared" ca="1" si="747"/>
        <v>229</v>
      </c>
      <c r="AH269" s="9">
        <f t="shared" ca="1" si="747"/>
        <v>1891</v>
      </c>
      <c r="AI269" s="9">
        <f t="shared" ca="1" si="747"/>
        <v>3243</v>
      </c>
      <c r="AJ269" s="11">
        <f t="shared" ca="1" si="730"/>
        <v>199.71466666666666</v>
      </c>
      <c r="AK269" s="8">
        <f t="shared" si="739"/>
        <v>3801</v>
      </c>
      <c r="AL269" s="12">
        <f t="shared" ca="1" si="731"/>
        <v>0.85319652722967643</v>
      </c>
      <c r="AM269" s="13">
        <f t="shared" si="740"/>
        <v>1.5</v>
      </c>
      <c r="AN269" s="12">
        <f t="shared" ca="1" si="732"/>
        <v>0.45106017918897628</v>
      </c>
      <c r="AO269" s="14">
        <f t="shared" ca="1" si="733"/>
        <v>0.6765902687834644</v>
      </c>
      <c r="AP269" s="13">
        <f t="shared" ref="AP269:AQ269" ca="1" si="748">SUM(T260)</f>
        <v>161.77777777777777</v>
      </c>
      <c r="AQ269" s="13">
        <f t="shared" ca="1" si="748"/>
        <v>6.7407407407407405</v>
      </c>
      <c r="AR269" s="9">
        <f t="shared" ca="1" si="735"/>
        <v>135.125</v>
      </c>
      <c r="AS269" s="76"/>
      <c r="AT269" s="76"/>
    </row>
    <row r="270" spans="1:46" ht="15.75" customHeight="1" x14ac:dyDescent="0.25">
      <c r="A270" s="110" t="s">
        <v>45</v>
      </c>
      <c r="B270" s="76"/>
      <c r="C270" s="76"/>
      <c r="D270" s="75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24" t="s">
        <v>33</v>
      </c>
      <c r="Y270" s="24">
        <v>6</v>
      </c>
      <c r="Z270" s="24">
        <f t="shared" ref="Z270:AI270" si="749">SUM(Z264:Z269)</f>
        <v>173</v>
      </c>
      <c r="AA270" s="25">
        <f t="shared" ca="1" si="749"/>
        <v>173</v>
      </c>
      <c r="AB270" s="27">
        <f t="shared" ca="1" si="749"/>
        <v>33461.79899999997</v>
      </c>
      <c r="AC270" s="25">
        <f t="shared" ca="1" si="749"/>
        <v>13387</v>
      </c>
      <c r="AD270" s="25">
        <f t="shared" ca="1" si="749"/>
        <v>0</v>
      </c>
      <c r="AE270" s="25">
        <f t="shared" ca="1" si="749"/>
        <v>13387</v>
      </c>
      <c r="AF270" s="25">
        <f t="shared" ca="1" si="749"/>
        <v>17486</v>
      </c>
      <c r="AG270" s="25">
        <f t="shared" ca="1" si="749"/>
        <v>340</v>
      </c>
      <c r="AH270" s="25">
        <f t="shared" ca="1" si="749"/>
        <v>17826</v>
      </c>
      <c r="AI270" s="25">
        <f t="shared" ca="1" si="749"/>
        <v>31213</v>
      </c>
      <c r="AJ270" s="27">
        <f t="shared" ca="1" si="730"/>
        <v>193.42080346820791</v>
      </c>
      <c r="AK270" s="24">
        <f>SUM(AK264:AK269)</f>
        <v>37031</v>
      </c>
      <c r="AL270" s="28">
        <f t="shared" ca="1" si="731"/>
        <v>0.84288839080770162</v>
      </c>
      <c r="AM270" s="29">
        <v>1.5</v>
      </c>
      <c r="AN270" s="28">
        <f t="shared" ca="1" si="732"/>
        <v>0.62186335727695596</v>
      </c>
      <c r="AO270" s="30">
        <f t="shared" ca="1" si="733"/>
        <v>0.93279503591543389</v>
      </c>
      <c r="AP270" s="29">
        <f ca="1">SUM(AP264:AP269)</f>
        <v>1372.2401288907899</v>
      </c>
      <c r="AQ270" s="29">
        <f ca="1">AP270/AA270</f>
        <v>7.9320238664207512</v>
      </c>
      <c r="AR270" s="25">
        <f t="shared" ca="1" si="735"/>
        <v>180.42196531791907</v>
      </c>
      <c r="AS270" s="76"/>
      <c r="AT270" s="76"/>
    </row>
    <row r="271" spans="1:46" ht="15.75" customHeight="1" x14ac:dyDescent="0.2">
      <c r="A271" s="110" t="s">
        <v>45</v>
      </c>
      <c r="B271" s="76"/>
      <c r="C271" s="76"/>
      <c r="D271" s="75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7" t="s">
        <v>1</v>
      </c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9"/>
      <c r="AS271" s="76"/>
      <c r="AT271" s="76"/>
    </row>
    <row r="272" spans="1:46" ht="15.75" customHeight="1" x14ac:dyDescent="0.2">
      <c r="A272" s="109">
        <v>46245</v>
      </c>
      <c r="B272" s="80" t="s">
        <v>2</v>
      </c>
      <c r="C272" s="80" t="s">
        <v>3</v>
      </c>
      <c r="D272" s="80" t="s">
        <v>4</v>
      </c>
      <c r="E272" s="80" t="s">
        <v>5</v>
      </c>
      <c r="F272" s="81" t="s">
        <v>6</v>
      </c>
      <c r="G272" s="80" t="s">
        <v>7</v>
      </c>
      <c r="H272" s="80" t="s">
        <v>8</v>
      </c>
      <c r="I272" s="80" t="s">
        <v>9</v>
      </c>
      <c r="J272" s="80" t="s">
        <v>10</v>
      </c>
      <c r="K272" s="80" t="s">
        <v>11</v>
      </c>
      <c r="L272" s="80" t="s">
        <v>12</v>
      </c>
      <c r="M272" s="80" t="s">
        <v>13</v>
      </c>
      <c r="N272" s="81" t="s">
        <v>14</v>
      </c>
      <c r="O272" s="80" t="s">
        <v>15</v>
      </c>
      <c r="P272" s="80" t="s">
        <v>16</v>
      </c>
      <c r="Q272" s="80" t="s">
        <v>17</v>
      </c>
      <c r="R272" s="80" t="s">
        <v>18</v>
      </c>
      <c r="S272" s="106" t="s">
        <v>19</v>
      </c>
      <c r="T272" s="107" t="s">
        <v>20</v>
      </c>
      <c r="U272" s="107" t="s">
        <v>21</v>
      </c>
      <c r="V272" s="105" t="s">
        <v>22</v>
      </c>
      <c r="W272" s="76"/>
      <c r="X272" s="1" t="s">
        <v>2</v>
      </c>
      <c r="Y272" s="1" t="s">
        <v>3</v>
      </c>
      <c r="Z272" s="1" t="s">
        <v>4</v>
      </c>
      <c r="AA272" s="1" t="s">
        <v>5</v>
      </c>
      <c r="AB272" s="2" t="s">
        <v>6</v>
      </c>
      <c r="AC272" s="1" t="s">
        <v>7</v>
      </c>
      <c r="AD272" s="1" t="s">
        <v>8</v>
      </c>
      <c r="AE272" s="1" t="s">
        <v>9</v>
      </c>
      <c r="AF272" s="1" t="s">
        <v>10</v>
      </c>
      <c r="AG272" s="1" t="s">
        <v>11</v>
      </c>
      <c r="AH272" s="1" t="s">
        <v>12</v>
      </c>
      <c r="AI272" s="1" t="s">
        <v>13</v>
      </c>
      <c r="AJ272" s="2" t="s">
        <v>14</v>
      </c>
      <c r="AK272" s="1" t="s">
        <v>15</v>
      </c>
      <c r="AL272" s="1" t="s">
        <v>16</v>
      </c>
      <c r="AM272" s="3" t="s">
        <v>17</v>
      </c>
      <c r="AN272" s="4" t="s">
        <v>18</v>
      </c>
      <c r="AO272" s="5" t="s">
        <v>19</v>
      </c>
      <c r="AP272" s="6" t="s">
        <v>20</v>
      </c>
      <c r="AQ272" s="6" t="s">
        <v>21</v>
      </c>
      <c r="AR272" s="7" t="s">
        <v>22</v>
      </c>
      <c r="AS272" s="76"/>
      <c r="AT272" s="76"/>
    </row>
    <row r="273" spans="1:46" ht="15.75" customHeight="1" x14ac:dyDescent="0.2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6"/>
      <c r="X273" s="8">
        <v>1</v>
      </c>
      <c r="Y273" s="8" t="s">
        <v>23</v>
      </c>
      <c r="Z273" s="8">
        <f t="shared" ref="Z273:AI273" si="750">SUM(D281)</f>
        <v>35</v>
      </c>
      <c r="AA273" s="9">
        <f t="shared" ca="1" si="750"/>
        <v>35</v>
      </c>
      <c r="AB273" s="10">
        <f t="shared" ca="1" si="750"/>
        <v>6849.2199999999903</v>
      </c>
      <c r="AC273" s="9">
        <f t="shared" ca="1" si="750"/>
        <v>2437</v>
      </c>
      <c r="AD273" s="9">
        <f t="shared" ca="1" si="750"/>
        <v>0</v>
      </c>
      <c r="AE273" s="9">
        <f t="shared" ca="1" si="750"/>
        <v>2437</v>
      </c>
      <c r="AF273" s="9">
        <f t="shared" ca="1" si="750"/>
        <v>2583</v>
      </c>
      <c r="AG273" s="9">
        <f t="shared" ca="1" si="750"/>
        <v>115</v>
      </c>
      <c r="AH273" s="9">
        <f t="shared" ca="1" si="750"/>
        <v>2698</v>
      </c>
      <c r="AI273" s="9">
        <f t="shared" ca="1" si="750"/>
        <v>5135</v>
      </c>
      <c r="AJ273" s="11">
        <f t="shared" ref="AJ273:AJ275" ca="1" si="751">AB273/AA273</f>
        <v>195.69199999999972</v>
      </c>
      <c r="AK273" s="8">
        <f>SUM(O281)</f>
        <v>6853</v>
      </c>
      <c r="AL273" s="12">
        <f t="shared" ref="AL273:AL279" ca="1" si="752">AI273/AK273</f>
        <v>0.74930687290237852</v>
      </c>
      <c r="AM273" s="13">
        <f t="shared" ref="AM273:AM275" si="753">SUM(Q281)</f>
        <v>1.5</v>
      </c>
      <c r="AN273" s="12">
        <f t="shared" ref="AN273:AN279" ca="1" si="754">AO273/AM273</f>
        <v>0.49981360407949199</v>
      </c>
      <c r="AO273" s="14">
        <f t="shared" ref="AO273:AO279" ca="1" si="755">AI273/AB273</f>
        <v>0.74972040611923796</v>
      </c>
      <c r="AP273" s="13">
        <f t="shared" ref="AP273:AQ273" ca="1" si="756">SUM(T281)</f>
        <v>202.99999999999969</v>
      </c>
      <c r="AQ273" s="13">
        <f t="shared" ca="1" si="756"/>
        <v>5.7999999999999909</v>
      </c>
      <c r="AR273" s="9">
        <f t="shared" ref="AR273:AR279" ca="1" si="757">AI273/AA273</f>
        <v>146.71428571428572</v>
      </c>
      <c r="AS273" s="76"/>
      <c r="AT273" s="76"/>
    </row>
    <row r="274" spans="1:46" ht="15.75" customHeight="1" x14ac:dyDescent="0.2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6"/>
      <c r="X274" s="8">
        <v>2</v>
      </c>
      <c r="Y274" s="8" t="s">
        <v>24</v>
      </c>
      <c r="Z274" s="8">
        <f t="shared" ref="Z274:AI274" si="758">SUM(D282)</f>
        <v>44</v>
      </c>
      <c r="AA274" s="9">
        <f t="shared" ca="1" si="758"/>
        <v>38</v>
      </c>
      <c r="AB274" s="10">
        <f t="shared" ca="1" si="758"/>
        <v>7151.8769999999904</v>
      </c>
      <c r="AC274" s="9">
        <f t="shared" ca="1" si="758"/>
        <v>1047</v>
      </c>
      <c r="AD274" s="9">
        <f t="shared" ca="1" si="758"/>
        <v>0</v>
      </c>
      <c r="AE274" s="9">
        <f t="shared" ca="1" si="758"/>
        <v>1047</v>
      </c>
      <c r="AF274" s="9">
        <f t="shared" ca="1" si="758"/>
        <v>1365</v>
      </c>
      <c r="AG274" s="9">
        <f t="shared" ca="1" si="758"/>
        <v>0</v>
      </c>
      <c r="AH274" s="9">
        <f t="shared" ca="1" si="758"/>
        <v>1365</v>
      </c>
      <c r="AI274" s="9">
        <f t="shared" ca="1" si="758"/>
        <v>2412</v>
      </c>
      <c r="AJ274" s="11">
        <f t="shared" ca="1" si="751"/>
        <v>188.20728947368397</v>
      </c>
      <c r="AK274" s="8">
        <v>1580</v>
      </c>
      <c r="AL274" s="15">
        <f t="shared" ca="1" si="752"/>
        <v>1.5265822784810126</v>
      </c>
      <c r="AM274" s="13">
        <f t="shared" si="753"/>
        <v>1.5</v>
      </c>
      <c r="AN274" s="12">
        <f t="shared" ca="1" si="754"/>
        <v>0.22483608149301257</v>
      </c>
      <c r="AO274" s="14">
        <f t="shared" ca="1" si="755"/>
        <v>0.33725412223951884</v>
      </c>
      <c r="AP274" s="13">
        <f t="shared" ref="AP274:AQ274" ca="1" si="759">SUM(T282)</f>
        <v>266.81130386121959</v>
      </c>
      <c r="AQ274" s="13">
        <f t="shared" ca="1" si="759"/>
        <v>7.0213501016110413</v>
      </c>
      <c r="AR274" s="9">
        <f t="shared" ca="1" si="757"/>
        <v>63.473684210526315</v>
      </c>
      <c r="AS274" s="76"/>
      <c r="AT274" s="76"/>
    </row>
    <row r="275" spans="1:46" ht="15.75" customHeight="1" x14ac:dyDescent="0.2">
      <c r="A275" s="70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6"/>
      <c r="X275" s="8">
        <v>3</v>
      </c>
      <c r="Y275" s="8" t="s">
        <v>25</v>
      </c>
      <c r="Z275" s="8">
        <f t="shared" ref="Z275:AI275" si="760">SUM(D283)</f>
        <v>32</v>
      </c>
      <c r="AA275" s="9">
        <f t="shared" ca="1" si="760"/>
        <v>32</v>
      </c>
      <c r="AB275" s="10">
        <f t="shared" ca="1" si="760"/>
        <v>6106.576</v>
      </c>
      <c r="AC275" s="9">
        <f t="shared" ca="1" si="760"/>
        <v>2341</v>
      </c>
      <c r="AD275" s="9">
        <f t="shared" ca="1" si="760"/>
        <v>376</v>
      </c>
      <c r="AE275" s="9">
        <f t="shared" ca="1" si="760"/>
        <v>2717</v>
      </c>
      <c r="AF275" s="9">
        <f t="shared" ca="1" si="760"/>
        <v>3206</v>
      </c>
      <c r="AG275" s="9">
        <f t="shared" ca="1" si="760"/>
        <v>421</v>
      </c>
      <c r="AH275" s="9">
        <f t="shared" ca="1" si="760"/>
        <v>3627</v>
      </c>
      <c r="AI275" s="9">
        <f t="shared" ca="1" si="760"/>
        <v>6344</v>
      </c>
      <c r="AJ275" s="11">
        <f t="shared" ca="1" si="751"/>
        <v>190.8305</v>
      </c>
      <c r="AK275" s="8">
        <f>SUM(O283)</f>
        <v>6622</v>
      </c>
      <c r="AL275" s="12">
        <f t="shared" ca="1" si="752"/>
        <v>0.95801872546058597</v>
      </c>
      <c r="AM275" s="13">
        <f t="shared" si="753"/>
        <v>1.5</v>
      </c>
      <c r="AN275" s="12">
        <f t="shared" ca="1" si="754"/>
        <v>0.69258670216064344</v>
      </c>
      <c r="AO275" s="14">
        <f t="shared" ca="1" si="755"/>
        <v>1.0388800532409652</v>
      </c>
      <c r="AP275" s="13">
        <f t="shared" ref="AP275:AQ275" ca="1" si="761">SUM(T283)</f>
        <v>256.14832214765102</v>
      </c>
      <c r="AQ275" s="13">
        <f t="shared" ca="1" si="761"/>
        <v>8.0046350671140942</v>
      </c>
      <c r="AR275" s="9">
        <f t="shared" ca="1" si="757"/>
        <v>198.25</v>
      </c>
      <c r="AS275" s="76"/>
      <c r="AT275" s="76"/>
    </row>
    <row r="276" spans="1:46" ht="15.75" customHeight="1" x14ac:dyDescent="0.25">
      <c r="A276" s="70"/>
      <c r="B276" s="16">
        <v>1</v>
      </c>
      <c r="C276" s="16" t="s">
        <v>26</v>
      </c>
      <c r="D276" s="17">
        <v>20</v>
      </c>
      <c r="E276" s="18">
        <f ca="1">IFERROR(__xludf.DUMMYFUNCTION("COUNT(IMPORTRANGE(""https://docs.google.com/spreadsheets/d/1iVFEBQOAONhqDIMRa2hQ7WkCQv0dJWSAmc0AzfvSCMg/edit"",""11!d2:d21""))"),19)</f>
        <v>19</v>
      </c>
      <c r="F276" s="19">
        <f ca="1">IFERROR(__xludf.DUMMYFUNCTION("SUM(IMPORTRANGE(""https://docs.google.com/spreadsheets/d/1iVFEBQOAONhqDIMRa2hQ7WkCQv0dJWSAmc0AzfvSCMg/edit"",""11!Q2:Q21""))"),3748.51199999999)</f>
        <v>3748.5119999999902</v>
      </c>
      <c r="G276" s="18">
        <f ca="1">IFERROR(__xludf.DUMMYFUNCTION("IMPORTRANGE(""https://docs.google.com/spreadsheets/d/1iVFEBQOAONhqDIMRa2hQ7WkCQv0dJWSAmc0AzfvSCMg/edit"",""11!e28"")"),2132)</f>
        <v>2132</v>
      </c>
      <c r="H276" s="18">
        <f ca="1">IFERROR(__xludf.DUMMYFUNCTION("IMPORTRANGE(""https://docs.google.com/spreadsheets/d/1iVFEBQOAONhqDIMRa2hQ7WkCQv0dJWSAmc0AzfvSCMg/edit"",""11!e29"")"),0)</f>
        <v>0</v>
      </c>
      <c r="I276" s="18">
        <f t="shared" ref="I276:I293" ca="1" si="762">SUM(G276:H276)</f>
        <v>2132</v>
      </c>
      <c r="J276" s="18">
        <f ca="1">IFERROR(__xludf.DUMMYFUNCTION("IMPORTRANGE(""https://docs.google.com/spreadsheets/d/1iVFEBQOAONhqDIMRa2hQ7WkCQv0dJWSAmc0AzfvSCMg/edit"",""11!e32"")"),3144)</f>
        <v>3144</v>
      </c>
      <c r="K276" s="18">
        <f ca="1">IFERROR(__xludf.DUMMYFUNCTION("IMPORTRANGE(""https://docs.google.com/spreadsheets/d/1iVFEBQOAONhqDIMRa2hQ7WkCQv0dJWSAmc0AzfvSCMg/edit"",""11!e33"")"),0)</f>
        <v>0</v>
      </c>
      <c r="L276" s="18">
        <f t="shared" ref="L276:L282" ca="1" si="763">SUM(J276:K276)</f>
        <v>3144</v>
      </c>
      <c r="M276" s="18">
        <f t="shared" ref="M276:M293" ca="1" si="764">SUM(I276+L276)</f>
        <v>5276</v>
      </c>
      <c r="N276" s="19">
        <f t="shared" ref="N276:N294" ca="1" si="765">F276/E276</f>
        <v>197.29010526315739</v>
      </c>
      <c r="O276" s="16">
        <v>5161</v>
      </c>
      <c r="P276" s="33">
        <f t="shared" ref="P276:P294" ca="1" si="766">M276/O276</f>
        <v>1.0222825033908158</v>
      </c>
      <c r="Q276" s="21">
        <v>1.5</v>
      </c>
      <c r="R276" s="20">
        <f t="shared" ref="R276:R294" ca="1" si="767">S276/Q276</f>
        <v>0.93832788405995293</v>
      </c>
      <c r="S276" s="22">
        <f t="shared" ref="S276:S294" ca="1" si="768">M276/F276</f>
        <v>1.4074918260899294</v>
      </c>
      <c r="T276" s="21">
        <f ca="1">F276/14.415</f>
        <v>260.04245577523346</v>
      </c>
      <c r="U276" s="21">
        <f t="shared" ref="U276:U294" ca="1" si="769">T276/E276</f>
        <v>13.686445040801761</v>
      </c>
      <c r="V276" s="18">
        <f t="shared" ref="V276:V294" ca="1" si="770">M276/E276</f>
        <v>277.68421052631578</v>
      </c>
      <c r="W276" s="76"/>
      <c r="X276" s="8">
        <v>4</v>
      </c>
      <c r="Y276" s="8" t="s">
        <v>27</v>
      </c>
      <c r="Z276" s="8">
        <f t="shared" ref="Z276:AK276" si="771">SUM(D289)</f>
        <v>30</v>
      </c>
      <c r="AA276" s="9">
        <f t="shared" ca="1" si="771"/>
        <v>29</v>
      </c>
      <c r="AB276" s="10">
        <f t="shared" ca="1" si="771"/>
        <v>5685.5950000000003</v>
      </c>
      <c r="AC276" s="9">
        <f t="shared" ca="1" si="771"/>
        <v>2796</v>
      </c>
      <c r="AD276" s="9">
        <f t="shared" ca="1" si="771"/>
        <v>0</v>
      </c>
      <c r="AE276" s="9">
        <f t="shared" ca="1" si="771"/>
        <v>2796</v>
      </c>
      <c r="AF276" s="9">
        <f t="shared" ca="1" si="771"/>
        <v>3046</v>
      </c>
      <c r="AG276" s="9">
        <f t="shared" ca="1" si="771"/>
        <v>155</v>
      </c>
      <c r="AH276" s="9">
        <f t="shared" ca="1" si="771"/>
        <v>3201</v>
      </c>
      <c r="AI276" s="9">
        <f t="shared" ca="1" si="771"/>
        <v>5997</v>
      </c>
      <c r="AJ276" s="11">
        <f t="shared" ca="1" si="771"/>
        <v>196.05500000000001</v>
      </c>
      <c r="AK276" s="8">
        <f t="shared" si="771"/>
        <v>8101</v>
      </c>
      <c r="AL276" s="12">
        <f t="shared" ca="1" si="752"/>
        <v>0.74027897790396247</v>
      </c>
      <c r="AM276" s="13">
        <f>SUM(Q289)</f>
        <v>1.5</v>
      </c>
      <c r="AN276" s="12">
        <f t="shared" ca="1" si="754"/>
        <v>0.7031805818036635</v>
      </c>
      <c r="AO276" s="14">
        <f t="shared" ca="1" si="755"/>
        <v>1.0547708727054952</v>
      </c>
      <c r="AP276" s="13">
        <f t="shared" ref="AP276:AQ276" ca="1" si="772">SUM(T289)</f>
        <v>284.49311983987991</v>
      </c>
      <c r="AQ276" s="13">
        <f t="shared" ca="1" si="772"/>
        <v>9.8101075806855143</v>
      </c>
      <c r="AR276" s="9">
        <f t="shared" ca="1" si="757"/>
        <v>206.79310344827587</v>
      </c>
      <c r="AS276" s="76"/>
      <c r="AT276" s="76"/>
    </row>
    <row r="277" spans="1:46" ht="15.75" customHeight="1" x14ac:dyDescent="0.25">
      <c r="A277" s="70"/>
      <c r="B277" s="16">
        <v>2</v>
      </c>
      <c r="C277" s="16" t="s">
        <v>28</v>
      </c>
      <c r="D277" s="17">
        <v>33</v>
      </c>
      <c r="E277" s="18">
        <f ca="1">IFERROR(__xludf.DUMMYFUNCTION("COUNT(IMPORTRANGE(""https://docs.google.com/spreadsheets/d/1tJCeYclgeJZ4Dc78t_SkhVjtacKW-5-VGim8X1rzUzk/edit"",""11!d2:d34""))"),33)</f>
        <v>33</v>
      </c>
      <c r="F277" s="19">
        <f ca="1">IFERROR(__xludf.DUMMYFUNCTION("SUM(IMPORTRANGE(""https://docs.google.com/spreadsheets/d/1tJCeYclgeJZ4Dc78t_SkhVjtacKW-5-VGim8X1rzUzk/edit"",""11!Q2:Q34""))"),6590.627)</f>
        <v>6590.6270000000004</v>
      </c>
      <c r="G277" s="18">
        <f ca="1">IFERROR(__xludf.DUMMYFUNCTION("IMPORTRANGE(""https://docs.google.com/spreadsheets/d/1tJCeYclgeJZ4Dc78t_SkhVjtacKW-5-VGim8X1rzUzk/edit"",""11!e41"")"),2686)</f>
        <v>2686</v>
      </c>
      <c r="H277" s="18">
        <f ca="1">IFERROR(__xludf.DUMMYFUNCTION("IMPORTRANGE(""https://docs.google.com/spreadsheets/d/1tJCeYclgeJZ4Dc78t_SkhVjtacKW-5-VGim8X1rzUzk/edit"",""11!e42"")"),226)</f>
        <v>226</v>
      </c>
      <c r="I277" s="18">
        <f t="shared" ca="1" si="762"/>
        <v>2912</v>
      </c>
      <c r="J277" s="18">
        <f ca="1">IFERROR(__xludf.DUMMYFUNCTION("IMPORTRANGE(""https://docs.google.com/spreadsheets/d/1tJCeYclgeJZ4Dc78t_SkhVjtacKW-5-VGim8X1rzUzk/edit"",""11!e45"")"),2952)</f>
        <v>2952</v>
      </c>
      <c r="K277" s="18">
        <f ca="1">IFERROR(__xludf.DUMMYFUNCTION("IMPORTRANGE(""https://docs.google.com/spreadsheets/d/1tJCeYclgeJZ4Dc78t_SkhVjtacKW-5-VGim8X1rzUzk/edit"",""11!e46"")"),142)</f>
        <v>142</v>
      </c>
      <c r="L277" s="18">
        <f t="shared" ca="1" si="763"/>
        <v>3094</v>
      </c>
      <c r="M277" s="18">
        <f t="shared" ca="1" si="764"/>
        <v>6006</v>
      </c>
      <c r="N277" s="19">
        <f t="shared" ca="1" si="765"/>
        <v>199.71596969696972</v>
      </c>
      <c r="O277" s="16">
        <v>7315</v>
      </c>
      <c r="P277" s="20">
        <f t="shared" ca="1" si="766"/>
        <v>0.82105263157894737</v>
      </c>
      <c r="Q277" s="21">
        <v>1.5</v>
      </c>
      <c r="R277" s="20">
        <f t="shared" ca="1" si="767"/>
        <v>0.60752945053634499</v>
      </c>
      <c r="S277" s="22">
        <f t="shared" ca="1" si="768"/>
        <v>0.91129417580451744</v>
      </c>
      <c r="T277" s="21">
        <f ca="1">F277/30.897</f>
        <v>213.30960934718584</v>
      </c>
      <c r="U277" s="21">
        <f t="shared" ca="1" si="769"/>
        <v>6.4639275559753289</v>
      </c>
      <c r="V277" s="18">
        <f t="shared" ca="1" si="770"/>
        <v>182</v>
      </c>
      <c r="W277" s="76"/>
      <c r="X277" s="8">
        <v>5</v>
      </c>
      <c r="Y277" s="8" t="s">
        <v>29</v>
      </c>
      <c r="Z277" s="8">
        <f t="shared" ref="Z277:AI277" si="773">SUM(D292)</f>
        <v>30</v>
      </c>
      <c r="AA277" s="9">
        <f t="shared" ca="1" si="773"/>
        <v>28</v>
      </c>
      <c r="AB277" s="10">
        <f t="shared" ca="1" si="773"/>
        <v>5574.16499999999</v>
      </c>
      <c r="AC277" s="9">
        <f t="shared" ca="1" si="773"/>
        <v>2764</v>
      </c>
      <c r="AD277" s="9">
        <f t="shared" ca="1" si="773"/>
        <v>0</v>
      </c>
      <c r="AE277" s="9">
        <f t="shared" ca="1" si="773"/>
        <v>2764</v>
      </c>
      <c r="AF277" s="9">
        <f t="shared" ca="1" si="773"/>
        <v>4361</v>
      </c>
      <c r="AG277" s="9">
        <f t="shared" ca="1" si="773"/>
        <v>0</v>
      </c>
      <c r="AH277" s="9">
        <f t="shared" ca="1" si="773"/>
        <v>4361</v>
      </c>
      <c r="AI277" s="9">
        <f t="shared" ca="1" si="773"/>
        <v>7125</v>
      </c>
      <c r="AJ277" s="11">
        <f t="shared" ref="AJ277:AJ279" ca="1" si="774">AB277/AA277</f>
        <v>199.07732142857108</v>
      </c>
      <c r="AK277" s="8">
        <f t="shared" ref="AK277:AK278" si="775">SUM(O292)</f>
        <v>9201</v>
      </c>
      <c r="AL277" s="12">
        <f t="shared" ca="1" si="752"/>
        <v>0.77437235083143141</v>
      </c>
      <c r="AM277" s="13">
        <f t="shared" ref="AM277:AM278" si="776">SUM(Q292)</f>
        <v>1.5</v>
      </c>
      <c r="AN277" s="12">
        <f t="shared" ca="1" si="754"/>
        <v>0.85214556799090246</v>
      </c>
      <c r="AO277" s="14">
        <f t="shared" ca="1" si="755"/>
        <v>1.2782183519863537</v>
      </c>
      <c r="AP277" s="13">
        <f t="shared" ref="AP277:AQ277" ca="1" si="777">SUM(T292)</f>
        <v>210.41731153976784</v>
      </c>
      <c r="AQ277" s="13">
        <f t="shared" ca="1" si="777"/>
        <v>7.514903983563137</v>
      </c>
      <c r="AR277" s="9">
        <f t="shared" ca="1" si="757"/>
        <v>254.46428571428572</v>
      </c>
      <c r="AS277" s="76"/>
      <c r="AT277" s="76"/>
    </row>
    <row r="278" spans="1:46" ht="15.75" customHeight="1" x14ac:dyDescent="0.25">
      <c r="A278" s="70"/>
      <c r="B278" s="16">
        <v>3</v>
      </c>
      <c r="C278" s="16" t="s">
        <v>30</v>
      </c>
      <c r="D278" s="17">
        <v>60</v>
      </c>
      <c r="E278" s="18">
        <f ca="1">IFERROR(__xludf.DUMMYFUNCTION("COUNT(IMPORTRANGE(""https://docs.google.com/spreadsheets/d/130gLEONC13J8KkQ6dk06x3bLRy_jCrAw2hXatQf2W50/edit"",""11!d2:d61""))"),59)</f>
        <v>59</v>
      </c>
      <c r="F278" s="23">
        <f ca="1">IFERROR(__xludf.DUMMYFUNCTION("SUM(IMPORTRANGE(""https://docs.google.com/spreadsheets/d/130gLEONC13J8KkQ6dk06x3bLRy_jCrAw2hXatQf2W50/edit"",""11!Q2:Q61""))"),11566.2789999999)</f>
        <v>11566.2789999999</v>
      </c>
      <c r="G278" s="18">
        <f ca="1">IFERROR(__xludf.DUMMYFUNCTION("IMPORTRANGE(""https://docs.google.com/spreadsheets/d/130gLEONC13J8KkQ6dk06x3bLRy_jCrAw2hXatQf2W50/edit"",""11!e68"")"),3715)</f>
        <v>3715</v>
      </c>
      <c r="H278" s="18">
        <f ca="1">IFERROR(__xludf.DUMMYFUNCTION("IMPORTRANGE(""https://docs.google.com/spreadsheets/d/130gLEONC13J8KkQ6dk06x3bLRy_jCrAw2hXatQf2W50/edit"",""11!e69"")"),0)</f>
        <v>0</v>
      </c>
      <c r="I278" s="18">
        <f t="shared" ca="1" si="762"/>
        <v>3715</v>
      </c>
      <c r="J278" s="18">
        <f ca="1">IFERROR(__xludf.DUMMYFUNCTION("IMPORTRANGE(""https://docs.google.com/spreadsheets/d/130gLEONC13J8KkQ6dk06x3bLRy_jCrAw2hXatQf2W50/edit"",""11!e72"")"),5597)</f>
        <v>5597</v>
      </c>
      <c r="K278" s="18">
        <f ca="1">IFERROR(__xludf.DUMMYFUNCTION("IMPORTRANGE(""https://docs.google.com/spreadsheets/d/130gLEONC13J8KkQ6dk06x3bLRy_jCrAw2hXatQf2W50/edit"",""11!e73"")"),24)</f>
        <v>24</v>
      </c>
      <c r="L278" s="18">
        <f t="shared" ca="1" si="763"/>
        <v>5621</v>
      </c>
      <c r="M278" s="18">
        <f t="shared" ca="1" si="764"/>
        <v>9336</v>
      </c>
      <c r="N278" s="19">
        <f t="shared" ca="1" si="765"/>
        <v>196.03862711864238</v>
      </c>
      <c r="O278" s="16">
        <v>11164</v>
      </c>
      <c r="P278" s="20">
        <f t="shared" ca="1" si="766"/>
        <v>0.83625940523109998</v>
      </c>
      <c r="Q278" s="21">
        <v>1.5</v>
      </c>
      <c r="R278" s="20">
        <f t="shared" ca="1" si="767"/>
        <v>0.53811601812476195</v>
      </c>
      <c r="S278" s="22">
        <f t="shared" ca="1" si="768"/>
        <v>0.80717402718714293</v>
      </c>
      <c r="T278" s="21">
        <f ca="1">F278/29.603</f>
        <v>390.71306962131877</v>
      </c>
      <c r="U278" s="21">
        <f t="shared" ca="1" si="769"/>
        <v>6.6222554173104875</v>
      </c>
      <c r="V278" s="18">
        <f t="shared" ca="1" si="770"/>
        <v>158.23728813559322</v>
      </c>
      <c r="W278" s="76"/>
      <c r="X278" s="8">
        <v>6</v>
      </c>
      <c r="Y278" s="8" t="s">
        <v>31</v>
      </c>
      <c r="Z278" s="8">
        <f t="shared" ref="Z278:AI278" si="778">SUM(D293)</f>
        <v>15</v>
      </c>
      <c r="AA278" s="9">
        <f t="shared" ca="1" si="778"/>
        <v>14</v>
      </c>
      <c r="AB278" s="11">
        <f t="shared" ca="1" si="778"/>
        <v>2694.83</v>
      </c>
      <c r="AC278" s="9">
        <f t="shared" ca="1" si="778"/>
        <v>842</v>
      </c>
      <c r="AD278" s="9">
        <f t="shared" ca="1" si="778"/>
        <v>0</v>
      </c>
      <c r="AE278" s="9">
        <f t="shared" ca="1" si="778"/>
        <v>842</v>
      </c>
      <c r="AF278" s="9">
        <f t="shared" ca="1" si="778"/>
        <v>1054</v>
      </c>
      <c r="AG278" s="9">
        <f t="shared" ca="1" si="778"/>
        <v>0</v>
      </c>
      <c r="AH278" s="9">
        <f t="shared" ca="1" si="778"/>
        <v>1054</v>
      </c>
      <c r="AI278" s="9">
        <f t="shared" ca="1" si="778"/>
        <v>1896</v>
      </c>
      <c r="AJ278" s="11">
        <f t="shared" ca="1" si="774"/>
        <v>192.48785714285714</v>
      </c>
      <c r="AK278" s="8">
        <f t="shared" si="775"/>
        <v>2717</v>
      </c>
      <c r="AL278" s="12">
        <f t="shared" ca="1" si="752"/>
        <v>0.69782848730217151</v>
      </c>
      <c r="AM278" s="13">
        <f t="shared" si="776"/>
        <v>1.5</v>
      </c>
      <c r="AN278" s="12">
        <f t="shared" ca="1" si="754"/>
        <v>0.46904628492335326</v>
      </c>
      <c r="AO278" s="14">
        <f t="shared" ca="1" si="755"/>
        <v>0.70356942738502992</v>
      </c>
      <c r="AP278" s="13">
        <f t="shared" ref="AP278:AQ278" ca="1" si="779">SUM(T293)</f>
        <v>61.999999999999993</v>
      </c>
      <c r="AQ278" s="13">
        <f t="shared" ca="1" si="779"/>
        <v>4.4285714285714279</v>
      </c>
      <c r="AR278" s="9">
        <f t="shared" ca="1" si="757"/>
        <v>135.42857142857142</v>
      </c>
      <c r="AS278" s="76"/>
      <c r="AT278" s="76"/>
    </row>
    <row r="279" spans="1:46" ht="15.75" customHeight="1" x14ac:dyDescent="0.25">
      <c r="A279" s="70"/>
      <c r="B279" s="16">
        <v>4</v>
      </c>
      <c r="C279" s="16" t="s">
        <v>32</v>
      </c>
      <c r="D279" s="17">
        <v>42</v>
      </c>
      <c r="E279" s="18">
        <f ca="1">IFERROR(__xludf.DUMMYFUNCTION("COUNT(IMPORTRANGE(""https://docs.google.com/spreadsheets/d/1gYHli7FuKQLm2Q-5LMR0UtkD-gRRA_p8s-phLPLDLgc/edit"",""11!d2:d43""))"),42)</f>
        <v>42</v>
      </c>
      <c r="F279" s="23">
        <f ca="1">IFERROR(__xludf.DUMMYFUNCTION("SUM(IMPORTRANGE(""https://docs.google.com/spreadsheets/d/1gYHli7FuKQLm2Q-5LMR0UtkD-gRRA_p8s-phLPLDLgc/edit"",""11!Q2:Q43""))"),7978.30199999999)</f>
        <v>7978.3019999999897</v>
      </c>
      <c r="G279" s="16">
        <f ca="1">IFERROR(__xludf.DUMMYFUNCTION("IMPORTRANGE(""https://docs.google.com/spreadsheets/d/1gYHli7FuKQLm2Q-5LMR0UtkD-gRRA_p8s-phLPLDLgc/edit"",""11!e50"")"),4972)</f>
        <v>4972</v>
      </c>
      <c r="H279" s="16">
        <f ca="1">IFERROR(__xludf.DUMMYFUNCTION("IMPORTRANGE(""https://docs.google.com/spreadsheets/d/1gYHli7FuKQLm2Q-5LMR0UtkD-gRRA_p8s-phLPLDLgc/edit"",""11!e51"")"),0)</f>
        <v>0</v>
      </c>
      <c r="I279" s="18">
        <f t="shared" ca="1" si="762"/>
        <v>4972</v>
      </c>
      <c r="J279" s="16">
        <f ca="1">IFERROR(__xludf.DUMMYFUNCTION("IMPORTRANGE(""https://docs.google.com/spreadsheets/d/1gYHli7FuKQLm2Q-5LMR0UtkD-gRRA_p8s-phLPLDLgc/edit"",""11!e54"")"),5756)</f>
        <v>5756</v>
      </c>
      <c r="K279" s="16">
        <f ca="1">IFERROR(__xludf.DUMMYFUNCTION("IMPORTRANGE(""https://docs.google.com/spreadsheets/d/1gYHli7FuKQLm2Q-5LMR0UtkD-gRRA_p8s-phLPLDLgc/edit"",""11!e55"")"),0)</f>
        <v>0</v>
      </c>
      <c r="L279" s="18">
        <f t="shared" ca="1" si="763"/>
        <v>5756</v>
      </c>
      <c r="M279" s="18">
        <f t="shared" ca="1" si="764"/>
        <v>10728</v>
      </c>
      <c r="N279" s="19">
        <f t="shared" ca="1" si="765"/>
        <v>189.95957142857119</v>
      </c>
      <c r="O279" s="16">
        <v>13817</v>
      </c>
      <c r="P279" s="20">
        <f t="shared" ca="1" si="766"/>
        <v>0.77643482666280672</v>
      </c>
      <c r="Q279" s="21">
        <v>1.5</v>
      </c>
      <c r="R279" s="20">
        <f t="shared" ca="1" si="767"/>
        <v>0.89643134591796725</v>
      </c>
      <c r="S279" s="22">
        <f t="shared" ca="1" si="768"/>
        <v>1.3446470188769508</v>
      </c>
      <c r="T279" s="21">
        <f ca="1">F279/25.089</f>
        <v>317.9999999999996</v>
      </c>
      <c r="U279" s="21">
        <f t="shared" ca="1" si="769"/>
        <v>7.5714285714285623</v>
      </c>
      <c r="V279" s="18">
        <f t="shared" ca="1" si="770"/>
        <v>255.42857142857142</v>
      </c>
      <c r="W279" s="76"/>
      <c r="X279" s="24" t="s">
        <v>33</v>
      </c>
      <c r="Y279" s="24">
        <v>6</v>
      </c>
      <c r="Z279" s="24">
        <f t="shared" ref="Z279:AI279" si="780">SUM(Z273:Z278)</f>
        <v>186</v>
      </c>
      <c r="AA279" s="25">
        <f t="shared" ca="1" si="780"/>
        <v>176</v>
      </c>
      <c r="AB279" s="26">
        <f t="shared" ca="1" si="780"/>
        <v>34062.26299999997</v>
      </c>
      <c r="AC279" s="25">
        <f t="shared" ca="1" si="780"/>
        <v>12227</v>
      </c>
      <c r="AD279" s="25">
        <f t="shared" ca="1" si="780"/>
        <v>376</v>
      </c>
      <c r="AE279" s="25">
        <f t="shared" ca="1" si="780"/>
        <v>12603</v>
      </c>
      <c r="AF279" s="25">
        <f t="shared" ca="1" si="780"/>
        <v>15615</v>
      </c>
      <c r="AG279" s="25">
        <f t="shared" ca="1" si="780"/>
        <v>691</v>
      </c>
      <c r="AH279" s="25">
        <f t="shared" ca="1" si="780"/>
        <v>16306</v>
      </c>
      <c r="AI279" s="25">
        <f t="shared" ca="1" si="780"/>
        <v>28909</v>
      </c>
      <c r="AJ279" s="27">
        <f t="shared" ca="1" si="774"/>
        <v>193.53558522727255</v>
      </c>
      <c r="AK279" s="24">
        <f>SUM(AK273:AK278)</f>
        <v>35074</v>
      </c>
      <c r="AL279" s="28">
        <f t="shared" ca="1" si="752"/>
        <v>0.82422877345041912</v>
      </c>
      <c r="AM279" s="29">
        <v>1.5</v>
      </c>
      <c r="AN279" s="28">
        <f t="shared" ca="1" si="754"/>
        <v>0.56580699487484687</v>
      </c>
      <c r="AO279" s="30">
        <f t="shared" ca="1" si="755"/>
        <v>0.84871049231227025</v>
      </c>
      <c r="AP279" s="29">
        <f ca="1">SUM(AP273:AP278)</f>
        <v>1282.870057388518</v>
      </c>
      <c r="AQ279" s="29">
        <f ca="1">AP279/AA279</f>
        <v>7.2890344169802157</v>
      </c>
      <c r="AR279" s="25">
        <f t="shared" ca="1" si="757"/>
        <v>164.25568181818181</v>
      </c>
      <c r="AS279" s="76"/>
      <c r="AT279" s="76"/>
    </row>
    <row r="280" spans="1:46" ht="15.75" customHeight="1" x14ac:dyDescent="0.25">
      <c r="A280" s="70"/>
      <c r="B280" s="16">
        <v>5</v>
      </c>
      <c r="C280" s="16" t="s">
        <v>34</v>
      </c>
      <c r="D280" s="17">
        <v>40</v>
      </c>
      <c r="E280" s="18">
        <f ca="1">IFERROR(__xludf.DUMMYFUNCTION("COUNT(IMPORTRANGE(""https://docs.google.com/spreadsheets/d/1ptS0qWBCKWkc9h2aXWT_YgMhN7yIv5WgAHRbF8l9Zpo/edit"",""11!d2:d41""))"),39)</f>
        <v>39</v>
      </c>
      <c r="F280" s="23">
        <f ca="1">IFERROR(__xludf.DUMMYFUNCTION("SUM(IMPORTRANGE(""https://docs.google.com/spreadsheets/d/1ptS0qWBCKWkc9h2aXWT_YgMhN7yIv5WgAHRbF8l9Zpo/edit"",""11!Q2:Q41""))"),7438.977)</f>
        <v>7438.9769999999999</v>
      </c>
      <c r="G280" s="18">
        <f ca="1">IFERROR(__xludf.DUMMYFUNCTION("IMPORTRANGE(""https://docs.google.com/spreadsheets/d/1ptS0qWBCKWkc9h2aXWT_YgMhN7yIv5WgAHRbF8l9Zpo/edit"",""11!e48"")"),2993)</f>
        <v>2993</v>
      </c>
      <c r="H280" s="18">
        <f ca="1">IFERROR(__xludf.DUMMYFUNCTION("IMPORTRANGE(""https://docs.google.com/spreadsheets/d/1ptS0qWBCKWkc9h2aXWT_YgMhN7yIv5WgAHRbF8l9Zpo/edit"",""11!e49"")"),0)</f>
        <v>0</v>
      </c>
      <c r="I280" s="18">
        <f t="shared" ca="1" si="762"/>
        <v>2993</v>
      </c>
      <c r="J280" s="18">
        <f ca="1">IFERROR(__xludf.DUMMYFUNCTION("IMPORTRANGE(""https://docs.google.com/spreadsheets/d/1ptS0qWBCKWkc9h2aXWT_YgMhN7yIv5WgAHRbF8l9Zpo/edit"",""11!e52"")"),3398)</f>
        <v>3398</v>
      </c>
      <c r="K280" s="18">
        <f ca="1">IFERROR(__xludf.DUMMYFUNCTION("IMPORTRANGE(""https://docs.google.com/spreadsheets/d/1ptS0qWBCKWkc9h2aXWT_YgMhN7yIv5WgAHRbF8l9Zpo/edit"",""11!e53"")"),0)</f>
        <v>0</v>
      </c>
      <c r="L280" s="18">
        <f t="shared" ca="1" si="763"/>
        <v>3398</v>
      </c>
      <c r="M280" s="18">
        <f t="shared" ca="1" si="764"/>
        <v>6391</v>
      </c>
      <c r="N280" s="19">
        <f t="shared" ca="1" si="765"/>
        <v>190.74299999999999</v>
      </c>
      <c r="O280" s="16">
        <v>9354</v>
      </c>
      <c r="P280" s="20">
        <f t="shared" ca="1" si="766"/>
        <v>0.68323711781056229</v>
      </c>
      <c r="Q280" s="21">
        <v>1.5</v>
      </c>
      <c r="R280" s="20">
        <f t="shared" ca="1" si="767"/>
        <v>0.57274900388409145</v>
      </c>
      <c r="S280" s="22">
        <f t="shared" ca="1" si="768"/>
        <v>0.85912350582613717</v>
      </c>
      <c r="T280" s="21">
        <f ca="1">F280/30.713</f>
        <v>242.20939016051832</v>
      </c>
      <c r="U280" s="21">
        <f t="shared" ca="1" si="769"/>
        <v>6.2104971836030343</v>
      </c>
      <c r="V280" s="18">
        <f t="shared" ca="1" si="770"/>
        <v>163.87179487179486</v>
      </c>
      <c r="W280" s="76"/>
      <c r="X280" s="100" t="s">
        <v>35</v>
      </c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9"/>
      <c r="AS280" s="76"/>
      <c r="AT280" s="76"/>
    </row>
    <row r="281" spans="1:46" ht="15.75" customHeight="1" x14ac:dyDescent="0.25">
      <c r="A281" s="70"/>
      <c r="B281" s="16">
        <v>6</v>
      </c>
      <c r="C281" s="16" t="s">
        <v>23</v>
      </c>
      <c r="D281" s="17">
        <v>35</v>
      </c>
      <c r="E281" s="18">
        <f ca="1">IFERROR(__xludf.DUMMYFUNCTION("COUNT(IMPORTRANGE(""https://docs.google.com/spreadsheets/d/1829CoYW82aTBBUgqkPnJa94KlBWI-DowAnP4ENQCmaQ/edit"",""11!d2:d36""))"),35)</f>
        <v>35</v>
      </c>
      <c r="F281" s="23">
        <f ca="1">IFERROR(__xludf.DUMMYFUNCTION("SUM(IMPORTRANGE(""https://docs.google.com/spreadsheets/d/1829CoYW82aTBBUgqkPnJa94KlBWI-DowAnP4ENQCmaQ/edit"",""11!Q2:Q36""))"),6849.21999999999)</f>
        <v>6849.2199999999903</v>
      </c>
      <c r="G281" s="18">
        <f ca="1">IFERROR(__xludf.DUMMYFUNCTION("IMPORTRANGE(""https://docs.google.com/spreadsheets/d/1829CoYW82aTBBUgqkPnJa94KlBWI-DowAnP4ENQCmaQ/edit"",""11!e43"")"),2437)</f>
        <v>2437</v>
      </c>
      <c r="H281" s="18">
        <f ca="1">IFERROR(__xludf.DUMMYFUNCTION("IMPORTRANGE(""https://docs.google.com/spreadsheets/d/1829CoYW82aTBBUgqkPnJa94KlBWI-DowAnP4ENQCmaQ/edit"",""11!e44"")"),0)</f>
        <v>0</v>
      </c>
      <c r="I281" s="18">
        <f t="shared" ca="1" si="762"/>
        <v>2437</v>
      </c>
      <c r="J281" s="18">
        <f ca="1">IFERROR(__xludf.DUMMYFUNCTION("IMPORTRANGE(""https://docs.google.com/spreadsheets/d/1829CoYW82aTBBUgqkPnJa94KlBWI-DowAnP4ENQCmaQ/edit"",""11!e47"")"),2583)</f>
        <v>2583</v>
      </c>
      <c r="K281" s="18">
        <f ca="1">IFERROR(__xludf.DUMMYFUNCTION("IMPORTRANGE(""https://docs.google.com/spreadsheets/d/1829CoYW82aTBBUgqkPnJa94KlBWI-DowAnP4ENQCmaQ/edit"",""11!e48"")"),115)</f>
        <v>115</v>
      </c>
      <c r="L281" s="18">
        <f t="shared" ca="1" si="763"/>
        <v>2698</v>
      </c>
      <c r="M281" s="18">
        <f t="shared" ca="1" si="764"/>
        <v>5135</v>
      </c>
      <c r="N281" s="19">
        <f t="shared" ca="1" si="765"/>
        <v>195.69199999999972</v>
      </c>
      <c r="O281" s="16">
        <v>6853</v>
      </c>
      <c r="P281" s="20">
        <f t="shared" ca="1" si="766"/>
        <v>0.74930687290237852</v>
      </c>
      <c r="Q281" s="21">
        <v>1.5</v>
      </c>
      <c r="R281" s="20">
        <f t="shared" ca="1" si="767"/>
        <v>0.49981360407949199</v>
      </c>
      <c r="S281" s="22">
        <f t="shared" ca="1" si="768"/>
        <v>0.74972040611923796</v>
      </c>
      <c r="T281" s="21">
        <f ca="1">F281/33.74</f>
        <v>202.99999999999969</v>
      </c>
      <c r="U281" s="21">
        <f t="shared" ca="1" si="769"/>
        <v>5.7999999999999909</v>
      </c>
      <c r="V281" s="18">
        <f t="shared" ca="1" si="770"/>
        <v>146.71428571428572</v>
      </c>
      <c r="W281" s="76"/>
      <c r="X281" s="1" t="s">
        <v>2</v>
      </c>
      <c r="Y281" s="1" t="s">
        <v>3</v>
      </c>
      <c r="Z281" s="1" t="s">
        <v>4</v>
      </c>
      <c r="AA281" s="1" t="s">
        <v>5</v>
      </c>
      <c r="AB281" s="2" t="s">
        <v>6</v>
      </c>
      <c r="AC281" s="1" t="s">
        <v>7</v>
      </c>
      <c r="AD281" s="1" t="s">
        <v>8</v>
      </c>
      <c r="AE281" s="1" t="s">
        <v>9</v>
      </c>
      <c r="AF281" s="1" t="s">
        <v>10</v>
      </c>
      <c r="AG281" s="1" t="s">
        <v>11</v>
      </c>
      <c r="AH281" s="1" t="s">
        <v>12</v>
      </c>
      <c r="AI281" s="1" t="s">
        <v>13</v>
      </c>
      <c r="AJ281" s="2" t="s">
        <v>14</v>
      </c>
      <c r="AK281" s="1" t="s">
        <v>15</v>
      </c>
      <c r="AL281" s="1" t="s">
        <v>16</v>
      </c>
      <c r="AM281" s="3" t="s">
        <v>17</v>
      </c>
      <c r="AN281" s="4" t="s">
        <v>18</v>
      </c>
      <c r="AO281" s="5" t="s">
        <v>19</v>
      </c>
      <c r="AP281" s="6" t="s">
        <v>20</v>
      </c>
      <c r="AQ281" s="6" t="s">
        <v>21</v>
      </c>
      <c r="AR281" s="7" t="s">
        <v>22</v>
      </c>
      <c r="AS281" s="76"/>
      <c r="AT281" s="76"/>
    </row>
    <row r="282" spans="1:46" ht="15.75" customHeight="1" x14ac:dyDescent="0.25">
      <c r="A282" s="70"/>
      <c r="B282" s="16">
        <v>7</v>
      </c>
      <c r="C282" s="16" t="s">
        <v>24</v>
      </c>
      <c r="D282" s="17">
        <v>44</v>
      </c>
      <c r="E282" s="31">
        <f ca="1">IFERROR(__xludf.DUMMYFUNCTION("COUNT(IMPORTRANGE(""https://docs.google.com/spreadsheets/d/1E2x4oDZxEIsuC5nl-5Z0--MoN8b1dt9SbpRcCfNP84Q/edit"",""11!d2:d45""))"),38)</f>
        <v>38</v>
      </c>
      <c r="F282" s="32">
        <f ca="1">IFERROR(__xludf.DUMMYFUNCTION("SUM(IMPORTRANGE(""https://docs.google.com/spreadsheets/d/1E2x4oDZxEIsuC5nl-5Z0--MoN8b1dt9SbpRcCfNP84Q/edit"",""11!Q2:Q45""))"),7151.87699999999)</f>
        <v>7151.8769999999904</v>
      </c>
      <c r="G282" s="31">
        <f ca="1">IFERROR(__xludf.DUMMYFUNCTION("IMPORTRANGE(""https://docs.google.com/spreadsheets/d/1E2x4oDZxEIsuC5nl-5Z0--MoN8b1dt9SbpRcCfNP84Q/edit"",""11!e53"")"),1047)</f>
        <v>1047</v>
      </c>
      <c r="H282" s="31">
        <f ca="1">IFERROR(__xludf.DUMMYFUNCTION("IMPORTRANGE(""https://docs.google.com/spreadsheets/d/1E2x4oDZxEIsuC5nl-5Z0--MoN8b1dt9SbpRcCfNP84Q/edit"",""11!e54"")"),0)</f>
        <v>0</v>
      </c>
      <c r="I282" s="31">
        <f t="shared" ca="1" si="762"/>
        <v>1047</v>
      </c>
      <c r="J282" s="31">
        <f ca="1">IFERROR(__xludf.DUMMYFUNCTION("IMPORTRANGE(""https://docs.google.com/spreadsheets/d/1E2x4oDZxEIsuC5nl-5Z0--MoN8b1dt9SbpRcCfNP84Q/edit"",""11!e57"")"),1365)</f>
        <v>1365</v>
      </c>
      <c r="K282" s="31">
        <f ca="1">IFERROR(__xludf.DUMMYFUNCTION("IMPORTRANGE(""https://docs.google.com/spreadsheets/d/1E2x4oDZxEIsuC5nl-5Z0--MoN8b1dt9SbpRcCfNP84Q/edit"",""11!e58"")"),0)</f>
        <v>0</v>
      </c>
      <c r="L282" s="18">
        <f t="shared" ca="1" si="763"/>
        <v>1365</v>
      </c>
      <c r="M282" s="18">
        <f t="shared" ca="1" si="764"/>
        <v>2412</v>
      </c>
      <c r="N282" s="19">
        <f t="shared" ca="1" si="765"/>
        <v>188.20728947368397</v>
      </c>
      <c r="O282" s="16">
        <v>1580</v>
      </c>
      <c r="P282" s="33">
        <f t="shared" ca="1" si="766"/>
        <v>1.5265822784810126</v>
      </c>
      <c r="Q282" s="21">
        <v>1.5</v>
      </c>
      <c r="R282" s="20">
        <f t="shared" ca="1" si="767"/>
        <v>0.22483608149301257</v>
      </c>
      <c r="S282" s="22">
        <f t="shared" ca="1" si="768"/>
        <v>0.33725412223951884</v>
      </c>
      <c r="T282" s="21">
        <f ca="1">F282/26.805</f>
        <v>266.81130386121959</v>
      </c>
      <c r="U282" s="21">
        <f t="shared" ca="1" si="769"/>
        <v>7.0213501016110413</v>
      </c>
      <c r="V282" s="18">
        <f t="shared" ca="1" si="770"/>
        <v>63.473684210526315</v>
      </c>
      <c r="W282" s="76"/>
      <c r="X282" s="8">
        <v>1</v>
      </c>
      <c r="Y282" s="8" t="s">
        <v>28</v>
      </c>
      <c r="Z282" s="8">
        <f t="shared" ref="Z282:AI282" si="781">SUM(D277)</f>
        <v>33</v>
      </c>
      <c r="AA282" s="9">
        <f t="shared" ca="1" si="781"/>
        <v>33</v>
      </c>
      <c r="AB282" s="11">
        <f t="shared" ca="1" si="781"/>
        <v>6590.6270000000004</v>
      </c>
      <c r="AC282" s="9">
        <f t="shared" ca="1" si="781"/>
        <v>2686</v>
      </c>
      <c r="AD282" s="9">
        <f t="shared" ca="1" si="781"/>
        <v>226</v>
      </c>
      <c r="AE282" s="9">
        <f t="shared" ca="1" si="781"/>
        <v>2912</v>
      </c>
      <c r="AF282" s="9">
        <f t="shared" ca="1" si="781"/>
        <v>2952</v>
      </c>
      <c r="AG282" s="9">
        <f t="shared" ca="1" si="781"/>
        <v>142</v>
      </c>
      <c r="AH282" s="9">
        <f t="shared" ca="1" si="781"/>
        <v>3094</v>
      </c>
      <c r="AI282" s="9">
        <f t="shared" ca="1" si="781"/>
        <v>6006</v>
      </c>
      <c r="AJ282" s="11">
        <f t="shared" ref="AJ282:AJ288" ca="1" si="782">AB282/AA282</f>
        <v>199.71596969696972</v>
      </c>
      <c r="AK282" s="8">
        <f t="shared" ref="AK282:AK283" si="783">SUM(O277)</f>
        <v>7315</v>
      </c>
      <c r="AL282" s="12">
        <f t="shared" ref="AL282:AL288" ca="1" si="784">AI282/AK282</f>
        <v>0.82105263157894737</v>
      </c>
      <c r="AM282" s="13">
        <f t="shared" ref="AM282:AM283" si="785">SUM(Q277)</f>
        <v>1.5</v>
      </c>
      <c r="AN282" s="12">
        <f t="shared" ref="AN282:AN288" ca="1" si="786">AO282/AM282</f>
        <v>0.60752945053634499</v>
      </c>
      <c r="AO282" s="14">
        <f t="shared" ref="AO282:AO288" ca="1" si="787">AI282/AB282</f>
        <v>0.91129417580451744</v>
      </c>
      <c r="AP282" s="13">
        <f t="shared" ref="AP282:AQ282" ca="1" si="788">SUM(T277)</f>
        <v>213.30960934718584</v>
      </c>
      <c r="AQ282" s="13">
        <f t="shared" ca="1" si="788"/>
        <v>6.4639275559753289</v>
      </c>
      <c r="AR282" s="9">
        <f t="shared" ref="AR282:AR288" ca="1" si="789">AI282/AA282</f>
        <v>182</v>
      </c>
      <c r="AS282" s="76"/>
      <c r="AT282" s="76"/>
    </row>
    <row r="283" spans="1:46" ht="15.75" customHeight="1" x14ac:dyDescent="0.25">
      <c r="A283" s="70"/>
      <c r="B283" s="16">
        <v>8</v>
      </c>
      <c r="C283" s="16" t="s">
        <v>25</v>
      </c>
      <c r="D283" s="34">
        <v>32</v>
      </c>
      <c r="E283" s="18">
        <f ca="1">IFERROR(__xludf.DUMMYFUNCTION("COUNT(IMPORTRANGE(""https://docs.google.com/spreadsheets/d/1KbRFOEYB0B44J_NSh1MwYQ1sLDlZXUHI-wuMLcZDn5k/edit"",""11!d2:D33""))"),32)</f>
        <v>32</v>
      </c>
      <c r="F283" s="23">
        <f ca="1">IFERROR(__xludf.DUMMYFUNCTION("SUM(IMPORTRANGE(""https://docs.google.com/spreadsheets/d/1KbRFOEYB0B44J_NSh1MwYQ1sLDlZXUHI-wuMLcZDn5k/edit"",""11!Q2:Q33""))"),6106.576)</f>
        <v>6106.576</v>
      </c>
      <c r="G283" s="18">
        <f ca="1">IFERROR(__xludf.DUMMYFUNCTION("IMPORTRANGE(""https://docs.google.com/spreadsheets/d/1KbRFOEYB0B44J_NSh1MwYQ1sLDlZXUHI-wuMLcZDn5k/edit"",""11!e40"")"),2341)</f>
        <v>2341</v>
      </c>
      <c r="H283" s="18">
        <f ca="1">IFERROR(__xludf.DUMMYFUNCTION("IMPORTRANGE(""https://docs.google.com/spreadsheets/d/1KbRFOEYB0B44J_NSh1MwYQ1sLDlZXUHI-wuMLcZDn5k/edit"",""11!e41"")"),376)</f>
        <v>376</v>
      </c>
      <c r="I283" s="18">
        <f t="shared" ca="1" si="762"/>
        <v>2717</v>
      </c>
      <c r="J283" s="18">
        <f ca="1">IFERROR(__xludf.DUMMYFUNCTION("IMPORTRANGE(""https://docs.google.com/spreadsheets/d/1KbRFOEYB0B44J_NSh1MwYQ1sLDlZXUHI-wuMLcZDn5k/edit"",""11!e44"")"),3206)</f>
        <v>3206</v>
      </c>
      <c r="K283" s="18">
        <f ca="1">IFERROR(__xludf.DUMMYFUNCTION("IMPORTRANGE(""https://docs.google.com/spreadsheets/d/1KbRFOEYB0B44J_NSh1MwYQ1sLDlZXUHI-wuMLcZDn5k/edit"",""11!e45"")"),421)</f>
        <v>421</v>
      </c>
      <c r="L283" s="18">
        <f ca="1">J283+K283</f>
        <v>3627</v>
      </c>
      <c r="M283" s="18">
        <f t="shared" ca="1" si="764"/>
        <v>6344</v>
      </c>
      <c r="N283" s="19">
        <f t="shared" ca="1" si="765"/>
        <v>190.8305</v>
      </c>
      <c r="O283" s="16">
        <v>6622</v>
      </c>
      <c r="P283" s="20">
        <f t="shared" ca="1" si="766"/>
        <v>0.95801872546058597</v>
      </c>
      <c r="Q283" s="21">
        <v>1.5</v>
      </c>
      <c r="R283" s="20">
        <f t="shared" ca="1" si="767"/>
        <v>0.69258670216064344</v>
      </c>
      <c r="S283" s="22">
        <f t="shared" ca="1" si="768"/>
        <v>1.0388800532409652</v>
      </c>
      <c r="T283" s="21">
        <f ca="1">F283/23.84</f>
        <v>256.14832214765102</v>
      </c>
      <c r="U283" s="21">
        <f t="shared" ca="1" si="769"/>
        <v>8.0046350671140942</v>
      </c>
      <c r="V283" s="18">
        <f t="shared" ca="1" si="770"/>
        <v>198.25</v>
      </c>
      <c r="W283" s="76"/>
      <c r="X283" s="8">
        <v>2</v>
      </c>
      <c r="Y283" s="8" t="s">
        <v>30</v>
      </c>
      <c r="Z283" s="8">
        <f t="shared" ref="Z283:AI283" si="790">SUM(D278)</f>
        <v>60</v>
      </c>
      <c r="AA283" s="9">
        <f t="shared" ca="1" si="790"/>
        <v>59</v>
      </c>
      <c r="AB283" s="10">
        <f t="shared" ca="1" si="790"/>
        <v>11566.2789999999</v>
      </c>
      <c r="AC283" s="9">
        <f t="shared" ca="1" si="790"/>
        <v>3715</v>
      </c>
      <c r="AD283" s="9">
        <f t="shared" ca="1" si="790"/>
        <v>0</v>
      </c>
      <c r="AE283" s="9">
        <f t="shared" ca="1" si="790"/>
        <v>3715</v>
      </c>
      <c r="AF283" s="9">
        <f t="shared" ca="1" si="790"/>
        <v>5597</v>
      </c>
      <c r="AG283" s="9">
        <f t="shared" ca="1" si="790"/>
        <v>24</v>
      </c>
      <c r="AH283" s="9">
        <f t="shared" ca="1" si="790"/>
        <v>5621</v>
      </c>
      <c r="AI283" s="9">
        <f t="shared" ca="1" si="790"/>
        <v>9336</v>
      </c>
      <c r="AJ283" s="11">
        <f t="shared" ca="1" si="782"/>
        <v>196.03862711864238</v>
      </c>
      <c r="AK283" s="8">
        <f t="shared" si="783"/>
        <v>11164</v>
      </c>
      <c r="AL283" s="12">
        <f t="shared" ca="1" si="784"/>
        <v>0.83625940523109998</v>
      </c>
      <c r="AM283" s="13">
        <f t="shared" si="785"/>
        <v>1.5</v>
      </c>
      <c r="AN283" s="12">
        <f t="shared" ca="1" si="786"/>
        <v>0.53811601812476195</v>
      </c>
      <c r="AO283" s="14">
        <f t="shared" ca="1" si="787"/>
        <v>0.80717402718714293</v>
      </c>
      <c r="AP283" s="13">
        <f t="shared" ref="AP283:AQ283" ca="1" si="791">SUM(T278)</f>
        <v>390.71306962131877</v>
      </c>
      <c r="AQ283" s="13">
        <f t="shared" ca="1" si="791"/>
        <v>6.6222554173104875</v>
      </c>
      <c r="AR283" s="9">
        <f t="shared" ca="1" si="789"/>
        <v>158.23728813559322</v>
      </c>
      <c r="AS283" s="76"/>
      <c r="AT283" s="76"/>
    </row>
    <row r="284" spans="1:46" ht="15.75" customHeight="1" x14ac:dyDescent="0.25">
      <c r="A284" s="70"/>
      <c r="B284" s="16">
        <v>9</v>
      </c>
      <c r="C284" s="16" t="s">
        <v>36</v>
      </c>
      <c r="D284" s="34">
        <v>29</v>
      </c>
      <c r="E284" s="18">
        <f ca="1">IFERROR(__xludf.DUMMYFUNCTION("COUNT(IMPORTRANGE(""https://docs.google.com/spreadsheets/d/1VqqqRGfmmkT0JC4ILJva2p8P11jjV0FX-TSKAaqOigw/edit"",""11!d2:d31""))"),28)</f>
        <v>28</v>
      </c>
      <c r="F284" s="23">
        <f ca="1">IFERROR(__xludf.DUMMYFUNCTION("SUM(IMPORTRANGE(""https://docs.google.com/spreadsheets/d/1VqqqRGfmmkT0JC4ILJva2p8P11jjV0FX-TSKAaqOigw/edit"",""11!Q2:Q31""))"),5586.21099999999)</f>
        <v>5586.2109999999902</v>
      </c>
      <c r="G284" s="18">
        <f ca="1">IFERROR(__xludf.DUMMYFUNCTION("IMPORTRANGE(""https://docs.google.com/spreadsheets/d/1VqqqRGfmmkT0JC4ILJva2p8P11jjV0FX-TSKAaqOigw/edit"",""11!e38"")"),1663)</f>
        <v>1663</v>
      </c>
      <c r="H284" s="18">
        <f ca="1">IFERROR(__xludf.DUMMYFUNCTION("IMPORTRANGE(""https://docs.google.com/spreadsheets/d/1VqqqRGfmmkT0JC4ILJva2p8P11jjV0FX-TSKAaqOigw/edit"",""11!e39"")"),0)</f>
        <v>0</v>
      </c>
      <c r="I284" s="18">
        <f t="shared" ca="1" si="762"/>
        <v>1663</v>
      </c>
      <c r="J284" s="18">
        <f ca="1">IFERROR(__xludf.DUMMYFUNCTION("IMPORTRANGE(""https://docs.google.com/spreadsheets/d/1VqqqRGfmmkT0JC4ILJva2p8P11jjV0FX-TSKAaqOigw/edit"",""11!e42"")"),2457)</f>
        <v>2457</v>
      </c>
      <c r="K284" s="18">
        <f ca="1">IFERROR(__xludf.DUMMYFUNCTION("IMPORTRANGE(""https://docs.google.com/spreadsheets/d/1VqqqRGfmmkT0JC4ILJva2p8P11jjV0FX-TSKAaqOigw/edit"",""11!e43"")"),0)</f>
        <v>0</v>
      </c>
      <c r="L284" s="18">
        <f t="shared" ref="L284:L293" ca="1" si="792">SUM(J284:K284)</f>
        <v>2457</v>
      </c>
      <c r="M284" s="18">
        <f t="shared" ca="1" si="764"/>
        <v>4120</v>
      </c>
      <c r="N284" s="19">
        <f t="shared" ca="1" si="765"/>
        <v>199.50753571428535</v>
      </c>
      <c r="O284" s="16">
        <v>4796</v>
      </c>
      <c r="P284" s="20">
        <f t="shared" ca="1" si="766"/>
        <v>0.85904920767306092</v>
      </c>
      <c r="Q284" s="21">
        <v>1.5</v>
      </c>
      <c r="R284" s="20">
        <f t="shared" ca="1" si="767"/>
        <v>0.49168688162095409</v>
      </c>
      <c r="S284" s="22">
        <f t="shared" ca="1" si="768"/>
        <v>0.73753032243143113</v>
      </c>
      <c r="T284" s="21">
        <f ca="1">F284/37.414</f>
        <v>149.30803977120837</v>
      </c>
      <c r="U284" s="21">
        <f t="shared" ca="1" si="769"/>
        <v>5.33242999182887</v>
      </c>
      <c r="V284" s="18">
        <f t="shared" ca="1" si="770"/>
        <v>147.14285714285714</v>
      </c>
      <c r="W284" s="76"/>
      <c r="X284" s="8">
        <v>3</v>
      </c>
      <c r="Y284" s="8" t="s">
        <v>34</v>
      </c>
      <c r="Z284" s="8">
        <f t="shared" ref="Z284:AI284" si="793">SUM(D280)</f>
        <v>40</v>
      </c>
      <c r="AA284" s="9">
        <f t="shared" ca="1" si="793"/>
        <v>39</v>
      </c>
      <c r="AB284" s="10">
        <f t="shared" ca="1" si="793"/>
        <v>7438.9769999999999</v>
      </c>
      <c r="AC284" s="9">
        <f t="shared" ca="1" si="793"/>
        <v>2993</v>
      </c>
      <c r="AD284" s="9">
        <f t="shared" ca="1" si="793"/>
        <v>0</v>
      </c>
      <c r="AE284" s="9">
        <f t="shared" ca="1" si="793"/>
        <v>2993</v>
      </c>
      <c r="AF284" s="9">
        <f t="shared" ca="1" si="793"/>
        <v>3398</v>
      </c>
      <c r="AG284" s="9">
        <f t="shared" ca="1" si="793"/>
        <v>0</v>
      </c>
      <c r="AH284" s="9">
        <f t="shared" ca="1" si="793"/>
        <v>3398</v>
      </c>
      <c r="AI284" s="9">
        <f t="shared" ca="1" si="793"/>
        <v>6391</v>
      </c>
      <c r="AJ284" s="11">
        <f t="shared" ca="1" si="782"/>
        <v>190.74299999999999</v>
      </c>
      <c r="AK284" s="8">
        <f>SUM(O280)</f>
        <v>9354</v>
      </c>
      <c r="AL284" s="12">
        <f t="shared" ca="1" si="784"/>
        <v>0.68323711781056229</v>
      </c>
      <c r="AM284" s="13">
        <f>SUM(Q280)</f>
        <v>1.5</v>
      </c>
      <c r="AN284" s="12">
        <f t="shared" ca="1" si="786"/>
        <v>0.57274900388409145</v>
      </c>
      <c r="AO284" s="14">
        <f t="shared" ca="1" si="787"/>
        <v>0.85912350582613717</v>
      </c>
      <c r="AP284" s="13">
        <f t="shared" ref="AP284:AQ284" ca="1" si="794">SUM(T280)</f>
        <v>242.20939016051832</v>
      </c>
      <c r="AQ284" s="13">
        <f t="shared" ca="1" si="794"/>
        <v>6.2104971836030343</v>
      </c>
      <c r="AR284" s="9">
        <f t="shared" ca="1" si="789"/>
        <v>163.87179487179486</v>
      </c>
      <c r="AS284" s="76"/>
      <c r="AT284" s="76"/>
    </row>
    <row r="285" spans="1:46" ht="15.75" customHeight="1" x14ac:dyDescent="0.25">
      <c r="A285" s="70"/>
      <c r="B285" s="16">
        <v>10</v>
      </c>
      <c r="C285" s="16" t="s">
        <v>37</v>
      </c>
      <c r="D285" s="17">
        <v>30</v>
      </c>
      <c r="E285" s="18">
        <f ca="1">IFERROR(__xludf.DUMMYFUNCTION("COUNT(IMPORTRANGE(""https://docs.google.com/spreadsheets/d/1IYeRjQd_D6MRqoBKNaky3aSEUloYCJc5XDnPAbdyetk/edit"",""11!d2:d31""))"),30)</f>
        <v>30</v>
      </c>
      <c r="F285" s="23">
        <f ca="1">IFERROR(__xludf.DUMMYFUNCTION("SUM(IMPORTRANGE(""https://docs.google.com/spreadsheets/d/1IYeRjQd_D6MRqoBKNaky3aSEUloYCJc5XDnPAbdyetk/edit"",""11!Q2:Q31""))"),5985.73199999999)</f>
        <v>5985.73199999999</v>
      </c>
      <c r="G285" s="18">
        <f ca="1">IFERROR(__xludf.DUMMYFUNCTION("(IMPORTRANGE(""https://docs.google.com/spreadsheets/d/1IYeRjQd_D6MRqoBKNaky3aSEUloYCJc5XDnPAbdyetk/edit"",""11!e38""))"),2254)</f>
        <v>2254</v>
      </c>
      <c r="H285" s="18">
        <f ca="1">IFERROR(__xludf.DUMMYFUNCTION("(IMPORTRANGE(""https://docs.google.com/spreadsheets/d/1IYeRjQd_D6MRqoBKNaky3aSEUloYCJc5XDnPAbdyetk/edit"",""11!e39""))"),0)</f>
        <v>0</v>
      </c>
      <c r="I285" s="18">
        <f t="shared" ca="1" si="762"/>
        <v>2254</v>
      </c>
      <c r="J285" s="18">
        <f ca="1">IFERROR(__xludf.DUMMYFUNCTION("(IMPORTRANGE(""https://docs.google.com/spreadsheets/d/1IYeRjQd_D6MRqoBKNaky3aSEUloYCJc5XDnPAbdyetk/edit"",""11!e42""))"),2905)</f>
        <v>2905</v>
      </c>
      <c r="K285" s="18">
        <f ca="1">IFERROR(__xludf.DUMMYFUNCTION("(IMPORTRANGE(""https://docs.google.com/spreadsheets/d/1IYeRjQd_D6MRqoBKNaky3aSEUloYCJc5XDnPAbdyetk/edit"",""11!e43""))"),0)</f>
        <v>0</v>
      </c>
      <c r="L285" s="18">
        <f t="shared" ca="1" si="792"/>
        <v>2905</v>
      </c>
      <c r="M285" s="18">
        <f t="shared" ca="1" si="764"/>
        <v>5159</v>
      </c>
      <c r="N285" s="19">
        <f t="shared" ca="1" si="765"/>
        <v>199.52439999999967</v>
      </c>
      <c r="O285" s="16">
        <v>5887</v>
      </c>
      <c r="P285" s="20">
        <f t="shared" ca="1" si="766"/>
        <v>0.87633769322235433</v>
      </c>
      <c r="Q285" s="21">
        <v>1.5</v>
      </c>
      <c r="R285" s="20">
        <f t="shared" ca="1" si="767"/>
        <v>0.57458859389851391</v>
      </c>
      <c r="S285" s="22">
        <f t="shared" ca="1" si="768"/>
        <v>0.86188289084777081</v>
      </c>
      <c r="T285" s="21">
        <f ca="1">F285/24.792</f>
        <v>241.4380445304933</v>
      </c>
      <c r="U285" s="21">
        <f t="shared" ca="1" si="769"/>
        <v>8.0479348176831103</v>
      </c>
      <c r="V285" s="18">
        <f t="shared" ca="1" si="770"/>
        <v>171.96666666666667</v>
      </c>
      <c r="W285" s="76"/>
      <c r="X285" s="8">
        <v>4</v>
      </c>
      <c r="Y285" s="8" t="s">
        <v>38</v>
      </c>
      <c r="Z285" s="8">
        <f t="shared" ref="Z285:AI285" si="795">SUM(D288)</f>
        <v>30</v>
      </c>
      <c r="AA285" s="9">
        <f t="shared" ca="1" si="795"/>
        <v>30</v>
      </c>
      <c r="AB285" s="10">
        <f t="shared" ca="1" si="795"/>
        <v>6038.0789999999897</v>
      </c>
      <c r="AC285" s="9">
        <f t="shared" ca="1" si="795"/>
        <v>2236</v>
      </c>
      <c r="AD285" s="9">
        <f t="shared" ca="1" si="795"/>
        <v>0</v>
      </c>
      <c r="AE285" s="9">
        <f t="shared" ca="1" si="795"/>
        <v>2236</v>
      </c>
      <c r="AF285" s="9">
        <f t="shared" ca="1" si="795"/>
        <v>3334</v>
      </c>
      <c r="AG285" s="9">
        <f t="shared" ca="1" si="795"/>
        <v>102</v>
      </c>
      <c r="AH285" s="9">
        <f t="shared" ca="1" si="795"/>
        <v>3436</v>
      </c>
      <c r="AI285" s="9">
        <f t="shared" ca="1" si="795"/>
        <v>5672</v>
      </c>
      <c r="AJ285" s="11">
        <f t="shared" ca="1" si="782"/>
        <v>201.26929999999965</v>
      </c>
      <c r="AK285" s="8">
        <v>7324</v>
      </c>
      <c r="AL285" s="12">
        <f t="shared" ca="1" si="784"/>
        <v>0.7744401966138722</v>
      </c>
      <c r="AM285" s="13">
        <f>SUM(Q288)</f>
        <v>1.5</v>
      </c>
      <c r="AN285" s="12">
        <f t="shared" ca="1" si="786"/>
        <v>0.62624774093438329</v>
      </c>
      <c r="AO285" s="14">
        <f t="shared" ca="1" si="787"/>
        <v>0.93937161140157488</v>
      </c>
      <c r="AP285" s="13">
        <f t="shared" ref="AP285:AQ285" ca="1" si="796">SUM(T288)</f>
        <v>146.53753185293021</v>
      </c>
      <c r="AQ285" s="13">
        <f t="shared" ca="1" si="796"/>
        <v>4.8845843950976739</v>
      </c>
      <c r="AR285" s="9">
        <f t="shared" ca="1" si="789"/>
        <v>189.06666666666666</v>
      </c>
      <c r="AS285" s="76"/>
      <c r="AT285" s="76"/>
    </row>
    <row r="286" spans="1:46" ht="15.75" customHeight="1" x14ac:dyDescent="0.25">
      <c r="A286" s="70"/>
      <c r="B286" s="16">
        <v>12</v>
      </c>
      <c r="C286" s="16" t="s">
        <v>39</v>
      </c>
      <c r="D286" s="17">
        <v>28</v>
      </c>
      <c r="E286" s="18">
        <f ca="1">IFERROR(__xludf.DUMMYFUNCTION("COUNT(IMPORTRANGE(""https://docs.google.com/spreadsheets/d/1TAY2D35yAzyl8a_p5CuZehQvmatfj0b0Q8ICl8GtJBY/edit"",""11!d2:d29""))"),27)</f>
        <v>27</v>
      </c>
      <c r="F286" s="23">
        <f ca="1">IFERROR(__xludf.DUMMYFUNCTION("SUM(IMPORTRANGE(""https://docs.google.com/spreadsheets/d/1TAY2D35yAzyl8a_p5CuZehQvmatfj0b0Q8ICl8GtJBY/edit"",""11!Q2:Q29""))"),5115.46999999999)</f>
        <v>5115.4699999999903</v>
      </c>
      <c r="G286" s="18">
        <f ca="1">IFERROR(__xludf.DUMMYFUNCTION("IMPORTRANGE(""https://docs.google.com/spreadsheets/d/1TAY2D35yAzyl8a_p5CuZehQvmatfj0b0Q8ICl8GtJBY/edit"",""11!e36"")"),1368)</f>
        <v>1368</v>
      </c>
      <c r="H286" s="18">
        <f ca="1">IFERROR(__xludf.DUMMYFUNCTION("(IMPORTRANGE(""https://docs.google.com/spreadsheets/d/1TAY2D35yAzyl8a_p5CuZehQvmatfj0b0Q8ICl8GtJBY/edit"",""11!e37""))"),0)</f>
        <v>0</v>
      </c>
      <c r="I286" s="18">
        <f t="shared" ca="1" si="762"/>
        <v>1368</v>
      </c>
      <c r="J286" s="18">
        <f ca="1">IFERROR(__xludf.DUMMYFUNCTION("IMPORTRANGE(""https://docs.google.com/spreadsheets/d/1TAY2D35yAzyl8a_p5CuZehQvmatfj0b0Q8ICl8GtJBY/edit"",""11!e40"")"),1554)</f>
        <v>1554</v>
      </c>
      <c r="K286" s="18">
        <f ca="1">IFERROR(__xludf.DUMMYFUNCTION("IMPORTRANGE(""https://docs.google.com/spreadsheets/d/1TAY2D35yAzyl8a_p5CuZehQvmatfj0b0Q8ICl8GtJBY/edit"",""11!e41"")"),189)</f>
        <v>189</v>
      </c>
      <c r="L286" s="18">
        <f t="shared" ca="1" si="792"/>
        <v>1743</v>
      </c>
      <c r="M286" s="18">
        <f t="shared" ca="1" si="764"/>
        <v>3111</v>
      </c>
      <c r="N286" s="19">
        <f t="shared" ca="1" si="765"/>
        <v>189.46185185185149</v>
      </c>
      <c r="O286" s="16">
        <v>3569</v>
      </c>
      <c r="P286" s="20">
        <f t="shared" ca="1" si="766"/>
        <v>0.87167273746147378</v>
      </c>
      <c r="Q286" s="21">
        <v>1.5</v>
      </c>
      <c r="R286" s="20">
        <f t="shared" ca="1" si="767"/>
        <v>0.40543684158053983</v>
      </c>
      <c r="S286" s="22">
        <f t="shared" ca="1" si="768"/>
        <v>0.60815526237080975</v>
      </c>
      <c r="T286" s="21">
        <f ca="1">F286/21.463</f>
        <v>238.33900200344732</v>
      </c>
      <c r="U286" s="21">
        <f t="shared" ca="1" si="769"/>
        <v>8.8273704445721233</v>
      </c>
      <c r="V286" s="18">
        <f t="shared" ca="1" si="770"/>
        <v>115.22222222222223</v>
      </c>
      <c r="W286" s="76"/>
      <c r="X286" s="8">
        <v>5</v>
      </c>
      <c r="Y286" s="8" t="s">
        <v>40</v>
      </c>
      <c r="Z286" s="8">
        <f t="shared" ref="Z286:AI286" si="797">SUM(D290)</f>
        <v>30</v>
      </c>
      <c r="AA286" s="9">
        <f t="shared" ca="1" si="797"/>
        <v>30</v>
      </c>
      <c r="AB286" s="10">
        <f t="shared" ca="1" si="797"/>
        <v>5802.3719999999903</v>
      </c>
      <c r="AC286" s="9">
        <f t="shared" ca="1" si="797"/>
        <v>3302</v>
      </c>
      <c r="AD286" s="9">
        <f t="shared" ca="1" si="797"/>
        <v>0</v>
      </c>
      <c r="AE286" s="9">
        <f t="shared" ca="1" si="797"/>
        <v>3302</v>
      </c>
      <c r="AF286" s="9">
        <f t="shared" ca="1" si="797"/>
        <v>3994</v>
      </c>
      <c r="AG286" s="9">
        <f t="shared" ca="1" si="797"/>
        <v>17</v>
      </c>
      <c r="AH286" s="9">
        <f t="shared" ca="1" si="797"/>
        <v>4011</v>
      </c>
      <c r="AI286" s="9">
        <f t="shared" ca="1" si="797"/>
        <v>7313</v>
      </c>
      <c r="AJ286" s="11">
        <f t="shared" ca="1" si="782"/>
        <v>193.41239999999968</v>
      </c>
      <c r="AK286" s="8">
        <f t="shared" ref="AK286:AK287" si="798">SUM(O290)</f>
        <v>8239</v>
      </c>
      <c r="AL286" s="12">
        <f t="shared" ca="1" si="784"/>
        <v>0.88760771938342031</v>
      </c>
      <c r="AM286" s="13">
        <f t="shared" ref="AM286:AM287" si="799">SUM(Q290)</f>
        <v>1.5</v>
      </c>
      <c r="AN286" s="12">
        <f t="shared" ca="1" si="786"/>
        <v>0.84023108710254046</v>
      </c>
      <c r="AO286" s="14">
        <f t="shared" ca="1" si="787"/>
        <v>1.2603466306538107</v>
      </c>
      <c r="AP286" s="13">
        <f t="shared" ref="AP286:AQ286" ca="1" si="800">SUM(T290)</f>
        <v>203.99999999999966</v>
      </c>
      <c r="AQ286" s="13">
        <f t="shared" ca="1" si="800"/>
        <v>6.7999999999999883</v>
      </c>
      <c r="AR286" s="9">
        <f t="shared" ca="1" si="789"/>
        <v>243.76666666666668</v>
      </c>
      <c r="AS286" s="76"/>
      <c r="AT286" s="76"/>
    </row>
    <row r="287" spans="1:46" ht="15.75" customHeight="1" x14ac:dyDescent="0.25">
      <c r="A287" s="70"/>
      <c r="B287" s="16">
        <v>12</v>
      </c>
      <c r="C287" s="16" t="s">
        <v>41</v>
      </c>
      <c r="D287" s="17">
        <v>24</v>
      </c>
      <c r="E287" s="18">
        <f ca="1">IFERROR(__xludf.DUMMYFUNCTION("COUNT(IMPORTRANGE(""https://docs.google.com/spreadsheets/d/1VAsUtLQHi7oV9NsI9EIHPnO1bcPJHeRgSbMoxSvPBME/edit"",""11!d2:d25""))"),24)</f>
        <v>24</v>
      </c>
      <c r="F287" s="23">
        <f ca="1">IFERROR(__xludf.DUMMYFUNCTION("SUM(IMPORTRANGE(""https://docs.google.com/spreadsheets/d/1VAsUtLQHi7oV9NsI9EIHPnO1bcPJHeRgSbMoxSvPBME/edit"",""11!Q2:Q25""))"),4720.728)</f>
        <v>4720.7280000000001</v>
      </c>
      <c r="G287" s="18">
        <f ca="1">IFERROR(__xludf.DUMMYFUNCTION("IMPORTRANGE(""https://docs.google.com/spreadsheets/d/1VAsUtLQHi7oV9NsI9EIHPnO1bcPJHeRgSbMoxSvPBME/edit"",""11!e32"")"),1422)</f>
        <v>1422</v>
      </c>
      <c r="H287" s="18">
        <f ca="1">IFERROR(__xludf.DUMMYFUNCTION("IMPORTRANGE(""https://docs.google.com/spreadsheets/d/1VAsUtLQHi7oV9NsI9EIHPnO1bcPJHeRgSbMoxSvPBME/edit"",""11!e33"")"),0)</f>
        <v>0</v>
      </c>
      <c r="I287" s="18">
        <f t="shared" ca="1" si="762"/>
        <v>1422</v>
      </c>
      <c r="J287" s="18">
        <f ca="1">IFERROR(__xludf.DUMMYFUNCTION("IMPORTRANGE(""https://docs.google.com/spreadsheets/d/1VAsUtLQHi7oV9NsI9EIHPnO1bcPJHeRgSbMoxSvPBME/edit"",""11!e36"")"),1493)</f>
        <v>1493</v>
      </c>
      <c r="K287" s="18">
        <f ca="1">IFERROR(__xludf.DUMMYFUNCTION("IMPORTRANGE(""https://docs.google.com/spreadsheets/d/1VAsUtLQHi7oV9NsI9EIHPnO1bcPJHeRgSbMoxSvPBME/edit"",""11!e37"")"),280)</f>
        <v>280</v>
      </c>
      <c r="L287" s="18">
        <f t="shared" ca="1" si="792"/>
        <v>1773</v>
      </c>
      <c r="M287" s="18">
        <f t="shared" ca="1" si="764"/>
        <v>3195</v>
      </c>
      <c r="N287" s="19">
        <f t="shared" ca="1" si="765"/>
        <v>196.697</v>
      </c>
      <c r="O287" s="16">
        <v>3801</v>
      </c>
      <c r="P287" s="20">
        <f t="shared" ca="1" si="766"/>
        <v>0.84056827150749802</v>
      </c>
      <c r="Q287" s="21">
        <v>1.5</v>
      </c>
      <c r="R287" s="20">
        <f t="shared" ca="1" si="767"/>
        <v>0.451201594330366</v>
      </c>
      <c r="S287" s="22">
        <f t="shared" ca="1" si="768"/>
        <v>0.67680239149554899</v>
      </c>
      <c r="T287" s="21">
        <f ca="1">F287/29.628</f>
        <v>159.33333333333334</v>
      </c>
      <c r="U287" s="21">
        <f t="shared" ca="1" si="769"/>
        <v>6.6388888888888893</v>
      </c>
      <c r="V287" s="18">
        <f t="shared" ca="1" si="770"/>
        <v>133.125</v>
      </c>
      <c r="W287" s="76"/>
      <c r="X287" s="8">
        <v>6</v>
      </c>
      <c r="Y287" s="8" t="s">
        <v>42</v>
      </c>
      <c r="Z287" s="8">
        <f t="shared" ref="Z287:AI287" si="801">SUM(D291)</f>
        <v>33</v>
      </c>
      <c r="AA287" s="9">
        <f t="shared" ca="1" si="801"/>
        <v>33</v>
      </c>
      <c r="AB287" s="10">
        <f t="shared" ca="1" si="801"/>
        <v>6527.9809999999898</v>
      </c>
      <c r="AC287" s="9">
        <f t="shared" ca="1" si="801"/>
        <v>3521</v>
      </c>
      <c r="AD287" s="9">
        <f t="shared" ca="1" si="801"/>
        <v>0</v>
      </c>
      <c r="AE287" s="9">
        <f t="shared" ca="1" si="801"/>
        <v>3521</v>
      </c>
      <c r="AF287" s="9">
        <f t="shared" ca="1" si="801"/>
        <v>4445</v>
      </c>
      <c r="AG287" s="9">
        <f t="shared" ca="1" si="801"/>
        <v>41</v>
      </c>
      <c r="AH287" s="9">
        <f t="shared" ca="1" si="801"/>
        <v>4486</v>
      </c>
      <c r="AI287" s="9">
        <f t="shared" ca="1" si="801"/>
        <v>8007</v>
      </c>
      <c r="AJ287" s="11">
        <f t="shared" ca="1" si="782"/>
        <v>197.81760606060575</v>
      </c>
      <c r="AK287" s="8">
        <f t="shared" si="798"/>
        <v>9877</v>
      </c>
      <c r="AL287" s="12">
        <f t="shared" ca="1" si="784"/>
        <v>0.81067125645438898</v>
      </c>
      <c r="AM287" s="13">
        <f t="shared" si="799"/>
        <v>1.5</v>
      </c>
      <c r="AN287" s="12">
        <f t="shared" ca="1" si="786"/>
        <v>0.81771071331243272</v>
      </c>
      <c r="AO287" s="14">
        <f t="shared" ca="1" si="787"/>
        <v>1.2265660699686491</v>
      </c>
      <c r="AP287" s="13">
        <f t="shared" ref="AP287:AQ287" ca="1" si="802">SUM(T291)</f>
        <v>249.58826228254597</v>
      </c>
      <c r="AQ287" s="13">
        <f t="shared" ca="1" si="802"/>
        <v>7.5632806752286657</v>
      </c>
      <c r="AR287" s="9">
        <f t="shared" ca="1" si="789"/>
        <v>242.63636363636363</v>
      </c>
      <c r="AS287" s="76"/>
      <c r="AT287" s="76"/>
    </row>
    <row r="288" spans="1:46" ht="15.75" customHeight="1" x14ac:dyDescent="0.25">
      <c r="A288" s="70"/>
      <c r="B288" s="16">
        <v>13</v>
      </c>
      <c r="C288" s="16" t="s">
        <v>43</v>
      </c>
      <c r="D288" s="17">
        <v>30</v>
      </c>
      <c r="E288" s="18">
        <f ca="1">IFERROR(__xludf.DUMMYFUNCTION("COUNT(IMPORTRANGE(""https://docs.google.com/spreadsheets/d/1p9Y_DGk7-TpRBFth-ljZceOIGCjQ0ylUeUq6xqnsZ-Q/edit"",""11!d2:d31""))"),30)</f>
        <v>30</v>
      </c>
      <c r="F288" s="23">
        <f ca="1">IFERROR(__xludf.DUMMYFUNCTION("SUM(IMPORTRANGE(""https://docs.google.com/spreadsheets/d/1p9Y_DGk7-TpRBFth-ljZceOIGCjQ0ylUeUq6xqnsZ-Q/edit"",""11!Q2:Q31""))"),6038.07899999999)</f>
        <v>6038.0789999999897</v>
      </c>
      <c r="G288" s="18">
        <f ca="1">IFERROR(__xludf.DUMMYFUNCTION("IMPORTRANGE(""https://docs.google.com/spreadsheets/d/1p9Y_DGk7-TpRBFth-ljZceOIGCjQ0ylUeUq6xqnsZ-Q/edit"",""11!e38"")"),2236)</f>
        <v>2236</v>
      </c>
      <c r="H288" s="18">
        <f ca="1">IFERROR(__xludf.DUMMYFUNCTION("IMPORTRANGE(""https://docs.google.com/spreadsheets/d/1p9Y_DGk7-TpRBFth-ljZceOIGCjQ0ylUeUq6xqnsZ-Q/edit"",""11!e39"")"),0)</f>
        <v>0</v>
      </c>
      <c r="I288" s="18">
        <f t="shared" ca="1" si="762"/>
        <v>2236</v>
      </c>
      <c r="J288" s="18">
        <f ca="1">IFERROR(__xludf.DUMMYFUNCTION("IMPORTRANGE(""https://docs.google.com/spreadsheets/d/1p9Y_DGk7-TpRBFth-ljZceOIGCjQ0ylUeUq6xqnsZ-Q/edit"",""11!e42"")"),3334)</f>
        <v>3334</v>
      </c>
      <c r="K288" s="18">
        <f ca="1">IFERROR(__xludf.DUMMYFUNCTION("IMPORTRANGE(""https://docs.google.com/spreadsheets/d/1p9Y_DGk7-TpRBFth-ljZceOIGCjQ0ylUeUq6xqnsZ-Q/edit"",""11!e43"")"),102)</f>
        <v>102</v>
      </c>
      <c r="L288" s="18">
        <f t="shared" ca="1" si="792"/>
        <v>3436</v>
      </c>
      <c r="M288" s="18">
        <f t="shared" ca="1" si="764"/>
        <v>5672</v>
      </c>
      <c r="N288" s="19">
        <f t="shared" ca="1" si="765"/>
        <v>201.26929999999965</v>
      </c>
      <c r="O288" s="16">
        <v>8345</v>
      </c>
      <c r="P288" s="20">
        <f t="shared" ca="1" si="766"/>
        <v>0.67968843618933494</v>
      </c>
      <c r="Q288" s="21">
        <v>1.5</v>
      </c>
      <c r="R288" s="20">
        <f t="shared" ca="1" si="767"/>
        <v>0.62624774093438329</v>
      </c>
      <c r="S288" s="22">
        <f t="shared" ca="1" si="768"/>
        <v>0.93937161140157488</v>
      </c>
      <c r="T288" s="21">
        <f ca="1">F288/41.205</f>
        <v>146.53753185293021</v>
      </c>
      <c r="U288" s="21">
        <f t="shared" ca="1" si="769"/>
        <v>4.8845843950976739</v>
      </c>
      <c r="V288" s="18">
        <f t="shared" ca="1" si="770"/>
        <v>189.06666666666666</v>
      </c>
      <c r="W288" s="76"/>
      <c r="X288" s="24" t="s">
        <v>33</v>
      </c>
      <c r="Y288" s="24">
        <v>6</v>
      </c>
      <c r="Z288" s="24">
        <f t="shared" ref="Z288:AI288" si="803">SUM(Z282:Z287)</f>
        <v>226</v>
      </c>
      <c r="AA288" s="25">
        <f t="shared" ca="1" si="803"/>
        <v>224</v>
      </c>
      <c r="AB288" s="27">
        <f t="shared" ca="1" si="803"/>
        <v>43964.314999999871</v>
      </c>
      <c r="AC288" s="25">
        <f t="shared" ca="1" si="803"/>
        <v>18453</v>
      </c>
      <c r="AD288" s="25">
        <f t="shared" ca="1" si="803"/>
        <v>226</v>
      </c>
      <c r="AE288" s="25">
        <f t="shared" ca="1" si="803"/>
        <v>18679</v>
      </c>
      <c r="AF288" s="25">
        <f t="shared" ca="1" si="803"/>
        <v>23720</v>
      </c>
      <c r="AG288" s="25">
        <f t="shared" ca="1" si="803"/>
        <v>326</v>
      </c>
      <c r="AH288" s="25">
        <f t="shared" ca="1" si="803"/>
        <v>24046</v>
      </c>
      <c r="AI288" s="25">
        <f t="shared" ca="1" si="803"/>
        <v>42725</v>
      </c>
      <c r="AJ288" s="27">
        <f t="shared" ca="1" si="782"/>
        <v>196.26926339285657</v>
      </c>
      <c r="AK288" s="24">
        <f>SUM(AK282:AK287)</f>
        <v>53273</v>
      </c>
      <c r="AL288" s="28">
        <f t="shared" ca="1" si="784"/>
        <v>0.80200101364668785</v>
      </c>
      <c r="AM288" s="29">
        <v>1.5</v>
      </c>
      <c r="AN288" s="28">
        <f t="shared" ca="1" si="786"/>
        <v>0.64787392532633381</v>
      </c>
      <c r="AO288" s="30">
        <f t="shared" ca="1" si="787"/>
        <v>0.97181088798950066</v>
      </c>
      <c r="AP288" s="29">
        <f ca="1">SUM(AP282:AP287)</f>
        <v>1446.3578632644987</v>
      </c>
      <c r="AQ288" s="29">
        <f ca="1">AP288/AA288</f>
        <v>6.4569547467165123</v>
      </c>
      <c r="AR288" s="25">
        <f t="shared" ca="1" si="789"/>
        <v>190.73660714285714</v>
      </c>
      <c r="AS288" s="76"/>
      <c r="AT288" s="76"/>
    </row>
    <row r="289" spans="1:46" ht="15.75" customHeight="1" x14ac:dyDescent="0.25">
      <c r="A289" s="70"/>
      <c r="B289" s="16">
        <v>14</v>
      </c>
      <c r="C289" s="16" t="s">
        <v>27</v>
      </c>
      <c r="D289" s="17">
        <v>30</v>
      </c>
      <c r="E289" s="18">
        <f ca="1">IFERROR(__xludf.DUMMYFUNCTION("COUNT(IMPORTRANGE(""https://docs.google.com/spreadsheets/d/1zJUDEKztv_fercXA0LYNw155qdzS7TJGhWLhquaW5IY/edit"",""11!d2:d31""))"),29)</f>
        <v>29</v>
      </c>
      <c r="F289" s="23">
        <f ca="1">IFERROR(__xludf.DUMMYFUNCTION("SUM(IMPORTRANGE(""https://docs.google.com/spreadsheets/d/1zJUDEKztv_fercXA0LYNw155qdzS7TJGhWLhquaW5IY/edit"",""11!Q2:Q31""))"),5685.595)</f>
        <v>5685.5950000000003</v>
      </c>
      <c r="G289" s="18">
        <f ca="1">IFERROR(__xludf.DUMMYFUNCTION("IMPORTRANGE(""https://docs.google.com/spreadsheets/d/1zJUDEKztv_fercXA0LYNw155qdzS7TJGhWLhquaW5IY/edit"",""11!e38"")"),2796)</f>
        <v>2796</v>
      </c>
      <c r="H289" s="18">
        <f ca="1">IFERROR(__xludf.DUMMYFUNCTION("IMPORTRANGE(""https://docs.google.com/spreadsheets/d/1zJUDEKztv_fercXA0LYNw155qdzS7TJGhWLhquaW5IY/edit"",""11!e39"")"),0)</f>
        <v>0</v>
      </c>
      <c r="I289" s="18">
        <f t="shared" ca="1" si="762"/>
        <v>2796</v>
      </c>
      <c r="J289" s="18">
        <f ca="1">IFERROR(__xludf.DUMMYFUNCTION("IMPORTRANGE(""https://docs.google.com/spreadsheets/d/1zJUDEKztv_fercXA0LYNw155qdzS7TJGhWLhquaW5IY/edit"",""11!e42"")"),3046)</f>
        <v>3046</v>
      </c>
      <c r="K289" s="18">
        <f ca="1">IFERROR(__xludf.DUMMYFUNCTION("IMPORTRANGE(""https://docs.google.com/spreadsheets/d/1zJUDEKztv_fercXA0LYNw155qdzS7TJGhWLhquaW5IY/edit"",""11!e43"")"),155)</f>
        <v>155</v>
      </c>
      <c r="L289" s="18">
        <f t="shared" ca="1" si="792"/>
        <v>3201</v>
      </c>
      <c r="M289" s="18">
        <f t="shared" ca="1" si="764"/>
        <v>5997</v>
      </c>
      <c r="N289" s="19">
        <f t="shared" ca="1" si="765"/>
        <v>196.05500000000001</v>
      </c>
      <c r="O289" s="16">
        <v>8101</v>
      </c>
      <c r="P289" s="20">
        <f t="shared" ca="1" si="766"/>
        <v>0.74027897790396247</v>
      </c>
      <c r="Q289" s="21">
        <v>1.5</v>
      </c>
      <c r="R289" s="20">
        <f t="shared" ca="1" si="767"/>
        <v>0.7031805818036635</v>
      </c>
      <c r="S289" s="22">
        <f t="shared" ca="1" si="768"/>
        <v>1.0547708727054952</v>
      </c>
      <c r="T289" s="21">
        <f ca="1">F289/19.985</f>
        <v>284.49311983987991</v>
      </c>
      <c r="U289" s="21">
        <f t="shared" ca="1" si="769"/>
        <v>9.8101075806855143</v>
      </c>
      <c r="V289" s="18">
        <f t="shared" ca="1" si="770"/>
        <v>206.79310344827587</v>
      </c>
      <c r="W289" s="76"/>
      <c r="X289" s="97" t="s">
        <v>44</v>
      </c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9"/>
      <c r="AS289" s="76"/>
      <c r="AT289" s="76"/>
    </row>
    <row r="290" spans="1:46" ht="15.75" customHeight="1" x14ac:dyDescent="0.25">
      <c r="A290" s="70"/>
      <c r="B290" s="16">
        <v>15</v>
      </c>
      <c r="C290" s="16" t="s">
        <v>40</v>
      </c>
      <c r="D290" s="17">
        <v>30</v>
      </c>
      <c r="E290" s="18">
        <f ca="1">IFERROR(__xludf.DUMMYFUNCTION("COUNT(IMPORTRANGE(""https://docs.google.com/spreadsheets/d/15GJA66Ucb-8RQ5vWVpq5HYaWoZZFX82SCeHChBujbrI/edit"",""11!d2:d31""))"),30)</f>
        <v>30</v>
      </c>
      <c r="F290" s="23">
        <f ca="1">IFERROR(__xludf.DUMMYFUNCTION("SUM(IMPORTRANGE(""https://docs.google.com/spreadsheets/d/15GJA66Ucb-8RQ5vWVpq5HYaWoZZFX82SCeHChBujbrI/edit"",""11!Q2:Q31""))"),5802.37199999999)</f>
        <v>5802.3719999999903</v>
      </c>
      <c r="G290" s="18">
        <f ca="1">IFERROR(__xludf.DUMMYFUNCTION("IMPORTRANGE(""https://docs.google.com/spreadsheets/d/15GJA66Ucb-8RQ5vWVpq5HYaWoZZFX82SCeHChBujbrI/edit"",""11!e38"")"),3302)</f>
        <v>3302</v>
      </c>
      <c r="H290" s="18">
        <f ca="1">IFERROR(__xludf.DUMMYFUNCTION("IMPORTRANGE(""https://docs.google.com/spreadsheets/d/15GJA66Ucb-8RQ5vWVpq5HYaWoZZFX82SCeHChBujbrI/edit"",""11!e39"")"),0)</f>
        <v>0</v>
      </c>
      <c r="I290" s="18">
        <f t="shared" ca="1" si="762"/>
        <v>3302</v>
      </c>
      <c r="J290" s="18">
        <f ca="1">IFERROR(__xludf.DUMMYFUNCTION("IMPORTRANGE(""https://docs.google.com/spreadsheets/d/15GJA66Ucb-8RQ5vWVpq5HYaWoZZFX82SCeHChBujbrI/edit"",""11!e42"")"),3994)</f>
        <v>3994</v>
      </c>
      <c r="K290" s="18">
        <f ca="1">IFERROR(__xludf.DUMMYFUNCTION("IMPORTRANGE(""https://docs.google.com/spreadsheets/d/15GJA66Ucb-8RQ5vWVpq5HYaWoZZFX82SCeHChBujbrI/edit"",""11!e43"")"),17)</f>
        <v>17</v>
      </c>
      <c r="L290" s="18">
        <f t="shared" ca="1" si="792"/>
        <v>4011</v>
      </c>
      <c r="M290" s="18">
        <f t="shared" ca="1" si="764"/>
        <v>7313</v>
      </c>
      <c r="N290" s="19">
        <f t="shared" ca="1" si="765"/>
        <v>193.41239999999968</v>
      </c>
      <c r="O290" s="16">
        <v>8239</v>
      </c>
      <c r="P290" s="20">
        <f t="shared" ca="1" si="766"/>
        <v>0.88760771938342031</v>
      </c>
      <c r="Q290" s="21">
        <v>1.5</v>
      </c>
      <c r="R290" s="20">
        <f t="shared" ca="1" si="767"/>
        <v>0.84023108710254046</v>
      </c>
      <c r="S290" s="22">
        <f t="shared" ca="1" si="768"/>
        <v>1.2603466306538107</v>
      </c>
      <c r="T290" s="21">
        <f ca="1">F290/28.443</f>
        <v>203.99999999999966</v>
      </c>
      <c r="U290" s="21">
        <f t="shared" ca="1" si="769"/>
        <v>6.7999999999999883</v>
      </c>
      <c r="V290" s="18">
        <f t="shared" ca="1" si="770"/>
        <v>243.76666666666668</v>
      </c>
      <c r="W290" s="76"/>
      <c r="X290" s="1" t="s">
        <v>2</v>
      </c>
      <c r="Y290" s="1" t="s">
        <v>3</v>
      </c>
      <c r="Z290" s="1" t="s">
        <v>4</v>
      </c>
      <c r="AA290" s="1" t="s">
        <v>5</v>
      </c>
      <c r="AB290" s="2" t="s">
        <v>6</v>
      </c>
      <c r="AC290" s="1" t="s">
        <v>7</v>
      </c>
      <c r="AD290" s="1" t="s">
        <v>8</v>
      </c>
      <c r="AE290" s="1" t="s">
        <v>9</v>
      </c>
      <c r="AF290" s="1" t="s">
        <v>10</v>
      </c>
      <c r="AG290" s="1" t="s">
        <v>11</v>
      </c>
      <c r="AH290" s="1" t="s">
        <v>12</v>
      </c>
      <c r="AI290" s="1" t="s">
        <v>13</v>
      </c>
      <c r="AJ290" s="2" t="s">
        <v>14</v>
      </c>
      <c r="AK290" s="1" t="s">
        <v>15</v>
      </c>
      <c r="AL290" s="1" t="s">
        <v>16</v>
      </c>
      <c r="AM290" s="3" t="s">
        <v>17</v>
      </c>
      <c r="AN290" s="4" t="s">
        <v>18</v>
      </c>
      <c r="AO290" s="5" t="s">
        <v>19</v>
      </c>
      <c r="AP290" s="6" t="s">
        <v>20</v>
      </c>
      <c r="AQ290" s="6" t="s">
        <v>21</v>
      </c>
      <c r="AR290" s="7" t="s">
        <v>22</v>
      </c>
      <c r="AS290" s="76"/>
      <c r="AT290" s="76"/>
    </row>
    <row r="291" spans="1:46" ht="15.75" customHeight="1" x14ac:dyDescent="0.25">
      <c r="A291" s="70"/>
      <c r="B291" s="16">
        <v>16</v>
      </c>
      <c r="C291" s="16" t="s">
        <v>42</v>
      </c>
      <c r="D291" s="17">
        <v>33</v>
      </c>
      <c r="E291" s="18">
        <f ca="1">IFERROR(__xludf.DUMMYFUNCTION("COUNT(IMPORTRANGE(""https://docs.google.com/spreadsheets/d/14Tu_jFPEdrIQ6DHYu6vRvJKQsbXr-48NY1tKy4-8JKI/edit"",""11!d2:d34""))"),33)</f>
        <v>33</v>
      </c>
      <c r="F291" s="23">
        <f ca="1">IFERROR(__xludf.DUMMYFUNCTION("SUM(IMPORTRANGE(""https://docs.google.com/spreadsheets/d/14Tu_jFPEdrIQ6DHYu6vRvJKQsbXr-48NY1tKy4-8JKI/edit"",""11!Q2:Q34""))"),6527.98099999999)</f>
        <v>6527.9809999999898</v>
      </c>
      <c r="G291" s="18">
        <f ca="1">IFERROR(__xludf.DUMMYFUNCTION("IMPORTRANGE(""https://docs.google.com/spreadsheets/d/14Tu_jFPEdrIQ6DHYu6vRvJKQsbXr-48NY1tKy4-8JKI/edit"",""11!e41"")"),3521)</f>
        <v>3521</v>
      </c>
      <c r="H291" s="18">
        <f ca="1">IFERROR(__xludf.DUMMYFUNCTION("IMPORTRANGE(""https://docs.google.com/spreadsheets/d/14Tu_jFPEdrIQ6DHYu6vRvJKQsbXr-48NY1tKy4-8JKI/edit"",""11!e42"")"),0)</f>
        <v>0</v>
      </c>
      <c r="I291" s="18">
        <f t="shared" ca="1" si="762"/>
        <v>3521</v>
      </c>
      <c r="J291" s="18">
        <f ca="1">IFERROR(__xludf.DUMMYFUNCTION("IMPORTRANGE(""https://docs.google.com/spreadsheets/d/14Tu_jFPEdrIQ6DHYu6vRvJKQsbXr-48NY1tKy4-8JKI/edit"",""11!e45"")"),4445)</f>
        <v>4445</v>
      </c>
      <c r="K291" s="18">
        <f ca="1">IFERROR(__xludf.DUMMYFUNCTION("IMPORTRANGE(""https://docs.google.com/spreadsheets/d/14Tu_jFPEdrIQ6DHYu6vRvJKQsbXr-48NY1tKy4-8JKI/edit"",""11!e46"")"),41)</f>
        <v>41</v>
      </c>
      <c r="L291" s="18">
        <f t="shared" ca="1" si="792"/>
        <v>4486</v>
      </c>
      <c r="M291" s="18">
        <f t="shared" ca="1" si="764"/>
        <v>8007</v>
      </c>
      <c r="N291" s="19">
        <f t="shared" ca="1" si="765"/>
        <v>197.81760606060575</v>
      </c>
      <c r="O291" s="16">
        <v>9877</v>
      </c>
      <c r="P291" s="20">
        <f t="shared" ca="1" si="766"/>
        <v>0.81067125645438898</v>
      </c>
      <c r="Q291" s="21">
        <v>1.5</v>
      </c>
      <c r="R291" s="20">
        <f t="shared" ca="1" si="767"/>
        <v>0.81771071331243272</v>
      </c>
      <c r="S291" s="22">
        <f t="shared" ca="1" si="768"/>
        <v>1.2265660699686491</v>
      </c>
      <c r="T291" s="21">
        <f ca="1">F291/26.155</f>
        <v>249.58826228254597</v>
      </c>
      <c r="U291" s="21">
        <f t="shared" ca="1" si="769"/>
        <v>7.5632806752286657</v>
      </c>
      <c r="V291" s="18">
        <f t="shared" ca="1" si="770"/>
        <v>242.63636363636363</v>
      </c>
      <c r="W291" s="76"/>
      <c r="X291" s="8">
        <v>1</v>
      </c>
      <c r="Y291" s="8" t="s">
        <v>26</v>
      </c>
      <c r="Z291" s="8">
        <f t="shared" ref="Z291:AI291" si="804">SUM(D276)</f>
        <v>20</v>
      </c>
      <c r="AA291" s="9">
        <f t="shared" ca="1" si="804"/>
        <v>19</v>
      </c>
      <c r="AB291" s="11">
        <f t="shared" ca="1" si="804"/>
        <v>3748.5119999999902</v>
      </c>
      <c r="AC291" s="9">
        <f t="shared" ca="1" si="804"/>
        <v>2132</v>
      </c>
      <c r="AD291" s="9">
        <f t="shared" ca="1" si="804"/>
        <v>0</v>
      </c>
      <c r="AE291" s="9">
        <f t="shared" ca="1" si="804"/>
        <v>2132</v>
      </c>
      <c r="AF291" s="9">
        <f t="shared" ca="1" si="804"/>
        <v>3144</v>
      </c>
      <c r="AG291" s="9">
        <f t="shared" ca="1" si="804"/>
        <v>0</v>
      </c>
      <c r="AH291" s="9">
        <f t="shared" ca="1" si="804"/>
        <v>3144</v>
      </c>
      <c r="AI291" s="9">
        <f t="shared" ca="1" si="804"/>
        <v>5276</v>
      </c>
      <c r="AJ291" s="11">
        <f t="shared" ref="AJ291:AJ297" ca="1" si="805">AB291/AA291</f>
        <v>197.29010526315739</v>
      </c>
      <c r="AK291" s="8">
        <f>SUM(O276)</f>
        <v>5161</v>
      </c>
      <c r="AL291" s="15">
        <f t="shared" ref="AL291:AL297" ca="1" si="806">AI291/AK291</f>
        <v>1.0222825033908158</v>
      </c>
      <c r="AM291" s="13">
        <f>SUM(Q276)</f>
        <v>1.5</v>
      </c>
      <c r="AN291" s="12">
        <f t="shared" ref="AN291:AN297" ca="1" si="807">AO291/AM291</f>
        <v>0.93832788405995293</v>
      </c>
      <c r="AO291" s="14">
        <f t="shared" ref="AO291:AO297" ca="1" si="808">AI291/AB291</f>
        <v>1.4074918260899294</v>
      </c>
      <c r="AP291" s="13">
        <f t="shared" ref="AP291:AQ291" ca="1" si="809">SUM(T276)</f>
        <v>260.04245577523346</v>
      </c>
      <c r="AQ291" s="13">
        <f t="shared" ca="1" si="809"/>
        <v>13.686445040801761</v>
      </c>
      <c r="AR291" s="9">
        <f t="shared" ref="AR291:AR297" ca="1" si="810">AI291/AA291</f>
        <v>277.68421052631578</v>
      </c>
      <c r="AS291" s="76"/>
      <c r="AT291" s="76"/>
    </row>
    <row r="292" spans="1:46" ht="15.75" customHeight="1" x14ac:dyDescent="0.25">
      <c r="A292" s="70"/>
      <c r="B292" s="16">
        <v>17</v>
      </c>
      <c r="C292" s="16" t="s">
        <v>29</v>
      </c>
      <c r="D292" s="17">
        <v>30</v>
      </c>
      <c r="E292" s="18">
        <f ca="1">IFERROR(__xludf.DUMMYFUNCTION("COUNT(IMPORTRANGE(""https://docs.google.com/spreadsheets/d/1ja_RQYsP0p5wRrACHojay4CW1wLx0QdS5tSwp-vYQ-s/edit"",""11!d2:d31""))"),28)</f>
        <v>28</v>
      </c>
      <c r="F292" s="23">
        <f ca="1">IFERROR(__xludf.DUMMYFUNCTION("SUM(IMPORTRANGE(""https://docs.google.com/spreadsheets/d/1ja_RQYsP0p5wRrACHojay4CW1wLx0QdS5tSwp-vYQ-s/edit"",""11!Q2:Q31""))"),5574.16499999999)</f>
        <v>5574.16499999999</v>
      </c>
      <c r="G292" s="18">
        <f ca="1">IFERROR(__xludf.DUMMYFUNCTION("IMPORTRANGE(""https://docs.google.com/spreadsheets/d/1ja_RQYsP0p5wRrACHojay4CW1wLx0QdS5tSwp-vYQ-s/edit"",""11!e38"")"),2764)</f>
        <v>2764</v>
      </c>
      <c r="H292" s="18">
        <f ca="1">IFERROR(__xludf.DUMMYFUNCTION("IMPORTRANGE(""https://docs.google.com/spreadsheets/d/1ja_RQYsP0p5wRrACHojay4CW1wLx0QdS5tSwp-vYQ-s/edit"",""11!e39"")"),0)</f>
        <v>0</v>
      </c>
      <c r="I292" s="18">
        <f t="shared" ca="1" si="762"/>
        <v>2764</v>
      </c>
      <c r="J292" s="18">
        <f ca="1">IFERROR(__xludf.DUMMYFUNCTION("IMPORTRANGE(""https://docs.google.com/spreadsheets/d/1ja_RQYsP0p5wRrACHojay4CW1wLx0QdS5tSwp-vYQ-s/edit"",""11!e42"")"),4361)</f>
        <v>4361</v>
      </c>
      <c r="K292" s="18">
        <f ca="1">IFERROR(__xludf.DUMMYFUNCTION("IMPORTRANGE(""https://docs.google.com/spreadsheets/d/1ja_RQYsP0p5wRrACHojay4CW1wLx0QdS5tSwp-vYQ-s/edit"",""11!e43"")"),0)</f>
        <v>0</v>
      </c>
      <c r="L292" s="18">
        <f t="shared" ca="1" si="792"/>
        <v>4361</v>
      </c>
      <c r="M292" s="18">
        <f t="shared" ca="1" si="764"/>
        <v>7125</v>
      </c>
      <c r="N292" s="19">
        <f t="shared" ca="1" si="765"/>
        <v>199.07732142857108</v>
      </c>
      <c r="O292" s="16">
        <v>9201</v>
      </c>
      <c r="P292" s="20">
        <f t="shared" ca="1" si="766"/>
        <v>0.77437235083143141</v>
      </c>
      <c r="Q292" s="21">
        <v>1.5</v>
      </c>
      <c r="R292" s="20">
        <f t="shared" ca="1" si="767"/>
        <v>0.85214556799090246</v>
      </c>
      <c r="S292" s="22">
        <f t="shared" ca="1" si="768"/>
        <v>1.2782183519863537</v>
      </c>
      <c r="T292" s="21">
        <f ca="1">F292/26.491</f>
        <v>210.41731153976784</v>
      </c>
      <c r="U292" s="21">
        <f t="shared" ca="1" si="769"/>
        <v>7.514903983563137</v>
      </c>
      <c r="V292" s="18">
        <f t="shared" ca="1" si="770"/>
        <v>254.46428571428572</v>
      </c>
      <c r="W292" s="76"/>
      <c r="X292" s="8">
        <v>2</v>
      </c>
      <c r="Y292" s="8" t="s">
        <v>32</v>
      </c>
      <c r="Z292" s="8">
        <f t="shared" ref="Z292:AI292" si="811">SUM(D279)</f>
        <v>42</v>
      </c>
      <c r="AA292" s="9">
        <f t="shared" ca="1" si="811"/>
        <v>42</v>
      </c>
      <c r="AB292" s="10">
        <f t="shared" ca="1" si="811"/>
        <v>7978.3019999999897</v>
      </c>
      <c r="AC292" s="8">
        <f t="shared" ca="1" si="811"/>
        <v>4972</v>
      </c>
      <c r="AD292" s="8">
        <f t="shared" ca="1" si="811"/>
        <v>0</v>
      </c>
      <c r="AE292" s="9">
        <f t="shared" ca="1" si="811"/>
        <v>4972</v>
      </c>
      <c r="AF292" s="8">
        <f t="shared" ca="1" si="811"/>
        <v>5756</v>
      </c>
      <c r="AG292" s="8">
        <f t="shared" ca="1" si="811"/>
        <v>0</v>
      </c>
      <c r="AH292" s="9">
        <f t="shared" ca="1" si="811"/>
        <v>5756</v>
      </c>
      <c r="AI292" s="9">
        <f t="shared" ca="1" si="811"/>
        <v>10728</v>
      </c>
      <c r="AJ292" s="11">
        <f t="shared" ca="1" si="805"/>
        <v>189.95957142857119</v>
      </c>
      <c r="AK292" s="8">
        <f>SUM(O279)</f>
        <v>13817</v>
      </c>
      <c r="AL292" s="12">
        <f t="shared" ca="1" si="806"/>
        <v>0.77643482666280672</v>
      </c>
      <c r="AM292" s="13">
        <f>SUM(Q279)</f>
        <v>1.5</v>
      </c>
      <c r="AN292" s="12">
        <f t="shared" ca="1" si="807"/>
        <v>0.89643134591796725</v>
      </c>
      <c r="AO292" s="14">
        <f t="shared" ca="1" si="808"/>
        <v>1.3446470188769508</v>
      </c>
      <c r="AP292" s="13">
        <f t="shared" ref="AP292:AQ292" ca="1" si="812">SUM(T279)</f>
        <v>317.9999999999996</v>
      </c>
      <c r="AQ292" s="13">
        <f t="shared" ca="1" si="812"/>
        <v>7.5714285714285623</v>
      </c>
      <c r="AR292" s="9">
        <f t="shared" ca="1" si="810"/>
        <v>255.42857142857142</v>
      </c>
      <c r="AS292" s="76"/>
      <c r="AT292" s="76"/>
    </row>
    <row r="293" spans="1:46" ht="15.75" customHeight="1" x14ac:dyDescent="0.25">
      <c r="A293" s="70"/>
      <c r="B293" s="16">
        <v>18</v>
      </c>
      <c r="C293" s="16" t="s">
        <v>31</v>
      </c>
      <c r="D293" s="17">
        <v>15</v>
      </c>
      <c r="E293" s="18">
        <f ca="1">IFERROR(__xludf.DUMMYFUNCTION("COUNT(IMPORTRANGE(""https://docs.google.com/spreadsheets/d/1ObnK1oSznTOmyW9Zcd2kxExl7TOnO2MNq_0giEKc_mE/edit"",""11!d2:d16""))"),14)</f>
        <v>14</v>
      </c>
      <c r="F293" s="19">
        <f ca="1">IFERROR(__xludf.DUMMYFUNCTION("SUM(IMPORTRANGE(""https://docs.google.com/spreadsheets/d/1ObnK1oSznTOmyW9Zcd2kxExl7TOnO2MNq_0giEKc_mE/edit"",""11!Q2:Q16""))"),2694.83)</f>
        <v>2694.83</v>
      </c>
      <c r="G293" s="18">
        <f ca="1">IFERROR(__xludf.DUMMYFUNCTION("IMPORTRANGE(""https://docs.google.com/spreadsheets/d/1ObnK1oSznTOmyW9Zcd2kxExl7TOnO2MNq_0giEKc_mE/edit"",""11!e23"")"),842)</f>
        <v>842</v>
      </c>
      <c r="H293" s="18">
        <f ca="1">IFERROR(__xludf.DUMMYFUNCTION("IMPORTRANGE(""https://docs.google.com/spreadsheets/d/1ObnK1oSznTOmyW9Zcd2kxExl7TOnO2MNq_0giEKc_mE/edit"",""11!e24"")"),0)</f>
        <v>0</v>
      </c>
      <c r="I293" s="18">
        <f t="shared" ca="1" si="762"/>
        <v>842</v>
      </c>
      <c r="J293" s="18">
        <f ca="1">IFERROR(__xludf.DUMMYFUNCTION("IMPORTRANGE(""https://docs.google.com/spreadsheets/d/1ObnK1oSznTOmyW9Zcd2kxExl7TOnO2MNq_0giEKc_mE/edit"",""11!e27"")"),1054)</f>
        <v>1054</v>
      </c>
      <c r="K293" s="18">
        <f ca="1">IFERROR(__xludf.DUMMYFUNCTION("IMPORTRANGE(""https://docs.google.com/spreadsheets/d/1ObnK1oSznTOmyW9Zcd2kxExl7TOnO2MNq_0giEKc_mE/edit"",""11!e28"")"),0)</f>
        <v>0</v>
      </c>
      <c r="L293" s="18">
        <f t="shared" ca="1" si="792"/>
        <v>1054</v>
      </c>
      <c r="M293" s="18">
        <f t="shared" ca="1" si="764"/>
        <v>1896</v>
      </c>
      <c r="N293" s="19">
        <f t="shared" ca="1" si="765"/>
        <v>192.48785714285714</v>
      </c>
      <c r="O293" s="16">
        <v>2717</v>
      </c>
      <c r="P293" s="20">
        <f t="shared" ca="1" si="766"/>
        <v>0.69782848730217151</v>
      </c>
      <c r="Q293" s="21">
        <v>1.5</v>
      </c>
      <c r="R293" s="20">
        <f t="shared" ca="1" si="767"/>
        <v>0.46904628492335326</v>
      </c>
      <c r="S293" s="22">
        <f t="shared" ca="1" si="768"/>
        <v>0.70356942738502992</v>
      </c>
      <c r="T293" s="21">
        <f ca="1">F293/43.465</f>
        <v>61.999999999999993</v>
      </c>
      <c r="U293" s="21">
        <f t="shared" ca="1" si="769"/>
        <v>4.4285714285714279</v>
      </c>
      <c r="V293" s="18">
        <f t="shared" ca="1" si="770"/>
        <v>135.42857142857142</v>
      </c>
      <c r="W293" s="76"/>
      <c r="X293" s="8">
        <v>3</v>
      </c>
      <c r="Y293" s="8" t="s">
        <v>36</v>
      </c>
      <c r="Z293" s="8">
        <f t="shared" ref="Z293:AI293" si="813">SUM(D284)</f>
        <v>29</v>
      </c>
      <c r="AA293" s="9">
        <f t="shared" ca="1" si="813"/>
        <v>28</v>
      </c>
      <c r="AB293" s="10">
        <f t="shared" ca="1" si="813"/>
        <v>5586.2109999999902</v>
      </c>
      <c r="AC293" s="9">
        <f t="shared" ca="1" si="813"/>
        <v>1663</v>
      </c>
      <c r="AD293" s="9">
        <f t="shared" ca="1" si="813"/>
        <v>0</v>
      </c>
      <c r="AE293" s="9">
        <f t="shared" ca="1" si="813"/>
        <v>1663</v>
      </c>
      <c r="AF293" s="9">
        <f t="shared" ca="1" si="813"/>
        <v>2457</v>
      </c>
      <c r="AG293" s="9">
        <f t="shared" ca="1" si="813"/>
        <v>0</v>
      </c>
      <c r="AH293" s="9">
        <f t="shared" ca="1" si="813"/>
        <v>2457</v>
      </c>
      <c r="AI293" s="9">
        <f t="shared" ca="1" si="813"/>
        <v>4120</v>
      </c>
      <c r="AJ293" s="11">
        <f t="shared" ca="1" si="805"/>
        <v>199.50753571428535</v>
      </c>
      <c r="AK293" s="8">
        <f t="shared" ref="AK293:AK296" si="814">SUM(O284)</f>
        <v>4796</v>
      </c>
      <c r="AL293" s="12">
        <f t="shared" ca="1" si="806"/>
        <v>0.85904920767306092</v>
      </c>
      <c r="AM293" s="13">
        <f t="shared" ref="AM293:AM296" si="815">SUM(Q284)</f>
        <v>1.5</v>
      </c>
      <c r="AN293" s="12">
        <f t="shared" ca="1" si="807"/>
        <v>0.49168688162095409</v>
      </c>
      <c r="AO293" s="14">
        <f t="shared" ca="1" si="808"/>
        <v>0.73753032243143113</v>
      </c>
      <c r="AP293" s="13">
        <f t="shared" ref="AP293:AQ293" ca="1" si="816">SUM(T284)</f>
        <v>149.30803977120837</v>
      </c>
      <c r="AQ293" s="13">
        <f t="shared" ca="1" si="816"/>
        <v>5.33242999182887</v>
      </c>
      <c r="AR293" s="9">
        <f t="shared" ca="1" si="810"/>
        <v>147.14285714285714</v>
      </c>
      <c r="AS293" s="76"/>
      <c r="AT293" s="76"/>
    </row>
    <row r="294" spans="1:46" ht="15.75" customHeight="1" x14ac:dyDescent="0.2">
      <c r="A294" s="70"/>
      <c r="B294" s="98" t="s">
        <v>33</v>
      </c>
      <c r="C294" s="98">
        <v>18</v>
      </c>
      <c r="D294" s="98">
        <f t="shared" ref="D294:M294" si="817">SUM(D276:D293)</f>
        <v>585</v>
      </c>
      <c r="E294" s="74">
        <f t="shared" ca="1" si="817"/>
        <v>570</v>
      </c>
      <c r="F294" s="99">
        <f t="shared" ca="1" si="817"/>
        <v>111161.53299999979</v>
      </c>
      <c r="G294" s="74">
        <f t="shared" ca="1" si="817"/>
        <v>44491</v>
      </c>
      <c r="H294" s="74">
        <f t="shared" ca="1" si="817"/>
        <v>602</v>
      </c>
      <c r="I294" s="74">
        <f t="shared" ca="1" si="817"/>
        <v>45093</v>
      </c>
      <c r="J294" s="74">
        <f t="shared" ca="1" si="817"/>
        <v>56644</v>
      </c>
      <c r="K294" s="74">
        <f t="shared" ca="1" si="817"/>
        <v>1486</v>
      </c>
      <c r="L294" s="74">
        <f t="shared" ca="1" si="817"/>
        <v>58130</v>
      </c>
      <c r="M294" s="74">
        <f t="shared" ca="1" si="817"/>
        <v>103223</v>
      </c>
      <c r="N294" s="99">
        <f t="shared" ca="1" si="765"/>
        <v>195.02023333333298</v>
      </c>
      <c r="O294" s="98">
        <f>SUM(O276:O293)</f>
        <v>126399</v>
      </c>
      <c r="P294" s="69">
        <f t="shared" ca="1" si="766"/>
        <v>0.81664411901992895</v>
      </c>
      <c r="Q294" s="72">
        <v>1.5</v>
      </c>
      <c r="R294" s="69">
        <f t="shared" ca="1" si="767"/>
        <v>0.61905707375710139</v>
      </c>
      <c r="S294" s="73">
        <f t="shared" ca="1" si="768"/>
        <v>0.92858561063565215</v>
      </c>
      <c r="T294" s="72">
        <f ca="1">SUM(T276:T293)</f>
        <v>4095.6887960667327</v>
      </c>
      <c r="U294" s="72">
        <f t="shared" ca="1" si="769"/>
        <v>7.1854189404679518</v>
      </c>
      <c r="V294" s="74">
        <f t="shared" ca="1" si="770"/>
        <v>181.09298245614036</v>
      </c>
      <c r="W294" s="76"/>
      <c r="X294" s="8">
        <v>4</v>
      </c>
      <c r="Y294" s="8" t="s">
        <v>37</v>
      </c>
      <c r="Z294" s="8">
        <f t="shared" ref="Z294:AI294" si="818">SUM(D285)</f>
        <v>30</v>
      </c>
      <c r="AA294" s="9">
        <f t="shared" ca="1" si="818"/>
        <v>30</v>
      </c>
      <c r="AB294" s="10">
        <f t="shared" ca="1" si="818"/>
        <v>5985.73199999999</v>
      </c>
      <c r="AC294" s="9">
        <f t="shared" ca="1" si="818"/>
        <v>2254</v>
      </c>
      <c r="AD294" s="9">
        <f t="shared" ca="1" si="818"/>
        <v>0</v>
      </c>
      <c r="AE294" s="9">
        <f t="shared" ca="1" si="818"/>
        <v>2254</v>
      </c>
      <c r="AF294" s="9">
        <f t="shared" ca="1" si="818"/>
        <v>2905</v>
      </c>
      <c r="AG294" s="9">
        <f t="shared" ca="1" si="818"/>
        <v>0</v>
      </c>
      <c r="AH294" s="9">
        <f t="shared" ca="1" si="818"/>
        <v>2905</v>
      </c>
      <c r="AI294" s="9">
        <f t="shared" ca="1" si="818"/>
        <v>5159</v>
      </c>
      <c r="AJ294" s="11">
        <f t="shared" ca="1" si="805"/>
        <v>199.52439999999967</v>
      </c>
      <c r="AK294" s="8">
        <f t="shared" si="814"/>
        <v>5887</v>
      </c>
      <c r="AL294" s="12">
        <f t="shared" ca="1" si="806"/>
        <v>0.87633769322235433</v>
      </c>
      <c r="AM294" s="13">
        <f t="shared" si="815"/>
        <v>1.5</v>
      </c>
      <c r="AN294" s="12">
        <f t="shared" ca="1" si="807"/>
        <v>0.57458859389851391</v>
      </c>
      <c r="AO294" s="14">
        <f t="shared" ca="1" si="808"/>
        <v>0.86188289084777081</v>
      </c>
      <c r="AP294" s="13">
        <f t="shared" ref="AP294:AQ294" ca="1" si="819">SUM(T285)</f>
        <v>241.4380445304933</v>
      </c>
      <c r="AQ294" s="13">
        <f t="shared" ca="1" si="819"/>
        <v>8.0479348176831103</v>
      </c>
      <c r="AR294" s="9">
        <f t="shared" ca="1" si="810"/>
        <v>171.96666666666667</v>
      </c>
      <c r="AS294" s="76"/>
      <c r="AT294" s="76"/>
    </row>
    <row r="295" spans="1:46" ht="15.75" customHeight="1" x14ac:dyDescent="0.2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6"/>
      <c r="X295" s="8">
        <v>5</v>
      </c>
      <c r="Y295" s="8" t="s">
        <v>39</v>
      </c>
      <c r="Z295" s="8">
        <f t="shared" ref="Z295:AI295" si="820">SUM(D286)</f>
        <v>28</v>
      </c>
      <c r="AA295" s="9">
        <f t="shared" ca="1" si="820"/>
        <v>27</v>
      </c>
      <c r="AB295" s="10">
        <f t="shared" ca="1" si="820"/>
        <v>5115.4699999999903</v>
      </c>
      <c r="AC295" s="9">
        <f t="shared" ca="1" si="820"/>
        <v>1368</v>
      </c>
      <c r="AD295" s="9">
        <f t="shared" ca="1" si="820"/>
        <v>0</v>
      </c>
      <c r="AE295" s="9">
        <f t="shared" ca="1" si="820"/>
        <v>1368</v>
      </c>
      <c r="AF295" s="9">
        <f t="shared" ca="1" si="820"/>
        <v>1554</v>
      </c>
      <c r="AG295" s="9">
        <f t="shared" ca="1" si="820"/>
        <v>189</v>
      </c>
      <c r="AH295" s="9">
        <f t="shared" ca="1" si="820"/>
        <v>1743</v>
      </c>
      <c r="AI295" s="9">
        <f t="shared" ca="1" si="820"/>
        <v>3111</v>
      </c>
      <c r="AJ295" s="11">
        <f t="shared" ca="1" si="805"/>
        <v>189.46185185185149</v>
      </c>
      <c r="AK295" s="8">
        <f t="shared" si="814"/>
        <v>3569</v>
      </c>
      <c r="AL295" s="12">
        <f t="shared" ca="1" si="806"/>
        <v>0.87167273746147378</v>
      </c>
      <c r="AM295" s="13">
        <f t="shared" si="815"/>
        <v>1.5</v>
      </c>
      <c r="AN295" s="12">
        <f t="shared" ca="1" si="807"/>
        <v>0.40543684158053983</v>
      </c>
      <c r="AO295" s="14">
        <f t="shared" ca="1" si="808"/>
        <v>0.60815526237080975</v>
      </c>
      <c r="AP295" s="13">
        <f t="shared" ref="AP295:AQ295" ca="1" si="821">SUM(T286)</f>
        <v>238.33900200344732</v>
      </c>
      <c r="AQ295" s="13">
        <f t="shared" ca="1" si="821"/>
        <v>8.8273704445721233</v>
      </c>
      <c r="AR295" s="9">
        <f t="shared" ca="1" si="810"/>
        <v>115.22222222222223</v>
      </c>
      <c r="AS295" s="76"/>
      <c r="AT295" s="76"/>
    </row>
    <row r="296" spans="1:46" ht="15.75" customHeight="1" x14ac:dyDescent="0.2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6"/>
      <c r="X296" s="8">
        <v>6</v>
      </c>
      <c r="Y296" s="8" t="s">
        <v>41</v>
      </c>
      <c r="Z296" s="8">
        <f t="shared" ref="Z296:AI296" si="822">SUM(D287)</f>
        <v>24</v>
      </c>
      <c r="AA296" s="9">
        <f t="shared" ca="1" si="822"/>
        <v>24</v>
      </c>
      <c r="AB296" s="10">
        <f t="shared" ca="1" si="822"/>
        <v>4720.7280000000001</v>
      </c>
      <c r="AC296" s="9">
        <f t="shared" ca="1" si="822"/>
        <v>1422</v>
      </c>
      <c r="AD296" s="9">
        <f t="shared" ca="1" si="822"/>
        <v>0</v>
      </c>
      <c r="AE296" s="9">
        <f t="shared" ca="1" si="822"/>
        <v>1422</v>
      </c>
      <c r="AF296" s="9">
        <f t="shared" ca="1" si="822"/>
        <v>1493</v>
      </c>
      <c r="AG296" s="9">
        <f t="shared" ca="1" si="822"/>
        <v>280</v>
      </c>
      <c r="AH296" s="9">
        <f t="shared" ca="1" si="822"/>
        <v>1773</v>
      </c>
      <c r="AI296" s="9">
        <f t="shared" ca="1" si="822"/>
        <v>3195</v>
      </c>
      <c r="AJ296" s="11">
        <f t="shared" ca="1" si="805"/>
        <v>196.697</v>
      </c>
      <c r="AK296" s="8">
        <f t="shared" si="814"/>
        <v>3801</v>
      </c>
      <c r="AL296" s="12">
        <f t="shared" ca="1" si="806"/>
        <v>0.84056827150749802</v>
      </c>
      <c r="AM296" s="13">
        <f t="shared" si="815"/>
        <v>1.5</v>
      </c>
      <c r="AN296" s="12">
        <f t="shared" ca="1" si="807"/>
        <v>0.451201594330366</v>
      </c>
      <c r="AO296" s="14">
        <f t="shared" ca="1" si="808"/>
        <v>0.67680239149554899</v>
      </c>
      <c r="AP296" s="13">
        <f t="shared" ref="AP296:AQ296" ca="1" si="823">SUM(T287)</f>
        <v>159.33333333333334</v>
      </c>
      <c r="AQ296" s="13">
        <f t="shared" ca="1" si="823"/>
        <v>6.6388888888888893</v>
      </c>
      <c r="AR296" s="9">
        <f t="shared" ca="1" si="810"/>
        <v>133.125</v>
      </c>
      <c r="AS296" s="76"/>
      <c r="AT296" s="76"/>
    </row>
    <row r="297" spans="1:46" ht="15.75" customHeight="1" x14ac:dyDescent="0.25">
      <c r="A297" s="110" t="s">
        <v>45</v>
      </c>
      <c r="B297" s="76"/>
      <c r="C297" s="76"/>
      <c r="D297" s="75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24" t="s">
        <v>33</v>
      </c>
      <c r="Y297" s="24">
        <v>6</v>
      </c>
      <c r="Z297" s="24">
        <f t="shared" ref="Z297:AI297" si="824">SUM(Z291:Z296)</f>
        <v>173</v>
      </c>
      <c r="AA297" s="25">
        <f t="shared" ca="1" si="824"/>
        <v>170</v>
      </c>
      <c r="AB297" s="27">
        <f t="shared" ca="1" si="824"/>
        <v>33134.954999999951</v>
      </c>
      <c r="AC297" s="25">
        <f t="shared" ca="1" si="824"/>
        <v>13811</v>
      </c>
      <c r="AD297" s="25">
        <f t="shared" ca="1" si="824"/>
        <v>0</v>
      </c>
      <c r="AE297" s="25">
        <f t="shared" ca="1" si="824"/>
        <v>13811</v>
      </c>
      <c r="AF297" s="25">
        <f t="shared" ca="1" si="824"/>
        <v>17309</v>
      </c>
      <c r="AG297" s="25">
        <f t="shared" ca="1" si="824"/>
        <v>469</v>
      </c>
      <c r="AH297" s="25">
        <f t="shared" ca="1" si="824"/>
        <v>17778</v>
      </c>
      <c r="AI297" s="25">
        <f t="shared" ca="1" si="824"/>
        <v>31589</v>
      </c>
      <c r="AJ297" s="27">
        <f t="shared" ca="1" si="805"/>
        <v>194.91149999999971</v>
      </c>
      <c r="AK297" s="24">
        <f>SUM(AK291:AK296)</f>
        <v>37031</v>
      </c>
      <c r="AL297" s="28">
        <f t="shared" ca="1" si="806"/>
        <v>0.8530420458534741</v>
      </c>
      <c r="AM297" s="29">
        <v>1.5</v>
      </c>
      <c r="AN297" s="28">
        <f t="shared" ca="1" si="807"/>
        <v>0.63556245461426963</v>
      </c>
      <c r="AO297" s="30">
        <f t="shared" ca="1" si="808"/>
        <v>0.9533436819214044</v>
      </c>
      <c r="AP297" s="29">
        <f ca="1">SUM(AP291:AP296)</f>
        <v>1366.4608754137153</v>
      </c>
      <c r="AQ297" s="29">
        <f ca="1">AP297/AA297</f>
        <v>8.0380051494924434</v>
      </c>
      <c r="AR297" s="25">
        <f t="shared" ca="1" si="810"/>
        <v>185.81764705882352</v>
      </c>
      <c r="AS297" s="76"/>
      <c r="AT297" s="76"/>
    </row>
    <row r="298" spans="1:46" ht="15.75" customHeight="1" x14ac:dyDescent="0.2">
      <c r="A298" s="110" t="s">
        <v>45</v>
      </c>
      <c r="B298" s="76"/>
      <c r="C298" s="76"/>
      <c r="D298" s="75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7" t="s">
        <v>1</v>
      </c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9"/>
      <c r="AS298" s="76"/>
      <c r="AT298" s="76"/>
    </row>
    <row r="299" spans="1:46" ht="15.75" customHeight="1" x14ac:dyDescent="0.2">
      <c r="A299" s="109">
        <v>46246</v>
      </c>
      <c r="B299" s="80" t="s">
        <v>2</v>
      </c>
      <c r="C299" s="80" t="s">
        <v>3</v>
      </c>
      <c r="D299" s="80" t="s">
        <v>4</v>
      </c>
      <c r="E299" s="80" t="s">
        <v>5</v>
      </c>
      <c r="F299" s="81" t="s">
        <v>6</v>
      </c>
      <c r="G299" s="80" t="s">
        <v>7</v>
      </c>
      <c r="H299" s="80" t="s">
        <v>8</v>
      </c>
      <c r="I299" s="80" t="s">
        <v>9</v>
      </c>
      <c r="J299" s="80" t="s">
        <v>10</v>
      </c>
      <c r="K299" s="80" t="s">
        <v>11</v>
      </c>
      <c r="L299" s="80" t="s">
        <v>12</v>
      </c>
      <c r="M299" s="80" t="s">
        <v>13</v>
      </c>
      <c r="N299" s="81" t="s">
        <v>14</v>
      </c>
      <c r="O299" s="80" t="s">
        <v>15</v>
      </c>
      <c r="P299" s="80" t="s">
        <v>16</v>
      </c>
      <c r="Q299" s="80" t="s">
        <v>17</v>
      </c>
      <c r="R299" s="80" t="s">
        <v>18</v>
      </c>
      <c r="S299" s="106" t="s">
        <v>19</v>
      </c>
      <c r="T299" s="107" t="s">
        <v>20</v>
      </c>
      <c r="U299" s="107" t="s">
        <v>21</v>
      </c>
      <c r="V299" s="105" t="s">
        <v>22</v>
      </c>
      <c r="W299" s="76"/>
      <c r="X299" s="1" t="s">
        <v>2</v>
      </c>
      <c r="Y299" s="1" t="s">
        <v>3</v>
      </c>
      <c r="Z299" s="1" t="s">
        <v>4</v>
      </c>
      <c r="AA299" s="1" t="s">
        <v>5</v>
      </c>
      <c r="AB299" s="2" t="s">
        <v>6</v>
      </c>
      <c r="AC299" s="1" t="s">
        <v>7</v>
      </c>
      <c r="AD299" s="1" t="s">
        <v>8</v>
      </c>
      <c r="AE299" s="1" t="s">
        <v>9</v>
      </c>
      <c r="AF299" s="1" t="s">
        <v>10</v>
      </c>
      <c r="AG299" s="1" t="s">
        <v>11</v>
      </c>
      <c r="AH299" s="1" t="s">
        <v>12</v>
      </c>
      <c r="AI299" s="1" t="s">
        <v>13</v>
      </c>
      <c r="AJ299" s="2" t="s">
        <v>14</v>
      </c>
      <c r="AK299" s="1" t="s">
        <v>15</v>
      </c>
      <c r="AL299" s="1" t="s">
        <v>16</v>
      </c>
      <c r="AM299" s="3" t="s">
        <v>17</v>
      </c>
      <c r="AN299" s="4" t="s">
        <v>18</v>
      </c>
      <c r="AO299" s="5" t="s">
        <v>19</v>
      </c>
      <c r="AP299" s="6" t="s">
        <v>20</v>
      </c>
      <c r="AQ299" s="6" t="s">
        <v>21</v>
      </c>
      <c r="AR299" s="7" t="s">
        <v>22</v>
      </c>
      <c r="AS299" s="76"/>
      <c r="AT299" s="76"/>
    </row>
    <row r="300" spans="1:46" ht="15.75" customHeight="1" x14ac:dyDescent="0.2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6"/>
      <c r="X300" s="8">
        <v>1</v>
      </c>
      <c r="Y300" s="8" t="s">
        <v>23</v>
      </c>
      <c r="Z300" s="8">
        <f t="shared" ref="Z300:AI300" si="825">SUM(D308)</f>
        <v>35</v>
      </c>
      <c r="AA300" s="9">
        <f t="shared" ca="1" si="825"/>
        <v>34</v>
      </c>
      <c r="AB300" s="10">
        <f t="shared" ca="1" si="825"/>
        <v>6429.2639999999901</v>
      </c>
      <c r="AC300" s="9">
        <f t="shared" ca="1" si="825"/>
        <v>2770</v>
      </c>
      <c r="AD300" s="9">
        <f t="shared" ca="1" si="825"/>
        <v>0</v>
      </c>
      <c r="AE300" s="9">
        <f t="shared" ca="1" si="825"/>
        <v>2770</v>
      </c>
      <c r="AF300" s="9">
        <f t="shared" ca="1" si="825"/>
        <v>2375</v>
      </c>
      <c r="AG300" s="9">
        <f t="shared" ca="1" si="825"/>
        <v>0</v>
      </c>
      <c r="AH300" s="9">
        <f t="shared" ca="1" si="825"/>
        <v>2375</v>
      </c>
      <c r="AI300" s="9">
        <f t="shared" ca="1" si="825"/>
        <v>5145</v>
      </c>
      <c r="AJ300" s="11">
        <f t="shared" ref="AJ300:AJ302" ca="1" si="826">AB300/AA300</f>
        <v>189.09599999999972</v>
      </c>
      <c r="AK300" s="8">
        <f>SUM(O308)</f>
        <v>6853</v>
      </c>
      <c r="AL300" s="12">
        <f t="shared" ref="AL300:AL306" ca="1" si="827">AI300/AK300</f>
        <v>0.75076608784473953</v>
      </c>
      <c r="AM300" s="13">
        <f t="shared" ref="AM300:AM302" si="828">SUM(Q308)</f>
        <v>1.5</v>
      </c>
      <c r="AN300" s="12">
        <f t="shared" ref="AN300:AN306" ca="1" si="829">AO300/AM300</f>
        <v>0.53349808002906796</v>
      </c>
      <c r="AO300" s="14">
        <f t="shared" ref="AO300:AO306" ca="1" si="830">AI300/AB300</f>
        <v>0.80024712004360188</v>
      </c>
      <c r="AP300" s="13">
        <f t="shared" ref="AP300:AQ300" ca="1" si="831">SUM(T308)</f>
        <v>190.55317131001749</v>
      </c>
      <c r="AQ300" s="13">
        <f t="shared" ca="1" si="831"/>
        <v>5.6045050385299264</v>
      </c>
      <c r="AR300" s="9">
        <f t="shared" ref="AR300:AR306" ca="1" si="832">AI300/AA300</f>
        <v>151.3235294117647</v>
      </c>
      <c r="AS300" s="76"/>
      <c r="AT300" s="76"/>
    </row>
    <row r="301" spans="1:46" ht="15.75" customHeight="1" x14ac:dyDescent="0.2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6"/>
      <c r="X301" s="8">
        <v>2</v>
      </c>
      <c r="Y301" s="8" t="s">
        <v>24</v>
      </c>
      <c r="Z301" s="8">
        <f t="shared" ref="Z301:AI301" si="833">SUM(D309)</f>
        <v>44</v>
      </c>
      <c r="AA301" s="9">
        <f t="shared" ca="1" si="833"/>
        <v>43</v>
      </c>
      <c r="AB301" s="10">
        <f t="shared" ca="1" si="833"/>
        <v>8351.7919999999904</v>
      </c>
      <c r="AC301" s="9">
        <f t="shared" ca="1" si="833"/>
        <v>1178</v>
      </c>
      <c r="AD301" s="9">
        <f t="shared" ca="1" si="833"/>
        <v>25</v>
      </c>
      <c r="AE301" s="9">
        <f t="shared" ca="1" si="833"/>
        <v>1203</v>
      </c>
      <c r="AF301" s="9">
        <f t="shared" ca="1" si="833"/>
        <v>1252</v>
      </c>
      <c r="AG301" s="9">
        <f t="shared" ca="1" si="833"/>
        <v>0</v>
      </c>
      <c r="AH301" s="9">
        <f t="shared" ca="1" si="833"/>
        <v>1252</v>
      </c>
      <c r="AI301" s="9">
        <f t="shared" ca="1" si="833"/>
        <v>2455</v>
      </c>
      <c r="AJ301" s="11">
        <f t="shared" ca="1" si="826"/>
        <v>194.22772093023232</v>
      </c>
      <c r="AK301" s="8">
        <v>1580</v>
      </c>
      <c r="AL301" s="15">
        <f t="shared" ca="1" si="827"/>
        <v>1.5537974683544304</v>
      </c>
      <c r="AM301" s="13">
        <f t="shared" si="828"/>
        <v>1.5</v>
      </c>
      <c r="AN301" s="12">
        <f t="shared" ca="1" si="829"/>
        <v>0.19596592763165899</v>
      </c>
      <c r="AO301" s="14">
        <f t="shared" ca="1" si="830"/>
        <v>0.29394889144748848</v>
      </c>
      <c r="AP301" s="13">
        <f t="shared" ref="AP301:AQ301" ca="1" si="834">SUM(T309)</f>
        <v>311.57590001865287</v>
      </c>
      <c r="AQ301" s="13">
        <f t="shared" ca="1" si="834"/>
        <v>7.2459511632244853</v>
      </c>
      <c r="AR301" s="9">
        <f t="shared" ca="1" si="832"/>
        <v>57.093023255813954</v>
      </c>
      <c r="AS301" s="76"/>
      <c r="AT301" s="76"/>
    </row>
    <row r="302" spans="1:46" ht="15.75" customHeight="1" x14ac:dyDescent="0.2">
      <c r="A302" s="70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6"/>
      <c r="X302" s="8">
        <v>3</v>
      </c>
      <c r="Y302" s="8" t="s">
        <v>25</v>
      </c>
      <c r="Z302" s="8">
        <f t="shared" ref="Z302:AI302" si="835">SUM(D310)</f>
        <v>32</v>
      </c>
      <c r="AA302" s="9">
        <f t="shared" ca="1" si="835"/>
        <v>31</v>
      </c>
      <c r="AB302" s="10">
        <f t="shared" ca="1" si="835"/>
        <v>5594.9</v>
      </c>
      <c r="AC302" s="9">
        <f t="shared" ca="1" si="835"/>
        <v>2427</v>
      </c>
      <c r="AD302" s="9">
        <f t="shared" ca="1" si="835"/>
        <v>314</v>
      </c>
      <c r="AE302" s="9">
        <f t="shared" ca="1" si="835"/>
        <v>2741</v>
      </c>
      <c r="AF302" s="9">
        <f t="shared" ca="1" si="835"/>
        <v>3323</v>
      </c>
      <c r="AG302" s="9">
        <f t="shared" ca="1" si="835"/>
        <v>365</v>
      </c>
      <c r="AH302" s="9">
        <f t="shared" ca="1" si="835"/>
        <v>3688</v>
      </c>
      <c r="AI302" s="9">
        <f t="shared" ca="1" si="835"/>
        <v>6429</v>
      </c>
      <c r="AJ302" s="11">
        <f t="shared" ca="1" si="826"/>
        <v>180.48064516129031</v>
      </c>
      <c r="AK302" s="8">
        <f>SUM(O310)</f>
        <v>6622</v>
      </c>
      <c r="AL302" s="12">
        <f t="shared" ca="1" si="827"/>
        <v>0.97085472666868011</v>
      </c>
      <c r="AM302" s="13">
        <f t="shared" si="828"/>
        <v>1.5</v>
      </c>
      <c r="AN302" s="12">
        <f t="shared" ca="1" si="829"/>
        <v>0.76605479990705827</v>
      </c>
      <c r="AO302" s="14">
        <f t="shared" ca="1" si="830"/>
        <v>1.1490821998605873</v>
      </c>
      <c r="AP302" s="13">
        <f t="shared" ref="AP302:AQ302" ca="1" si="836">SUM(T310)</f>
        <v>234.68540268456374</v>
      </c>
      <c r="AQ302" s="13">
        <f t="shared" ca="1" si="836"/>
        <v>7.570496860792379</v>
      </c>
      <c r="AR302" s="9">
        <f t="shared" ca="1" si="832"/>
        <v>207.38709677419354</v>
      </c>
      <c r="AS302" s="76"/>
      <c r="AT302" s="76"/>
    </row>
    <row r="303" spans="1:46" ht="15.75" customHeight="1" x14ac:dyDescent="0.25">
      <c r="A303" s="70"/>
      <c r="B303" s="16">
        <v>1</v>
      </c>
      <c r="C303" s="16" t="s">
        <v>26</v>
      </c>
      <c r="D303" s="17">
        <v>20</v>
      </c>
      <c r="E303" s="18">
        <f ca="1">IFERROR(__xludf.DUMMYFUNCTION("COUNT(IMPORTRANGE(""https://docs.google.com/spreadsheets/d/1iVFEBQOAONhqDIMRa2hQ7WkCQv0dJWSAmc0AzfvSCMg/edit"",""12!d2:d21""))"),20)</f>
        <v>20</v>
      </c>
      <c r="F303" s="19">
        <f ca="1">IFERROR(__xludf.DUMMYFUNCTION("SUM(IMPORTRANGE(""https://docs.google.com/spreadsheets/d/1iVFEBQOAONhqDIMRa2hQ7WkCQv0dJWSAmc0AzfvSCMg/edit"",""12!Q2:Q21""))"),3770.058)</f>
        <v>3770.058</v>
      </c>
      <c r="G303" s="18">
        <f ca="1">IFERROR(__xludf.DUMMYFUNCTION("IMPORTRANGE(""https://docs.google.com/spreadsheets/d/1iVFEBQOAONhqDIMRa2hQ7WkCQv0dJWSAmc0AzfvSCMg/edit"",""12!e28"")"),2241)</f>
        <v>2241</v>
      </c>
      <c r="H303" s="18">
        <f ca="1">IFERROR(__xludf.DUMMYFUNCTION("IMPORTRANGE(""https://docs.google.com/spreadsheets/d/1iVFEBQOAONhqDIMRa2hQ7WkCQv0dJWSAmc0AzfvSCMg/edit"",""12!e29"")"),0)</f>
        <v>0</v>
      </c>
      <c r="I303" s="18">
        <f t="shared" ref="I303:I320" ca="1" si="837">SUM(G303:H303)</f>
        <v>2241</v>
      </c>
      <c r="J303" s="18">
        <f ca="1">IFERROR(__xludf.DUMMYFUNCTION("IMPORTRANGE(""https://docs.google.com/spreadsheets/d/1iVFEBQOAONhqDIMRa2hQ7WkCQv0dJWSAmc0AzfvSCMg/edit"",""12!e32"")"),3186)</f>
        <v>3186</v>
      </c>
      <c r="K303" s="18">
        <f ca="1">IFERROR(__xludf.DUMMYFUNCTION("IMPORTRANGE(""https://docs.google.com/spreadsheets/d/1iVFEBQOAONhqDIMRa2hQ7WkCQv0dJWSAmc0AzfvSCMg/edit"",""12!e33"")"),0)</f>
        <v>0</v>
      </c>
      <c r="L303" s="18">
        <f t="shared" ref="L303:L309" ca="1" si="838">SUM(J303:K303)</f>
        <v>3186</v>
      </c>
      <c r="M303" s="18">
        <f t="shared" ref="M303:M320" ca="1" si="839">SUM(I303+L303)</f>
        <v>5427</v>
      </c>
      <c r="N303" s="19">
        <f t="shared" ref="N303:N321" ca="1" si="840">F303/E303</f>
        <v>188.50290000000001</v>
      </c>
      <c r="O303" s="16">
        <v>5161</v>
      </c>
      <c r="P303" s="33">
        <f t="shared" ref="P303:P321" ca="1" si="841">M303/O303</f>
        <v>1.0515403991474521</v>
      </c>
      <c r="Q303" s="21">
        <v>1.5</v>
      </c>
      <c r="R303" s="20">
        <f t="shared" ref="R303:R321" ca="1" si="842">S303/Q303</f>
        <v>0.95966693350606269</v>
      </c>
      <c r="S303" s="22">
        <f t="shared" ref="S303:S321" ca="1" si="843">M303/F303</f>
        <v>1.4395004002590941</v>
      </c>
      <c r="T303" s="21">
        <f ca="1">F303/14.415</f>
        <v>261.5371488033299</v>
      </c>
      <c r="U303" s="21">
        <f t="shared" ref="U303:U321" ca="1" si="844">T303/E303</f>
        <v>13.076857440166496</v>
      </c>
      <c r="V303" s="18">
        <f t="shared" ref="V303:V321" ca="1" si="845">M303/E303</f>
        <v>271.35000000000002</v>
      </c>
      <c r="W303" s="76"/>
      <c r="X303" s="8">
        <v>4</v>
      </c>
      <c r="Y303" s="8" t="s">
        <v>27</v>
      </c>
      <c r="Z303" s="8">
        <f t="shared" ref="Z303:AK303" si="846">SUM(D316)</f>
        <v>30</v>
      </c>
      <c r="AA303" s="9">
        <f t="shared" ca="1" si="846"/>
        <v>30</v>
      </c>
      <c r="AB303" s="10">
        <f t="shared" ca="1" si="846"/>
        <v>5285.8950000000004</v>
      </c>
      <c r="AC303" s="9">
        <f t="shared" ca="1" si="846"/>
        <v>2941</v>
      </c>
      <c r="AD303" s="9">
        <f t="shared" ca="1" si="846"/>
        <v>0</v>
      </c>
      <c r="AE303" s="9">
        <f t="shared" ca="1" si="846"/>
        <v>2941</v>
      </c>
      <c r="AF303" s="9">
        <f t="shared" ca="1" si="846"/>
        <v>2655</v>
      </c>
      <c r="AG303" s="9">
        <f t="shared" ca="1" si="846"/>
        <v>0</v>
      </c>
      <c r="AH303" s="9">
        <f t="shared" ca="1" si="846"/>
        <v>2655</v>
      </c>
      <c r="AI303" s="9">
        <f t="shared" ca="1" si="846"/>
        <v>5596</v>
      </c>
      <c r="AJ303" s="11">
        <f t="shared" ca="1" si="846"/>
        <v>176.19650000000001</v>
      </c>
      <c r="AK303" s="8">
        <f t="shared" si="846"/>
        <v>8101</v>
      </c>
      <c r="AL303" s="12">
        <f t="shared" ca="1" si="827"/>
        <v>0.69077891618318721</v>
      </c>
      <c r="AM303" s="13">
        <f>SUM(Q316)</f>
        <v>1.5</v>
      </c>
      <c r="AN303" s="12">
        <f t="shared" ca="1" si="829"/>
        <v>0.70577767183545381</v>
      </c>
      <c r="AO303" s="14">
        <f t="shared" ca="1" si="830"/>
        <v>1.0586665077531807</v>
      </c>
      <c r="AP303" s="13">
        <f t="shared" ref="AP303:AQ303" ca="1" si="847">SUM(T316)</f>
        <v>264.49311983987997</v>
      </c>
      <c r="AQ303" s="13">
        <f t="shared" ca="1" si="847"/>
        <v>8.8164373279959989</v>
      </c>
      <c r="AR303" s="9">
        <f t="shared" ca="1" si="832"/>
        <v>186.53333333333333</v>
      </c>
      <c r="AS303" s="76"/>
      <c r="AT303" s="76"/>
    </row>
    <row r="304" spans="1:46" ht="15.75" customHeight="1" x14ac:dyDescent="0.25">
      <c r="A304" s="70"/>
      <c r="B304" s="16">
        <v>2</v>
      </c>
      <c r="C304" s="16" t="s">
        <v>28</v>
      </c>
      <c r="D304" s="17">
        <v>33</v>
      </c>
      <c r="E304" s="18">
        <f ca="1">IFERROR(__xludf.DUMMYFUNCTION("COUNT(IMPORTRANGE(""https://docs.google.com/spreadsheets/d/1tJCeYclgeJZ4Dc78t_SkhVjtacKW-5-VGim8X1rzUzk/edit"",""12!d2:d34""))"),33)</f>
        <v>33</v>
      </c>
      <c r="F304" s="19">
        <f ca="1">IFERROR(__xludf.DUMMYFUNCTION("SUM(IMPORTRANGE(""https://docs.google.com/spreadsheets/d/1tJCeYclgeJZ4Dc78t_SkhVjtacKW-5-VGim8X1rzUzk/edit"",""12!Q2:Q34""))"),6481.311)</f>
        <v>6481.3109999999997</v>
      </c>
      <c r="G304" s="18">
        <f ca="1">IFERROR(__xludf.DUMMYFUNCTION("IMPORTRANGE(""https://docs.google.com/spreadsheets/d/1tJCeYclgeJZ4Dc78t_SkhVjtacKW-5-VGim8X1rzUzk/edit"",""12!e41"")"),2797)</f>
        <v>2797</v>
      </c>
      <c r="H304" s="18">
        <f ca="1">IFERROR(__xludf.DUMMYFUNCTION("IMPORTRANGE(""https://docs.google.com/spreadsheets/d/1tJCeYclgeJZ4Dc78t_SkhVjtacKW-5-VGim8X1rzUzk/edit"",""12!e42"")"),133)</f>
        <v>133</v>
      </c>
      <c r="I304" s="18">
        <f t="shared" ca="1" si="837"/>
        <v>2930</v>
      </c>
      <c r="J304" s="18">
        <f ca="1">IFERROR(__xludf.DUMMYFUNCTION("IMPORTRANGE(""https://docs.google.com/spreadsheets/d/1tJCeYclgeJZ4Dc78t_SkhVjtacKW-5-VGim8X1rzUzk/edit"",""12!e45"")"),2978)</f>
        <v>2978</v>
      </c>
      <c r="K304" s="18">
        <f ca="1">IFERROR(__xludf.DUMMYFUNCTION("IMPORTRANGE(""https://docs.google.com/spreadsheets/d/1tJCeYclgeJZ4Dc78t_SkhVjtacKW-5-VGim8X1rzUzk/edit"",""12!e46"")"),113)</f>
        <v>113</v>
      </c>
      <c r="L304" s="18">
        <f t="shared" ca="1" si="838"/>
        <v>3091</v>
      </c>
      <c r="M304" s="18">
        <f t="shared" ca="1" si="839"/>
        <v>6021</v>
      </c>
      <c r="N304" s="19">
        <f t="shared" ca="1" si="840"/>
        <v>196.40336363636362</v>
      </c>
      <c r="O304" s="16">
        <v>7315</v>
      </c>
      <c r="P304" s="20">
        <f t="shared" ca="1" si="841"/>
        <v>0.82310321257689678</v>
      </c>
      <c r="Q304" s="21">
        <v>1.5</v>
      </c>
      <c r="R304" s="20">
        <f t="shared" ca="1" si="842"/>
        <v>0.61931914700590673</v>
      </c>
      <c r="S304" s="22">
        <f t="shared" ca="1" si="843"/>
        <v>0.9289787205088601</v>
      </c>
      <c r="T304" s="21">
        <f ca="1">F304/30.897</f>
        <v>209.77153121662298</v>
      </c>
      <c r="U304" s="21">
        <f t="shared" ca="1" si="844"/>
        <v>6.3567130671703929</v>
      </c>
      <c r="V304" s="18">
        <f t="shared" ca="1" si="845"/>
        <v>182.45454545454547</v>
      </c>
      <c r="W304" s="76"/>
      <c r="X304" s="8">
        <v>5</v>
      </c>
      <c r="Y304" s="8" t="s">
        <v>29</v>
      </c>
      <c r="Z304" s="8">
        <f t="shared" ref="Z304:AI304" si="848">SUM(D319)</f>
        <v>30</v>
      </c>
      <c r="AA304" s="9">
        <f t="shared" ca="1" si="848"/>
        <v>29</v>
      </c>
      <c r="AB304" s="10">
        <f t="shared" ca="1" si="848"/>
        <v>5775.0379999999896</v>
      </c>
      <c r="AC304" s="9">
        <f t="shared" ca="1" si="848"/>
        <v>2892</v>
      </c>
      <c r="AD304" s="9">
        <f t="shared" ca="1" si="848"/>
        <v>0</v>
      </c>
      <c r="AE304" s="9">
        <f t="shared" ca="1" si="848"/>
        <v>2892</v>
      </c>
      <c r="AF304" s="9">
        <f t="shared" ca="1" si="848"/>
        <v>4035</v>
      </c>
      <c r="AG304" s="9">
        <f t="shared" ca="1" si="848"/>
        <v>0</v>
      </c>
      <c r="AH304" s="9">
        <f t="shared" ca="1" si="848"/>
        <v>4035</v>
      </c>
      <c r="AI304" s="9">
        <f t="shared" ca="1" si="848"/>
        <v>6927</v>
      </c>
      <c r="AJ304" s="11">
        <f t="shared" ref="AJ304:AJ306" ca="1" si="849">AB304/AA304</f>
        <v>199.13924137930999</v>
      </c>
      <c r="AK304" s="8">
        <f t="shared" ref="AK304:AK305" si="850">SUM(O319)</f>
        <v>9201</v>
      </c>
      <c r="AL304" s="12">
        <f t="shared" ca="1" si="827"/>
        <v>0.75285295076622105</v>
      </c>
      <c r="AM304" s="13">
        <f t="shared" ref="AM304:AM305" si="851">SUM(Q319)</f>
        <v>1.5</v>
      </c>
      <c r="AN304" s="12">
        <f t="shared" ca="1" si="829"/>
        <v>0.79964841789785768</v>
      </c>
      <c r="AO304" s="14">
        <f t="shared" ca="1" si="830"/>
        <v>1.1994726268467866</v>
      </c>
      <c r="AP304" s="13">
        <f t="shared" ref="AP304:AQ304" ca="1" si="852">SUM(T319)</f>
        <v>217.9999999999996</v>
      </c>
      <c r="AQ304" s="13">
        <f t="shared" ca="1" si="852"/>
        <v>7.517241379310331</v>
      </c>
      <c r="AR304" s="9">
        <f t="shared" ca="1" si="832"/>
        <v>238.86206896551724</v>
      </c>
      <c r="AS304" s="76"/>
      <c r="AT304" s="76"/>
    </row>
    <row r="305" spans="1:46" ht="15.75" customHeight="1" x14ac:dyDescent="0.25">
      <c r="A305" s="70"/>
      <c r="B305" s="16">
        <v>3</v>
      </c>
      <c r="C305" s="16" t="s">
        <v>30</v>
      </c>
      <c r="D305" s="17">
        <v>60</v>
      </c>
      <c r="E305" s="18">
        <f ca="1">IFERROR(__xludf.DUMMYFUNCTION("COUNT(IMPORTRANGE(""https://docs.google.com/spreadsheets/d/130gLEONC13J8KkQ6dk06x3bLRy_jCrAw2hXatQf2W50/edit"",""12!d2:d61""))"),59)</f>
        <v>59</v>
      </c>
      <c r="F305" s="23">
        <f ca="1">IFERROR(__xludf.DUMMYFUNCTION("SUM(IMPORTRANGE(""https://docs.google.com/spreadsheets/d/130gLEONC13J8KkQ6dk06x3bLRy_jCrAw2hXatQf2W50/edit"",""12!Q2:Q61""))"),11828.5009999999)</f>
        <v>11828.5009999999</v>
      </c>
      <c r="G305" s="18">
        <f ca="1">IFERROR(__xludf.DUMMYFUNCTION("IMPORTRANGE(""https://docs.google.com/spreadsheets/d/130gLEONC13J8KkQ6dk06x3bLRy_jCrAw2hXatQf2W50/edit"",""12!e68"")"),3835)</f>
        <v>3835</v>
      </c>
      <c r="H305" s="18">
        <f ca="1">IFERROR(__xludf.DUMMYFUNCTION("IMPORTRANGE(""https://docs.google.com/spreadsheets/d/130gLEONC13J8KkQ6dk06x3bLRy_jCrAw2hXatQf2W50/edit"",""12!e69"")"),0)</f>
        <v>0</v>
      </c>
      <c r="I305" s="18">
        <f t="shared" ca="1" si="837"/>
        <v>3835</v>
      </c>
      <c r="J305" s="18">
        <f ca="1">IFERROR(__xludf.DUMMYFUNCTION("IMPORTRANGE(""https://docs.google.com/spreadsheets/d/130gLEONC13J8KkQ6dk06x3bLRy_jCrAw2hXatQf2W50/edit"",""12!e72"")"),4877)</f>
        <v>4877</v>
      </c>
      <c r="K305" s="18">
        <f ca="1">IFERROR(__xludf.DUMMYFUNCTION("IMPORTRANGE(""https://docs.google.com/spreadsheets/d/130gLEONC13J8KkQ6dk06x3bLRy_jCrAw2hXatQf2W50/edit"",""12!e73"")"),93)</f>
        <v>93</v>
      </c>
      <c r="L305" s="18">
        <f t="shared" ca="1" si="838"/>
        <v>4970</v>
      </c>
      <c r="M305" s="18">
        <f t="shared" ca="1" si="839"/>
        <v>8805</v>
      </c>
      <c r="N305" s="19">
        <f t="shared" ca="1" si="840"/>
        <v>200.48306779660848</v>
      </c>
      <c r="O305" s="16">
        <v>11164</v>
      </c>
      <c r="P305" s="20">
        <f t="shared" ca="1" si="841"/>
        <v>0.78869580795413829</v>
      </c>
      <c r="Q305" s="21">
        <v>1.5</v>
      </c>
      <c r="R305" s="20">
        <f t="shared" ca="1" si="842"/>
        <v>0.49625899342613655</v>
      </c>
      <c r="S305" s="22">
        <f t="shared" ca="1" si="843"/>
        <v>0.74438849013920483</v>
      </c>
      <c r="T305" s="21">
        <f ca="1">F305/29.603</f>
        <v>399.57102320710402</v>
      </c>
      <c r="U305" s="21">
        <f t="shared" ca="1" si="844"/>
        <v>6.7723902238492206</v>
      </c>
      <c r="V305" s="18">
        <f t="shared" ca="1" si="845"/>
        <v>149.23728813559322</v>
      </c>
      <c r="W305" s="76"/>
      <c r="X305" s="8">
        <v>6</v>
      </c>
      <c r="Y305" s="8" t="s">
        <v>31</v>
      </c>
      <c r="Z305" s="8">
        <f t="shared" ref="Z305:AI305" si="853">SUM(D320)</f>
        <v>15</v>
      </c>
      <c r="AA305" s="9">
        <f t="shared" ca="1" si="853"/>
        <v>14</v>
      </c>
      <c r="AB305" s="11">
        <f t="shared" ca="1" si="853"/>
        <v>2868.69</v>
      </c>
      <c r="AC305" s="9">
        <f t="shared" ca="1" si="853"/>
        <v>980</v>
      </c>
      <c r="AD305" s="9">
        <f t="shared" ca="1" si="853"/>
        <v>12</v>
      </c>
      <c r="AE305" s="9">
        <f t="shared" ca="1" si="853"/>
        <v>992</v>
      </c>
      <c r="AF305" s="9">
        <f t="shared" ca="1" si="853"/>
        <v>1106</v>
      </c>
      <c r="AG305" s="9">
        <f t="shared" ca="1" si="853"/>
        <v>0</v>
      </c>
      <c r="AH305" s="9">
        <f t="shared" ca="1" si="853"/>
        <v>1106</v>
      </c>
      <c r="AI305" s="9">
        <f t="shared" ca="1" si="853"/>
        <v>2098</v>
      </c>
      <c r="AJ305" s="11">
        <f t="shared" ca="1" si="849"/>
        <v>204.90642857142856</v>
      </c>
      <c r="AK305" s="8">
        <f t="shared" si="850"/>
        <v>2717</v>
      </c>
      <c r="AL305" s="12">
        <f t="shared" ca="1" si="827"/>
        <v>0.7721751932278248</v>
      </c>
      <c r="AM305" s="13">
        <f t="shared" si="851"/>
        <v>1.5</v>
      </c>
      <c r="AN305" s="12">
        <f t="shared" ca="1" si="829"/>
        <v>0.48756284808280664</v>
      </c>
      <c r="AO305" s="14">
        <f t="shared" ca="1" si="830"/>
        <v>0.73134427212420994</v>
      </c>
      <c r="AP305" s="13">
        <f t="shared" ref="AP305:AQ305" ca="1" si="854">SUM(T320)</f>
        <v>66</v>
      </c>
      <c r="AQ305" s="13">
        <f t="shared" ca="1" si="854"/>
        <v>4.7142857142857144</v>
      </c>
      <c r="AR305" s="9">
        <f t="shared" ca="1" si="832"/>
        <v>149.85714285714286</v>
      </c>
      <c r="AS305" s="76"/>
      <c r="AT305" s="76"/>
    </row>
    <row r="306" spans="1:46" ht="15.75" customHeight="1" x14ac:dyDescent="0.25">
      <c r="A306" s="70"/>
      <c r="B306" s="16">
        <v>4</v>
      </c>
      <c r="C306" s="16" t="s">
        <v>32</v>
      </c>
      <c r="D306" s="17">
        <v>42</v>
      </c>
      <c r="E306" s="18">
        <f ca="1">IFERROR(__xludf.DUMMYFUNCTION("COUNT(IMPORTRANGE(""https://docs.google.com/spreadsheets/d/1gYHli7FuKQLm2Q-5LMR0UtkD-gRRA_p8s-phLPLDLgc/edit"",""12!d2:d43""))"),42)</f>
        <v>42</v>
      </c>
      <c r="F306" s="23">
        <f ca="1">IFERROR(__xludf.DUMMYFUNCTION("SUM(IMPORTRANGE(""https://docs.google.com/spreadsheets/d/1gYHli7FuKQLm2Q-5LMR0UtkD-gRRA_p8s-phLPLDLgc/edit"",""12!Q2:Q43""))"),8067.18799999999)</f>
        <v>8067.1879999999901</v>
      </c>
      <c r="G306" s="16">
        <f ca="1">IFERROR(__xludf.DUMMYFUNCTION("IMPORTRANGE(""https://docs.google.com/spreadsheets/d/1gYHli7FuKQLm2Q-5LMR0UtkD-gRRA_p8s-phLPLDLgc/edit"",""12!e50"")"),4860)</f>
        <v>4860</v>
      </c>
      <c r="H306" s="16">
        <f ca="1">IFERROR(__xludf.DUMMYFUNCTION("IMPORTRANGE(""https://docs.google.com/spreadsheets/d/1gYHli7FuKQLm2Q-5LMR0UtkD-gRRA_p8s-phLPLDLgc/edit"",""12!e51"")"),0)</f>
        <v>0</v>
      </c>
      <c r="I306" s="18">
        <f t="shared" ca="1" si="837"/>
        <v>4860</v>
      </c>
      <c r="J306" s="16">
        <f ca="1">IFERROR(__xludf.DUMMYFUNCTION("IMPORTRANGE(""https://docs.google.com/spreadsheets/d/1gYHli7FuKQLm2Q-5LMR0UtkD-gRRA_p8s-phLPLDLgc/edit"",""12!e54"")"),5642)</f>
        <v>5642</v>
      </c>
      <c r="K306" s="16">
        <f ca="1">IFERROR(__xludf.DUMMYFUNCTION("IMPORTRANGE(""https://docs.google.com/spreadsheets/d/1gYHli7FuKQLm2Q-5LMR0UtkD-gRRA_p8s-phLPLDLgc/edit"",""12!e55"")"),0)</f>
        <v>0</v>
      </c>
      <c r="L306" s="18">
        <f t="shared" ca="1" si="838"/>
        <v>5642</v>
      </c>
      <c r="M306" s="18">
        <f t="shared" ca="1" si="839"/>
        <v>10502</v>
      </c>
      <c r="N306" s="19">
        <f t="shared" ca="1" si="840"/>
        <v>192.07590476190452</v>
      </c>
      <c r="O306" s="16">
        <v>13817</v>
      </c>
      <c r="P306" s="20">
        <f t="shared" ca="1" si="841"/>
        <v>0.76007816457986543</v>
      </c>
      <c r="Q306" s="21">
        <v>1.5</v>
      </c>
      <c r="R306" s="20">
        <f t="shared" ca="1" si="842"/>
        <v>0.8678777950053157</v>
      </c>
      <c r="S306" s="22">
        <f t="shared" ca="1" si="843"/>
        <v>1.3018166925079735</v>
      </c>
      <c r="T306" s="21">
        <f ca="1">F306/25.089</f>
        <v>321.54282753397865</v>
      </c>
      <c r="U306" s="21">
        <f t="shared" ca="1" si="844"/>
        <v>7.655781607951873</v>
      </c>
      <c r="V306" s="18">
        <f t="shared" ca="1" si="845"/>
        <v>250.04761904761904</v>
      </c>
      <c r="W306" s="76"/>
      <c r="X306" s="35" t="s">
        <v>33</v>
      </c>
      <c r="Y306" s="24">
        <v>6</v>
      </c>
      <c r="Z306" s="24">
        <f t="shared" ref="Z306:AI306" si="855">SUM(Z300:Z305)</f>
        <v>186</v>
      </c>
      <c r="AA306" s="25">
        <f t="shared" ca="1" si="855"/>
        <v>181</v>
      </c>
      <c r="AB306" s="26">
        <f t="shared" ca="1" si="855"/>
        <v>34305.578999999969</v>
      </c>
      <c r="AC306" s="25">
        <f t="shared" ca="1" si="855"/>
        <v>13188</v>
      </c>
      <c r="AD306" s="25">
        <f t="shared" ca="1" si="855"/>
        <v>351</v>
      </c>
      <c r="AE306" s="25">
        <f t="shared" ca="1" si="855"/>
        <v>13539</v>
      </c>
      <c r="AF306" s="25">
        <f t="shared" ca="1" si="855"/>
        <v>14746</v>
      </c>
      <c r="AG306" s="25">
        <f t="shared" ca="1" si="855"/>
        <v>365</v>
      </c>
      <c r="AH306" s="25">
        <f t="shared" ca="1" si="855"/>
        <v>15111</v>
      </c>
      <c r="AI306" s="25">
        <f t="shared" ca="1" si="855"/>
        <v>28650</v>
      </c>
      <c r="AJ306" s="27">
        <f t="shared" ca="1" si="849"/>
        <v>189.53358563535895</v>
      </c>
      <c r="AK306" s="24">
        <f>SUM(AK300:AK305)</f>
        <v>35074</v>
      </c>
      <c r="AL306" s="28">
        <f t="shared" ca="1" si="827"/>
        <v>0.81684438615498656</v>
      </c>
      <c r="AM306" s="29">
        <v>1.5</v>
      </c>
      <c r="AN306" s="28">
        <f t="shared" ca="1" si="829"/>
        <v>0.55676075311248985</v>
      </c>
      <c r="AO306" s="30">
        <f t="shared" ca="1" si="830"/>
        <v>0.83514112966873477</v>
      </c>
      <c r="AP306" s="29">
        <f ca="1">SUM(AP300:AP305)</f>
        <v>1285.3075938531135</v>
      </c>
      <c r="AQ306" s="29">
        <f ca="1">AP306/AA306</f>
        <v>7.1011469273652681</v>
      </c>
      <c r="AR306" s="25">
        <f t="shared" ca="1" si="832"/>
        <v>158.28729281767957</v>
      </c>
      <c r="AS306" s="76"/>
      <c r="AT306" s="76"/>
    </row>
    <row r="307" spans="1:46" ht="15.75" customHeight="1" x14ac:dyDescent="0.25">
      <c r="A307" s="70"/>
      <c r="B307" s="16">
        <v>5</v>
      </c>
      <c r="C307" s="16" t="s">
        <v>34</v>
      </c>
      <c r="D307" s="17">
        <v>40</v>
      </c>
      <c r="E307" s="18">
        <f ca="1">IFERROR(__xludf.DUMMYFUNCTION("COUNT(IMPORTRANGE(""https://docs.google.com/spreadsheets/d/1ptS0qWBCKWkc9h2aXWT_YgMhN7yIv5WgAHRbF8l9Zpo/edit"",""12!d2:d41""))"),40)</f>
        <v>40</v>
      </c>
      <c r="F307" s="23">
        <f ca="1">IFERROR(__xludf.DUMMYFUNCTION("SUM(IMPORTRANGE(""https://docs.google.com/spreadsheets/d/1ptS0qWBCKWkc9h2aXWT_YgMhN7yIv5WgAHRbF8l9Zpo/edit"",""12!Q2:Q41""))"),7964.1)</f>
        <v>7964.1</v>
      </c>
      <c r="G307" s="18">
        <f ca="1">IFERROR(__xludf.DUMMYFUNCTION("IMPORTRANGE(""https://docs.google.com/spreadsheets/d/1ptS0qWBCKWkc9h2aXWT_YgMhN7yIv5WgAHRbF8l9Zpo/edit"",""12!e48"")"),2941)</f>
        <v>2941</v>
      </c>
      <c r="H307" s="18">
        <f ca="1">IFERROR(__xludf.DUMMYFUNCTION("IMPORTRANGE(""https://docs.google.com/spreadsheets/d/1ptS0qWBCKWkc9h2aXWT_YgMhN7yIv5WgAHRbF8l9Zpo/edit"",""12!e49"")"),0)</f>
        <v>0</v>
      </c>
      <c r="I307" s="18">
        <f t="shared" ca="1" si="837"/>
        <v>2941</v>
      </c>
      <c r="J307" s="18">
        <f ca="1">IFERROR(__xludf.DUMMYFUNCTION("IMPORTRANGE(""https://docs.google.com/spreadsheets/d/1ptS0qWBCKWkc9h2aXWT_YgMhN7yIv5WgAHRbF8l9Zpo/edit"",""12!e52"")"),3426)</f>
        <v>3426</v>
      </c>
      <c r="K307" s="18">
        <f ca="1">IFERROR(__xludf.DUMMYFUNCTION("IMPORTRANGE(""https://docs.google.com/spreadsheets/d/1ptS0qWBCKWkc9h2aXWT_YgMhN7yIv5WgAHRbF8l9Zpo/edit"",""12!e53"")"),0)</f>
        <v>0</v>
      </c>
      <c r="L307" s="18">
        <f t="shared" ca="1" si="838"/>
        <v>3426</v>
      </c>
      <c r="M307" s="18">
        <f t="shared" ca="1" si="839"/>
        <v>6367</v>
      </c>
      <c r="N307" s="19">
        <f t="shared" ca="1" si="840"/>
        <v>199.10250000000002</v>
      </c>
      <c r="O307" s="16">
        <v>9354</v>
      </c>
      <c r="P307" s="20">
        <f t="shared" ca="1" si="841"/>
        <v>0.68067137053666882</v>
      </c>
      <c r="Q307" s="21">
        <v>1.5</v>
      </c>
      <c r="R307" s="20">
        <f t="shared" ca="1" si="842"/>
        <v>0.53297505891019281</v>
      </c>
      <c r="S307" s="22">
        <f t="shared" ca="1" si="843"/>
        <v>0.79946258836528916</v>
      </c>
      <c r="T307" s="21">
        <f ca="1">F307/30.713</f>
        <v>259.30713378699573</v>
      </c>
      <c r="U307" s="21">
        <f t="shared" ca="1" si="844"/>
        <v>6.482678344674893</v>
      </c>
      <c r="V307" s="18">
        <f t="shared" ca="1" si="845"/>
        <v>159.17500000000001</v>
      </c>
      <c r="W307" s="76"/>
      <c r="X307" s="100" t="s">
        <v>35</v>
      </c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9"/>
      <c r="AS307" s="76"/>
      <c r="AT307" s="76"/>
    </row>
    <row r="308" spans="1:46" ht="15.75" customHeight="1" x14ac:dyDescent="0.25">
      <c r="A308" s="70"/>
      <c r="B308" s="16">
        <v>6</v>
      </c>
      <c r="C308" s="16" t="s">
        <v>23</v>
      </c>
      <c r="D308" s="17">
        <v>35</v>
      </c>
      <c r="E308" s="18">
        <f ca="1">IFERROR(__xludf.DUMMYFUNCTION("COUNT(IMPORTRANGE(""https://docs.google.com/spreadsheets/d/1829CoYW82aTBBUgqkPnJa94KlBWI-DowAnP4ENQCmaQ/edit"",""12!d2:d36""))"),34)</f>
        <v>34</v>
      </c>
      <c r="F308" s="23">
        <f ca="1">IFERROR(__xludf.DUMMYFUNCTION("SUM(IMPORTRANGE(""https://docs.google.com/spreadsheets/d/1829CoYW82aTBBUgqkPnJa94KlBWI-DowAnP4ENQCmaQ/edit"",""12!Q2:Q36""))"),6429.26399999999)</f>
        <v>6429.2639999999901</v>
      </c>
      <c r="G308" s="18">
        <f ca="1">IFERROR(__xludf.DUMMYFUNCTION("IMPORTRANGE(""https://docs.google.com/spreadsheets/d/1829CoYW82aTBBUgqkPnJa94KlBWI-DowAnP4ENQCmaQ/edit"",""12!e43"")"),2770)</f>
        <v>2770</v>
      </c>
      <c r="H308" s="18">
        <f ca="1">IFERROR(__xludf.DUMMYFUNCTION("IMPORTRANGE(""https://docs.google.com/spreadsheets/d/1829CoYW82aTBBUgqkPnJa94KlBWI-DowAnP4ENQCmaQ/edit"",""12!e44"")"),0)</f>
        <v>0</v>
      </c>
      <c r="I308" s="18">
        <f t="shared" ca="1" si="837"/>
        <v>2770</v>
      </c>
      <c r="J308" s="18">
        <f ca="1">IFERROR(__xludf.DUMMYFUNCTION("IMPORTRANGE(""https://docs.google.com/spreadsheets/d/1829CoYW82aTBBUgqkPnJa94KlBWI-DowAnP4ENQCmaQ/edit"",""12!e47"")"),2375)</f>
        <v>2375</v>
      </c>
      <c r="K308" s="18">
        <f ca="1">IFERROR(__xludf.DUMMYFUNCTION("IMPORTRANGE(""https://docs.google.com/spreadsheets/d/1829CoYW82aTBBUgqkPnJa94KlBWI-DowAnP4ENQCmaQ/edit"",""12!e48"")"),0)</f>
        <v>0</v>
      </c>
      <c r="L308" s="18">
        <f t="shared" ca="1" si="838"/>
        <v>2375</v>
      </c>
      <c r="M308" s="18">
        <f t="shared" ca="1" si="839"/>
        <v>5145</v>
      </c>
      <c r="N308" s="19">
        <f t="shared" ca="1" si="840"/>
        <v>189.09599999999972</v>
      </c>
      <c r="O308" s="16">
        <v>6853</v>
      </c>
      <c r="P308" s="20">
        <f t="shared" ca="1" si="841"/>
        <v>0.75076608784473953</v>
      </c>
      <c r="Q308" s="21">
        <v>1.5</v>
      </c>
      <c r="R308" s="20">
        <f t="shared" ca="1" si="842"/>
        <v>0.53349808002906796</v>
      </c>
      <c r="S308" s="22">
        <f t="shared" ca="1" si="843"/>
        <v>0.80024712004360188</v>
      </c>
      <c r="T308" s="21">
        <f ca="1">F308/33.74</f>
        <v>190.55317131001749</v>
      </c>
      <c r="U308" s="21">
        <f t="shared" ca="1" si="844"/>
        <v>5.6045050385299264</v>
      </c>
      <c r="V308" s="18">
        <f t="shared" ca="1" si="845"/>
        <v>151.3235294117647</v>
      </c>
      <c r="W308" s="76"/>
      <c r="X308" s="1" t="s">
        <v>2</v>
      </c>
      <c r="Y308" s="1" t="s">
        <v>3</v>
      </c>
      <c r="Z308" s="1" t="s">
        <v>4</v>
      </c>
      <c r="AA308" s="1" t="s">
        <v>5</v>
      </c>
      <c r="AB308" s="2" t="s">
        <v>6</v>
      </c>
      <c r="AC308" s="1" t="s">
        <v>7</v>
      </c>
      <c r="AD308" s="1" t="s">
        <v>8</v>
      </c>
      <c r="AE308" s="1" t="s">
        <v>9</v>
      </c>
      <c r="AF308" s="1" t="s">
        <v>10</v>
      </c>
      <c r="AG308" s="1" t="s">
        <v>11</v>
      </c>
      <c r="AH308" s="1" t="s">
        <v>12</v>
      </c>
      <c r="AI308" s="1" t="s">
        <v>13</v>
      </c>
      <c r="AJ308" s="2" t="s">
        <v>14</v>
      </c>
      <c r="AK308" s="1" t="s">
        <v>15</v>
      </c>
      <c r="AL308" s="1" t="s">
        <v>16</v>
      </c>
      <c r="AM308" s="3" t="s">
        <v>17</v>
      </c>
      <c r="AN308" s="4" t="s">
        <v>18</v>
      </c>
      <c r="AO308" s="5" t="s">
        <v>19</v>
      </c>
      <c r="AP308" s="6" t="s">
        <v>20</v>
      </c>
      <c r="AQ308" s="6" t="s">
        <v>21</v>
      </c>
      <c r="AR308" s="7" t="s">
        <v>22</v>
      </c>
      <c r="AS308" s="76"/>
      <c r="AT308" s="76"/>
    </row>
    <row r="309" spans="1:46" ht="15.75" customHeight="1" x14ac:dyDescent="0.25">
      <c r="A309" s="70"/>
      <c r="B309" s="16">
        <v>7</v>
      </c>
      <c r="C309" s="16" t="s">
        <v>24</v>
      </c>
      <c r="D309" s="17">
        <v>44</v>
      </c>
      <c r="E309" s="31">
        <f ca="1">IFERROR(__xludf.DUMMYFUNCTION("COUNT(IMPORTRANGE(""https://docs.google.com/spreadsheets/d/1E2x4oDZxEIsuC5nl-5Z0--MoN8b1dt9SbpRcCfNP84Q/edit"",""12!d2:d45""))"),43)</f>
        <v>43</v>
      </c>
      <c r="F309" s="32">
        <f ca="1">IFERROR(__xludf.DUMMYFUNCTION("SUM(IMPORTRANGE(""https://docs.google.com/spreadsheets/d/1E2x4oDZxEIsuC5nl-5Z0--MoN8b1dt9SbpRcCfNP84Q/edit"",""12!Q2:Q45""))"),8351.79199999999)</f>
        <v>8351.7919999999904</v>
      </c>
      <c r="G309" s="31">
        <f ca="1">IFERROR(__xludf.DUMMYFUNCTION("IMPORTRANGE(""https://docs.google.com/spreadsheets/d/1E2x4oDZxEIsuC5nl-5Z0--MoN8b1dt9SbpRcCfNP84Q/edit"",""12!e53"")"),1178)</f>
        <v>1178</v>
      </c>
      <c r="H309" s="31">
        <f ca="1">IFERROR(__xludf.DUMMYFUNCTION("IMPORTRANGE(""https://docs.google.com/spreadsheets/d/1E2x4oDZxEIsuC5nl-5Z0--MoN8b1dt9SbpRcCfNP84Q/edit"",""12!e54"")"),25)</f>
        <v>25</v>
      </c>
      <c r="I309" s="31">
        <f t="shared" ca="1" si="837"/>
        <v>1203</v>
      </c>
      <c r="J309" s="31">
        <f ca="1">IFERROR(__xludf.DUMMYFUNCTION("IMPORTRANGE(""https://docs.google.com/spreadsheets/d/1E2x4oDZxEIsuC5nl-5Z0--MoN8b1dt9SbpRcCfNP84Q/edit"",""12!e57"")"),1252)</f>
        <v>1252</v>
      </c>
      <c r="K309" s="31">
        <f ca="1">IFERROR(__xludf.DUMMYFUNCTION("IMPORTRANGE(""https://docs.google.com/spreadsheets/d/1E2x4oDZxEIsuC5nl-5Z0--MoN8b1dt9SbpRcCfNP84Q/edit"",""12!e58"")"),0)</f>
        <v>0</v>
      </c>
      <c r="L309" s="18">
        <f t="shared" ca="1" si="838"/>
        <v>1252</v>
      </c>
      <c r="M309" s="18">
        <f t="shared" ca="1" si="839"/>
        <v>2455</v>
      </c>
      <c r="N309" s="19">
        <f t="shared" ca="1" si="840"/>
        <v>194.22772093023232</v>
      </c>
      <c r="O309" s="16">
        <v>1580</v>
      </c>
      <c r="P309" s="33">
        <f t="shared" ca="1" si="841"/>
        <v>1.5537974683544304</v>
      </c>
      <c r="Q309" s="21">
        <v>1.5</v>
      </c>
      <c r="R309" s="20">
        <f t="shared" ca="1" si="842"/>
        <v>0.19596592763165899</v>
      </c>
      <c r="S309" s="22">
        <f t="shared" ca="1" si="843"/>
        <v>0.29394889144748848</v>
      </c>
      <c r="T309" s="21">
        <f ca="1">F309/26.805</f>
        <v>311.57590001865287</v>
      </c>
      <c r="U309" s="21">
        <f t="shared" ca="1" si="844"/>
        <v>7.2459511632244853</v>
      </c>
      <c r="V309" s="18">
        <f t="shared" ca="1" si="845"/>
        <v>57.093023255813954</v>
      </c>
      <c r="W309" s="76"/>
      <c r="X309" s="8">
        <v>1</v>
      </c>
      <c r="Y309" s="8" t="s">
        <v>28</v>
      </c>
      <c r="Z309" s="8">
        <f t="shared" ref="Z309:AI309" si="856">SUM(D304)</f>
        <v>33</v>
      </c>
      <c r="AA309" s="9">
        <f t="shared" ca="1" si="856"/>
        <v>33</v>
      </c>
      <c r="AB309" s="11">
        <f t="shared" ca="1" si="856"/>
        <v>6481.3109999999997</v>
      </c>
      <c r="AC309" s="9">
        <f t="shared" ca="1" si="856"/>
        <v>2797</v>
      </c>
      <c r="AD309" s="9">
        <f t="shared" ca="1" si="856"/>
        <v>133</v>
      </c>
      <c r="AE309" s="9">
        <f t="shared" ca="1" si="856"/>
        <v>2930</v>
      </c>
      <c r="AF309" s="9">
        <f t="shared" ca="1" si="856"/>
        <v>2978</v>
      </c>
      <c r="AG309" s="9">
        <f t="shared" ca="1" si="856"/>
        <v>113</v>
      </c>
      <c r="AH309" s="9">
        <f t="shared" ca="1" si="856"/>
        <v>3091</v>
      </c>
      <c r="AI309" s="9">
        <f t="shared" ca="1" si="856"/>
        <v>6021</v>
      </c>
      <c r="AJ309" s="11">
        <f t="shared" ref="AJ309:AJ315" ca="1" si="857">AB309/AA309</f>
        <v>196.40336363636362</v>
      </c>
      <c r="AK309" s="8">
        <f t="shared" ref="AK309:AK310" si="858">SUM(O304)</f>
        <v>7315</v>
      </c>
      <c r="AL309" s="12">
        <f t="shared" ref="AL309:AL315" ca="1" si="859">AI309/AK309</f>
        <v>0.82310321257689678</v>
      </c>
      <c r="AM309" s="13">
        <f t="shared" ref="AM309:AM310" si="860">SUM(Q304)</f>
        <v>1.5</v>
      </c>
      <c r="AN309" s="12">
        <f t="shared" ref="AN309:AN315" ca="1" si="861">AO309/AM309</f>
        <v>0.61931914700590673</v>
      </c>
      <c r="AO309" s="14">
        <f t="shared" ref="AO309:AO315" ca="1" si="862">AI309/AB309</f>
        <v>0.9289787205088601</v>
      </c>
      <c r="AP309" s="13">
        <f t="shared" ref="AP309:AQ309" ca="1" si="863">SUM(T304)</f>
        <v>209.77153121662298</v>
      </c>
      <c r="AQ309" s="13">
        <f t="shared" ca="1" si="863"/>
        <v>6.3567130671703929</v>
      </c>
      <c r="AR309" s="9">
        <f t="shared" ref="AR309:AR315" ca="1" si="864">AI309/AA309</f>
        <v>182.45454545454547</v>
      </c>
      <c r="AS309" s="76"/>
      <c r="AT309" s="76"/>
    </row>
    <row r="310" spans="1:46" ht="15.75" customHeight="1" x14ac:dyDescent="0.25">
      <c r="A310" s="70"/>
      <c r="B310" s="16">
        <v>8</v>
      </c>
      <c r="C310" s="16" t="s">
        <v>25</v>
      </c>
      <c r="D310" s="34">
        <v>32</v>
      </c>
      <c r="E310" s="18">
        <f ca="1">IFERROR(__xludf.DUMMYFUNCTION("COUNT(IMPORTRANGE(""https://docs.google.com/spreadsheets/d/1KbRFOEYB0B44J_NSh1MwYQ1sLDlZXUHI-wuMLcZDn5k/edit"",""12!d2:D33""))"),31)</f>
        <v>31</v>
      </c>
      <c r="F310" s="23">
        <f ca="1">IFERROR(__xludf.DUMMYFUNCTION("SUM(IMPORTRANGE(""https://docs.google.com/spreadsheets/d/1KbRFOEYB0B44J_NSh1MwYQ1sLDlZXUHI-wuMLcZDn5k/edit"",""12!Q2:Q33""))"),5594.9)</f>
        <v>5594.9</v>
      </c>
      <c r="G310" s="18">
        <f ca="1">IFERROR(__xludf.DUMMYFUNCTION("IMPORTRANGE(""https://docs.google.com/spreadsheets/d/1KbRFOEYB0B44J_NSh1MwYQ1sLDlZXUHI-wuMLcZDn5k/edit"",""12!e40"")"),2427)</f>
        <v>2427</v>
      </c>
      <c r="H310" s="18">
        <f ca="1">IFERROR(__xludf.DUMMYFUNCTION("IMPORTRANGE(""https://docs.google.com/spreadsheets/d/1KbRFOEYB0B44J_NSh1MwYQ1sLDlZXUHI-wuMLcZDn5k/edit"",""12!e41"")"),314)</f>
        <v>314</v>
      </c>
      <c r="I310" s="18">
        <f t="shared" ca="1" si="837"/>
        <v>2741</v>
      </c>
      <c r="J310" s="18">
        <f ca="1">IFERROR(__xludf.DUMMYFUNCTION("IMPORTRANGE(""https://docs.google.com/spreadsheets/d/1KbRFOEYB0B44J_NSh1MwYQ1sLDlZXUHI-wuMLcZDn5k/edit"",""12!e44"")"),3323)</f>
        <v>3323</v>
      </c>
      <c r="K310" s="18">
        <f ca="1">IFERROR(__xludf.DUMMYFUNCTION("IMPORTRANGE(""https://docs.google.com/spreadsheets/d/1KbRFOEYB0B44J_NSh1MwYQ1sLDlZXUHI-wuMLcZDn5k/edit"",""12!e45"")"),365)</f>
        <v>365</v>
      </c>
      <c r="L310" s="18">
        <f ca="1">J310+K310</f>
        <v>3688</v>
      </c>
      <c r="M310" s="18">
        <f t="shared" ca="1" si="839"/>
        <v>6429</v>
      </c>
      <c r="N310" s="19">
        <f t="shared" ca="1" si="840"/>
        <v>180.48064516129031</v>
      </c>
      <c r="O310" s="16">
        <v>6622</v>
      </c>
      <c r="P310" s="20">
        <f t="shared" ca="1" si="841"/>
        <v>0.97085472666868011</v>
      </c>
      <c r="Q310" s="21">
        <v>1.5</v>
      </c>
      <c r="R310" s="20">
        <f t="shared" ca="1" si="842"/>
        <v>0.76605479990705827</v>
      </c>
      <c r="S310" s="22">
        <f t="shared" ca="1" si="843"/>
        <v>1.1490821998605873</v>
      </c>
      <c r="T310" s="21">
        <f ca="1">F310/23.84</f>
        <v>234.68540268456374</v>
      </c>
      <c r="U310" s="21">
        <f t="shared" ca="1" si="844"/>
        <v>7.570496860792379</v>
      </c>
      <c r="V310" s="18">
        <f t="shared" ca="1" si="845"/>
        <v>207.38709677419354</v>
      </c>
      <c r="W310" s="76"/>
      <c r="X310" s="8">
        <v>2</v>
      </c>
      <c r="Y310" s="8" t="s">
        <v>30</v>
      </c>
      <c r="Z310" s="8">
        <f t="shared" ref="Z310:AI310" si="865">SUM(D305)</f>
        <v>60</v>
      </c>
      <c r="AA310" s="9">
        <f t="shared" ca="1" si="865"/>
        <v>59</v>
      </c>
      <c r="AB310" s="10">
        <f t="shared" ca="1" si="865"/>
        <v>11828.5009999999</v>
      </c>
      <c r="AC310" s="9">
        <f t="shared" ca="1" si="865"/>
        <v>3835</v>
      </c>
      <c r="AD310" s="9">
        <f t="shared" ca="1" si="865"/>
        <v>0</v>
      </c>
      <c r="AE310" s="9">
        <f t="shared" ca="1" si="865"/>
        <v>3835</v>
      </c>
      <c r="AF310" s="9">
        <f t="shared" ca="1" si="865"/>
        <v>4877</v>
      </c>
      <c r="AG310" s="9">
        <f t="shared" ca="1" si="865"/>
        <v>93</v>
      </c>
      <c r="AH310" s="9">
        <f t="shared" ca="1" si="865"/>
        <v>4970</v>
      </c>
      <c r="AI310" s="9">
        <f t="shared" ca="1" si="865"/>
        <v>8805</v>
      </c>
      <c r="AJ310" s="11">
        <f t="shared" ca="1" si="857"/>
        <v>200.48306779660848</v>
      </c>
      <c r="AK310" s="8">
        <f t="shared" si="858"/>
        <v>11164</v>
      </c>
      <c r="AL310" s="12">
        <f t="shared" ca="1" si="859"/>
        <v>0.78869580795413829</v>
      </c>
      <c r="AM310" s="13">
        <f t="shared" si="860"/>
        <v>1.5</v>
      </c>
      <c r="AN310" s="12">
        <f t="shared" ca="1" si="861"/>
        <v>0.49625899342613655</v>
      </c>
      <c r="AO310" s="14">
        <f t="shared" ca="1" si="862"/>
        <v>0.74438849013920483</v>
      </c>
      <c r="AP310" s="13">
        <f t="shared" ref="AP310:AQ310" ca="1" si="866">SUM(T305)</f>
        <v>399.57102320710402</v>
      </c>
      <c r="AQ310" s="13">
        <f t="shared" ca="1" si="866"/>
        <v>6.7723902238492206</v>
      </c>
      <c r="AR310" s="9">
        <f t="shared" ca="1" si="864"/>
        <v>149.23728813559322</v>
      </c>
      <c r="AS310" s="76"/>
      <c r="AT310" s="76"/>
    </row>
    <row r="311" spans="1:46" ht="15.75" customHeight="1" x14ac:dyDescent="0.25">
      <c r="A311" s="70"/>
      <c r="B311" s="16">
        <v>9</v>
      </c>
      <c r="C311" s="16" t="s">
        <v>36</v>
      </c>
      <c r="D311" s="34">
        <v>29</v>
      </c>
      <c r="E311" s="18">
        <f ca="1">IFERROR(__xludf.DUMMYFUNCTION("COUNT(IMPORTRANGE(""https://docs.google.com/spreadsheets/d/1VqqqRGfmmkT0JC4ILJva2p8P11jjV0FX-TSKAaqOigw/edit"",""12!d2:d31""))"),29)</f>
        <v>29</v>
      </c>
      <c r="F311" s="23">
        <f ca="1">IFERROR(__xludf.DUMMYFUNCTION("SUM(IMPORTRANGE(""https://docs.google.com/spreadsheets/d/1VqqqRGfmmkT0JC4ILJva2p8P11jjV0FX-TSKAaqOigw/edit"",""12!Q2:Q31""))"),5753.77599999999)</f>
        <v>5753.7759999999898</v>
      </c>
      <c r="G311" s="18">
        <f ca="1">IFERROR(__xludf.DUMMYFUNCTION("IMPORTRANGE(""https://docs.google.com/spreadsheets/d/1VqqqRGfmmkT0JC4ILJva2p8P11jjV0FX-TSKAaqOigw/edit"",""12!e38"")"),1720)</f>
        <v>1720</v>
      </c>
      <c r="H311" s="18">
        <f ca="1">IFERROR(__xludf.DUMMYFUNCTION("IMPORTRANGE(""https://docs.google.com/spreadsheets/d/1VqqqRGfmmkT0JC4ILJva2p8P11jjV0FX-TSKAaqOigw/edit"",""12!e39"")"),0)</f>
        <v>0</v>
      </c>
      <c r="I311" s="18">
        <f t="shared" ca="1" si="837"/>
        <v>1720</v>
      </c>
      <c r="J311" s="18">
        <f ca="1">IFERROR(__xludf.DUMMYFUNCTION("IMPORTRANGE(""https://docs.google.com/spreadsheets/d/1VqqqRGfmmkT0JC4ILJva2p8P11jjV0FX-TSKAaqOigw/edit"",""12!e42"")"),2334)</f>
        <v>2334</v>
      </c>
      <c r="K311" s="18">
        <f ca="1">IFERROR(__xludf.DUMMYFUNCTION("IMPORTRANGE(""https://docs.google.com/spreadsheets/d/1VqqqRGfmmkT0JC4ILJva2p8P11jjV0FX-TSKAaqOigw/edit"",""12!e43"")"),0)</f>
        <v>0</v>
      </c>
      <c r="L311" s="18">
        <f t="shared" ref="L311:L320" ca="1" si="867">SUM(J311:K311)</f>
        <v>2334</v>
      </c>
      <c r="M311" s="18">
        <f t="shared" ca="1" si="839"/>
        <v>4054</v>
      </c>
      <c r="N311" s="19">
        <f t="shared" ca="1" si="840"/>
        <v>198.40606896551688</v>
      </c>
      <c r="O311" s="16">
        <v>4796</v>
      </c>
      <c r="P311" s="20">
        <f t="shared" ca="1" si="841"/>
        <v>0.84528773978315264</v>
      </c>
      <c r="Q311" s="21">
        <v>1.5</v>
      </c>
      <c r="R311" s="20">
        <f t="shared" ca="1" si="842"/>
        <v>0.46972052208265863</v>
      </c>
      <c r="S311" s="22">
        <f t="shared" ca="1" si="843"/>
        <v>0.70458078312398797</v>
      </c>
      <c r="T311" s="21">
        <f ca="1">F311/37.414</f>
        <v>153.7867108568982</v>
      </c>
      <c r="U311" s="21">
        <f t="shared" ca="1" si="844"/>
        <v>5.302990029548214</v>
      </c>
      <c r="V311" s="18">
        <f t="shared" ca="1" si="845"/>
        <v>139.79310344827587</v>
      </c>
      <c r="W311" s="76"/>
      <c r="X311" s="8">
        <v>3</v>
      </c>
      <c r="Y311" s="8" t="s">
        <v>34</v>
      </c>
      <c r="Z311" s="8">
        <f t="shared" ref="Z311:AI311" si="868">SUM(D307)</f>
        <v>40</v>
      </c>
      <c r="AA311" s="9">
        <f t="shared" ca="1" si="868"/>
        <v>40</v>
      </c>
      <c r="AB311" s="10">
        <f t="shared" ca="1" si="868"/>
        <v>7964.1</v>
      </c>
      <c r="AC311" s="9">
        <f t="shared" ca="1" si="868"/>
        <v>2941</v>
      </c>
      <c r="AD311" s="9">
        <f t="shared" ca="1" si="868"/>
        <v>0</v>
      </c>
      <c r="AE311" s="9">
        <f t="shared" ca="1" si="868"/>
        <v>2941</v>
      </c>
      <c r="AF311" s="9">
        <f t="shared" ca="1" si="868"/>
        <v>3426</v>
      </c>
      <c r="AG311" s="9">
        <f t="shared" ca="1" si="868"/>
        <v>0</v>
      </c>
      <c r="AH311" s="9">
        <f t="shared" ca="1" si="868"/>
        <v>3426</v>
      </c>
      <c r="AI311" s="9">
        <f t="shared" ca="1" si="868"/>
        <v>6367</v>
      </c>
      <c r="AJ311" s="11">
        <f t="shared" ca="1" si="857"/>
        <v>199.10250000000002</v>
      </c>
      <c r="AK311" s="8">
        <f>SUM(O307)</f>
        <v>9354</v>
      </c>
      <c r="AL311" s="12">
        <f t="shared" ca="1" si="859"/>
        <v>0.68067137053666882</v>
      </c>
      <c r="AM311" s="13">
        <f>SUM(Q307)</f>
        <v>1.5</v>
      </c>
      <c r="AN311" s="12">
        <f t="shared" ca="1" si="861"/>
        <v>0.53297505891019281</v>
      </c>
      <c r="AO311" s="14">
        <f t="shared" ca="1" si="862"/>
        <v>0.79946258836528916</v>
      </c>
      <c r="AP311" s="13">
        <f t="shared" ref="AP311:AQ311" ca="1" si="869">SUM(T307)</f>
        <v>259.30713378699573</v>
      </c>
      <c r="AQ311" s="13">
        <f t="shared" ca="1" si="869"/>
        <v>6.482678344674893</v>
      </c>
      <c r="AR311" s="9">
        <f t="shared" ca="1" si="864"/>
        <v>159.17500000000001</v>
      </c>
      <c r="AS311" s="76"/>
      <c r="AT311" s="76"/>
    </row>
    <row r="312" spans="1:46" ht="15.75" customHeight="1" x14ac:dyDescent="0.25">
      <c r="A312" s="70"/>
      <c r="B312" s="16">
        <v>10</v>
      </c>
      <c r="C312" s="16" t="s">
        <v>37</v>
      </c>
      <c r="D312" s="17">
        <v>30</v>
      </c>
      <c r="E312" s="18">
        <f ca="1">IFERROR(__xludf.DUMMYFUNCTION("COUNT(IMPORTRANGE(""https://docs.google.com/spreadsheets/d/1IYeRjQd_D6MRqoBKNaky3aSEUloYCJc5XDnPAbdyetk/edit"",""12!d2:d31""))"),30)</f>
        <v>30</v>
      </c>
      <c r="F312" s="23">
        <f ca="1">IFERROR(__xludf.DUMMYFUNCTION("SUM(IMPORTRANGE(""https://docs.google.com/spreadsheets/d/1IYeRjQd_D6MRqoBKNaky3aSEUloYCJc5XDnPAbdyetk/edit"",""12!Q2:Q31""))"),5985.73199999999)</f>
        <v>5985.73199999999</v>
      </c>
      <c r="G312" s="18">
        <f ca="1">IFERROR(__xludf.DUMMYFUNCTION("(IMPORTRANGE(""https://docs.google.com/spreadsheets/d/1IYeRjQd_D6MRqoBKNaky3aSEUloYCJc5XDnPAbdyetk/edit"",""12!e38""))"),2253)</f>
        <v>2253</v>
      </c>
      <c r="H312" s="18">
        <f ca="1">IFERROR(__xludf.DUMMYFUNCTION("(IMPORTRANGE(""https://docs.google.com/spreadsheets/d/1IYeRjQd_D6MRqoBKNaky3aSEUloYCJc5XDnPAbdyetk/edit"",""12!e39""))"),0)</f>
        <v>0</v>
      </c>
      <c r="I312" s="18">
        <f t="shared" ca="1" si="837"/>
        <v>2253</v>
      </c>
      <c r="J312" s="18">
        <f ca="1">IFERROR(__xludf.DUMMYFUNCTION("(IMPORTRANGE(""https://docs.google.com/spreadsheets/d/1IYeRjQd_D6MRqoBKNaky3aSEUloYCJc5XDnPAbdyetk/edit"",""12!e42""))"),3123)</f>
        <v>3123</v>
      </c>
      <c r="K312" s="18">
        <f ca="1">IFERROR(__xludf.DUMMYFUNCTION("(IMPORTRANGE(""https://docs.google.com/spreadsheets/d/1IYeRjQd_D6MRqoBKNaky3aSEUloYCJc5XDnPAbdyetk/edit"",""12!e43""))"),0)</f>
        <v>0</v>
      </c>
      <c r="L312" s="18">
        <f t="shared" ca="1" si="867"/>
        <v>3123</v>
      </c>
      <c r="M312" s="18">
        <f t="shared" ca="1" si="839"/>
        <v>5376</v>
      </c>
      <c r="N312" s="19">
        <f t="shared" ca="1" si="840"/>
        <v>199.52439999999967</v>
      </c>
      <c r="O312" s="16">
        <v>5887</v>
      </c>
      <c r="P312" s="20">
        <f t="shared" ca="1" si="841"/>
        <v>0.91319857312722952</v>
      </c>
      <c r="Q312" s="21">
        <v>1.5</v>
      </c>
      <c r="R312" s="20">
        <f t="shared" ca="1" si="842"/>
        <v>0.59875717790238625</v>
      </c>
      <c r="S312" s="22">
        <f t="shared" ca="1" si="843"/>
        <v>0.89813576685357932</v>
      </c>
      <c r="T312" s="21">
        <f ca="1">F312/24.792</f>
        <v>241.4380445304933</v>
      </c>
      <c r="U312" s="21">
        <f t="shared" ca="1" si="844"/>
        <v>8.0479348176831103</v>
      </c>
      <c r="V312" s="18">
        <f t="shared" ca="1" si="845"/>
        <v>179.2</v>
      </c>
      <c r="W312" s="76"/>
      <c r="X312" s="8">
        <v>4</v>
      </c>
      <c r="Y312" s="8" t="s">
        <v>38</v>
      </c>
      <c r="Z312" s="8">
        <f t="shared" ref="Z312:AI312" si="870">SUM(D315)</f>
        <v>30</v>
      </c>
      <c r="AA312" s="9">
        <f t="shared" ca="1" si="870"/>
        <v>30</v>
      </c>
      <c r="AB312" s="10">
        <f t="shared" ca="1" si="870"/>
        <v>6345.5699999999897</v>
      </c>
      <c r="AC312" s="9">
        <f t="shared" ca="1" si="870"/>
        <v>2289</v>
      </c>
      <c r="AD312" s="9">
        <f t="shared" ca="1" si="870"/>
        <v>229</v>
      </c>
      <c r="AE312" s="9">
        <f t="shared" ca="1" si="870"/>
        <v>2518</v>
      </c>
      <c r="AF312" s="9">
        <f t="shared" ca="1" si="870"/>
        <v>2945</v>
      </c>
      <c r="AG312" s="9">
        <f t="shared" ca="1" si="870"/>
        <v>330</v>
      </c>
      <c r="AH312" s="9">
        <f t="shared" ca="1" si="870"/>
        <v>3275</v>
      </c>
      <c r="AI312" s="9">
        <f t="shared" ca="1" si="870"/>
        <v>5793</v>
      </c>
      <c r="AJ312" s="11">
        <f t="shared" ca="1" si="857"/>
        <v>211.51899999999966</v>
      </c>
      <c r="AK312" s="8">
        <v>7324</v>
      </c>
      <c r="AL312" s="12">
        <f t="shared" ca="1" si="859"/>
        <v>0.7909612233752048</v>
      </c>
      <c r="AM312" s="13">
        <f>SUM(Q315)</f>
        <v>1.5</v>
      </c>
      <c r="AN312" s="12">
        <f t="shared" ca="1" si="861"/>
        <v>0.60861356820585166</v>
      </c>
      <c r="AO312" s="14">
        <f t="shared" ca="1" si="862"/>
        <v>0.91292035230877755</v>
      </c>
      <c r="AP312" s="13">
        <f t="shared" ref="AP312:AQ312" ca="1" si="871">SUM(T315)</f>
        <v>153.99999999999974</v>
      </c>
      <c r="AQ312" s="13">
        <f t="shared" ca="1" si="871"/>
        <v>5.1333333333333249</v>
      </c>
      <c r="AR312" s="9">
        <f t="shared" ca="1" si="864"/>
        <v>193.1</v>
      </c>
      <c r="AS312" s="76"/>
      <c r="AT312" s="76"/>
    </row>
    <row r="313" spans="1:46" ht="15.75" customHeight="1" x14ac:dyDescent="0.25">
      <c r="A313" s="70"/>
      <c r="B313" s="16">
        <v>12</v>
      </c>
      <c r="C313" s="16" t="s">
        <v>39</v>
      </c>
      <c r="D313" s="17">
        <v>28</v>
      </c>
      <c r="E313" s="18">
        <f ca="1">IFERROR(__xludf.DUMMYFUNCTION("COUNT(IMPORTRANGE(""https://docs.google.com/spreadsheets/d/1TAY2D35yAzyl8a_p5CuZehQvmatfj0b0Q8ICl8GtJBY/edit"",""12!d2:d29""))"),26)</f>
        <v>26</v>
      </c>
      <c r="F313" s="23">
        <f ca="1">IFERROR(__xludf.DUMMYFUNCTION("SUM(IMPORTRANGE(""https://docs.google.com/spreadsheets/d/1TAY2D35yAzyl8a_p5CuZehQvmatfj0b0Q8ICl8GtJBY/edit"",""12!Q2:Q29""))"),4705.85399999999)</f>
        <v>4705.8539999999903</v>
      </c>
      <c r="G313" s="18">
        <f ca="1">IFERROR(__xludf.DUMMYFUNCTION("IMPORTRANGE(""https://docs.google.com/spreadsheets/d/1TAY2D35yAzyl8a_p5CuZehQvmatfj0b0Q8ICl8GtJBY/edit"",""12!e36"")"),1195)</f>
        <v>1195</v>
      </c>
      <c r="H313" s="18">
        <f ca="1">IFERROR(__xludf.DUMMYFUNCTION("(IMPORTRANGE(""https://docs.google.com/spreadsheets/d/1TAY2D35yAzyl8a_p5CuZehQvmatfj0b0Q8ICl8GtJBY/edit"",""12!e37""))"),36)</f>
        <v>36</v>
      </c>
      <c r="I313" s="18">
        <f t="shared" ca="1" si="837"/>
        <v>1231</v>
      </c>
      <c r="J313" s="18">
        <f ca="1">IFERROR(__xludf.DUMMYFUNCTION("IMPORTRANGE(""https://docs.google.com/spreadsheets/d/1TAY2D35yAzyl8a_p5CuZehQvmatfj0b0Q8ICl8GtJBY/edit"",""12!e40"")"),1815)</f>
        <v>1815</v>
      </c>
      <c r="K313" s="18">
        <f ca="1">IFERROR(__xludf.DUMMYFUNCTION("IMPORTRANGE(""https://docs.google.com/spreadsheets/d/1TAY2D35yAzyl8a_p5CuZehQvmatfj0b0Q8ICl8GtJBY/edit"",""12!e41"")"),136)</f>
        <v>136</v>
      </c>
      <c r="L313" s="18">
        <f t="shared" ca="1" si="867"/>
        <v>1951</v>
      </c>
      <c r="M313" s="18">
        <f t="shared" ca="1" si="839"/>
        <v>3182</v>
      </c>
      <c r="N313" s="19">
        <f t="shared" ca="1" si="840"/>
        <v>180.99438461538423</v>
      </c>
      <c r="O313" s="16">
        <v>3569</v>
      </c>
      <c r="P313" s="20">
        <f t="shared" ca="1" si="841"/>
        <v>0.89156626506024095</v>
      </c>
      <c r="Q313" s="21">
        <v>1.5</v>
      </c>
      <c r="R313" s="20">
        <f t="shared" ca="1" si="842"/>
        <v>0.4507860493192814</v>
      </c>
      <c r="S313" s="22">
        <f t="shared" ca="1" si="843"/>
        <v>0.67617907397892207</v>
      </c>
      <c r="T313" s="21">
        <f ca="1">F313/21.463</f>
        <v>219.25425150258539</v>
      </c>
      <c r="U313" s="21">
        <f t="shared" ca="1" si="844"/>
        <v>8.4328558270225145</v>
      </c>
      <c r="V313" s="18">
        <f t="shared" ca="1" si="845"/>
        <v>122.38461538461539</v>
      </c>
      <c r="W313" s="76"/>
      <c r="X313" s="8">
        <v>5</v>
      </c>
      <c r="Y313" s="8" t="s">
        <v>40</v>
      </c>
      <c r="Z313" s="8">
        <f t="shared" ref="Z313:AI313" si="872">SUM(D317)</f>
        <v>30</v>
      </c>
      <c r="AA313" s="9">
        <f t="shared" ca="1" si="872"/>
        <v>30</v>
      </c>
      <c r="AB313" s="10">
        <f t="shared" ca="1" si="872"/>
        <v>5589.7159999999903</v>
      </c>
      <c r="AC313" s="9">
        <f t="shared" ca="1" si="872"/>
        <v>3322</v>
      </c>
      <c r="AD313" s="9">
        <f t="shared" ca="1" si="872"/>
        <v>0</v>
      </c>
      <c r="AE313" s="9">
        <f t="shared" ca="1" si="872"/>
        <v>3322</v>
      </c>
      <c r="AF313" s="9">
        <f t="shared" ca="1" si="872"/>
        <v>3813</v>
      </c>
      <c r="AG313" s="9">
        <f t="shared" ca="1" si="872"/>
        <v>147</v>
      </c>
      <c r="AH313" s="9">
        <f t="shared" ca="1" si="872"/>
        <v>3960</v>
      </c>
      <c r="AI313" s="9">
        <f t="shared" ca="1" si="872"/>
        <v>7282</v>
      </c>
      <c r="AJ313" s="11">
        <f t="shared" ca="1" si="857"/>
        <v>186.32386666666633</v>
      </c>
      <c r="AK313" s="8">
        <f t="shared" ref="AK313:AK314" si="873">SUM(O317)</f>
        <v>8239</v>
      </c>
      <c r="AL313" s="12">
        <f t="shared" ca="1" si="859"/>
        <v>0.88384512683578109</v>
      </c>
      <c r="AM313" s="13">
        <f t="shared" ref="AM313:AM314" si="874">SUM(Q317)</f>
        <v>1.5</v>
      </c>
      <c r="AN313" s="12">
        <f t="shared" ca="1" si="861"/>
        <v>0.86849969956732587</v>
      </c>
      <c r="AO313" s="14">
        <f t="shared" ca="1" si="862"/>
        <v>1.3027495493509889</v>
      </c>
      <c r="AP313" s="13">
        <f t="shared" ref="AP313:AQ313" ca="1" si="875">SUM(T317)</f>
        <v>196.52343283057309</v>
      </c>
      <c r="AQ313" s="13">
        <f t="shared" ca="1" si="875"/>
        <v>6.5507810943524358</v>
      </c>
      <c r="AR313" s="9">
        <f t="shared" ca="1" si="864"/>
        <v>242.73333333333332</v>
      </c>
      <c r="AS313" s="76"/>
      <c r="AT313" s="76"/>
    </row>
    <row r="314" spans="1:46" ht="15.75" customHeight="1" x14ac:dyDescent="0.25">
      <c r="A314" s="70"/>
      <c r="B314" s="16">
        <v>12</v>
      </c>
      <c r="C314" s="16" t="s">
        <v>41</v>
      </c>
      <c r="D314" s="17">
        <v>24</v>
      </c>
      <c r="E314" s="18">
        <f ca="1">IFERROR(__xludf.DUMMYFUNCTION("COUNT(IMPORTRANGE(""https://docs.google.com/spreadsheets/d/1VAsUtLQHi7oV9NsI9EIHPnO1bcPJHeRgSbMoxSvPBME/edit"",""12!d2:d25""))"),24)</f>
        <v>24</v>
      </c>
      <c r="F314" s="23">
        <f ca="1">IFERROR(__xludf.DUMMYFUNCTION("SUM(IMPORTRANGE(""https://docs.google.com/spreadsheets/d/1VAsUtLQHi7oV9NsI9EIHPnO1bcPJHeRgSbMoxSvPBME/edit"",""12!Q2:Q25""))"),4793.152)</f>
        <v>4793.152</v>
      </c>
      <c r="G314" s="18">
        <f ca="1">IFERROR(__xludf.DUMMYFUNCTION("IMPORTRANGE(""https://docs.google.com/spreadsheets/d/1VAsUtLQHi7oV9NsI9EIHPnO1bcPJHeRgSbMoxSvPBME/edit"",""12!e32"")"),1446)</f>
        <v>1446</v>
      </c>
      <c r="H314" s="18">
        <f ca="1">IFERROR(__xludf.DUMMYFUNCTION("IMPORTRANGE(""https://docs.google.com/spreadsheets/d/1VAsUtLQHi7oV9NsI9EIHPnO1bcPJHeRgSbMoxSvPBME/edit"",""12!e33"")"),58)</f>
        <v>58</v>
      </c>
      <c r="I314" s="18">
        <f t="shared" ca="1" si="837"/>
        <v>1504</v>
      </c>
      <c r="J314" s="18">
        <f ca="1">IFERROR(__xludf.DUMMYFUNCTION("IMPORTRANGE(""https://docs.google.com/spreadsheets/d/1VAsUtLQHi7oV9NsI9EIHPnO1bcPJHeRgSbMoxSvPBME/edit"",""12!e36"")"),1419)</f>
        <v>1419</v>
      </c>
      <c r="K314" s="18">
        <f ca="1">IFERROR(__xludf.DUMMYFUNCTION("IMPORTRANGE(""https://docs.google.com/spreadsheets/d/1VAsUtLQHi7oV9NsI9EIHPnO1bcPJHeRgSbMoxSvPBME/edit"",""12!e37"")"),199)</f>
        <v>199</v>
      </c>
      <c r="L314" s="18">
        <f t="shared" ca="1" si="867"/>
        <v>1618</v>
      </c>
      <c r="M314" s="18">
        <f t="shared" ca="1" si="839"/>
        <v>3122</v>
      </c>
      <c r="N314" s="19">
        <f t="shared" ca="1" si="840"/>
        <v>199.71466666666666</v>
      </c>
      <c r="O314" s="16">
        <v>3801</v>
      </c>
      <c r="P314" s="20">
        <f t="shared" ca="1" si="841"/>
        <v>0.82136279926335176</v>
      </c>
      <c r="Q314" s="21">
        <v>1.5</v>
      </c>
      <c r="R314" s="20">
        <f t="shared" ca="1" si="842"/>
        <v>0.4342306134529707</v>
      </c>
      <c r="S314" s="22">
        <f t="shared" ca="1" si="843"/>
        <v>0.65134592017945603</v>
      </c>
      <c r="T314" s="21">
        <f ca="1">F314/29.628</f>
        <v>161.77777777777777</v>
      </c>
      <c r="U314" s="21">
        <f t="shared" ca="1" si="844"/>
        <v>6.7407407407407405</v>
      </c>
      <c r="V314" s="18">
        <f t="shared" ca="1" si="845"/>
        <v>130.08333333333334</v>
      </c>
      <c r="W314" s="76"/>
      <c r="X314" s="8">
        <v>6</v>
      </c>
      <c r="Y314" s="8" t="s">
        <v>42</v>
      </c>
      <c r="Z314" s="8">
        <f t="shared" ref="Z314:AI314" si="876">SUM(D318)</f>
        <v>33</v>
      </c>
      <c r="AA314" s="9">
        <f t="shared" ca="1" si="876"/>
        <v>33</v>
      </c>
      <c r="AB314" s="10">
        <f t="shared" ca="1" si="876"/>
        <v>6197.1969999999901</v>
      </c>
      <c r="AC314" s="9">
        <f t="shared" ca="1" si="876"/>
        <v>3611</v>
      </c>
      <c r="AD314" s="9">
        <f t="shared" ca="1" si="876"/>
        <v>88</v>
      </c>
      <c r="AE314" s="9">
        <f t="shared" ca="1" si="876"/>
        <v>3699</v>
      </c>
      <c r="AF314" s="9">
        <f t="shared" ca="1" si="876"/>
        <v>4016</v>
      </c>
      <c r="AG314" s="9">
        <f t="shared" ca="1" si="876"/>
        <v>45</v>
      </c>
      <c r="AH314" s="9">
        <f t="shared" ca="1" si="876"/>
        <v>4061</v>
      </c>
      <c r="AI314" s="9">
        <f t="shared" ca="1" si="876"/>
        <v>7760</v>
      </c>
      <c r="AJ314" s="11">
        <f t="shared" ca="1" si="857"/>
        <v>187.79384848484818</v>
      </c>
      <c r="AK314" s="8">
        <f t="shared" si="873"/>
        <v>9877</v>
      </c>
      <c r="AL314" s="12">
        <f t="shared" ca="1" si="859"/>
        <v>0.78566366305558366</v>
      </c>
      <c r="AM314" s="13">
        <f t="shared" si="874"/>
        <v>1.5</v>
      </c>
      <c r="AN314" s="12">
        <f t="shared" ca="1" si="861"/>
        <v>0.83478600621108889</v>
      </c>
      <c r="AO314" s="14">
        <f t="shared" ca="1" si="862"/>
        <v>1.2521790093166334</v>
      </c>
      <c r="AP314" s="13">
        <f t="shared" ref="AP314:AQ314" ca="1" si="877">SUM(T318)</f>
        <v>236.94119671190938</v>
      </c>
      <c r="AQ314" s="13">
        <f t="shared" ca="1" si="877"/>
        <v>7.1800362639972537</v>
      </c>
      <c r="AR314" s="9">
        <f t="shared" ca="1" si="864"/>
        <v>235.15151515151516</v>
      </c>
      <c r="AS314" s="76"/>
      <c r="AT314" s="76"/>
    </row>
    <row r="315" spans="1:46" ht="15.75" customHeight="1" x14ac:dyDescent="0.25">
      <c r="A315" s="70"/>
      <c r="B315" s="16">
        <v>13</v>
      </c>
      <c r="C315" s="16" t="s">
        <v>43</v>
      </c>
      <c r="D315" s="17">
        <v>30</v>
      </c>
      <c r="E315" s="18">
        <f ca="1">IFERROR(__xludf.DUMMYFUNCTION("COUNT(IMPORTRANGE(""https://docs.google.com/spreadsheets/d/1p9Y_DGk7-TpRBFth-ljZceOIGCjQ0ylUeUq6xqnsZ-Q/edit"",""12!d2:d31""))"),30)</f>
        <v>30</v>
      </c>
      <c r="F315" s="23">
        <f ca="1">IFERROR(__xludf.DUMMYFUNCTION("SUM(IMPORTRANGE(""https://docs.google.com/spreadsheets/d/1p9Y_DGk7-TpRBFth-ljZceOIGCjQ0ylUeUq6xqnsZ-Q/edit"",""12!Q2:Q31""))"),6345.56999999999)</f>
        <v>6345.5699999999897</v>
      </c>
      <c r="G315" s="18">
        <f ca="1">IFERROR(__xludf.DUMMYFUNCTION("IMPORTRANGE(""https://docs.google.com/spreadsheets/d/1p9Y_DGk7-TpRBFth-ljZceOIGCjQ0ylUeUq6xqnsZ-Q/edit"",""12!e38"")"),2289)</f>
        <v>2289</v>
      </c>
      <c r="H315" s="18">
        <f ca="1">IFERROR(__xludf.DUMMYFUNCTION("IMPORTRANGE(""https://docs.google.com/spreadsheets/d/1p9Y_DGk7-TpRBFth-ljZceOIGCjQ0ylUeUq6xqnsZ-Q/edit"",""12!e39"")"),229)</f>
        <v>229</v>
      </c>
      <c r="I315" s="18">
        <f t="shared" ca="1" si="837"/>
        <v>2518</v>
      </c>
      <c r="J315" s="18">
        <f ca="1">IFERROR(__xludf.DUMMYFUNCTION("IMPORTRANGE(""https://docs.google.com/spreadsheets/d/1p9Y_DGk7-TpRBFth-ljZceOIGCjQ0ylUeUq6xqnsZ-Q/edit"",""12!e42"")"),2945)</f>
        <v>2945</v>
      </c>
      <c r="K315" s="18">
        <f ca="1">IFERROR(__xludf.DUMMYFUNCTION("IMPORTRANGE(""https://docs.google.com/spreadsheets/d/1p9Y_DGk7-TpRBFth-ljZceOIGCjQ0ylUeUq6xqnsZ-Q/edit"",""12!e43"")"),330)</f>
        <v>330</v>
      </c>
      <c r="L315" s="18">
        <f t="shared" ca="1" si="867"/>
        <v>3275</v>
      </c>
      <c r="M315" s="18">
        <f t="shared" ca="1" si="839"/>
        <v>5793</v>
      </c>
      <c r="N315" s="19">
        <f t="shared" ca="1" si="840"/>
        <v>211.51899999999966</v>
      </c>
      <c r="O315" s="16">
        <v>8345</v>
      </c>
      <c r="P315" s="20">
        <f t="shared" ca="1" si="841"/>
        <v>0.69418813660874779</v>
      </c>
      <c r="Q315" s="21">
        <v>1.5</v>
      </c>
      <c r="R315" s="20">
        <f t="shared" ca="1" si="842"/>
        <v>0.60861356820585166</v>
      </c>
      <c r="S315" s="22">
        <f t="shared" ca="1" si="843"/>
        <v>0.91292035230877755</v>
      </c>
      <c r="T315" s="21">
        <f ca="1">F315/41.205</f>
        <v>153.99999999999974</v>
      </c>
      <c r="U315" s="21">
        <f t="shared" ca="1" si="844"/>
        <v>5.1333333333333249</v>
      </c>
      <c r="V315" s="18">
        <f t="shared" ca="1" si="845"/>
        <v>193.1</v>
      </c>
      <c r="W315" s="76"/>
      <c r="X315" s="24" t="s">
        <v>33</v>
      </c>
      <c r="Y315" s="24">
        <v>6</v>
      </c>
      <c r="Z315" s="24">
        <f t="shared" ref="Z315:AI315" si="878">SUM(Z309:Z314)</f>
        <v>226</v>
      </c>
      <c r="AA315" s="25">
        <f t="shared" ca="1" si="878"/>
        <v>225</v>
      </c>
      <c r="AB315" s="27">
        <f t="shared" ca="1" si="878"/>
        <v>44406.394999999873</v>
      </c>
      <c r="AC315" s="25">
        <f t="shared" ca="1" si="878"/>
        <v>18795</v>
      </c>
      <c r="AD315" s="25">
        <f t="shared" ca="1" si="878"/>
        <v>450</v>
      </c>
      <c r="AE315" s="25">
        <f t="shared" ca="1" si="878"/>
        <v>19245</v>
      </c>
      <c r="AF315" s="25">
        <f t="shared" ca="1" si="878"/>
        <v>22055</v>
      </c>
      <c r="AG315" s="25">
        <f t="shared" ca="1" si="878"/>
        <v>728</v>
      </c>
      <c r="AH315" s="25">
        <f t="shared" ca="1" si="878"/>
        <v>22783</v>
      </c>
      <c r="AI315" s="25">
        <f t="shared" ca="1" si="878"/>
        <v>42028</v>
      </c>
      <c r="AJ315" s="27">
        <f t="shared" ca="1" si="857"/>
        <v>197.36175555555499</v>
      </c>
      <c r="AK315" s="24">
        <f>SUM(AK309:AK314)</f>
        <v>53273</v>
      </c>
      <c r="AL315" s="28">
        <f t="shared" ca="1" si="859"/>
        <v>0.78891746287988285</v>
      </c>
      <c r="AM315" s="29">
        <v>1.5</v>
      </c>
      <c r="AN315" s="28">
        <f t="shared" ca="1" si="861"/>
        <v>0.63096017289101602</v>
      </c>
      <c r="AO315" s="30">
        <f t="shared" ca="1" si="862"/>
        <v>0.94644025933652398</v>
      </c>
      <c r="AP315" s="29">
        <f ca="1">SUM(AP309:AP314)</f>
        <v>1456.1143177532051</v>
      </c>
      <c r="AQ315" s="29">
        <f ca="1">AP315/AA315</f>
        <v>6.4716191900142448</v>
      </c>
      <c r="AR315" s="25">
        <f t="shared" ca="1" si="864"/>
        <v>186.79111111111112</v>
      </c>
      <c r="AS315" s="76"/>
      <c r="AT315" s="76"/>
    </row>
    <row r="316" spans="1:46" ht="15.75" customHeight="1" x14ac:dyDescent="0.25">
      <c r="A316" s="70"/>
      <c r="B316" s="16">
        <v>14</v>
      </c>
      <c r="C316" s="16" t="s">
        <v>27</v>
      </c>
      <c r="D316" s="17">
        <v>30</v>
      </c>
      <c r="E316" s="18">
        <f ca="1">IFERROR(__xludf.DUMMYFUNCTION("COUNT(IMPORTRANGE(""https://docs.google.com/spreadsheets/d/1zJUDEKztv_fercXA0LYNw155qdzS7TJGhWLhquaW5IY/edit"",""12!d2:d31""))"),30)</f>
        <v>30</v>
      </c>
      <c r="F316" s="23">
        <f ca="1">IFERROR(__xludf.DUMMYFUNCTION("SUM(IMPORTRANGE(""https://docs.google.com/spreadsheets/d/1zJUDEKztv_fercXA0LYNw155qdzS7TJGhWLhquaW5IY/edit"",""12!Q2:Q31""))"),5285.895)</f>
        <v>5285.8950000000004</v>
      </c>
      <c r="G316" s="18">
        <f ca="1">IFERROR(__xludf.DUMMYFUNCTION("IMPORTRANGE(""https://docs.google.com/spreadsheets/d/1zJUDEKztv_fercXA0LYNw155qdzS7TJGhWLhquaW5IY/edit"",""12!e38"")"),2941)</f>
        <v>2941</v>
      </c>
      <c r="H316" s="18">
        <f ca="1">IFERROR(__xludf.DUMMYFUNCTION("IMPORTRANGE(""https://docs.google.com/spreadsheets/d/1zJUDEKztv_fercXA0LYNw155qdzS7TJGhWLhquaW5IY/edit"",""12!e39"")"),0)</f>
        <v>0</v>
      </c>
      <c r="I316" s="18">
        <f t="shared" ca="1" si="837"/>
        <v>2941</v>
      </c>
      <c r="J316" s="18">
        <f ca="1">IFERROR(__xludf.DUMMYFUNCTION("IMPORTRANGE(""https://docs.google.com/spreadsheets/d/1zJUDEKztv_fercXA0LYNw155qdzS7TJGhWLhquaW5IY/edit"",""12!e42"")"),2655)</f>
        <v>2655</v>
      </c>
      <c r="K316" s="18">
        <f ca="1">IFERROR(__xludf.DUMMYFUNCTION("IMPORTRANGE(""https://docs.google.com/spreadsheets/d/1zJUDEKztv_fercXA0LYNw155qdzS7TJGhWLhquaW5IY/edit"",""12!e43"")"),0)</f>
        <v>0</v>
      </c>
      <c r="L316" s="18">
        <f t="shared" ca="1" si="867"/>
        <v>2655</v>
      </c>
      <c r="M316" s="18">
        <f t="shared" ca="1" si="839"/>
        <v>5596</v>
      </c>
      <c r="N316" s="19">
        <f t="shared" ca="1" si="840"/>
        <v>176.19650000000001</v>
      </c>
      <c r="O316" s="16">
        <v>8101</v>
      </c>
      <c r="P316" s="20">
        <f t="shared" ca="1" si="841"/>
        <v>0.69077891618318721</v>
      </c>
      <c r="Q316" s="21">
        <v>1.5</v>
      </c>
      <c r="R316" s="20">
        <f t="shared" ca="1" si="842"/>
        <v>0.70577767183545381</v>
      </c>
      <c r="S316" s="22">
        <f t="shared" ca="1" si="843"/>
        <v>1.0586665077531807</v>
      </c>
      <c r="T316" s="21">
        <f ca="1">F316/19.985</f>
        <v>264.49311983987997</v>
      </c>
      <c r="U316" s="21">
        <f t="shared" ca="1" si="844"/>
        <v>8.8164373279959989</v>
      </c>
      <c r="V316" s="18">
        <f t="shared" ca="1" si="845"/>
        <v>186.53333333333333</v>
      </c>
      <c r="W316" s="76"/>
      <c r="X316" s="97" t="s">
        <v>44</v>
      </c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9"/>
      <c r="AS316" s="76"/>
      <c r="AT316" s="76"/>
    </row>
    <row r="317" spans="1:46" ht="15.75" customHeight="1" x14ac:dyDescent="0.25">
      <c r="A317" s="70"/>
      <c r="B317" s="16">
        <v>15</v>
      </c>
      <c r="C317" s="16" t="s">
        <v>40</v>
      </c>
      <c r="D317" s="17">
        <v>30</v>
      </c>
      <c r="E317" s="18">
        <f ca="1">IFERROR(__xludf.DUMMYFUNCTION("COUNT(IMPORTRANGE(""https://docs.google.com/spreadsheets/d/15GJA66Ucb-8RQ5vWVpq5HYaWoZZFX82SCeHChBujbrI/edit"",""12!d2:d31""))"),30)</f>
        <v>30</v>
      </c>
      <c r="F317" s="23">
        <f ca="1">IFERROR(__xludf.DUMMYFUNCTION("SUM(IMPORTRANGE(""https://docs.google.com/spreadsheets/d/15GJA66Ucb-8RQ5vWVpq5HYaWoZZFX82SCeHChBujbrI/edit"",""12!Q2:Q31""))"),5589.71599999999)</f>
        <v>5589.7159999999903</v>
      </c>
      <c r="G317" s="18">
        <f ca="1">IFERROR(__xludf.DUMMYFUNCTION("IMPORTRANGE(""https://docs.google.com/spreadsheets/d/15GJA66Ucb-8RQ5vWVpq5HYaWoZZFX82SCeHChBujbrI/edit"",""12!e38"")"),3322)</f>
        <v>3322</v>
      </c>
      <c r="H317" s="18">
        <f ca="1">IFERROR(__xludf.DUMMYFUNCTION("IMPORTRANGE(""https://docs.google.com/spreadsheets/d/15GJA66Ucb-8RQ5vWVpq5HYaWoZZFX82SCeHChBujbrI/edit"",""12!e39"")"),0)</f>
        <v>0</v>
      </c>
      <c r="I317" s="18">
        <f t="shared" ca="1" si="837"/>
        <v>3322</v>
      </c>
      <c r="J317" s="18">
        <f ca="1">IFERROR(__xludf.DUMMYFUNCTION("IMPORTRANGE(""https://docs.google.com/spreadsheets/d/15GJA66Ucb-8RQ5vWVpq5HYaWoZZFX82SCeHChBujbrI/edit"",""12!e42"")"),3813)</f>
        <v>3813</v>
      </c>
      <c r="K317" s="18">
        <f ca="1">IFERROR(__xludf.DUMMYFUNCTION("IMPORTRANGE(""https://docs.google.com/spreadsheets/d/15GJA66Ucb-8RQ5vWVpq5HYaWoZZFX82SCeHChBujbrI/edit"",""12!e43"")"),147)</f>
        <v>147</v>
      </c>
      <c r="L317" s="18">
        <f t="shared" ca="1" si="867"/>
        <v>3960</v>
      </c>
      <c r="M317" s="18">
        <f t="shared" ca="1" si="839"/>
        <v>7282</v>
      </c>
      <c r="N317" s="19">
        <f t="shared" ca="1" si="840"/>
        <v>186.32386666666633</v>
      </c>
      <c r="O317" s="16">
        <v>8239</v>
      </c>
      <c r="P317" s="20">
        <f t="shared" ca="1" si="841"/>
        <v>0.88384512683578109</v>
      </c>
      <c r="Q317" s="21">
        <v>1.5</v>
      </c>
      <c r="R317" s="20">
        <f t="shared" ca="1" si="842"/>
        <v>0.86849969956732587</v>
      </c>
      <c r="S317" s="22">
        <f t="shared" ca="1" si="843"/>
        <v>1.3027495493509889</v>
      </c>
      <c r="T317" s="21">
        <f ca="1">F317/28.443</f>
        <v>196.52343283057309</v>
      </c>
      <c r="U317" s="21">
        <f t="shared" ca="1" si="844"/>
        <v>6.5507810943524358</v>
      </c>
      <c r="V317" s="18">
        <f t="shared" ca="1" si="845"/>
        <v>242.73333333333332</v>
      </c>
      <c r="W317" s="76"/>
      <c r="X317" s="1" t="s">
        <v>2</v>
      </c>
      <c r="Y317" s="1" t="s">
        <v>3</v>
      </c>
      <c r="Z317" s="1" t="s">
        <v>4</v>
      </c>
      <c r="AA317" s="1" t="s">
        <v>5</v>
      </c>
      <c r="AB317" s="2" t="s">
        <v>6</v>
      </c>
      <c r="AC317" s="1" t="s">
        <v>7</v>
      </c>
      <c r="AD317" s="1" t="s">
        <v>8</v>
      </c>
      <c r="AE317" s="1" t="s">
        <v>9</v>
      </c>
      <c r="AF317" s="1" t="s">
        <v>10</v>
      </c>
      <c r="AG317" s="1" t="s">
        <v>11</v>
      </c>
      <c r="AH317" s="1" t="s">
        <v>12</v>
      </c>
      <c r="AI317" s="1" t="s">
        <v>13</v>
      </c>
      <c r="AJ317" s="2" t="s">
        <v>14</v>
      </c>
      <c r="AK317" s="1" t="s">
        <v>15</v>
      </c>
      <c r="AL317" s="1" t="s">
        <v>16</v>
      </c>
      <c r="AM317" s="3" t="s">
        <v>17</v>
      </c>
      <c r="AN317" s="4" t="s">
        <v>18</v>
      </c>
      <c r="AO317" s="5" t="s">
        <v>19</v>
      </c>
      <c r="AP317" s="6" t="s">
        <v>20</v>
      </c>
      <c r="AQ317" s="6" t="s">
        <v>21</v>
      </c>
      <c r="AR317" s="7" t="s">
        <v>22</v>
      </c>
      <c r="AS317" s="76"/>
      <c r="AT317" s="76"/>
    </row>
    <row r="318" spans="1:46" ht="15.75" customHeight="1" x14ac:dyDescent="0.25">
      <c r="A318" s="70"/>
      <c r="B318" s="16">
        <v>16</v>
      </c>
      <c r="C318" s="16" t="s">
        <v>42</v>
      </c>
      <c r="D318" s="17">
        <v>33</v>
      </c>
      <c r="E318" s="18">
        <f ca="1">IFERROR(__xludf.DUMMYFUNCTION("COUNT(IMPORTRANGE(""https://docs.google.com/spreadsheets/d/14Tu_jFPEdrIQ6DHYu6vRvJKQsbXr-48NY1tKy4-8JKI/edit"",""12!d2:d34""))"),33)</f>
        <v>33</v>
      </c>
      <c r="F318" s="23">
        <f ca="1">IFERROR(__xludf.DUMMYFUNCTION("SUM(IMPORTRANGE(""https://docs.google.com/spreadsheets/d/14Tu_jFPEdrIQ6DHYu6vRvJKQsbXr-48NY1tKy4-8JKI/edit"",""12!Q2:Q34""))"),6197.19699999999)</f>
        <v>6197.1969999999901</v>
      </c>
      <c r="G318" s="18">
        <f ca="1">IFERROR(__xludf.DUMMYFUNCTION("IMPORTRANGE(""https://docs.google.com/spreadsheets/d/14Tu_jFPEdrIQ6DHYu6vRvJKQsbXr-48NY1tKy4-8JKI/edit"",""12!e41"")"),3611)</f>
        <v>3611</v>
      </c>
      <c r="H318" s="18">
        <f ca="1">IFERROR(__xludf.DUMMYFUNCTION("IMPORTRANGE(""https://docs.google.com/spreadsheets/d/14Tu_jFPEdrIQ6DHYu6vRvJKQsbXr-48NY1tKy4-8JKI/edit"",""12!e42"")"),88)</f>
        <v>88</v>
      </c>
      <c r="I318" s="18">
        <f t="shared" ca="1" si="837"/>
        <v>3699</v>
      </c>
      <c r="J318" s="18">
        <f ca="1">IFERROR(__xludf.DUMMYFUNCTION("IMPORTRANGE(""https://docs.google.com/spreadsheets/d/14Tu_jFPEdrIQ6DHYu6vRvJKQsbXr-48NY1tKy4-8JKI/edit"",""12!e45"")"),4016)</f>
        <v>4016</v>
      </c>
      <c r="K318" s="18">
        <f ca="1">IFERROR(__xludf.DUMMYFUNCTION("IMPORTRANGE(""https://docs.google.com/spreadsheets/d/14Tu_jFPEdrIQ6DHYu6vRvJKQsbXr-48NY1tKy4-8JKI/edit"",""12!e46"")"),45)</f>
        <v>45</v>
      </c>
      <c r="L318" s="18">
        <f t="shared" ca="1" si="867"/>
        <v>4061</v>
      </c>
      <c r="M318" s="18">
        <f t="shared" ca="1" si="839"/>
        <v>7760</v>
      </c>
      <c r="N318" s="19">
        <f t="shared" ca="1" si="840"/>
        <v>187.79384848484818</v>
      </c>
      <c r="O318" s="16">
        <v>9877</v>
      </c>
      <c r="P318" s="20">
        <f t="shared" ca="1" si="841"/>
        <v>0.78566366305558366</v>
      </c>
      <c r="Q318" s="21">
        <v>1.5</v>
      </c>
      <c r="R318" s="20">
        <f t="shared" ca="1" si="842"/>
        <v>0.83478600621108889</v>
      </c>
      <c r="S318" s="22">
        <f t="shared" ca="1" si="843"/>
        <v>1.2521790093166334</v>
      </c>
      <c r="T318" s="21">
        <f ca="1">F318/26.155</f>
        <v>236.94119671190938</v>
      </c>
      <c r="U318" s="21">
        <f t="shared" ca="1" si="844"/>
        <v>7.1800362639972537</v>
      </c>
      <c r="V318" s="18">
        <f t="shared" ca="1" si="845"/>
        <v>235.15151515151516</v>
      </c>
      <c r="W318" s="76"/>
      <c r="X318" s="8">
        <v>1</v>
      </c>
      <c r="Y318" s="8" t="s">
        <v>26</v>
      </c>
      <c r="Z318" s="8">
        <f t="shared" ref="Z318:AI318" si="879">SUM(D303)</f>
        <v>20</v>
      </c>
      <c r="AA318" s="9">
        <f t="shared" ca="1" si="879"/>
        <v>20</v>
      </c>
      <c r="AB318" s="11">
        <f t="shared" ca="1" si="879"/>
        <v>3770.058</v>
      </c>
      <c r="AC318" s="9">
        <f t="shared" ca="1" si="879"/>
        <v>2241</v>
      </c>
      <c r="AD318" s="9">
        <f t="shared" ca="1" si="879"/>
        <v>0</v>
      </c>
      <c r="AE318" s="9">
        <f t="shared" ca="1" si="879"/>
        <v>2241</v>
      </c>
      <c r="AF318" s="9">
        <f t="shared" ca="1" si="879"/>
        <v>3186</v>
      </c>
      <c r="AG318" s="9">
        <f t="shared" ca="1" si="879"/>
        <v>0</v>
      </c>
      <c r="AH318" s="9">
        <f t="shared" ca="1" si="879"/>
        <v>3186</v>
      </c>
      <c r="AI318" s="9">
        <f t="shared" ca="1" si="879"/>
        <v>5427</v>
      </c>
      <c r="AJ318" s="11">
        <f t="shared" ref="AJ318:AJ324" ca="1" si="880">AB318/AA318</f>
        <v>188.50290000000001</v>
      </c>
      <c r="AK318" s="8">
        <f>SUM(O303)</f>
        <v>5161</v>
      </c>
      <c r="AL318" s="15">
        <f t="shared" ref="AL318:AL324" ca="1" si="881">AI318/AK318</f>
        <v>1.0515403991474521</v>
      </c>
      <c r="AM318" s="13">
        <f>SUM(Q303)</f>
        <v>1.5</v>
      </c>
      <c r="AN318" s="12">
        <f t="shared" ref="AN318:AN324" ca="1" si="882">AO318/AM318</f>
        <v>0.95966693350606269</v>
      </c>
      <c r="AO318" s="14">
        <f t="shared" ref="AO318:AO324" ca="1" si="883">AI318/AB318</f>
        <v>1.4395004002590941</v>
      </c>
      <c r="AP318" s="13">
        <f t="shared" ref="AP318:AQ318" ca="1" si="884">SUM(T303)</f>
        <v>261.5371488033299</v>
      </c>
      <c r="AQ318" s="13">
        <f t="shared" ca="1" si="884"/>
        <v>13.076857440166496</v>
      </c>
      <c r="AR318" s="9">
        <f t="shared" ref="AR318:AR324" ca="1" si="885">AI318/AA318</f>
        <v>271.35000000000002</v>
      </c>
      <c r="AS318" s="76"/>
      <c r="AT318" s="76"/>
    </row>
    <row r="319" spans="1:46" ht="15.75" customHeight="1" x14ac:dyDescent="0.25">
      <c r="A319" s="70"/>
      <c r="B319" s="16">
        <v>17</v>
      </c>
      <c r="C319" s="16" t="s">
        <v>29</v>
      </c>
      <c r="D319" s="17">
        <v>30</v>
      </c>
      <c r="E319" s="18">
        <f ca="1">IFERROR(__xludf.DUMMYFUNCTION("COUNT(IMPORTRANGE(""https://docs.google.com/spreadsheets/d/1ja_RQYsP0p5wRrACHojay4CW1wLx0QdS5tSwp-vYQ-s/edit"",""12!d2:d31""))"),29)</f>
        <v>29</v>
      </c>
      <c r="F319" s="23">
        <f ca="1">IFERROR(__xludf.DUMMYFUNCTION("SUM(IMPORTRANGE(""https://docs.google.com/spreadsheets/d/1ja_RQYsP0p5wRrACHojay4CW1wLx0QdS5tSwp-vYQ-s/edit"",""12!Q2:Q31""))"),5775.03799999999)</f>
        <v>5775.0379999999896</v>
      </c>
      <c r="G319" s="18">
        <f ca="1">IFERROR(__xludf.DUMMYFUNCTION("IMPORTRANGE(""https://docs.google.com/spreadsheets/d/1ja_RQYsP0p5wRrACHojay4CW1wLx0QdS5tSwp-vYQ-s/edit"",""12!e38"")"),2892)</f>
        <v>2892</v>
      </c>
      <c r="H319" s="18">
        <f ca="1">IFERROR(__xludf.DUMMYFUNCTION("IMPORTRANGE(""https://docs.google.com/spreadsheets/d/1ja_RQYsP0p5wRrACHojay4CW1wLx0QdS5tSwp-vYQ-s/edit"",""12!e39"")"),0)</f>
        <v>0</v>
      </c>
      <c r="I319" s="18">
        <f t="shared" ca="1" si="837"/>
        <v>2892</v>
      </c>
      <c r="J319" s="18">
        <f ca="1">IFERROR(__xludf.DUMMYFUNCTION("IMPORTRANGE(""https://docs.google.com/spreadsheets/d/1ja_RQYsP0p5wRrACHojay4CW1wLx0QdS5tSwp-vYQ-s/edit"",""12!e42"")"),4035)</f>
        <v>4035</v>
      </c>
      <c r="K319" s="18">
        <f ca="1">IFERROR(__xludf.DUMMYFUNCTION("IMPORTRANGE(""https://docs.google.com/spreadsheets/d/1ja_RQYsP0p5wRrACHojay4CW1wLx0QdS5tSwp-vYQ-s/edit"",""12!e43"")"),0)</f>
        <v>0</v>
      </c>
      <c r="L319" s="18">
        <f t="shared" ca="1" si="867"/>
        <v>4035</v>
      </c>
      <c r="M319" s="18">
        <f t="shared" ca="1" si="839"/>
        <v>6927</v>
      </c>
      <c r="N319" s="19">
        <f t="shared" ca="1" si="840"/>
        <v>199.13924137930999</v>
      </c>
      <c r="O319" s="16">
        <v>9201</v>
      </c>
      <c r="P319" s="20">
        <f t="shared" ca="1" si="841"/>
        <v>0.75285295076622105</v>
      </c>
      <c r="Q319" s="21">
        <v>1.5</v>
      </c>
      <c r="R319" s="20">
        <f t="shared" ca="1" si="842"/>
        <v>0.79964841789785768</v>
      </c>
      <c r="S319" s="22">
        <f t="shared" ca="1" si="843"/>
        <v>1.1994726268467866</v>
      </c>
      <c r="T319" s="21">
        <f ca="1">F319/26.491</f>
        <v>217.9999999999996</v>
      </c>
      <c r="U319" s="21">
        <f t="shared" ca="1" si="844"/>
        <v>7.517241379310331</v>
      </c>
      <c r="V319" s="18">
        <f t="shared" ca="1" si="845"/>
        <v>238.86206896551724</v>
      </c>
      <c r="W319" s="76"/>
      <c r="X319" s="8">
        <v>2</v>
      </c>
      <c r="Y319" s="8" t="s">
        <v>32</v>
      </c>
      <c r="Z319" s="8">
        <f t="shared" ref="Z319:AI319" si="886">SUM(D306)</f>
        <v>42</v>
      </c>
      <c r="AA319" s="9">
        <f t="shared" ca="1" si="886"/>
        <v>42</v>
      </c>
      <c r="AB319" s="10">
        <f t="shared" ca="1" si="886"/>
        <v>8067.1879999999901</v>
      </c>
      <c r="AC319" s="8">
        <f t="shared" ca="1" si="886"/>
        <v>4860</v>
      </c>
      <c r="AD319" s="8">
        <f t="shared" ca="1" si="886"/>
        <v>0</v>
      </c>
      <c r="AE319" s="9">
        <f t="shared" ca="1" si="886"/>
        <v>4860</v>
      </c>
      <c r="AF319" s="8">
        <f t="shared" ca="1" si="886"/>
        <v>5642</v>
      </c>
      <c r="AG319" s="8">
        <f t="shared" ca="1" si="886"/>
        <v>0</v>
      </c>
      <c r="AH319" s="9">
        <f t="shared" ca="1" si="886"/>
        <v>5642</v>
      </c>
      <c r="AI319" s="9">
        <f t="shared" ca="1" si="886"/>
        <v>10502</v>
      </c>
      <c r="AJ319" s="11">
        <f t="shared" ca="1" si="880"/>
        <v>192.07590476190452</v>
      </c>
      <c r="AK319" s="8">
        <f>SUM(O306)</f>
        <v>13817</v>
      </c>
      <c r="AL319" s="12">
        <f t="shared" ca="1" si="881"/>
        <v>0.76007816457986543</v>
      </c>
      <c r="AM319" s="13">
        <f>SUM(Q306)</f>
        <v>1.5</v>
      </c>
      <c r="AN319" s="12">
        <f t="shared" ca="1" si="882"/>
        <v>0.8678777950053157</v>
      </c>
      <c r="AO319" s="14">
        <f t="shared" ca="1" si="883"/>
        <v>1.3018166925079735</v>
      </c>
      <c r="AP319" s="13">
        <f t="shared" ref="AP319:AQ319" ca="1" si="887">SUM(T306)</f>
        <v>321.54282753397865</v>
      </c>
      <c r="AQ319" s="13">
        <f t="shared" ca="1" si="887"/>
        <v>7.655781607951873</v>
      </c>
      <c r="AR319" s="9">
        <f t="shared" ca="1" si="885"/>
        <v>250.04761904761904</v>
      </c>
      <c r="AS319" s="76"/>
      <c r="AT319" s="76"/>
    </row>
    <row r="320" spans="1:46" ht="15.75" customHeight="1" x14ac:dyDescent="0.25">
      <c r="A320" s="70"/>
      <c r="B320" s="16">
        <v>18</v>
      </c>
      <c r="C320" s="16" t="s">
        <v>31</v>
      </c>
      <c r="D320" s="17">
        <v>15</v>
      </c>
      <c r="E320" s="18">
        <f ca="1">IFERROR(__xludf.DUMMYFUNCTION("COUNT(IMPORTRANGE(""https://docs.google.com/spreadsheets/d/1ObnK1oSznTOmyW9Zcd2kxExl7TOnO2MNq_0giEKc_mE/edit"",""12!d2:d16""))"),14)</f>
        <v>14</v>
      </c>
      <c r="F320" s="19">
        <f ca="1">IFERROR(__xludf.DUMMYFUNCTION("SUM(IMPORTRANGE(""https://docs.google.com/spreadsheets/d/1ObnK1oSznTOmyW9Zcd2kxExl7TOnO2MNq_0giEKc_mE/edit"",""12!Q2:Q16""))"),2868.69)</f>
        <v>2868.69</v>
      </c>
      <c r="G320" s="18">
        <f ca="1">IFERROR(__xludf.DUMMYFUNCTION("IMPORTRANGE(""https://docs.google.com/spreadsheets/d/1ObnK1oSznTOmyW9Zcd2kxExl7TOnO2MNq_0giEKc_mE/edit"",""12!e23"")"),980)</f>
        <v>980</v>
      </c>
      <c r="H320" s="18">
        <f ca="1">IFERROR(__xludf.DUMMYFUNCTION("IMPORTRANGE(""https://docs.google.com/spreadsheets/d/1ObnK1oSznTOmyW9Zcd2kxExl7TOnO2MNq_0giEKc_mE/edit"",""12!e24"")"),12)</f>
        <v>12</v>
      </c>
      <c r="I320" s="18">
        <f t="shared" ca="1" si="837"/>
        <v>992</v>
      </c>
      <c r="J320" s="18">
        <f ca="1">IFERROR(__xludf.DUMMYFUNCTION("IMPORTRANGE(""https://docs.google.com/spreadsheets/d/1ObnK1oSznTOmyW9Zcd2kxExl7TOnO2MNq_0giEKc_mE/edit"",""12!e27"")"),1106)</f>
        <v>1106</v>
      </c>
      <c r="K320" s="18">
        <f ca="1">IFERROR(__xludf.DUMMYFUNCTION("IMPORTRANGE(""https://docs.google.com/spreadsheets/d/1ObnK1oSznTOmyW9Zcd2kxExl7TOnO2MNq_0giEKc_mE/edit"",""12!e28"")"),0)</f>
        <v>0</v>
      </c>
      <c r="L320" s="18">
        <f t="shared" ca="1" si="867"/>
        <v>1106</v>
      </c>
      <c r="M320" s="18">
        <f t="shared" ca="1" si="839"/>
        <v>2098</v>
      </c>
      <c r="N320" s="19">
        <f t="shared" ca="1" si="840"/>
        <v>204.90642857142856</v>
      </c>
      <c r="O320" s="16">
        <v>2717</v>
      </c>
      <c r="P320" s="20">
        <f t="shared" ca="1" si="841"/>
        <v>0.7721751932278248</v>
      </c>
      <c r="Q320" s="21">
        <v>1.5</v>
      </c>
      <c r="R320" s="20">
        <f t="shared" ca="1" si="842"/>
        <v>0.48756284808280664</v>
      </c>
      <c r="S320" s="22">
        <f t="shared" ca="1" si="843"/>
        <v>0.73134427212420994</v>
      </c>
      <c r="T320" s="21">
        <f ca="1">F320/43.465</f>
        <v>66</v>
      </c>
      <c r="U320" s="21">
        <f t="shared" ca="1" si="844"/>
        <v>4.7142857142857144</v>
      </c>
      <c r="V320" s="18">
        <f t="shared" ca="1" si="845"/>
        <v>149.85714285714286</v>
      </c>
      <c r="W320" s="76"/>
      <c r="X320" s="8">
        <v>3</v>
      </c>
      <c r="Y320" s="8" t="s">
        <v>36</v>
      </c>
      <c r="Z320" s="8">
        <f t="shared" ref="Z320:AI320" si="888">SUM(D311)</f>
        <v>29</v>
      </c>
      <c r="AA320" s="9">
        <f t="shared" ca="1" si="888"/>
        <v>29</v>
      </c>
      <c r="AB320" s="10">
        <f t="shared" ca="1" si="888"/>
        <v>5753.7759999999898</v>
      </c>
      <c r="AC320" s="9">
        <f t="shared" ca="1" si="888"/>
        <v>1720</v>
      </c>
      <c r="AD320" s="9">
        <f t="shared" ca="1" si="888"/>
        <v>0</v>
      </c>
      <c r="AE320" s="9">
        <f t="shared" ca="1" si="888"/>
        <v>1720</v>
      </c>
      <c r="AF320" s="9">
        <f t="shared" ca="1" si="888"/>
        <v>2334</v>
      </c>
      <c r="AG320" s="9">
        <f t="shared" ca="1" si="888"/>
        <v>0</v>
      </c>
      <c r="AH320" s="9">
        <f t="shared" ca="1" si="888"/>
        <v>2334</v>
      </c>
      <c r="AI320" s="9">
        <f t="shared" ca="1" si="888"/>
        <v>4054</v>
      </c>
      <c r="AJ320" s="11">
        <f t="shared" ca="1" si="880"/>
        <v>198.40606896551688</v>
      </c>
      <c r="AK320" s="8">
        <f t="shared" ref="AK320:AK323" si="889">SUM(O311)</f>
        <v>4796</v>
      </c>
      <c r="AL320" s="12">
        <f t="shared" ca="1" si="881"/>
        <v>0.84528773978315264</v>
      </c>
      <c r="AM320" s="13">
        <f t="shared" ref="AM320:AM323" si="890">SUM(Q311)</f>
        <v>1.5</v>
      </c>
      <c r="AN320" s="12">
        <f t="shared" ca="1" si="882"/>
        <v>0.46972052208265863</v>
      </c>
      <c r="AO320" s="14">
        <f t="shared" ca="1" si="883"/>
        <v>0.70458078312398797</v>
      </c>
      <c r="AP320" s="13">
        <f t="shared" ref="AP320:AQ320" ca="1" si="891">SUM(T311)</f>
        <v>153.7867108568982</v>
      </c>
      <c r="AQ320" s="13">
        <f t="shared" ca="1" si="891"/>
        <v>5.302990029548214</v>
      </c>
      <c r="AR320" s="9">
        <f t="shared" ca="1" si="885"/>
        <v>139.79310344827587</v>
      </c>
      <c r="AS320" s="76"/>
      <c r="AT320" s="76"/>
    </row>
    <row r="321" spans="1:46" ht="15.75" customHeight="1" x14ac:dyDescent="0.2">
      <c r="A321" s="70"/>
      <c r="B321" s="98" t="s">
        <v>33</v>
      </c>
      <c r="C321" s="98">
        <v>18</v>
      </c>
      <c r="D321" s="98">
        <f t="shared" ref="D321:M321" si="892">SUM(D303:D320)</f>
        <v>585</v>
      </c>
      <c r="E321" s="74">
        <f t="shared" ca="1" si="892"/>
        <v>577</v>
      </c>
      <c r="F321" s="99">
        <f t="shared" ca="1" si="892"/>
        <v>111787.73399999981</v>
      </c>
      <c r="G321" s="74">
        <f t="shared" ca="1" si="892"/>
        <v>45698</v>
      </c>
      <c r="H321" s="74">
        <f t="shared" ca="1" si="892"/>
        <v>895</v>
      </c>
      <c r="I321" s="74">
        <f t="shared" ca="1" si="892"/>
        <v>46593</v>
      </c>
      <c r="J321" s="74">
        <f t="shared" ca="1" si="892"/>
        <v>54320</v>
      </c>
      <c r="K321" s="74">
        <f t="shared" ca="1" si="892"/>
        <v>1428</v>
      </c>
      <c r="L321" s="74">
        <f t="shared" ca="1" si="892"/>
        <v>55748</v>
      </c>
      <c r="M321" s="74">
        <f t="shared" ca="1" si="892"/>
        <v>102341</v>
      </c>
      <c r="N321" s="99">
        <f t="shared" ca="1" si="840"/>
        <v>193.73957365684541</v>
      </c>
      <c r="O321" s="98">
        <f>SUM(O303:O320)</f>
        <v>126399</v>
      </c>
      <c r="P321" s="69">
        <f t="shared" ca="1" si="841"/>
        <v>0.80966621571373187</v>
      </c>
      <c r="Q321" s="72">
        <v>1.5</v>
      </c>
      <c r="R321" s="69">
        <f t="shared" ca="1" si="842"/>
        <v>0.61032933482070095</v>
      </c>
      <c r="S321" s="73">
        <f t="shared" ca="1" si="843"/>
        <v>0.91549400223105137</v>
      </c>
      <c r="T321" s="72">
        <f ca="1">SUM(T303:T320)</f>
        <v>4100.7586726113814</v>
      </c>
      <c r="U321" s="72">
        <f t="shared" ca="1" si="844"/>
        <v>7.1070340946471084</v>
      </c>
      <c r="V321" s="74">
        <f t="shared" ca="1" si="845"/>
        <v>177.36741767764298</v>
      </c>
      <c r="W321" s="76"/>
      <c r="X321" s="8">
        <v>4</v>
      </c>
      <c r="Y321" s="8" t="s">
        <v>37</v>
      </c>
      <c r="Z321" s="8">
        <f t="shared" ref="Z321:AI321" si="893">SUM(D312)</f>
        <v>30</v>
      </c>
      <c r="AA321" s="9">
        <f t="shared" ca="1" si="893"/>
        <v>30</v>
      </c>
      <c r="AB321" s="10">
        <f t="shared" ca="1" si="893"/>
        <v>5985.73199999999</v>
      </c>
      <c r="AC321" s="9">
        <f t="shared" ca="1" si="893"/>
        <v>2253</v>
      </c>
      <c r="AD321" s="9">
        <f t="shared" ca="1" si="893"/>
        <v>0</v>
      </c>
      <c r="AE321" s="9">
        <f t="shared" ca="1" si="893"/>
        <v>2253</v>
      </c>
      <c r="AF321" s="9">
        <f t="shared" ca="1" si="893"/>
        <v>3123</v>
      </c>
      <c r="AG321" s="9">
        <f t="shared" ca="1" si="893"/>
        <v>0</v>
      </c>
      <c r="AH321" s="9">
        <f t="shared" ca="1" si="893"/>
        <v>3123</v>
      </c>
      <c r="AI321" s="9">
        <f t="shared" ca="1" si="893"/>
        <v>5376</v>
      </c>
      <c r="AJ321" s="11">
        <f t="shared" ca="1" si="880"/>
        <v>199.52439999999967</v>
      </c>
      <c r="AK321" s="8">
        <f t="shared" si="889"/>
        <v>5887</v>
      </c>
      <c r="AL321" s="12">
        <f t="shared" ca="1" si="881"/>
        <v>0.91319857312722952</v>
      </c>
      <c r="AM321" s="13">
        <f t="shared" si="890"/>
        <v>1.5</v>
      </c>
      <c r="AN321" s="12">
        <f t="shared" ca="1" si="882"/>
        <v>0.59875717790238625</v>
      </c>
      <c r="AO321" s="14">
        <f t="shared" ca="1" si="883"/>
        <v>0.89813576685357932</v>
      </c>
      <c r="AP321" s="13">
        <f t="shared" ref="AP321:AQ321" ca="1" si="894">SUM(T312)</f>
        <v>241.4380445304933</v>
      </c>
      <c r="AQ321" s="13">
        <f t="shared" ca="1" si="894"/>
        <v>8.0479348176831103</v>
      </c>
      <c r="AR321" s="9">
        <f t="shared" ca="1" si="885"/>
        <v>179.2</v>
      </c>
      <c r="AS321" s="76"/>
      <c r="AT321" s="76"/>
    </row>
    <row r="322" spans="1:46" ht="15.75" customHeight="1" x14ac:dyDescent="0.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6"/>
      <c r="X322" s="8">
        <v>5</v>
      </c>
      <c r="Y322" s="8" t="s">
        <v>39</v>
      </c>
      <c r="Z322" s="8">
        <f t="shared" ref="Z322:AI322" si="895">SUM(D313)</f>
        <v>28</v>
      </c>
      <c r="AA322" s="9">
        <f t="shared" ca="1" si="895"/>
        <v>26</v>
      </c>
      <c r="AB322" s="10">
        <f t="shared" ca="1" si="895"/>
        <v>4705.8539999999903</v>
      </c>
      <c r="AC322" s="9">
        <f t="shared" ca="1" si="895"/>
        <v>1195</v>
      </c>
      <c r="AD322" s="9">
        <f t="shared" ca="1" si="895"/>
        <v>36</v>
      </c>
      <c r="AE322" s="9">
        <f t="shared" ca="1" si="895"/>
        <v>1231</v>
      </c>
      <c r="AF322" s="9">
        <f t="shared" ca="1" si="895"/>
        <v>1815</v>
      </c>
      <c r="AG322" s="9">
        <f t="shared" ca="1" si="895"/>
        <v>136</v>
      </c>
      <c r="AH322" s="9">
        <f t="shared" ca="1" si="895"/>
        <v>1951</v>
      </c>
      <c r="AI322" s="9">
        <f t="shared" ca="1" si="895"/>
        <v>3182</v>
      </c>
      <c r="AJ322" s="11">
        <f t="shared" ca="1" si="880"/>
        <v>180.99438461538423</v>
      </c>
      <c r="AK322" s="8">
        <f t="shared" si="889"/>
        <v>3569</v>
      </c>
      <c r="AL322" s="12">
        <f t="shared" ca="1" si="881"/>
        <v>0.89156626506024095</v>
      </c>
      <c r="AM322" s="13">
        <f t="shared" si="890"/>
        <v>1.5</v>
      </c>
      <c r="AN322" s="12">
        <f t="shared" ca="1" si="882"/>
        <v>0.4507860493192814</v>
      </c>
      <c r="AO322" s="14">
        <f t="shared" ca="1" si="883"/>
        <v>0.67617907397892207</v>
      </c>
      <c r="AP322" s="13">
        <f t="shared" ref="AP322:AQ322" ca="1" si="896">SUM(T313)</f>
        <v>219.25425150258539</v>
      </c>
      <c r="AQ322" s="13">
        <f t="shared" ca="1" si="896"/>
        <v>8.4328558270225145</v>
      </c>
      <c r="AR322" s="9">
        <f t="shared" ca="1" si="885"/>
        <v>122.38461538461539</v>
      </c>
      <c r="AS322" s="76"/>
      <c r="AT322" s="76"/>
    </row>
    <row r="323" spans="1:46" ht="15.75" customHeight="1" x14ac:dyDescent="0.2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6"/>
      <c r="X323" s="8">
        <v>6</v>
      </c>
      <c r="Y323" s="8" t="s">
        <v>41</v>
      </c>
      <c r="Z323" s="8">
        <f t="shared" ref="Z323:AI323" si="897">SUM(D314)</f>
        <v>24</v>
      </c>
      <c r="AA323" s="9">
        <f t="shared" ca="1" si="897"/>
        <v>24</v>
      </c>
      <c r="AB323" s="10">
        <f t="shared" ca="1" si="897"/>
        <v>4793.152</v>
      </c>
      <c r="AC323" s="9">
        <f t="shared" ca="1" si="897"/>
        <v>1446</v>
      </c>
      <c r="AD323" s="9">
        <f t="shared" ca="1" si="897"/>
        <v>58</v>
      </c>
      <c r="AE323" s="9">
        <f t="shared" ca="1" si="897"/>
        <v>1504</v>
      </c>
      <c r="AF323" s="9">
        <f t="shared" ca="1" si="897"/>
        <v>1419</v>
      </c>
      <c r="AG323" s="9">
        <f t="shared" ca="1" si="897"/>
        <v>199</v>
      </c>
      <c r="AH323" s="9">
        <f t="shared" ca="1" si="897"/>
        <v>1618</v>
      </c>
      <c r="AI323" s="9">
        <f t="shared" ca="1" si="897"/>
        <v>3122</v>
      </c>
      <c r="AJ323" s="11">
        <f t="shared" ca="1" si="880"/>
        <v>199.71466666666666</v>
      </c>
      <c r="AK323" s="8">
        <f t="shared" si="889"/>
        <v>3801</v>
      </c>
      <c r="AL323" s="12">
        <f t="shared" ca="1" si="881"/>
        <v>0.82136279926335176</v>
      </c>
      <c r="AM323" s="13">
        <f t="shared" si="890"/>
        <v>1.5</v>
      </c>
      <c r="AN323" s="12">
        <f t="shared" ca="1" si="882"/>
        <v>0.4342306134529707</v>
      </c>
      <c r="AO323" s="14">
        <f t="shared" ca="1" si="883"/>
        <v>0.65134592017945603</v>
      </c>
      <c r="AP323" s="13">
        <f t="shared" ref="AP323:AQ323" ca="1" si="898">SUM(T314)</f>
        <v>161.77777777777777</v>
      </c>
      <c r="AQ323" s="13">
        <f t="shared" ca="1" si="898"/>
        <v>6.7407407407407405</v>
      </c>
      <c r="AR323" s="9">
        <f t="shared" ca="1" si="885"/>
        <v>130.08333333333334</v>
      </c>
      <c r="AS323" s="76"/>
      <c r="AT323" s="76"/>
    </row>
    <row r="324" spans="1:46" ht="15.75" customHeight="1" x14ac:dyDescent="0.25">
      <c r="A324" s="110" t="s">
        <v>45</v>
      </c>
      <c r="B324" s="76"/>
      <c r="C324" s="76"/>
      <c r="D324" s="75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24" t="s">
        <v>33</v>
      </c>
      <c r="Y324" s="24">
        <v>6</v>
      </c>
      <c r="Z324" s="24">
        <f t="shared" ref="Z324:AI324" si="899">SUM(Z318:Z323)</f>
        <v>173</v>
      </c>
      <c r="AA324" s="25">
        <f t="shared" ca="1" si="899"/>
        <v>171</v>
      </c>
      <c r="AB324" s="27">
        <f t="shared" ca="1" si="899"/>
        <v>33075.759999999958</v>
      </c>
      <c r="AC324" s="25">
        <f t="shared" ca="1" si="899"/>
        <v>13715</v>
      </c>
      <c r="AD324" s="25">
        <f t="shared" ca="1" si="899"/>
        <v>94</v>
      </c>
      <c r="AE324" s="25">
        <f t="shared" ca="1" si="899"/>
        <v>13809</v>
      </c>
      <c r="AF324" s="25">
        <f t="shared" ca="1" si="899"/>
        <v>17519</v>
      </c>
      <c r="AG324" s="25">
        <f t="shared" ca="1" si="899"/>
        <v>335</v>
      </c>
      <c r="AH324" s="25">
        <f t="shared" ca="1" si="899"/>
        <v>17854</v>
      </c>
      <c r="AI324" s="25">
        <f t="shared" ca="1" si="899"/>
        <v>31663</v>
      </c>
      <c r="AJ324" s="27">
        <f t="shared" ca="1" si="880"/>
        <v>193.42549707602313</v>
      </c>
      <c r="AK324" s="24">
        <f>SUM(AK318:AK323)</f>
        <v>37031</v>
      </c>
      <c r="AL324" s="28">
        <f t="shared" ca="1" si="881"/>
        <v>0.85504037158056767</v>
      </c>
      <c r="AM324" s="29">
        <v>1.5</v>
      </c>
      <c r="AN324" s="28">
        <f t="shared" ca="1" si="882"/>
        <v>0.63819143283984081</v>
      </c>
      <c r="AO324" s="30">
        <f t="shared" ca="1" si="883"/>
        <v>0.95728714925976122</v>
      </c>
      <c r="AP324" s="29">
        <f ca="1">SUM(AP318:AP323)</f>
        <v>1359.3367610050634</v>
      </c>
      <c r="AQ324" s="29">
        <f ca="1">AP324/AA324</f>
        <v>7.9493377836553414</v>
      </c>
      <c r="AR324" s="25">
        <f t="shared" ca="1" si="885"/>
        <v>185.16374269005848</v>
      </c>
      <c r="AS324" s="76"/>
      <c r="AT324" s="76"/>
    </row>
    <row r="325" spans="1:46" ht="15.75" customHeight="1" x14ac:dyDescent="0.2">
      <c r="A325" s="110" t="s">
        <v>45</v>
      </c>
      <c r="B325" s="76"/>
      <c r="C325" s="76"/>
      <c r="D325" s="75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7" t="s">
        <v>1</v>
      </c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9"/>
      <c r="AS325" s="76"/>
      <c r="AT325" s="76"/>
    </row>
    <row r="326" spans="1:46" ht="15.75" customHeight="1" x14ac:dyDescent="0.2">
      <c r="A326" s="109">
        <v>46247</v>
      </c>
      <c r="B326" s="80" t="s">
        <v>2</v>
      </c>
      <c r="C326" s="80" t="s">
        <v>3</v>
      </c>
      <c r="D326" s="80" t="s">
        <v>4</v>
      </c>
      <c r="E326" s="80" t="s">
        <v>5</v>
      </c>
      <c r="F326" s="81" t="s">
        <v>6</v>
      </c>
      <c r="G326" s="80" t="s">
        <v>7</v>
      </c>
      <c r="H326" s="80" t="s">
        <v>8</v>
      </c>
      <c r="I326" s="80" t="s">
        <v>9</v>
      </c>
      <c r="J326" s="80" t="s">
        <v>10</v>
      </c>
      <c r="K326" s="80" t="s">
        <v>11</v>
      </c>
      <c r="L326" s="80" t="s">
        <v>12</v>
      </c>
      <c r="M326" s="80" t="s">
        <v>13</v>
      </c>
      <c r="N326" s="81" t="s">
        <v>14</v>
      </c>
      <c r="O326" s="80" t="s">
        <v>15</v>
      </c>
      <c r="P326" s="80" t="s">
        <v>16</v>
      </c>
      <c r="Q326" s="80" t="s">
        <v>17</v>
      </c>
      <c r="R326" s="80" t="s">
        <v>18</v>
      </c>
      <c r="S326" s="106" t="s">
        <v>19</v>
      </c>
      <c r="T326" s="107" t="s">
        <v>20</v>
      </c>
      <c r="U326" s="107" t="s">
        <v>21</v>
      </c>
      <c r="V326" s="105" t="s">
        <v>22</v>
      </c>
      <c r="W326" s="76"/>
      <c r="X326" s="1" t="s">
        <v>2</v>
      </c>
      <c r="Y326" s="1" t="s">
        <v>3</v>
      </c>
      <c r="Z326" s="1" t="s">
        <v>4</v>
      </c>
      <c r="AA326" s="1" t="s">
        <v>5</v>
      </c>
      <c r="AB326" s="2" t="s">
        <v>6</v>
      </c>
      <c r="AC326" s="1" t="s">
        <v>7</v>
      </c>
      <c r="AD326" s="1" t="s">
        <v>8</v>
      </c>
      <c r="AE326" s="1" t="s">
        <v>9</v>
      </c>
      <c r="AF326" s="1" t="s">
        <v>10</v>
      </c>
      <c r="AG326" s="1" t="s">
        <v>11</v>
      </c>
      <c r="AH326" s="1" t="s">
        <v>12</v>
      </c>
      <c r="AI326" s="1" t="s">
        <v>13</v>
      </c>
      <c r="AJ326" s="2" t="s">
        <v>14</v>
      </c>
      <c r="AK326" s="1" t="s">
        <v>15</v>
      </c>
      <c r="AL326" s="1" t="s">
        <v>16</v>
      </c>
      <c r="AM326" s="3" t="s">
        <v>17</v>
      </c>
      <c r="AN326" s="4" t="s">
        <v>18</v>
      </c>
      <c r="AO326" s="5" t="s">
        <v>19</v>
      </c>
      <c r="AP326" s="6" t="s">
        <v>20</v>
      </c>
      <c r="AQ326" s="6" t="s">
        <v>21</v>
      </c>
      <c r="AR326" s="7" t="s">
        <v>22</v>
      </c>
      <c r="AS326" s="76"/>
      <c r="AT326" s="76"/>
    </row>
    <row r="327" spans="1:46" ht="15.75" customHeight="1" x14ac:dyDescent="0.2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6"/>
      <c r="X327" s="8">
        <v>1</v>
      </c>
      <c r="Y327" s="8" t="s">
        <v>23</v>
      </c>
      <c r="Z327" s="8">
        <f t="shared" ref="Z327:AI327" si="900">SUM(D335)</f>
        <v>35</v>
      </c>
      <c r="AA327" s="9">
        <f t="shared" ca="1" si="900"/>
        <v>34</v>
      </c>
      <c r="AB327" s="10">
        <f t="shared" ca="1" si="900"/>
        <v>6395.5239999999903</v>
      </c>
      <c r="AC327" s="9">
        <f t="shared" ca="1" si="900"/>
        <v>2663</v>
      </c>
      <c r="AD327" s="9">
        <f t="shared" ca="1" si="900"/>
        <v>0</v>
      </c>
      <c r="AE327" s="9">
        <f t="shared" ca="1" si="900"/>
        <v>2663</v>
      </c>
      <c r="AF327" s="9">
        <f t="shared" ca="1" si="900"/>
        <v>2478</v>
      </c>
      <c r="AG327" s="9">
        <f t="shared" ca="1" si="900"/>
        <v>0</v>
      </c>
      <c r="AH327" s="9">
        <f t="shared" ca="1" si="900"/>
        <v>2478</v>
      </c>
      <c r="AI327" s="9">
        <f t="shared" ca="1" si="900"/>
        <v>5141</v>
      </c>
      <c r="AJ327" s="11">
        <f t="shared" ref="AJ327:AJ329" ca="1" si="901">AB327/AA327</f>
        <v>188.10364705882324</v>
      </c>
      <c r="AK327" s="8">
        <f>SUM(O335)</f>
        <v>6853</v>
      </c>
      <c r="AL327" s="12">
        <f t="shared" ref="AL327:AL333" ca="1" si="902">AI327/AK327</f>
        <v>0.75018240186779517</v>
      </c>
      <c r="AM327" s="13">
        <f t="shared" ref="AM327:AM329" si="903">SUM(Q335)</f>
        <v>1.5</v>
      </c>
      <c r="AN327" s="12">
        <f t="shared" ref="AN327:AN333" ca="1" si="904">AO327/AM327</f>
        <v>0.53589562533630375</v>
      </c>
      <c r="AO327" s="14">
        <f t="shared" ref="AO327:AO333" ca="1" si="905">AI327/AB327</f>
        <v>0.80384343800445557</v>
      </c>
      <c r="AP327" s="13">
        <f t="shared" ref="AP327:AQ327" ca="1" si="906">SUM(T335)</f>
        <v>189.55317131001749</v>
      </c>
      <c r="AQ327" s="13">
        <f t="shared" ca="1" si="906"/>
        <v>5.5750932738240442</v>
      </c>
      <c r="AR327" s="9">
        <f t="shared" ref="AR327:AR333" ca="1" si="907">AI327/AA327</f>
        <v>151.20588235294119</v>
      </c>
      <c r="AS327" s="76"/>
      <c r="AT327" s="76"/>
    </row>
    <row r="328" spans="1:46" ht="15.75" customHeight="1" x14ac:dyDescent="0.2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6"/>
      <c r="X328" s="8">
        <v>2</v>
      </c>
      <c r="Y328" s="8" t="s">
        <v>24</v>
      </c>
      <c r="Z328" s="8">
        <f t="shared" ref="Z328:AI328" si="908">SUM(D336)</f>
        <v>44</v>
      </c>
      <c r="AA328" s="9">
        <f t="shared" ca="1" si="908"/>
        <v>43</v>
      </c>
      <c r="AB328" s="10">
        <f t="shared" ca="1" si="908"/>
        <v>8088.2509999999902</v>
      </c>
      <c r="AC328" s="9">
        <f t="shared" ca="1" si="908"/>
        <v>1102</v>
      </c>
      <c r="AD328" s="9">
        <f t="shared" ca="1" si="908"/>
        <v>0</v>
      </c>
      <c r="AE328" s="9">
        <f t="shared" ca="1" si="908"/>
        <v>1102</v>
      </c>
      <c r="AF328" s="9">
        <f t="shared" ca="1" si="908"/>
        <v>1360</v>
      </c>
      <c r="AG328" s="9">
        <f t="shared" ca="1" si="908"/>
        <v>0</v>
      </c>
      <c r="AH328" s="9">
        <f t="shared" ca="1" si="908"/>
        <v>1360</v>
      </c>
      <c r="AI328" s="9">
        <f t="shared" ca="1" si="908"/>
        <v>2462</v>
      </c>
      <c r="AJ328" s="11">
        <f t="shared" ca="1" si="901"/>
        <v>188.09886046511605</v>
      </c>
      <c r="AK328" s="8">
        <v>1580</v>
      </c>
      <c r="AL328" s="15">
        <f t="shared" ca="1" si="902"/>
        <v>1.5582278481012659</v>
      </c>
      <c r="AM328" s="13">
        <f t="shared" si="903"/>
        <v>1.5</v>
      </c>
      <c r="AN328" s="12">
        <f t="shared" ca="1" si="904"/>
        <v>0.20292809079902877</v>
      </c>
      <c r="AO328" s="14">
        <f t="shared" ca="1" si="905"/>
        <v>0.30439213619854316</v>
      </c>
      <c r="AP328" s="13">
        <f t="shared" ref="AP328:AQ328" ca="1" si="909">SUM(T336)</f>
        <v>301.7441149039355</v>
      </c>
      <c r="AQ328" s="13">
        <f t="shared" ca="1" si="909"/>
        <v>7.0173049977659421</v>
      </c>
      <c r="AR328" s="9">
        <f t="shared" ca="1" si="907"/>
        <v>57.255813953488371</v>
      </c>
      <c r="AS328" s="76"/>
      <c r="AT328" s="76"/>
    </row>
    <row r="329" spans="1:46" ht="15.75" customHeight="1" x14ac:dyDescent="0.2">
      <c r="A329" s="70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6"/>
      <c r="X329" s="8">
        <v>3</v>
      </c>
      <c r="Y329" s="8" t="s">
        <v>25</v>
      </c>
      <c r="Z329" s="8">
        <f t="shared" ref="Z329:AI329" si="910">SUM(D337)</f>
        <v>32</v>
      </c>
      <c r="AA329" s="9">
        <f t="shared" ca="1" si="910"/>
        <v>32</v>
      </c>
      <c r="AB329" s="10">
        <f t="shared" ca="1" si="910"/>
        <v>5873.9080000000004</v>
      </c>
      <c r="AC329" s="9">
        <f t="shared" ca="1" si="910"/>
        <v>2241</v>
      </c>
      <c r="AD329" s="9">
        <f t="shared" ca="1" si="910"/>
        <v>359</v>
      </c>
      <c r="AE329" s="9">
        <f t="shared" ca="1" si="910"/>
        <v>2600</v>
      </c>
      <c r="AF329" s="9">
        <f t="shared" ca="1" si="910"/>
        <v>3326</v>
      </c>
      <c r="AG329" s="9">
        <f t="shared" ca="1" si="910"/>
        <v>395</v>
      </c>
      <c r="AH329" s="9">
        <f t="shared" ca="1" si="910"/>
        <v>3721</v>
      </c>
      <c r="AI329" s="9">
        <f t="shared" ca="1" si="910"/>
        <v>6321</v>
      </c>
      <c r="AJ329" s="11">
        <f t="shared" ca="1" si="901"/>
        <v>183.55962500000001</v>
      </c>
      <c r="AK329" s="8">
        <f>SUM(O337)</f>
        <v>6622</v>
      </c>
      <c r="AL329" s="12">
        <f t="shared" ca="1" si="902"/>
        <v>0.95454545454545459</v>
      </c>
      <c r="AM329" s="13">
        <f t="shared" si="903"/>
        <v>1.5</v>
      </c>
      <c r="AN329" s="12">
        <f t="shared" ca="1" si="904"/>
        <v>0.717409942409721</v>
      </c>
      <c r="AO329" s="14">
        <f t="shared" ca="1" si="905"/>
        <v>1.0761149136145816</v>
      </c>
      <c r="AP329" s="13">
        <f t="shared" ref="AP329:AQ329" ca="1" si="911">SUM(T337)</f>
        <v>246.38875838926177</v>
      </c>
      <c r="AQ329" s="13">
        <f t="shared" ca="1" si="911"/>
        <v>7.6996486996644302</v>
      </c>
      <c r="AR329" s="9">
        <f t="shared" ca="1" si="907"/>
        <v>197.53125</v>
      </c>
      <c r="AS329" s="76"/>
      <c r="AT329" s="76"/>
    </row>
    <row r="330" spans="1:46" ht="15.75" customHeight="1" x14ac:dyDescent="0.25">
      <c r="A330" s="70"/>
      <c r="B330" s="16">
        <v>1</v>
      </c>
      <c r="C330" s="16" t="s">
        <v>26</v>
      </c>
      <c r="D330" s="17">
        <v>20</v>
      </c>
      <c r="E330" s="18">
        <f ca="1">IFERROR(__xludf.DUMMYFUNCTION("COUNT(IMPORTRANGE(""https://docs.google.com/spreadsheets/d/1iVFEBQOAONhqDIMRa2hQ7WkCQv0dJWSAmc0AzfvSCMg/edit"",""13!d2:d21""))"),20)</f>
        <v>20</v>
      </c>
      <c r="F330" s="19">
        <f ca="1">IFERROR(__xludf.DUMMYFUNCTION("SUM(IMPORTRANGE(""https://docs.google.com/spreadsheets/d/1iVFEBQOAONhqDIMRa2hQ7WkCQv0dJWSAmc0AzfvSCMg/edit"",""13!Q2:Q21""))"),3662.022)</f>
        <v>3662.0219999999999</v>
      </c>
      <c r="G330" s="18">
        <f ca="1">IFERROR(__xludf.DUMMYFUNCTION("IMPORTRANGE(""https://docs.google.com/spreadsheets/d/1iVFEBQOAONhqDIMRa2hQ7WkCQv0dJWSAmc0AzfvSCMg/edit"",""13!e28"")"),2150)</f>
        <v>2150</v>
      </c>
      <c r="H330" s="18">
        <f ca="1">IFERROR(__xludf.DUMMYFUNCTION("IMPORTRANGE(""https://docs.google.com/spreadsheets/d/1iVFEBQOAONhqDIMRa2hQ7WkCQv0dJWSAmc0AzfvSCMg/edit"",""13!e29"")"),0)</f>
        <v>0</v>
      </c>
      <c r="I330" s="18">
        <f t="shared" ref="I330:I347" ca="1" si="912">SUM(G330:H330)</f>
        <v>2150</v>
      </c>
      <c r="J330" s="18">
        <f ca="1">IFERROR(__xludf.DUMMYFUNCTION("IMPORTRANGE(""https://docs.google.com/spreadsheets/d/1iVFEBQOAONhqDIMRa2hQ7WkCQv0dJWSAmc0AzfvSCMg/edit"",""13!e32"")"),2769)</f>
        <v>2769</v>
      </c>
      <c r="K330" s="18">
        <f ca="1">IFERROR(__xludf.DUMMYFUNCTION("IMPORTRANGE(""https://docs.google.com/spreadsheets/d/1iVFEBQOAONhqDIMRa2hQ7WkCQv0dJWSAmc0AzfvSCMg/edit"",""13!e33"")"),0)</f>
        <v>0</v>
      </c>
      <c r="L330" s="18">
        <f t="shared" ref="L330:L336" ca="1" si="913">SUM(J330:K330)</f>
        <v>2769</v>
      </c>
      <c r="M330" s="18">
        <f t="shared" ref="M330:M347" ca="1" si="914">SUM(I330+L330)</f>
        <v>4919</v>
      </c>
      <c r="N330" s="19">
        <f t="shared" ref="N330:N348" ca="1" si="915">F330/E330</f>
        <v>183.1011</v>
      </c>
      <c r="O330" s="16">
        <v>5161</v>
      </c>
      <c r="P330" s="20">
        <f t="shared" ref="P330:P348" ca="1" si="916">M330/O330</f>
        <v>0.9531098624297617</v>
      </c>
      <c r="Q330" s="21">
        <v>1.5</v>
      </c>
      <c r="R330" s="20">
        <f t="shared" ref="R330:R348" ca="1" si="917">S330/Q330</f>
        <v>0.89549798808781966</v>
      </c>
      <c r="S330" s="22">
        <f t="shared" ref="S330:S348" ca="1" si="918">M330/F330</f>
        <v>1.3432469821317294</v>
      </c>
      <c r="T330" s="21">
        <f ca="1">F330/14.415</f>
        <v>254.04245577523415</v>
      </c>
      <c r="U330" s="21">
        <f t="shared" ref="U330:U348" ca="1" si="919">T330/E330</f>
        <v>12.702122788761708</v>
      </c>
      <c r="V330" s="18">
        <f t="shared" ref="V330:V348" ca="1" si="920">M330/E330</f>
        <v>245.95</v>
      </c>
      <c r="W330" s="76"/>
      <c r="X330" s="8">
        <v>4</v>
      </c>
      <c r="Y330" s="8" t="s">
        <v>27</v>
      </c>
      <c r="Z330" s="8">
        <f t="shared" ref="Z330:AK330" si="921">SUM(D343)</f>
        <v>30</v>
      </c>
      <c r="AA330" s="9">
        <f t="shared" ca="1" si="921"/>
        <v>28</v>
      </c>
      <c r="AB330" s="10">
        <f t="shared" ca="1" si="921"/>
        <v>4552.47299999999</v>
      </c>
      <c r="AC330" s="9">
        <f t="shared" ca="1" si="921"/>
        <v>2226</v>
      </c>
      <c r="AD330" s="9">
        <f t="shared" ca="1" si="921"/>
        <v>0</v>
      </c>
      <c r="AE330" s="9">
        <f t="shared" ca="1" si="921"/>
        <v>2226</v>
      </c>
      <c r="AF330" s="9">
        <f t="shared" ca="1" si="921"/>
        <v>2800</v>
      </c>
      <c r="AG330" s="9">
        <f t="shared" ca="1" si="921"/>
        <v>0</v>
      </c>
      <c r="AH330" s="9">
        <f t="shared" ca="1" si="921"/>
        <v>2800</v>
      </c>
      <c r="AI330" s="9">
        <f t="shared" ca="1" si="921"/>
        <v>5026</v>
      </c>
      <c r="AJ330" s="11">
        <f t="shared" ca="1" si="921"/>
        <v>162.58832142857108</v>
      </c>
      <c r="AK330" s="8">
        <f t="shared" si="921"/>
        <v>8101</v>
      </c>
      <c r="AL330" s="12">
        <f t="shared" ca="1" si="902"/>
        <v>0.62041723244043945</v>
      </c>
      <c r="AM330" s="13">
        <f>SUM(Q343)</f>
        <v>1.5</v>
      </c>
      <c r="AN330" s="12">
        <f t="shared" ca="1" si="904"/>
        <v>0.73601022272217198</v>
      </c>
      <c r="AO330" s="14">
        <f t="shared" ca="1" si="905"/>
        <v>1.1040153340832579</v>
      </c>
      <c r="AP330" s="13">
        <f t="shared" ref="AP330:AQ330" ca="1" si="922">SUM(T343)</f>
        <v>227.79449587190342</v>
      </c>
      <c r="AQ330" s="13">
        <f t="shared" ca="1" si="922"/>
        <v>8.135517709710836</v>
      </c>
      <c r="AR330" s="9">
        <f t="shared" ca="1" si="907"/>
        <v>179.5</v>
      </c>
      <c r="AS330" s="76"/>
      <c r="AT330" s="76"/>
    </row>
    <row r="331" spans="1:46" ht="15.75" customHeight="1" x14ac:dyDescent="0.25">
      <c r="A331" s="70"/>
      <c r="B331" s="16">
        <v>2</v>
      </c>
      <c r="C331" s="16" t="s">
        <v>28</v>
      </c>
      <c r="D331" s="17">
        <v>33</v>
      </c>
      <c r="E331" s="18">
        <f ca="1">IFERROR(__xludf.DUMMYFUNCTION("COUNT(IMPORTRANGE(""https://docs.google.com/spreadsheets/d/1tJCeYclgeJZ4Dc78t_SkhVjtacKW-5-VGim8X1rzUzk/edit"",""13!d2:d34""))"),33)</f>
        <v>33</v>
      </c>
      <c r="F331" s="19">
        <f ca="1">IFERROR(__xludf.DUMMYFUNCTION("SUM(IMPORTRANGE(""https://docs.google.com/spreadsheets/d/1tJCeYclgeJZ4Dc78t_SkhVjtacKW-5-VGim8X1rzUzk/edit"",""13!Q2:Q34""))"),6512.208)</f>
        <v>6512.2079999999996</v>
      </c>
      <c r="G331" s="18">
        <f ca="1">IFERROR(__xludf.DUMMYFUNCTION("IMPORTRANGE(""https://docs.google.com/spreadsheets/d/1tJCeYclgeJZ4Dc78t_SkhVjtacKW-5-VGim8X1rzUzk/edit"",""13!e41"")"),2683)</f>
        <v>2683</v>
      </c>
      <c r="H331" s="18">
        <f ca="1">IFERROR(__xludf.DUMMYFUNCTION("IMPORTRANGE(""https://docs.google.com/spreadsheets/d/1tJCeYclgeJZ4Dc78t_SkhVjtacKW-5-VGim8X1rzUzk/edit"",""13!e42"")"),119)</f>
        <v>119</v>
      </c>
      <c r="I331" s="18">
        <f t="shared" ca="1" si="912"/>
        <v>2802</v>
      </c>
      <c r="J331" s="18">
        <f ca="1">IFERROR(__xludf.DUMMYFUNCTION("IMPORTRANGE(""https://docs.google.com/spreadsheets/d/1tJCeYclgeJZ4Dc78t_SkhVjtacKW-5-VGim8X1rzUzk/edit"",""13!e45"")"),2759)</f>
        <v>2759</v>
      </c>
      <c r="K331" s="18">
        <f ca="1">IFERROR(__xludf.DUMMYFUNCTION("IMPORTRANGE(""https://docs.google.com/spreadsheets/d/1tJCeYclgeJZ4Dc78t_SkhVjtacKW-5-VGim8X1rzUzk/edit"",""13!e46"")"),118)</f>
        <v>118</v>
      </c>
      <c r="L331" s="18">
        <f t="shared" ca="1" si="913"/>
        <v>2877</v>
      </c>
      <c r="M331" s="18">
        <f t="shared" ca="1" si="914"/>
        <v>5679</v>
      </c>
      <c r="N331" s="19">
        <f t="shared" ca="1" si="915"/>
        <v>197.33963636363634</v>
      </c>
      <c r="O331" s="16">
        <v>7315</v>
      </c>
      <c r="P331" s="20">
        <f t="shared" ca="1" si="916"/>
        <v>0.77634996582365001</v>
      </c>
      <c r="Q331" s="21">
        <v>1.5</v>
      </c>
      <c r="R331" s="20">
        <f t="shared" ca="1" si="917"/>
        <v>0.58136963684206655</v>
      </c>
      <c r="S331" s="22">
        <f t="shared" ca="1" si="918"/>
        <v>0.87205445526309977</v>
      </c>
      <c r="T331" s="21">
        <f ca="1">F331/30.897</f>
        <v>210.77153121662298</v>
      </c>
      <c r="U331" s="21">
        <f t="shared" ca="1" si="919"/>
        <v>6.3870160974734231</v>
      </c>
      <c r="V331" s="18">
        <f t="shared" ca="1" si="920"/>
        <v>172.09090909090909</v>
      </c>
      <c r="W331" s="76"/>
      <c r="X331" s="8">
        <v>5</v>
      </c>
      <c r="Y331" s="8" t="s">
        <v>29</v>
      </c>
      <c r="Z331" s="8">
        <f t="shared" ref="Z331:AI331" si="923">SUM(D346)</f>
        <v>30</v>
      </c>
      <c r="AA331" s="9">
        <f t="shared" ca="1" si="923"/>
        <v>30</v>
      </c>
      <c r="AB331" s="10">
        <f t="shared" ca="1" si="923"/>
        <v>6092.9299999999903</v>
      </c>
      <c r="AC331" s="9">
        <f t="shared" ca="1" si="923"/>
        <v>2821</v>
      </c>
      <c r="AD331" s="9">
        <f t="shared" ca="1" si="923"/>
        <v>0</v>
      </c>
      <c r="AE331" s="9">
        <f t="shared" ca="1" si="923"/>
        <v>2821</v>
      </c>
      <c r="AF331" s="9">
        <f t="shared" ca="1" si="923"/>
        <v>4213</v>
      </c>
      <c r="AG331" s="9">
        <f t="shared" ca="1" si="923"/>
        <v>0</v>
      </c>
      <c r="AH331" s="9">
        <f t="shared" ca="1" si="923"/>
        <v>4213</v>
      </c>
      <c r="AI331" s="9">
        <f t="shared" ca="1" si="923"/>
        <v>7034</v>
      </c>
      <c r="AJ331" s="11">
        <f t="shared" ref="AJ331:AJ333" ca="1" si="924">AB331/AA331</f>
        <v>203.09766666666636</v>
      </c>
      <c r="AK331" s="8">
        <f t="shared" ref="AK331:AK332" si="925">SUM(O346)</f>
        <v>9201</v>
      </c>
      <c r="AL331" s="12">
        <f t="shared" ca="1" si="902"/>
        <v>0.76448212150853168</v>
      </c>
      <c r="AM331" s="13">
        <f t="shared" ref="AM331:AM332" si="926">SUM(Q346)</f>
        <v>1.5</v>
      </c>
      <c r="AN331" s="12">
        <f t="shared" ca="1" si="904"/>
        <v>0.76963518920016172</v>
      </c>
      <c r="AO331" s="14">
        <f t="shared" ca="1" si="905"/>
        <v>1.1544527838002425</v>
      </c>
      <c r="AP331" s="13">
        <f t="shared" ref="AP331:AQ331" ca="1" si="927">SUM(T346)</f>
        <v>229.99999999999963</v>
      </c>
      <c r="AQ331" s="13">
        <f t="shared" ca="1" si="927"/>
        <v>7.6666666666666545</v>
      </c>
      <c r="AR331" s="9">
        <f t="shared" ca="1" si="907"/>
        <v>234.46666666666667</v>
      </c>
      <c r="AS331" s="76"/>
      <c r="AT331" s="76"/>
    </row>
    <row r="332" spans="1:46" ht="15.75" customHeight="1" x14ac:dyDescent="0.25">
      <c r="A332" s="70"/>
      <c r="B332" s="16">
        <v>3</v>
      </c>
      <c r="C332" s="16" t="s">
        <v>30</v>
      </c>
      <c r="D332" s="17">
        <v>60</v>
      </c>
      <c r="E332" s="18">
        <f ca="1">IFERROR(__xludf.DUMMYFUNCTION("COUNT(IMPORTRANGE(""https://docs.google.com/spreadsheets/d/130gLEONC13J8KkQ6dk06x3bLRy_jCrAw2hXatQf2W50/edit"",""13!d2:d61""))"),57)</f>
        <v>57</v>
      </c>
      <c r="F332" s="23">
        <f ca="1">IFERROR(__xludf.DUMMYFUNCTION("SUM(IMPORTRANGE(""https://docs.google.com/spreadsheets/d/130gLEONC13J8KkQ6dk06x3bLRy_jCrAw2hXatQf2W50/edit"",""13!Q2:Q61""))"),10403.268)</f>
        <v>10403.268</v>
      </c>
      <c r="G332" s="18">
        <f ca="1">IFERROR(__xludf.DUMMYFUNCTION("IMPORTRANGE(""https://docs.google.com/spreadsheets/d/130gLEONC13J8KkQ6dk06x3bLRy_jCrAw2hXatQf2W50/edit"",""13!e68"")"),3615)</f>
        <v>3615</v>
      </c>
      <c r="H332" s="18">
        <f ca="1">IFERROR(__xludf.DUMMYFUNCTION("IMPORTRANGE(""https://docs.google.com/spreadsheets/d/130gLEONC13J8KkQ6dk06x3bLRy_jCrAw2hXatQf2W50/edit"",""13!e69"")"),0)</f>
        <v>0</v>
      </c>
      <c r="I332" s="18">
        <f t="shared" ca="1" si="912"/>
        <v>3615</v>
      </c>
      <c r="J332" s="18">
        <f ca="1">IFERROR(__xludf.DUMMYFUNCTION("IMPORTRANGE(""https://docs.google.com/spreadsheets/d/130gLEONC13J8KkQ6dk06x3bLRy_jCrAw2hXatQf2W50/edit"",""13!e72"")"),4454)</f>
        <v>4454</v>
      </c>
      <c r="K332" s="18">
        <f ca="1">IFERROR(__xludf.DUMMYFUNCTION("IMPORTRANGE(""https://docs.google.com/spreadsheets/d/130gLEONC13J8KkQ6dk06x3bLRy_jCrAw2hXatQf2W50/edit"",""13!e73"")"),216)</f>
        <v>216</v>
      </c>
      <c r="L332" s="18">
        <f t="shared" ca="1" si="913"/>
        <v>4670</v>
      </c>
      <c r="M332" s="18">
        <f t="shared" ca="1" si="914"/>
        <v>8285</v>
      </c>
      <c r="N332" s="19">
        <f t="shared" ca="1" si="915"/>
        <v>182.51347368421054</v>
      </c>
      <c r="O332" s="16">
        <v>11164</v>
      </c>
      <c r="P332" s="20">
        <f t="shared" ca="1" si="916"/>
        <v>0.74211752060193481</v>
      </c>
      <c r="Q332" s="21">
        <v>1.5</v>
      </c>
      <c r="R332" s="20">
        <f t="shared" ca="1" si="917"/>
        <v>0.53092291127493141</v>
      </c>
      <c r="S332" s="22">
        <f t="shared" ca="1" si="918"/>
        <v>0.79638436691239711</v>
      </c>
      <c r="T332" s="21">
        <f ca="1">F332/29.603</f>
        <v>351.4261392426443</v>
      </c>
      <c r="U332" s="21">
        <f t="shared" ca="1" si="919"/>
        <v>6.1653708639060403</v>
      </c>
      <c r="V332" s="18">
        <f t="shared" ca="1" si="920"/>
        <v>145.35087719298247</v>
      </c>
      <c r="W332" s="76"/>
      <c r="X332" s="8">
        <v>6</v>
      </c>
      <c r="Y332" s="8" t="s">
        <v>31</v>
      </c>
      <c r="Z332" s="8">
        <f t="shared" ref="Z332:AI332" si="928">SUM(D347)</f>
        <v>15</v>
      </c>
      <c r="AA332" s="9">
        <f t="shared" ca="1" si="928"/>
        <v>14</v>
      </c>
      <c r="AB332" s="11">
        <f t="shared" ca="1" si="928"/>
        <v>2540.9809999999902</v>
      </c>
      <c r="AC332" s="9">
        <f t="shared" ca="1" si="928"/>
        <v>1020</v>
      </c>
      <c r="AD332" s="9">
        <f t="shared" ca="1" si="928"/>
        <v>0</v>
      </c>
      <c r="AE332" s="9">
        <f t="shared" ca="1" si="928"/>
        <v>1020</v>
      </c>
      <c r="AF332" s="9">
        <f t="shared" ca="1" si="928"/>
        <v>870</v>
      </c>
      <c r="AG332" s="9">
        <f t="shared" ca="1" si="928"/>
        <v>0</v>
      </c>
      <c r="AH332" s="9">
        <f t="shared" ca="1" si="928"/>
        <v>870</v>
      </c>
      <c r="AI332" s="9">
        <f t="shared" ca="1" si="928"/>
        <v>1890</v>
      </c>
      <c r="AJ332" s="11">
        <f t="shared" ca="1" si="924"/>
        <v>181.49864285714216</v>
      </c>
      <c r="AK332" s="8">
        <f t="shared" si="925"/>
        <v>2717</v>
      </c>
      <c r="AL332" s="12">
        <f t="shared" ca="1" si="902"/>
        <v>0.69562016930437987</v>
      </c>
      <c r="AM332" s="13">
        <f t="shared" si="926"/>
        <v>1.5</v>
      </c>
      <c r="AN332" s="12">
        <f t="shared" ca="1" si="904"/>
        <v>0.4958714764100971</v>
      </c>
      <c r="AO332" s="14">
        <f t="shared" ca="1" si="905"/>
        <v>0.74380721461514565</v>
      </c>
      <c r="AP332" s="13">
        <f t="shared" ref="AP332:AQ332" ca="1" si="929">SUM(T347)</f>
        <v>58.460393419992869</v>
      </c>
      <c r="AQ332" s="13">
        <f t="shared" ca="1" si="929"/>
        <v>4.175742387142348</v>
      </c>
      <c r="AR332" s="9">
        <f t="shared" ca="1" si="907"/>
        <v>135</v>
      </c>
      <c r="AS332" s="76"/>
      <c r="AT332" s="76"/>
    </row>
    <row r="333" spans="1:46" ht="15.75" customHeight="1" x14ac:dyDescent="0.25">
      <c r="A333" s="70"/>
      <c r="B333" s="16">
        <v>4</v>
      </c>
      <c r="C333" s="16" t="s">
        <v>32</v>
      </c>
      <c r="D333" s="17">
        <v>42</v>
      </c>
      <c r="E333" s="18">
        <f ca="1">IFERROR(__xludf.DUMMYFUNCTION("COUNT(IMPORTRANGE(""https://docs.google.com/spreadsheets/d/1gYHli7FuKQLm2Q-5LMR0UtkD-gRRA_p8s-phLPLDLgc/edit"",""13!d2:d43""))"),41)</f>
        <v>41</v>
      </c>
      <c r="F333" s="23">
        <f ca="1">IFERROR(__xludf.DUMMYFUNCTION("SUM(IMPORTRANGE(""https://docs.google.com/spreadsheets/d/1gYHli7FuKQLm2Q-5LMR0UtkD-gRRA_p8s-phLPLDLgc/edit"",""13!Q2:Q43""))"),8028.47999999999)</f>
        <v>8028.4799999999896</v>
      </c>
      <c r="G333" s="16">
        <f ca="1">IFERROR(__xludf.DUMMYFUNCTION("IMPORTRANGE(""https://docs.google.com/spreadsheets/d/1gYHli7FuKQLm2Q-5LMR0UtkD-gRRA_p8s-phLPLDLgc/edit"",""13!e50"")"),4560)</f>
        <v>4560</v>
      </c>
      <c r="H333" s="16">
        <f ca="1">IFERROR(__xludf.DUMMYFUNCTION("IMPORTRANGE(""https://docs.google.com/spreadsheets/d/1gYHli7FuKQLm2Q-5LMR0UtkD-gRRA_p8s-phLPLDLgc/edit"",""13!e51"")"),0)</f>
        <v>0</v>
      </c>
      <c r="I333" s="18">
        <f t="shared" ca="1" si="912"/>
        <v>4560</v>
      </c>
      <c r="J333" s="16">
        <f ca="1">IFERROR(__xludf.DUMMYFUNCTION("IMPORTRANGE(""https://docs.google.com/spreadsheets/d/1gYHli7FuKQLm2Q-5LMR0UtkD-gRRA_p8s-phLPLDLgc/edit"",""13!e54"")"),5878)</f>
        <v>5878</v>
      </c>
      <c r="K333" s="16">
        <f ca="1">IFERROR(__xludf.DUMMYFUNCTION("IMPORTRANGE(""https://docs.google.com/spreadsheets/d/1gYHli7FuKQLm2Q-5LMR0UtkD-gRRA_p8s-phLPLDLgc/edit"",""13!e55"")"),0)</f>
        <v>0</v>
      </c>
      <c r="L333" s="18">
        <f t="shared" ca="1" si="913"/>
        <v>5878</v>
      </c>
      <c r="M333" s="18">
        <f t="shared" ca="1" si="914"/>
        <v>10438</v>
      </c>
      <c r="N333" s="19">
        <f t="shared" ca="1" si="915"/>
        <v>195.8165853658534</v>
      </c>
      <c r="O333" s="16">
        <v>13817</v>
      </c>
      <c r="P333" s="20">
        <f t="shared" ca="1" si="916"/>
        <v>0.75544618947673159</v>
      </c>
      <c r="Q333" s="21">
        <v>1.5</v>
      </c>
      <c r="R333" s="20">
        <f t="shared" ca="1" si="917"/>
        <v>0.86674771148046403</v>
      </c>
      <c r="S333" s="22">
        <f t="shared" ca="1" si="918"/>
        <v>1.3001215672206961</v>
      </c>
      <c r="T333" s="21">
        <f ca="1">F333/25.089</f>
        <v>319.9999999999996</v>
      </c>
      <c r="U333" s="21">
        <f t="shared" ca="1" si="919"/>
        <v>7.8048780487804779</v>
      </c>
      <c r="V333" s="18">
        <f t="shared" ca="1" si="920"/>
        <v>254.58536585365854</v>
      </c>
      <c r="W333" s="76"/>
      <c r="X333" s="24" t="s">
        <v>33</v>
      </c>
      <c r="Y333" s="24">
        <v>6</v>
      </c>
      <c r="Z333" s="24">
        <f t="shared" ref="Z333:AI333" si="930">SUM(Z327:Z332)</f>
        <v>186</v>
      </c>
      <c r="AA333" s="25">
        <f t="shared" ca="1" si="930"/>
        <v>181</v>
      </c>
      <c r="AB333" s="26">
        <f t="shared" ca="1" si="930"/>
        <v>33544.066999999952</v>
      </c>
      <c r="AC333" s="25">
        <f t="shared" ca="1" si="930"/>
        <v>12073</v>
      </c>
      <c r="AD333" s="25">
        <f t="shared" ca="1" si="930"/>
        <v>359</v>
      </c>
      <c r="AE333" s="25">
        <f t="shared" ca="1" si="930"/>
        <v>12432</v>
      </c>
      <c r="AF333" s="25">
        <f t="shared" ca="1" si="930"/>
        <v>15047</v>
      </c>
      <c r="AG333" s="25">
        <f t="shared" ca="1" si="930"/>
        <v>395</v>
      </c>
      <c r="AH333" s="25">
        <f t="shared" ca="1" si="930"/>
        <v>15442</v>
      </c>
      <c r="AI333" s="25">
        <f t="shared" ca="1" si="930"/>
        <v>27874</v>
      </c>
      <c r="AJ333" s="27">
        <f t="shared" ca="1" si="924"/>
        <v>185.32633701657431</v>
      </c>
      <c r="AK333" s="24">
        <f>SUM(AK327:AK332)</f>
        <v>35074</v>
      </c>
      <c r="AL333" s="28">
        <f t="shared" ca="1" si="902"/>
        <v>0.79471973541654783</v>
      </c>
      <c r="AM333" s="29">
        <v>1.5</v>
      </c>
      <c r="AN333" s="28">
        <f t="shared" ca="1" si="904"/>
        <v>0.55397774714278658</v>
      </c>
      <c r="AO333" s="30">
        <f t="shared" ca="1" si="905"/>
        <v>0.83096662071417993</v>
      </c>
      <c r="AP333" s="29">
        <f ca="1">SUM(AP327:AP332)</f>
        <v>1253.9409338951107</v>
      </c>
      <c r="AQ333" s="29">
        <f ca="1">AP333/AA333</f>
        <v>6.9278504635088991</v>
      </c>
      <c r="AR333" s="25">
        <f t="shared" ca="1" si="907"/>
        <v>154</v>
      </c>
      <c r="AS333" s="76"/>
      <c r="AT333" s="76"/>
    </row>
    <row r="334" spans="1:46" ht="15.75" customHeight="1" x14ac:dyDescent="0.25">
      <c r="A334" s="70"/>
      <c r="B334" s="16">
        <v>5</v>
      </c>
      <c r="C334" s="16" t="s">
        <v>34</v>
      </c>
      <c r="D334" s="17">
        <v>40</v>
      </c>
      <c r="E334" s="18">
        <f ca="1">IFERROR(__xludf.DUMMYFUNCTION("COUNT(IMPORTRANGE(""https://docs.google.com/spreadsheets/d/1ptS0qWBCKWkc9h2aXWT_YgMhN7yIv5WgAHRbF8l9Zpo/edit"",""13!d2:d41""))"),40)</f>
        <v>40</v>
      </c>
      <c r="F334" s="23">
        <f ca="1">IFERROR(__xludf.DUMMYFUNCTION("SUM(IMPORTRANGE(""https://docs.google.com/spreadsheets/d/1ptS0qWBCKWkc9h2aXWT_YgMhN7yIv5WgAHRbF8l9Zpo/edit"",""13!Q2:Q41""))"),7837.242)</f>
        <v>7837.2420000000002</v>
      </c>
      <c r="G334" s="18">
        <f ca="1">IFERROR(__xludf.DUMMYFUNCTION("IMPORTRANGE(""https://docs.google.com/spreadsheets/d/1ptS0qWBCKWkc9h2aXWT_YgMhN7yIv5WgAHRbF8l9Zpo/edit"",""13!e48"")"),2873)</f>
        <v>2873</v>
      </c>
      <c r="H334" s="18">
        <f ca="1">IFERROR(__xludf.DUMMYFUNCTION("IMPORTRANGE(""https://docs.google.com/spreadsheets/d/1ptS0qWBCKWkc9h2aXWT_YgMhN7yIv5WgAHRbF8l9Zpo/edit"",""13!e49"")"),0)</f>
        <v>0</v>
      </c>
      <c r="I334" s="18">
        <f t="shared" ca="1" si="912"/>
        <v>2873</v>
      </c>
      <c r="J334" s="18">
        <f ca="1">IFERROR(__xludf.DUMMYFUNCTION("IMPORTRANGE(""https://docs.google.com/spreadsheets/d/1ptS0qWBCKWkc9h2aXWT_YgMhN7yIv5WgAHRbF8l9Zpo/edit"",""13!e52"")"),3149)</f>
        <v>3149</v>
      </c>
      <c r="K334" s="18">
        <f ca="1">IFERROR(__xludf.DUMMYFUNCTION("IMPORTRANGE(""https://docs.google.com/spreadsheets/d/1ptS0qWBCKWkc9h2aXWT_YgMhN7yIv5WgAHRbF8l9Zpo/edit"",""13!e53"")"),0)</f>
        <v>0</v>
      </c>
      <c r="L334" s="18">
        <f t="shared" ca="1" si="913"/>
        <v>3149</v>
      </c>
      <c r="M334" s="18">
        <f t="shared" ca="1" si="914"/>
        <v>6022</v>
      </c>
      <c r="N334" s="19">
        <f t="shared" ca="1" si="915"/>
        <v>195.93105</v>
      </c>
      <c r="O334" s="16">
        <v>9354</v>
      </c>
      <c r="P334" s="20">
        <f t="shared" ca="1" si="916"/>
        <v>0.64378875347444942</v>
      </c>
      <c r="Q334" s="21">
        <v>1.5</v>
      </c>
      <c r="R334" s="20">
        <f t="shared" ca="1" si="917"/>
        <v>0.51225503393498206</v>
      </c>
      <c r="S334" s="22">
        <f t="shared" ca="1" si="918"/>
        <v>0.76838255090247309</v>
      </c>
      <c r="T334" s="21">
        <f ca="1">F334/30.713</f>
        <v>255.17670042001757</v>
      </c>
      <c r="U334" s="21">
        <f t="shared" ca="1" si="919"/>
        <v>6.3794175105004394</v>
      </c>
      <c r="V334" s="18">
        <f t="shared" ca="1" si="920"/>
        <v>150.55000000000001</v>
      </c>
      <c r="W334" s="76"/>
      <c r="X334" s="100" t="s">
        <v>35</v>
      </c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9"/>
      <c r="AS334" s="76"/>
      <c r="AT334" s="76"/>
    </row>
    <row r="335" spans="1:46" ht="15.75" customHeight="1" x14ac:dyDescent="0.25">
      <c r="A335" s="70"/>
      <c r="B335" s="16">
        <v>6</v>
      </c>
      <c r="C335" s="16" t="s">
        <v>23</v>
      </c>
      <c r="D335" s="17">
        <v>35</v>
      </c>
      <c r="E335" s="18">
        <f ca="1">IFERROR(__xludf.DUMMYFUNCTION("COUNT(IMPORTRANGE(""https://docs.google.com/spreadsheets/d/1829CoYW82aTBBUgqkPnJa94KlBWI-DowAnP4ENQCmaQ/edit"",""13!d2:d36""))"),34)</f>
        <v>34</v>
      </c>
      <c r="F335" s="23">
        <f ca="1">IFERROR(__xludf.DUMMYFUNCTION("SUM(IMPORTRANGE(""https://docs.google.com/spreadsheets/d/1829CoYW82aTBBUgqkPnJa94KlBWI-DowAnP4ENQCmaQ/edit"",""13!Q2:Q36""))"),6395.52399999999)</f>
        <v>6395.5239999999903</v>
      </c>
      <c r="G335" s="18">
        <f ca="1">IFERROR(__xludf.DUMMYFUNCTION("IMPORTRANGE(""https://docs.google.com/spreadsheets/d/1829CoYW82aTBBUgqkPnJa94KlBWI-DowAnP4ENQCmaQ/edit"",""13!e43"")"),2663)</f>
        <v>2663</v>
      </c>
      <c r="H335" s="18">
        <f ca="1">IFERROR(__xludf.DUMMYFUNCTION("IMPORTRANGE(""https://docs.google.com/spreadsheets/d/1829CoYW82aTBBUgqkPnJa94KlBWI-DowAnP4ENQCmaQ/edit"",""13!e44"")"),0)</f>
        <v>0</v>
      </c>
      <c r="I335" s="18">
        <f t="shared" ca="1" si="912"/>
        <v>2663</v>
      </c>
      <c r="J335" s="18">
        <f ca="1">IFERROR(__xludf.DUMMYFUNCTION("IMPORTRANGE(""https://docs.google.com/spreadsheets/d/1829CoYW82aTBBUgqkPnJa94KlBWI-DowAnP4ENQCmaQ/edit"",""13!e47"")"),2478)</f>
        <v>2478</v>
      </c>
      <c r="K335" s="18">
        <f ca="1">IFERROR(__xludf.DUMMYFUNCTION("IMPORTRANGE(""https://docs.google.com/spreadsheets/d/1829CoYW82aTBBUgqkPnJa94KlBWI-DowAnP4ENQCmaQ/edit"",""13!e48"")"),0)</f>
        <v>0</v>
      </c>
      <c r="L335" s="18">
        <f t="shared" ca="1" si="913"/>
        <v>2478</v>
      </c>
      <c r="M335" s="18">
        <f t="shared" ca="1" si="914"/>
        <v>5141</v>
      </c>
      <c r="N335" s="19">
        <f t="shared" ca="1" si="915"/>
        <v>188.10364705882324</v>
      </c>
      <c r="O335" s="16">
        <v>6853</v>
      </c>
      <c r="P335" s="20">
        <f t="shared" ca="1" si="916"/>
        <v>0.75018240186779517</v>
      </c>
      <c r="Q335" s="21">
        <v>1.5</v>
      </c>
      <c r="R335" s="20">
        <f t="shared" ca="1" si="917"/>
        <v>0.53589562533630375</v>
      </c>
      <c r="S335" s="22">
        <f t="shared" ca="1" si="918"/>
        <v>0.80384343800445557</v>
      </c>
      <c r="T335" s="21">
        <f ca="1">F335/33.74</f>
        <v>189.55317131001749</v>
      </c>
      <c r="U335" s="21">
        <f t="shared" ca="1" si="919"/>
        <v>5.5750932738240442</v>
      </c>
      <c r="V335" s="18">
        <f t="shared" ca="1" si="920"/>
        <v>151.20588235294119</v>
      </c>
      <c r="W335" s="76"/>
      <c r="X335" s="1" t="s">
        <v>2</v>
      </c>
      <c r="Y335" s="1" t="s">
        <v>3</v>
      </c>
      <c r="Z335" s="1" t="s">
        <v>4</v>
      </c>
      <c r="AA335" s="1" t="s">
        <v>5</v>
      </c>
      <c r="AB335" s="2" t="s">
        <v>6</v>
      </c>
      <c r="AC335" s="1" t="s">
        <v>7</v>
      </c>
      <c r="AD335" s="1" t="s">
        <v>8</v>
      </c>
      <c r="AE335" s="1" t="s">
        <v>9</v>
      </c>
      <c r="AF335" s="1" t="s">
        <v>10</v>
      </c>
      <c r="AG335" s="1" t="s">
        <v>11</v>
      </c>
      <c r="AH335" s="1" t="s">
        <v>12</v>
      </c>
      <c r="AI335" s="1" t="s">
        <v>13</v>
      </c>
      <c r="AJ335" s="2" t="s">
        <v>14</v>
      </c>
      <c r="AK335" s="1" t="s">
        <v>15</v>
      </c>
      <c r="AL335" s="1" t="s">
        <v>16</v>
      </c>
      <c r="AM335" s="3" t="s">
        <v>17</v>
      </c>
      <c r="AN335" s="4" t="s">
        <v>18</v>
      </c>
      <c r="AO335" s="5" t="s">
        <v>19</v>
      </c>
      <c r="AP335" s="6" t="s">
        <v>20</v>
      </c>
      <c r="AQ335" s="6" t="s">
        <v>21</v>
      </c>
      <c r="AR335" s="7" t="s">
        <v>22</v>
      </c>
      <c r="AS335" s="76"/>
      <c r="AT335" s="76"/>
    </row>
    <row r="336" spans="1:46" ht="15.75" customHeight="1" x14ac:dyDescent="0.25">
      <c r="A336" s="70"/>
      <c r="B336" s="16">
        <v>7</v>
      </c>
      <c r="C336" s="16" t="s">
        <v>24</v>
      </c>
      <c r="D336" s="17">
        <v>44</v>
      </c>
      <c r="E336" s="31">
        <f ca="1">IFERROR(__xludf.DUMMYFUNCTION("COUNT(IMPORTRANGE(""https://docs.google.com/spreadsheets/d/1E2x4oDZxEIsuC5nl-5Z0--MoN8b1dt9SbpRcCfNP84Q/edit"",""13!d2:d45""))"),43)</f>
        <v>43</v>
      </c>
      <c r="F336" s="32">
        <f ca="1">IFERROR(__xludf.DUMMYFUNCTION("SUM(IMPORTRANGE(""https://docs.google.com/spreadsheets/d/1E2x4oDZxEIsuC5nl-5Z0--MoN8b1dt9SbpRcCfNP84Q/edit"",""13!Q2:Q45""))"),8088.25099999999)</f>
        <v>8088.2509999999902</v>
      </c>
      <c r="G336" s="31">
        <f ca="1">IFERROR(__xludf.DUMMYFUNCTION("IMPORTRANGE(""https://docs.google.com/spreadsheets/d/1E2x4oDZxEIsuC5nl-5Z0--MoN8b1dt9SbpRcCfNP84Q/edit"",""13!e53"")"),1102)</f>
        <v>1102</v>
      </c>
      <c r="H336" s="31">
        <f ca="1">IFERROR(__xludf.DUMMYFUNCTION("IMPORTRANGE(""https://docs.google.com/spreadsheets/d/1E2x4oDZxEIsuC5nl-5Z0--MoN8b1dt9SbpRcCfNP84Q/edit"",""13!e54"")"),0)</f>
        <v>0</v>
      </c>
      <c r="I336" s="31">
        <f t="shared" ca="1" si="912"/>
        <v>1102</v>
      </c>
      <c r="J336" s="31">
        <f ca="1">IFERROR(__xludf.DUMMYFUNCTION("IMPORTRANGE(""https://docs.google.com/spreadsheets/d/1E2x4oDZxEIsuC5nl-5Z0--MoN8b1dt9SbpRcCfNP84Q/edit"",""13!e57"")"),1360)</f>
        <v>1360</v>
      </c>
      <c r="K336" s="31">
        <f ca="1">IFERROR(__xludf.DUMMYFUNCTION("IMPORTRANGE(""https://docs.google.com/spreadsheets/d/1E2x4oDZxEIsuC5nl-5Z0--MoN8b1dt9SbpRcCfNP84Q/edit"",""13!e58"")"),0)</f>
        <v>0</v>
      </c>
      <c r="L336" s="18">
        <f t="shared" ca="1" si="913"/>
        <v>1360</v>
      </c>
      <c r="M336" s="18">
        <f t="shared" ca="1" si="914"/>
        <v>2462</v>
      </c>
      <c r="N336" s="19">
        <f t="shared" ca="1" si="915"/>
        <v>188.09886046511605</v>
      </c>
      <c r="O336" s="16">
        <v>1580</v>
      </c>
      <c r="P336" s="33">
        <f t="shared" ca="1" si="916"/>
        <v>1.5582278481012659</v>
      </c>
      <c r="Q336" s="21">
        <v>1.5</v>
      </c>
      <c r="R336" s="20">
        <f t="shared" ca="1" si="917"/>
        <v>0.20292809079902877</v>
      </c>
      <c r="S336" s="22">
        <f t="shared" ca="1" si="918"/>
        <v>0.30439213619854316</v>
      </c>
      <c r="T336" s="21">
        <f ca="1">F336/26.805</f>
        <v>301.7441149039355</v>
      </c>
      <c r="U336" s="21">
        <f t="shared" ca="1" si="919"/>
        <v>7.0173049977659421</v>
      </c>
      <c r="V336" s="18">
        <f t="shared" ca="1" si="920"/>
        <v>57.255813953488371</v>
      </c>
      <c r="W336" s="76"/>
      <c r="X336" s="8">
        <v>1</v>
      </c>
      <c r="Y336" s="8" t="s">
        <v>28</v>
      </c>
      <c r="Z336" s="8">
        <f t="shared" ref="Z336:AI336" si="931">SUM(D331)</f>
        <v>33</v>
      </c>
      <c r="AA336" s="9">
        <f t="shared" ca="1" si="931"/>
        <v>33</v>
      </c>
      <c r="AB336" s="11">
        <f t="shared" ca="1" si="931"/>
        <v>6512.2079999999996</v>
      </c>
      <c r="AC336" s="9">
        <f t="shared" ca="1" si="931"/>
        <v>2683</v>
      </c>
      <c r="AD336" s="9">
        <f t="shared" ca="1" si="931"/>
        <v>119</v>
      </c>
      <c r="AE336" s="9">
        <f t="shared" ca="1" si="931"/>
        <v>2802</v>
      </c>
      <c r="AF336" s="9">
        <f t="shared" ca="1" si="931"/>
        <v>2759</v>
      </c>
      <c r="AG336" s="9">
        <f t="shared" ca="1" si="931"/>
        <v>118</v>
      </c>
      <c r="AH336" s="9">
        <f t="shared" ca="1" si="931"/>
        <v>2877</v>
      </c>
      <c r="AI336" s="9">
        <f t="shared" ca="1" si="931"/>
        <v>5679</v>
      </c>
      <c r="AJ336" s="11">
        <f t="shared" ref="AJ336:AJ342" ca="1" si="932">AB336/AA336</f>
        <v>197.33963636363634</v>
      </c>
      <c r="AK336" s="8">
        <f t="shared" ref="AK336:AK337" si="933">SUM(O331)</f>
        <v>7315</v>
      </c>
      <c r="AL336" s="12">
        <f t="shared" ref="AL336:AL342" ca="1" si="934">AI336/AK336</f>
        <v>0.77634996582365001</v>
      </c>
      <c r="AM336" s="13">
        <f t="shared" ref="AM336:AM337" si="935">SUM(Q331)</f>
        <v>1.5</v>
      </c>
      <c r="AN336" s="12">
        <f t="shared" ref="AN336:AN342" ca="1" si="936">AO336/AM336</f>
        <v>0.58136963684206655</v>
      </c>
      <c r="AO336" s="14">
        <f t="shared" ref="AO336:AO342" ca="1" si="937">AI336/AB336</f>
        <v>0.87205445526309977</v>
      </c>
      <c r="AP336" s="13">
        <f t="shared" ref="AP336:AQ336" ca="1" si="938">SUM(T331)</f>
        <v>210.77153121662298</v>
      </c>
      <c r="AQ336" s="13">
        <f t="shared" ca="1" si="938"/>
        <v>6.3870160974734231</v>
      </c>
      <c r="AR336" s="9">
        <f t="shared" ref="AR336:AR342" ca="1" si="939">AI336/AA336</f>
        <v>172.09090909090909</v>
      </c>
      <c r="AS336" s="76"/>
      <c r="AT336" s="76"/>
    </row>
    <row r="337" spans="1:46" ht="15.75" customHeight="1" x14ac:dyDescent="0.25">
      <c r="A337" s="70"/>
      <c r="B337" s="16">
        <v>8</v>
      </c>
      <c r="C337" s="16" t="s">
        <v>25</v>
      </c>
      <c r="D337" s="34">
        <v>32</v>
      </c>
      <c r="E337" s="18">
        <f ca="1">IFERROR(__xludf.DUMMYFUNCTION("COUNT(IMPORTRANGE(""https://docs.google.com/spreadsheets/d/1KbRFOEYB0B44J_NSh1MwYQ1sLDlZXUHI-wuMLcZDn5k/edit"",""13!d2:D33""))"),32)</f>
        <v>32</v>
      </c>
      <c r="F337" s="23">
        <f ca="1">IFERROR(__xludf.DUMMYFUNCTION("SUM(IMPORTRANGE(""https://docs.google.com/spreadsheets/d/1KbRFOEYB0B44J_NSh1MwYQ1sLDlZXUHI-wuMLcZDn5k/edit"",""13!Q2:Q33""))"),5873.908)</f>
        <v>5873.9080000000004</v>
      </c>
      <c r="G337" s="18">
        <f ca="1">IFERROR(__xludf.DUMMYFUNCTION("IMPORTRANGE(""https://docs.google.com/spreadsheets/d/1KbRFOEYB0B44J_NSh1MwYQ1sLDlZXUHI-wuMLcZDn5k/edit"",""13!e40"")"),2241)</f>
        <v>2241</v>
      </c>
      <c r="H337" s="18">
        <f ca="1">IFERROR(__xludf.DUMMYFUNCTION("IMPORTRANGE(""https://docs.google.com/spreadsheets/d/1KbRFOEYB0B44J_NSh1MwYQ1sLDlZXUHI-wuMLcZDn5k/edit"",""13!e41"")"),359)</f>
        <v>359</v>
      </c>
      <c r="I337" s="18">
        <f t="shared" ca="1" si="912"/>
        <v>2600</v>
      </c>
      <c r="J337" s="18">
        <f ca="1">IFERROR(__xludf.DUMMYFUNCTION("IMPORTRANGE(""https://docs.google.com/spreadsheets/d/1KbRFOEYB0B44J_NSh1MwYQ1sLDlZXUHI-wuMLcZDn5k/edit"",""13!e44"")"),3326)</f>
        <v>3326</v>
      </c>
      <c r="K337" s="18">
        <f ca="1">IFERROR(__xludf.DUMMYFUNCTION("IMPORTRANGE(""https://docs.google.com/spreadsheets/d/1KbRFOEYB0B44J_NSh1MwYQ1sLDlZXUHI-wuMLcZDn5k/edit"",""13!e45"")"),395)</f>
        <v>395</v>
      </c>
      <c r="L337" s="18">
        <f ca="1">J337+K337</f>
        <v>3721</v>
      </c>
      <c r="M337" s="18">
        <f t="shared" ca="1" si="914"/>
        <v>6321</v>
      </c>
      <c r="N337" s="19">
        <f t="shared" ca="1" si="915"/>
        <v>183.55962500000001</v>
      </c>
      <c r="O337" s="16">
        <v>6622</v>
      </c>
      <c r="P337" s="20">
        <f t="shared" ca="1" si="916"/>
        <v>0.95454545454545459</v>
      </c>
      <c r="Q337" s="21">
        <v>1.5</v>
      </c>
      <c r="R337" s="20">
        <f t="shared" ca="1" si="917"/>
        <v>0.717409942409721</v>
      </c>
      <c r="S337" s="22">
        <f t="shared" ca="1" si="918"/>
        <v>1.0761149136145816</v>
      </c>
      <c r="T337" s="21">
        <f ca="1">F337/23.84</f>
        <v>246.38875838926177</v>
      </c>
      <c r="U337" s="21">
        <f t="shared" ca="1" si="919"/>
        <v>7.6996486996644302</v>
      </c>
      <c r="V337" s="18">
        <f t="shared" ca="1" si="920"/>
        <v>197.53125</v>
      </c>
      <c r="W337" s="76"/>
      <c r="X337" s="8">
        <v>2</v>
      </c>
      <c r="Y337" s="8" t="s">
        <v>30</v>
      </c>
      <c r="Z337" s="8">
        <f t="shared" ref="Z337:AI337" si="940">SUM(D332)</f>
        <v>60</v>
      </c>
      <c r="AA337" s="9">
        <f t="shared" ca="1" si="940"/>
        <v>57</v>
      </c>
      <c r="AB337" s="10">
        <f t="shared" ca="1" si="940"/>
        <v>10403.268</v>
      </c>
      <c r="AC337" s="9">
        <f t="shared" ca="1" si="940"/>
        <v>3615</v>
      </c>
      <c r="AD337" s="9">
        <f t="shared" ca="1" si="940"/>
        <v>0</v>
      </c>
      <c r="AE337" s="9">
        <f t="shared" ca="1" si="940"/>
        <v>3615</v>
      </c>
      <c r="AF337" s="9">
        <f t="shared" ca="1" si="940"/>
        <v>4454</v>
      </c>
      <c r="AG337" s="9">
        <f t="shared" ca="1" si="940"/>
        <v>216</v>
      </c>
      <c r="AH337" s="9">
        <f t="shared" ca="1" si="940"/>
        <v>4670</v>
      </c>
      <c r="AI337" s="9">
        <f t="shared" ca="1" si="940"/>
        <v>8285</v>
      </c>
      <c r="AJ337" s="11">
        <f t="shared" ca="1" si="932"/>
        <v>182.51347368421054</v>
      </c>
      <c r="AK337" s="8">
        <f t="shared" si="933"/>
        <v>11164</v>
      </c>
      <c r="AL337" s="12">
        <f t="shared" ca="1" si="934"/>
        <v>0.74211752060193481</v>
      </c>
      <c r="AM337" s="13">
        <f t="shared" si="935"/>
        <v>1.5</v>
      </c>
      <c r="AN337" s="12">
        <f t="shared" ca="1" si="936"/>
        <v>0.53092291127493141</v>
      </c>
      <c r="AO337" s="14">
        <f t="shared" ca="1" si="937"/>
        <v>0.79638436691239711</v>
      </c>
      <c r="AP337" s="13">
        <f t="shared" ref="AP337:AQ337" ca="1" si="941">SUM(T332)</f>
        <v>351.4261392426443</v>
      </c>
      <c r="AQ337" s="13">
        <f t="shared" ca="1" si="941"/>
        <v>6.1653708639060403</v>
      </c>
      <c r="AR337" s="9">
        <f t="shared" ca="1" si="939"/>
        <v>145.35087719298247</v>
      </c>
      <c r="AS337" s="76"/>
      <c r="AT337" s="76"/>
    </row>
    <row r="338" spans="1:46" ht="15.75" customHeight="1" x14ac:dyDescent="0.25">
      <c r="A338" s="70"/>
      <c r="B338" s="16">
        <v>9</v>
      </c>
      <c r="C338" s="16" t="s">
        <v>36</v>
      </c>
      <c r="D338" s="34">
        <v>29</v>
      </c>
      <c r="E338" s="18">
        <f ca="1">IFERROR(__xludf.DUMMYFUNCTION("COUNT(IMPORTRANGE(""https://docs.google.com/spreadsheets/d/1VqqqRGfmmkT0JC4ILJva2p8P11jjV0FX-TSKAaqOigw/edit"",""13!d2:d31""))"),29)</f>
        <v>29</v>
      </c>
      <c r="F338" s="23">
        <f ca="1">IFERROR(__xludf.DUMMYFUNCTION("SUM(IMPORTRANGE(""https://docs.google.com/spreadsheets/d/1VqqqRGfmmkT0JC4ILJva2p8P11jjV0FX-TSKAaqOigw/edit"",""13!Q2:Q31""))"),5753.77599999999)</f>
        <v>5753.7759999999898</v>
      </c>
      <c r="G338" s="18">
        <f ca="1">IFERROR(__xludf.DUMMYFUNCTION("IMPORTRANGE(""https://docs.google.com/spreadsheets/d/1VqqqRGfmmkT0JC4ILJva2p8P11jjV0FX-TSKAaqOigw/edit"",""13!e38"")"),1690)</f>
        <v>1690</v>
      </c>
      <c r="H338" s="18">
        <f ca="1">IFERROR(__xludf.DUMMYFUNCTION("IMPORTRANGE(""https://docs.google.com/spreadsheets/d/1VqqqRGfmmkT0JC4ILJva2p8P11jjV0FX-TSKAaqOigw/edit"",""13!e39"")"),0)</f>
        <v>0</v>
      </c>
      <c r="I338" s="18">
        <f t="shared" ca="1" si="912"/>
        <v>1690</v>
      </c>
      <c r="J338" s="18">
        <f ca="1">IFERROR(__xludf.DUMMYFUNCTION("IMPORTRANGE(""https://docs.google.com/spreadsheets/d/1VqqqRGfmmkT0JC4ILJva2p8P11jjV0FX-TSKAaqOigw/edit"",""13!e42"")"),2320)</f>
        <v>2320</v>
      </c>
      <c r="K338" s="18">
        <f ca="1">IFERROR(__xludf.DUMMYFUNCTION("IMPORTRANGE(""https://docs.google.com/spreadsheets/d/1VqqqRGfmmkT0JC4ILJva2p8P11jjV0FX-TSKAaqOigw/edit"",""13!e43"")"),0)</f>
        <v>0</v>
      </c>
      <c r="L338" s="18">
        <f t="shared" ref="L338:L347" ca="1" si="942">SUM(J338:K338)</f>
        <v>2320</v>
      </c>
      <c r="M338" s="18">
        <f t="shared" ca="1" si="914"/>
        <v>4010</v>
      </c>
      <c r="N338" s="19">
        <f t="shared" ca="1" si="915"/>
        <v>198.40606896551688</v>
      </c>
      <c r="O338" s="16">
        <v>4796</v>
      </c>
      <c r="P338" s="20">
        <f t="shared" ca="1" si="916"/>
        <v>0.83611342785654708</v>
      </c>
      <c r="Q338" s="21">
        <v>1.5</v>
      </c>
      <c r="R338" s="20">
        <f t="shared" ca="1" si="917"/>
        <v>0.46462242070830323</v>
      </c>
      <c r="S338" s="22">
        <f t="shared" ca="1" si="918"/>
        <v>0.69693363106245487</v>
      </c>
      <c r="T338" s="21">
        <f ca="1">F338/37.414</f>
        <v>153.7867108568982</v>
      </c>
      <c r="U338" s="21">
        <f t="shared" ca="1" si="919"/>
        <v>5.302990029548214</v>
      </c>
      <c r="V338" s="18">
        <f t="shared" ca="1" si="920"/>
        <v>138.27586206896552</v>
      </c>
      <c r="W338" s="76"/>
      <c r="X338" s="8">
        <v>3</v>
      </c>
      <c r="Y338" s="8" t="s">
        <v>34</v>
      </c>
      <c r="Z338" s="8">
        <f t="shared" ref="Z338:AI338" si="943">SUM(D334)</f>
        <v>40</v>
      </c>
      <c r="AA338" s="9">
        <f t="shared" ca="1" si="943"/>
        <v>40</v>
      </c>
      <c r="AB338" s="10">
        <f t="shared" ca="1" si="943"/>
        <v>7837.2420000000002</v>
      </c>
      <c r="AC338" s="9">
        <f t="shared" ca="1" si="943"/>
        <v>2873</v>
      </c>
      <c r="AD338" s="9">
        <f t="shared" ca="1" si="943"/>
        <v>0</v>
      </c>
      <c r="AE338" s="9">
        <f t="shared" ca="1" si="943"/>
        <v>2873</v>
      </c>
      <c r="AF338" s="9">
        <f t="shared" ca="1" si="943"/>
        <v>3149</v>
      </c>
      <c r="AG338" s="9">
        <f t="shared" ca="1" si="943"/>
        <v>0</v>
      </c>
      <c r="AH338" s="9">
        <f t="shared" ca="1" si="943"/>
        <v>3149</v>
      </c>
      <c r="AI338" s="9">
        <f t="shared" ca="1" si="943"/>
        <v>6022</v>
      </c>
      <c r="AJ338" s="11">
        <f t="shared" ca="1" si="932"/>
        <v>195.93105</v>
      </c>
      <c r="AK338" s="8">
        <f>SUM(O334)</f>
        <v>9354</v>
      </c>
      <c r="AL338" s="12">
        <f t="shared" ca="1" si="934"/>
        <v>0.64378875347444942</v>
      </c>
      <c r="AM338" s="13">
        <f>SUM(Q334)</f>
        <v>1.5</v>
      </c>
      <c r="AN338" s="12">
        <f t="shared" ca="1" si="936"/>
        <v>0.51225503393498206</v>
      </c>
      <c r="AO338" s="14">
        <f t="shared" ca="1" si="937"/>
        <v>0.76838255090247309</v>
      </c>
      <c r="AP338" s="13">
        <f t="shared" ref="AP338:AQ338" ca="1" si="944">SUM(T334)</f>
        <v>255.17670042001757</v>
      </c>
      <c r="AQ338" s="13">
        <f t="shared" ca="1" si="944"/>
        <v>6.3794175105004394</v>
      </c>
      <c r="AR338" s="9">
        <f t="shared" ca="1" si="939"/>
        <v>150.55000000000001</v>
      </c>
      <c r="AS338" s="76"/>
      <c r="AT338" s="76"/>
    </row>
    <row r="339" spans="1:46" ht="15.75" customHeight="1" x14ac:dyDescent="0.25">
      <c r="A339" s="70"/>
      <c r="B339" s="16">
        <v>10</v>
      </c>
      <c r="C339" s="16" t="s">
        <v>37</v>
      </c>
      <c r="D339" s="17">
        <v>30</v>
      </c>
      <c r="E339" s="18">
        <f ca="1">IFERROR(__xludf.DUMMYFUNCTION("COUNT(IMPORTRANGE(""https://docs.google.com/spreadsheets/d/1IYeRjQd_D6MRqoBKNaky3aSEUloYCJc5XDnPAbdyetk/edit"",""13!d2:d31""))"),30)</f>
        <v>30</v>
      </c>
      <c r="F339" s="23">
        <f ca="1">IFERROR(__xludf.DUMMYFUNCTION("SUM(IMPORTRANGE(""https://docs.google.com/spreadsheets/d/1IYeRjQd_D6MRqoBKNaky3aSEUloYCJc5XDnPAbdyetk/edit"",""13!Q2:Q31""))"),5686.056)</f>
        <v>5686.0559999999996</v>
      </c>
      <c r="G339" s="18">
        <f ca="1">IFERROR(__xludf.DUMMYFUNCTION("(IMPORTRANGE(""https://docs.google.com/spreadsheets/d/1IYeRjQd_D6MRqoBKNaky3aSEUloYCJc5XDnPAbdyetk/edit"",""13!e38""))"),2085)</f>
        <v>2085</v>
      </c>
      <c r="H339" s="18">
        <f ca="1">IFERROR(__xludf.DUMMYFUNCTION("(IMPORTRANGE(""https://docs.google.com/spreadsheets/d/1IYeRjQd_D6MRqoBKNaky3aSEUloYCJc5XDnPAbdyetk/edit"",""13!e39""))"),0)</f>
        <v>0</v>
      </c>
      <c r="I339" s="18">
        <f t="shared" ca="1" si="912"/>
        <v>2085</v>
      </c>
      <c r="J339" s="18">
        <f ca="1">IFERROR(__xludf.DUMMYFUNCTION("(IMPORTRANGE(""https://docs.google.com/spreadsheets/d/1IYeRjQd_D6MRqoBKNaky3aSEUloYCJc5XDnPAbdyetk/edit"",""13!e42""))"),2998)</f>
        <v>2998</v>
      </c>
      <c r="K339" s="18">
        <f ca="1">IFERROR(__xludf.DUMMYFUNCTION("(IMPORTRANGE(""https://docs.google.com/spreadsheets/d/1IYeRjQd_D6MRqoBKNaky3aSEUloYCJc5XDnPAbdyetk/edit"",""13!e43""))"),0)</f>
        <v>0</v>
      </c>
      <c r="L339" s="18">
        <f t="shared" ca="1" si="942"/>
        <v>2998</v>
      </c>
      <c r="M339" s="18">
        <f t="shared" ca="1" si="914"/>
        <v>5083</v>
      </c>
      <c r="N339" s="19">
        <f t="shared" ca="1" si="915"/>
        <v>189.53519999999997</v>
      </c>
      <c r="O339" s="16">
        <v>5887</v>
      </c>
      <c r="P339" s="20">
        <f t="shared" ca="1" si="916"/>
        <v>0.86342789196534742</v>
      </c>
      <c r="Q339" s="21">
        <v>1.5</v>
      </c>
      <c r="R339" s="20">
        <f t="shared" ca="1" si="917"/>
        <v>0.59596083237074471</v>
      </c>
      <c r="S339" s="22">
        <f t="shared" ca="1" si="918"/>
        <v>0.89394124855611701</v>
      </c>
      <c r="T339" s="21">
        <f ca="1">F339/24.792</f>
        <v>229.35043562439495</v>
      </c>
      <c r="U339" s="21">
        <f t="shared" ca="1" si="919"/>
        <v>7.6450145208131648</v>
      </c>
      <c r="V339" s="18">
        <f t="shared" ca="1" si="920"/>
        <v>169.43333333333334</v>
      </c>
      <c r="W339" s="76"/>
      <c r="X339" s="8">
        <v>4</v>
      </c>
      <c r="Y339" s="8" t="s">
        <v>38</v>
      </c>
      <c r="Z339" s="8">
        <f t="shared" ref="Z339:AI339" si="945">SUM(D342)</f>
        <v>30</v>
      </c>
      <c r="AA339" s="9">
        <f t="shared" ca="1" si="945"/>
        <v>30</v>
      </c>
      <c r="AB339" s="10">
        <f t="shared" ca="1" si="945"/>
        <v>6490.3029999999899</v>
      </c>
      <c r="AC339" s="9">
        <f t="shared" ca="1" si="945"/>
        <v>2389</v>
      </c>
      <c r="AD339" s="9">
        <f t="shared" ca="1" si="945"/>
        <v>26</v>
      </c>
      <c r="AE339" s="9">
        <f t="shared" ca="1" si="945"/>
        <v>2415</v>
      </c>
      <c r="AF339" s="9">
        <f t="shared" ca="1" si="945"/>
        <v>2408</v>
      </c>
      <c r="AG339" s="9">
        <f t="shared" ca="1" si="945"/>
        <v>256</v>
      </c>
      <c r="AH339" s="9">
        <f t="shared" ca="1" si="945"/>
        <v>2664</v>
      </c>
      <c r="AI339" s="9">
        <f t="shared" ca="1" si="945"/>
        <v>5079</v>
      </c>
      <c r="AJ339" s="11">
        <f t="shared" ca="1" si="932"/>
        <v>216.343433333333</v>
      </c>
      <c r="AK339" s="8">
        <v>7324</v>
      </c>
      <c r="AL339" s="12">
        <f t="shared" ca="1" si="934"/>
        <v>0.69347351174221739</v>
      </c>
      <c r="AM339" s="13">
        <f>SUM(Q342)</f>
        <v>1.5</v>
      </c>
      <c r="AN339" s="12">
        <f t="shared" ca="1" si="936"/>
        <v>0.5217013751129963</v>
      </c>
      <c r="AO339" s="14">
        <f t="shared" ca="1" si="937"/>
        <v>0.78255206266949451</v>
      </c>
      <c r="AP339" s="13">
        <f t="shared" ref="AP339:AQ339" ca="1" si="946">SUM(T342)</f>
        <v>157.51251061764324</v>
      </c>
      <c r="AQ339" s="13">
        <f t="shared" ca="1" si="946"/>
        <v>5.2504170205881078</v>
      </c>
      <c r="AR339" s="9">
        <f t="shared" ca="1" si="939"/>
        <v>169.3</v>
      </c>
      <c r="AS339" s="76"/>
      <c r="AT339" s="76"/>
    </row>
    <row r="340" spans="1:46" ht="15.75" customHeight="1" x14ac:dyDescent="0.25">
      <c r="A340" s="70"/>
      <c r="B340" s="16">
        <v>12</v>
      </c>
      <c r="C340" s="16" t="s">
        <v>39</v>
      </c>
      <c r="D340" s="17">
        <v>28</v>
      </c>
      <c r="E340" s="18">
        <f ca="1">IFERROR(__xludf.DUMMYFUNCTION("COUNT(IMPORTRANGE(""https://docs.google.com/spreadsheets/d/1TAY2D35yAzyl8a_p5CuZehQvmatfj0b0Q8ICl8GtJBY/edit"",""13!d2:d29""))"),26)</f>
        <v>26</v>
      </c>
      <c r="F340" s="23">
        <f ca="1">IFERROR(__xludf.DUMMYFUNCTION("SUM(IMPORTRANGE(""https://docs.google.com/spreadsheets/d/1TAY2D35yAzyl8a_p5CuZehQvmatfj0b0Q8ICl8GtJBY/edit"",""13!Q2:Q29""))"),4975.05099999999)</f>
        <v>4975.0509999999904</v>
      </c>
      <c r="G340" s="18">
        <f ca="1">IFERROR(__xludf.DUMMYFUNCTION("IMPORTRANGE(""https://docs.google.com/spreadsheets/d/1TAY2D35yAzyl8a_p5CuZehQvmatfj0b0Q8ICl8GtJBY/edit"",""13!e36"")"),1178)</f>
        <v>1178</v>
      </c>
      <c r="H340" s="18">
        <f ca="1">IFERROR(__xludf.DUMMYFUNCTION("(IMPORTRANGE(""https://docs.google.com/spreadsheets/d/1TAY2D35yAzyl8a_p5CuZehQvmatfj0b0Q8ICl8GtJBY/edit"",""13!e37""))"),0)</f>
        <v>0</v>
      </c>
      <c r="I340" s="18">
        <f t="shared" ca="1" si="912"/>
        <v>1178</v>
      </c>
      <c r="J340" s="18">
        <f ca="1">IFERROR(__xludf.DUMMYFUNCTION("IMPORTRANGE(""https://docs.google.com/spreadsheets/d/1TAY2D35yAzyl8a_p5CuZehQvmatfj0b0Q8ICl8GtJBY/edit"",""13!e40"")"),1740)</f>
        <v>1740</v>
      </c>
      <c r="K340" s="18">
        <f ca="1">IFERROR(__xludf.DUMMYFUNCTION("IMPORTRANGE(""https://docs.google.com/spreadsheets/d/1TAY2D35yAzyl8a_p5CuZehQvmatfj0b0Q8ICl8GtJBY/edit"",""13!e41"")"),0)</f>
        <v>0</v>
      </c>
      <c r="L340" s="18">
        <f t="shared" ca="1" si="942"/>
        <v>1740</v>
      </c>
      <c r="M340" s="18">
        <f t="shared" ca="1" si="914"/>
        <v>2918</v>
      </c>
      <c r="N340" s="19">
        <f t="shared" ca="1" si="915"/>
        <v>191.34811538461503</v>
      </c>
      <c r="O340" s="16">
        <v>3569</v>
      </c>
      <c r="P340" s="20">
        <f t="shared" ca="1" si="916"/>
        <v>0.81759596525637435</v>
      </c>
      <c r="Q340" s="21">
        <v>1.5</v>
      </c>
      <c r="R340" s="20">
        <f t="shared" ca="1" si="917"/>
        <v>0.39101776712104802</v>
      </c>
      <c r="S340" s="22">
        <f t="shared" ca="1" si="918"/>
        <v>0.58652665068157206</v>
      </c>
      <c r="T340" s="21">
        <f ca="1">F340/21.463</f>
        <v>231.79662675301637</v>
      </c>
      <c r="U340" s="21">
        <f t="shared" ca="1" si="919"/>
        <v>8.9152548751160143</v>
      </c>
      <c r="V340" s="18">
        <f t="shared" ca="1" si="920"/>
        <v>112.23076923076923</v>
      </c>
      <c r="W340" s="76"/>
      <c r="X340" s="8">
        <v>5</v>
      </c>
      <c r="Y340" s="8" t="s">
        <v>40</v>
      </c>
      <c r="Z340" s="8">
        <f t="shared" ref="Z340:AI340" si="947">SUM(D344)</f>
        <v>30</v>
      </c>
      <c r="AA340" s="9">
        <f t="shared" ca="1" si="947"/>
        <v>29</v>
      </c>
      <c r="AB340" s="10">
        <f t="shared" ca="1" si="947"/>
        <v>5773.9289999999901</v>
      </c>
      <c r="AC340" s="9">
        <f t="shared" ca="1" si="947"/>
        <v>3260</v>
      </c>
      <c r="AD340" s="9">
        <f t="shared" ca="1" si="947"/>
        <v>0</v>
      </c>
      <c r="AE340" s="9">
        <f t="shared" ca="1" si="947"/>
        <v>3260</v>
      </c>
      <c r="AF340" s="9">
        <f t="shared" ca="1" si="947"/>
        <v>4114</v>
      </c>
      <c r="AG340" s="9">
        <f t="shared" ca="1" si="947"/>
        <v>23</v>
      </c>
      <c r="AH340" s="9">
        <f t="shared" ca="1" si="947"/>
        <v>4137</v>
      </c>
      <c r="AI340" s="9">
        <f t="shared" ca="1" si="947"/>
        <v>7397</v>
      </c>
      <c r="AJ340" s="11">
        <f t="shared" ca="1" si="932"/>
        <v>199.10099999999966</v>
      </c>
      <c r="AK340" s="8">
        <f t="shared" ref="AK340:AK341" si="948">SUM(O344)</f>
        <v>8239</v>
      </c>
      <c r="AL340" s="12">
        <f t="shared" ca="1" si="934"/>
        <v>0.89780313144799129</v>
      </c>
      <c r="AM340" s="13">
        <f t="shared" ref="AM340:AM341" si="949">SUM(Q344)</f>
        <v>1.5</v>
      </c>
      <c r="AN340" s="12">
        <f t="shared" ca="1" si="936"/>
        <v>0.85406892487478492</v>
      </c>
      <c r="AO340" s="14">
        <f t="shared" ca="1" si="937"/>
        <v>1.2811033873121773</v>
      </c>
      <c r="AP340" s="13">
        <f t="shared" ref="AP340:AQ340" ca="1" si="950">SUM(T344)</f>
        <v>202.99999999999963</v>
      </c>
      <c r="AQ340" s="13">
        <f t="shared" ca="1" si="950"/>
        <v>6.9999999999999876</v>
      </c>
      <c r="AR340" s="9">
        <f t="shared" ca="1" si="939"/>
        <v>255.06896551724137</v>
      </c>
      <c r="AS340" s="76"/>
      <c r="AT340" s="76"/>
    </row>
    <row r="341" spans="1:46" ht="15.75" customHeight="1" x14ac:dyDescent="0.25">
      <c r="A341" s="70"/>
      <c r="B341" s="16">
        <v>12</v>
      </c>
      <c r="C341" s="16" t="s">
        <v>41</v>
      </c>
      <c r="D341" s="17">
        <v>24</v>
      </c>
      <c r="E341" s="18">
        <f ca="1">IFERROR(__xludf.DUMMYFUNCTION("COUNT(IMPORTRANGE(""https://docs.google.com/spreadsheets/d/1VAsUtLQHi7oV9NsI9EIHPnO1bcPJHeRgSbMoxSvPBME/edit"",""13!d2:d25""))"),24)</f>
        <v>24</v>
      </c>
      <c r="F341" s="23">
        <f ca="1">IFERROR(__xludf.DUMMYFUNCTION("SUM(IMPORTRANGE(""https://docs.google.com/spreadsheets/d/1VAsUtLQHi7oV9NsI9EIHPnO1bcPJHeRgSbMoxSvPBME/edit"",""13!Q2:Q25""))"),4747.064)</f>
        <v>4747.0640000000003</v>
      </c>
      <c r="G341" s="18">
        <f ca="1">IFERROR(__xludf.DUMMYFUNCTION("IMPORTRANGE(""https://docs.google.com/spreadsheets/d/1VAsUtLQHi7oV9NsI9EIHPnO1bcPJHeRgSbMoxSvPBME/edit"",""13!e32"")"),1368)</f>
        <v>1368</v>
      </c>
      <c r="H341" s="18">
        <f ca="1">IFERROR(__xludf.DUMMYFUNCTION("IMPORTRANGE(""https://docs.google.com/spreadsheets/d/1VAsUtLQHi7oV9NsI9EIHPnO1bcPJHeRgSbMoxSvPBME/edit"",""13!e33"")"),0)</f>
        <v>0</v>
      </c>
      <c r="I341" s="18">
        <f t="shared" ca="1" si="912"/>
        <v>1368</v>
      </c>
      <c r="J341" s="18">
        <f ca="1">IFERROR(__xludf.DUMMYFUNCTION("IMPORTRANGE(""https://docs.google.com/spreadsheets/d/1VAsUtLQHi7oV9NsI9EIHPnO1bcPJHeRgSbMoxSvPBME/edit"",""13!e36"")"),1679)</f>
        <v>1679</v>
      </c>
      <c r="K341" s="18">
        <f ca="1">IFERROR(__xludf.DUMMYFUNCTION("IMPORTRANGE(""https://docs.google.com/spreadsheets/d/1VAsUtLQHi7oV9NsI9EIHPnO1bcPJHeRgSbMoxSvPBME/edit"",""13!e37"")"),46)</f>
        <v>46</v>
      </c>
      <c r="L341" s="18">
        <f t="shared" ca="1" si="942"/>
        <v>1725</v>
      </c>
      <c r="M341" s="18">
        <f t="shared" ca="1" si="914"/>
        <v>3093</v>
      </c>
      <c r="N341" s="19">
        <f t="shared" ca="1" si="915"/>
        <v>197.79433333333336</v>
      </c>
      <c r="O341" s="16">
        <v>3801</v>
      </c>
      <c r="P341" s="20">
        <f t="shared" ca="1" si="916"/>
        <v>0.81373322809786897</v>
      </c>
      <c r="Q341" s="21">
        <v>1.5</v>
      </c>
      <c r="R341" s="20">
        <f t="shared" ca="1" si="917"/>
        <v>0.43437375186009702</v>
      </c>
      <c r="S341" s="22">
        <f t="shared" ca="1" si="918"/>
        <v>0.65156062779014556</v>
      </c>
      <c r="T341" s="21">
        <f ca="1">F341/29.628</f>
        <v>160.22222222222223</v>
      </c>
      <c r="U341" s="21">
        <f t="shared" ca="1" si="919"/>
        <v>6.6759259259259265</v>
      </c>
      <c r="V341" s="18">
        <f t="shared" ca="1" si="920"/>
        <v>128.875</v>
      </c>
      <c r="W341" s="76"/>
      <c r="X341" s="8">
        <v>6</v>
      </c>
      <c r="Y341" s="8" t="s">
        <v>42</v>
      </c>
      <c r="Z341" s="8">
        <f t="shared" ref="Z341:AI341" si="951">SUM(D345)</f>
        <v>33</v>
      </c>
      <c r="AA341" s="9">
        <f t="shared" ca="1" si="951"/>
        <v>33</v>
      </c>
      <c r="AB341" s="10">
        <f t="shared" ca="1" si="951"/>
        <v>6380.2819999999901</v>
      </c>
      <c r="AC341" s="9">
        <f t="shared" ca="1" si="951"/>
        <v>3536</v>
      </c>
      <c r="AD341" s="9">
        <f t="shared" ca="1" si="951"/>
        <v>0</v>
      </c>
      <c r="AE341" s="9">
        <f t="shared" ca="1" si="951"/>
        <v>3536</v>
      </c>
      <c r="AF341" s="9">
        <f t="shared" ca="1" si="951"/>
        <v>4112</v>
      </c>
      <c r="AG341" s="9">
        <f t="shared" ca="1" si="951"/>
        <v>0</v>
      </c>
      <c r="AH341" s="9">
        <f t="shared" ca="1" si="951"/>
        <v>4112</v>
      </c>
      <c r="AI341" s="9">
        <f t="shared" ca="1" si="951"/>
        <v>7648</v>
      </c>
      <c r="AJ341" s="11">
        <f t="shared" ca="1" si="932"/>
        <v>193.3418787878785</v>
      </c>
      <c r="AK341" s="8">
        <f t="shared" si="948"/>
        <v>9877</v>
      </c>
      <c r="AL341" s="12">
        <f t="shared" ca="1" si="934"/>
        <v>0.77432418750632781</v>
      </c>
      <c r="AM341" s="13">
        <f t="shared" si="949"/>
        <v>1.5</v>
      </c>
      <c r="AN341" s="12">
        <f t="shared" ca="1" si="936"/>
        <v>0.79912873234547854</v>
      </c>
      <c r="AO341" s="14">
        <f t="shared" ca="1" si="937"/>
        <v>1.1986930985182178</v>
      </c>
      <c r="AP341" s="13">
        <f t="shared" ref="AP341:AQ341" ca="1" si="952">SUM(T345)</f>
        <v>243.94119671190938</v>
      </c>
      <c r="AQ341" s="13">
        <f t="shared" ca="1" si="952"/>
        <v>7.3921574761184665</v>
      </c>
      <c r="AR341" s="9">
        <f t="shared" ca="1" si="939"/>
        <v>231.75757575757575</v>
      </c>
      <c r="AS341" s="76"/>
      <c r="AT341" s="76"/>
    </row>
    <row r="342" spans="1:46" ht="15.75" customHeight="1" x14ac:dyDescent="0.25">
      <c r="A342" s="70"/>
      <c r="B342" s="16">
        <v>13</v>
      </c>
      <c r="C342" s="16" t="s">
        <v>43</v>
      </c>
      <c r="D342" s="17">
        <v>30</v>
      </c>
      <c r="E342" s="18">
        <f ca="1">IFERROR(__xludf.DUMMYFUNCTION("COUNT(IMPORTRANGE(""https://docs.google.com/spreadsheets/d/1p9Y_DGk7-TpRBFth-ljZceOIGCjQ0ylUeUq6xqnsZ-Q/edit"",""13!d2:d31""))"),30)</f>
        <v>30</v>
      </c>
      <c r="F342" s="23">
        <f ca="1">IFERROR(__xludf.DUMMYFUNCTION("SUM(IMPORTRANGE(""https://docs.google.com/spreadsheets/d/1p9Y_DGk7-TpRBFth-ljZceOIGCjQ0ylUeUq6xqnsZ-Q/edit"",""13!Q2:Q31""))"),6490.30299999999)</f>
        <v>6490.3029999999899</v>
      </c>
      <c r="G342" s="18">
        <f ca="1">IFERROR(__xludf.DUMMYFUNCTION("IMPORTRANGE(""https://docs.google.com/spreadsheets/d/1p9Y_DGk7-TpRBFth-ljZceOIGCjQ0ylUeUq6xqnsZ-Q/edit"",""13!e38"")"),2389)</f>
        <v>2389</v>
      </c>
      <c r="H342" s="18">
        <f ca="1">IFERROR(__xludf.DUMMYFUNCTION("IMPORTRANGE(""https://docs.google.com/spreadsheets/d/1p9Y_DGk7-TpRBFth-ljZceOIGCjQ0ylUeUq6xqnsZ-Q/edit"",""13!e39"")"),26)</f>
        <v>26</v>
      </c>
      <c r="I342" s="18">
        <f t="shared" ca="1" si="912"/>
        <v>2415</v>
      </c>
      <c r="J342" s="18">
        <f ca="1">IFERROR(__xludf.DUMMYFUNCTION("IMPORTRANGE(""https://docs.google.com/spreadsheets/d/1p9Y_DGk7-TpRBFth-ljZceOIGCjQ0ylUeUq6xqnsZ-Q/edit"",""13!e42"")"),2408)</f>
        <v>2408</v>
      </c>
      <c r="K342" s="18">
        <f ca="1">IFERROR(__xludf.DUMMYFUNCTION("IMPORTRANGE(""https://docs.google.com/spreadsheets/d/1p9Y_DGk7-TpRBFth-ljZceOIGCjQ0ylUeUq6xqnsZ-Q/edit"",""13!e43"")"),256)</f>
        <v>256</v>
      </c>
      <c r="L342" s="18">
        <f t="shared" ca="1" si="942"/>
        <v>2664</v>
      </c>
      <c r="M342" s="18">
        <f t="shared" ca="1" si="914"/>
        <v>5079</v>
      </c>
      <c r="N342" s="19">
        <f t="shared" ca="1" si="915"/>
        <v>216.343433333333</v>
      </c>
      <c r="O342" s="16">
        <v>8345</v>
      </c>
      <c r="P342" s="20">
        <f t="shared" ca="1" si="916"/>
        <v>0.60862792091072504</v>
      </c>
      <c r="Q342" s="21">
        <v>1.5</v>
      </c>
      <c r="R342" s="20">
        <f t="shared" ca="1" si="917"/>
        <v>0.5217013751129963</v>
      </c>
      <c r="S342" s="22">
        <f t="shared" ca="1" si="918"/>
        <v>0.78255206266949451</v>
      </c>
      <c r="T342" s="21">
        <f ca="1">F342/41.205</f>
        <v>157.51251061764324</v>
      </c>
      <c r="U342" s="21">
        <f t="shared" ca="1" si="919"/>
        <v>5.2504170205881078</v>
      </c>
      <c r="V342" s="18">
        <f t="shared" ca="1" si="920"/>
        <v>169.3</v>
      </c>
      <c r="W342" s="76"/>
      <c r="X342" s="24" t="s">
        <v>33</v>
      </c>
      <c r="Y342" s="24">
        <v>6</v>
      </c>
      <c r="Z342" s="24">
        <f t="shared" ref="Z342:AI342" si="953">SUM(Z336:Z341)</f>
        <v>226</v>
      </c>
      <c r="AA342" s="25">
        <f t="shared" ca="1" si="953"/>
        <v>222</v>
      </c>
      <c r="AB342" s="27">
        <f t="shared" ca="1" si="953"/>
        <v>43397.231999999975</v>
      </c>
      <c r="AC342" s="25">
        <f t="shared" ca="1" si="953"/>
        <v>18356</v>
      </c>
      <c r="AD342" s="25">
        <f t="shared" ca="1" si="953"/>
        <v>145</v>
      </c>
      <c r="AE342" s="25">
        <f t="shared" ca="1" si="953"/>
        <v>18501</v>
      </c>
      <c r="AF342" s="25">
        <f t="shared" ca="1" si="953"/>
        <v>20996</v>
      </c>
      <c r="AG342" s="25">
        <f t="shared" ca="1" si="953"/>
        <v>613</v>
      </c>
      <c r="AH342" s="25">
        <f t="shared" ca="1" si="953"/>
        <v>21609</v>
      </c>
      <c r="AI342" s="25">
        <f t="shared" ca="1" si="953"/>
        <v>40110</v>
      </c>
      <c r="AJ342" s="27">
        <f t="shared" ca="1" si="932"/>
        <v>195.48302702702691</v>
      </c>
      <c r="AK342" s="24">
        <f>SUM(AK336:AK341)</f>
        <v>53273</v>
      </c>
      <c r="AL342" s="28">
        <f t="shared" ca="1" si="934"/>
        <v>0.75291423422746984</v>
      </c>
      <c r="AM342" s="29">
        <v>1.5</v>
      </c>
      <c r="AN342" s="28">
        <f t="shared" ca="1" si="936"/>
        <v>0.61616833073593302</v>
      </c>
      <c r="AO342" s="30">
        <f t="shared" ca="1" si="937"/>
        <v>0.92425249610389948</v>
      </c>
      <c r="AP342" s="29">
        <f ca="1">SUM(AP336:AP341)</f>
        <v>1421.8280782088373</v>
      </c>
      <c r="AQ342" s="29">
        <f ca="1">AP342/AA342</f>
        <v>6.4046309829226908</v>
      </c>
      <c r="AR342" s="25">
        <f t="shared" ca="1" si="939"/>
        <v>180.67567567567568</v>
      </c>
      <c r="AS342" s="76"/>
      <c r="AT342" s="76"/>
    </row>
    <row r="343" spans="1:46" ht="15.75" customHeight="1" x14ac:dyDescent="0.25">
      <c r="A343" s="70"/>
      <c r="B343" s="16">
        <v>14</v>
      </c>
      <c r="C343" s="16" t="s">
        <v>27</v>
      </c>
      <c r="D343" s="17">
        <v>30</v>
      </c>
      <c r="E343" s="18">
        <f ca="1">IFERROR(__xludf.DUMMYFUNCTION("COUNT(IMPORTRANGE(""https://docs.google.com/spreadsheets/d/1zJUDEKztv_fercXA0LYNw155qdzS7TJGhWLhquaW5IY/edit"",""13!d2:d31""))"),28)</f>
        <v>28</v>
      </c>
      <c r="F343" s="23">
        <f ca="1">IFERROR(__xludf.DUMMYFUNCTION("SUM(IMPORTRANGE(""https://docs.google.com/spreadsheets/d/1zJUDEKztv_fercXA0LYNw155qdzS7TJGhWLhquaW5IY/edit"",""13!Q2:Q31""))"),4552.47299999999)</f>
        <v>4552.47299999999</v>
      </c>
      <c r="G343" s="18">
        <f ca="1">IFERROR(__xludf.DUMMYFUNCTION("IMPORTRANGE(""https://docs.google.com/spreadsheets/d/1zJUDEKztv_fercXA0LYNw155qdzS7TJGhWLhquaW5IY/edit"",""13!e38"")"),2226)</f>
        <v>2226</v>
      </c>
      <c r="H343" s="18">
        <f ca="1">IFERROR(__xludf.DUMMYFUNCTION("IMPORTRANGE(""https://docs.google.com/spreadsheets/d/1zJUDEKztv_fercXA0LYNw155qdzS7TJGhWLhquaW5IY/edit"",""13!e39"")"),0)</f>
        <v>0</v>
      </c>
      <c r="I343" s="18">
        <f t="shared" ca="1" si="912"/>
        <v>2226</v>
      </c>
      <c r="J343" s="18">
        <f ca="1">IFERROR(__xludf.DUMMYFUNCTION("IMPORTRANGE(""https://docs.google.com/spreadsheets/d/1zJUDEKztv_fercXA0LYNw155qdzS7TJGhWLhquaW5IY/edit"",""13!e42"")"),2800)</f>
        <v>2800</v>
      </c>
      <c r="K343" s="18">
        <f ca="1">IFERROR(__xludf.DUMMYFUNCTION("IMPORTRANGE(""https://docs.google.com/spreadsheets/d/1zJUDEKztv_fercXA0LYNw155qdzS7TJGhWLhquaW5IY/edit"",""13!e43"")"),0)</f>
        <v>0</v>
      </c>
      <c r="L343" s="18">
        <f t="shared" ca="1" si="942"/>
        <v>2800</v>
      </c>
      <c r="M343" s="18">
        <f t="shared" ca="1" si="914"/>
        <v>5026</v>
      </c>
      <c r="N343" s="19">
        <f t="shared" ca="1" si="915"/>
        <v>162.58832142857108</v>
      </c>
      <c r="O343" s="16">
        <v>8101</v>
      </c>
      <c r="P343" s="20">
        <f t="shared" ca="1" si="916"/>
        <v>0.62041723244043945</v>
      </c>
      <c r="Q343" s="21">
        <v>1.5</v>
      </c>
      <c r="R343" s="20">
        <f t="shared" ca="1" si="917"/>
        <v>0.73601022272217198</v>
      </c>
      <c r="S343" s="22">
        <f t="shared" ca="1" si="918"/>
        <v>1.1040153340832579</v>
      </c>
      <c r="T343" s="21">
        <f ca="1">F343/19.985</f>
        <v>227.79449587190342</v>
      </c>
      <c r="U343" s="21">
        <f t="shared" ca="1" si="919"/>
        <v>8.135517709710836</v>
      </c>
      <c r="V343" s="18">
        <f t="shared" ca="1" si="920"/>
        <v>179.5</v>
      </c>
      <c r="W343" s="76"/>
      <c r="X343" s="97" t="s">
        <v>44</v>
      </c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9"/>
      <c r="AS343" s="76"/>
      <c r="AT343" s="76"/>
    </row>
    <row r="344" spans="1:46" ht="15.75" customHeight="1" x14ac:dyDescent="0.25">
      <c r="A344" s="70"/>
      <c r="B344" s="16">
        <v>15</v>
      </c>
      <c r="C344" s="16" t="s">
        <v>40</v>
      </c>
      <c r="D344" s="17">
        <v>30</v>
      </c>
      <c r="E344" s="18">
        <f ca="1">IFERROR(__xludf.DUMMYFUNCTION("COUNT(IMPORTRANGE(""https://docs.google.com/spreadsheets/d/15GJA66Ucb-8RQ5vWVpq5HYaWoZZFX82SCeHChBujbrI/edit"",""13!d2:d31""))"),29)</f>
        <v>29</v>
      </c>
      <c r="F344" s="23">
        <f ca="1">IFERROR(__xludf.DUMMYFUNCTION("SUM(IMPORTRANGE(""https://docs.google.com/spreadsheets/d/15GJA66Ucb-8RQ5vWVpq5HYaWoZZFX82SCeHChBujbrI/edit"",""13!Q2:Q31""))"),5773.92899999999)</f>
        <v>5773.9289999999901</v>
      </c>
      <c r="G344" s="18">
        <f ca="1">IFERROR(__xludf.DUMMYFUNCTION("IMPORTRANGE(""https://docs.google.com/spreadsheets/d/15GJA66Ucb-8RQ5vWVpq5HYaWoZZFX82SCeHChBujbrI/edit"",""13!e38"")"),3260)</f>
        <v>3260</v>
      </c>
      <c r="H344" s="18">
        <f ca="1">IFERROR(__xludf.DUMMYFUNCTION("IMPORTRANGE(""https://docs.google.com/spreadsheets/d/15GJA66Ucb-8RQ5vWVpq5HYaWoZZFX82SCeHChBujbrI/edit"",""13!e39"")"),0)</f>
        <v>0</v>
      </c>
      <c r="I344" s="18">
        <f t="shared" ca="1" si="912"/>
        <v>3260</v>
      </c>
      <c r="J344" s="18">
        <f ca="1">IFERROR(__xludf.DUMMYFUNCTION("IMPORTRANGE(""https://docs.google.com/spreadsheets/d/15GJA66Ucb-8RQ5vWVpq5HYaWoZZFX82SCeHChBujbrI/edit"",""13!e42"")"),4114)</f>
        <v>4114</v>
      </c>
      <c r="K344" s="18">
        <f ca="1">IFERROR(__xludf.DUMMYFUNCTION("IMPORTRANGE(""https://docs.google.com/spreadsheets/d/15GJA66Ucb-8RQ5vWVpq5HYaWoZZFX82SCeHChBujbrI/edit"",""13!e43"")"),23)</f>
        <v>23</v>
      </c>
      <c r="L344" s="18">
        <f t="shared" ca="1" si="942"/>
        <v>4137</v>
      </c>
      <c r="M344" s="18">
        <f t="shared" ca="1" si="914"/>
        <v>7397</v>
      </c>
      <c r="N344" s="19">
        <f t="shared" ca="1" si="915"/>
        <v>199.10099999999966</v>
      </c>
      <c r="O344" s="16">
        <v>8239</v>
      </c>
      <c r="P344" s="20">
        <f t="shared" ca="1" si="916"/>
        <v>0.89780313144799129</v>
      </c>
      <c r="Q344" s="21">
        <v>1.5</v>
      </c>
      <c r="R344" s="20">
        <f t="shared" ca="1" si="917"/>
        <v>0.85406892487478492</v>
      </c>
      <c r="S344" s="22">
        <f t="shared" ca="1" si="918"/>
        <v>1.2811033873121773</v>
      </c>
      <c r="T344" s="21">
        <f ca="1">F344/28.443</f>
        <v>202.99999999999963</v>
      </c>
      <c r="U344" s="21">
        <f t="shared" ca="1" si="919"/>
        <v>6.9999999999999876</v>
      </c>
      <c r="V344" s="18">
        <f t="shared" ca="1" si="920"/>
        <v>255.06896551724137</v>
      </c>
      <c r="W344" s="76"/>
      <c r="X344" s="1" t="s">
        <v>2</v>
      </c>
      <c r="Y344" s="1" t="s">
        <v>3</v>
      </c>
      <c r="Z344" s="1" t="s">
        <v>4</v>
      </c>
      <c r="AA344" s="1" t="s">
        <v>5</v>
      </c>
      <c r="AB344" s="2" t="s">
        <v>6</v>
      </c>
      <c r="AC344" s="1" t="s">
        <v>7</v>
      </c>
      <c r="AD344" s="1" t="s">
        <v>8</v>
      </c>
      <c r="AE344" s="1" t="s">
        <v>9</v>
      </c>
      <c r="AF344" s="1" t="s">
        <v>10</v>
      </c>
      <c r="AG344" s="1" t="s">
        <v>11</v>
      </c>
      <c r="AH344" s="1" t="s">
        <v>12</v>
      </c>
      <c r="AI344" s="1" t="s">
        <v>13</v>
      </c>
      <c r="AJ344" s="2" t="s">
        <v>14</v>
      </c>
      <c r="AK344" s="1" t="s">
        <v>15</v>
      </c>
      <c r="AL344" s="1" t="s">
        <v>16</v>
      </c>
      <c r="AM344" s="3" t="s">
        <v>17</v>
      </c>
      <c r="AN344" s="4" t="s">
        <v>18</v>
      </c>
      <c r="AO344" s="5" t="s">
        <v>19</v>
      </c>
      <c r="AP344" s="6" t="s">
        <v>20</v>
      </c>
      <c r="AQ344" s="6" t="s">
        <v>21</v>
      </c>
      <c r="AR344" s="7" t="s">
        <v>22</v>
      </c>
      <c r="AS344" s="76"/>
      <c r="AT344" s="76"/>
    </row>
    <row r="345" spans="1:46" ht="15.75" customHeight="1" x14ac:dyDescent="0.25">
      <c r="A345" s="70"/>
      <c r="B345" s="16">
        <v>16</v>
      </c>
      <c r="C345" s="16" t="s">
        <v>42</v>
      </c>
      <c r="D345" s="17">
        <v>33</v>
      </c>
      <c r="E345" s="18">
        <f ca="1">IFERROR(__xludf.DUMMYFUNCTION("COUNT(IMPORTRANGE(""https://docs.google.com/spreadsheets/d/14Tu_jFPEdrIQ6DHYu6vRvJKQsbXr-48NY1tKy4-8JKI/edit"",""13!d2:d34""))"),33)</f>
        <v>33</v>
      </c>
      <c r="F345" s="23">
        <f ca="1">IFERROR(__xludf.DUMMYFUNCTION("SUM(IMPORTRANGE(""https://docs.google.com/spreadsheets/d/14Tu_jFPEdrIQ6DHYu6vRvJKQsbXr-48NY1tKy4-8JKI/edit"",""13!Q2:Q34""))"),6380.28199999999)</f>
        <v>6380.2819999999901</v>
      </c>
      <c r="G345" s="18">
        <f ca="1">IFERROR(__xludf.DUMMYFUNCTION("IMPORTRANGE(""https://docs.google.com/spreadsheets/d/14Tu_jFPEdrIQ6DHYu6vRvJKQsbXr-48NY1tKy4-8JKI/edit"",""13!e41"")"),3536)</f>
        <v>3536</v>
      </c>
      <c r="H345" s="18">
        <f ca="1">IFERROR(__xludf.DUMMYFUNCTION("IMPORTRANGE(""https://docs.google.com/spreadsheets/d/14Tu_jFPEdrIQ6DHYu6vRvJKQsbXr-48NY1tKy4-8JKI/edit"",""13!e42"")"),0)</f>
        <v>0</v>
      </c>
      <c r="I345" s="18">
        <f t="shared" ca="1" si="912"/>
        <v>3536</v>
      </c>
      <c r="J345" s="18">
        <f ca="1">IFERROR(__xludf.DUMMYFUNCTION("IMPORTRANGE(""https://docs.google.com/spreadsheets/d/14Tu_jFPEdrIQ6DHYu6vRvJKQsbXr-48NY1tKy4-8JKI/edit"",""13!e45"")"),4112)</f>
        <v>4112</v>
      </c>
      <c r="K345" s="18">
        <f ca="1">IFERROR(__xludf.DUMMYFUNCTION("IMPORTRANGE(""https://docs.google.com/spreadsheets/d/14Tu_jFPEdrIQ6DHYu6vRvJKQsbXr-48NY1tKy4-8JKI/edit"",""13!e46"")"),0)</f>
        <v>0</v>
      </c>
      <c r="L345" s="18">
        <f t="shared" ca="1" si="942"/>
        <v>4112</v>
      </c>
      <c r="M345" s="18">
        <f t="shared" ca="1" si="914"/>
        <v>7648</v>
      </c>
      <c r="N345" s="19">
        <f t="shared" ca="1" si="915"/>
        <v>193.3418787878785</v>
      </c>
      <c r="O345" s="16">
        <v>9877</v>
      </c>
      <c r="P345" s="20">
        <f t="shared" ca="1" si="916"/>
        <v>0.77432418750632781</v>
      </c>
      <c r="Q345" s="21">
        <v>1.5</v>
      </c>
      <c r="R345" s="20">
        <f t="shared" ca="1" si="917"/>
        <v>0.79912873234547854</v>
      </c>
      <c r="S345" s="22">
        <f t="shared" ca="1" si="918"/>
        <v>1.1986930985182178</v>
      </c>
      <c r="T345" s="21">
        <f ca="1">F345/26.155</f>
        <v>243.94119671190938</v>
      </c>
      <c r="U345" s="21">
        <f t="shared" ca="1" si="919"/>
        <v>7.3921574761184665</v>
      </c>
      <c r="V345" s="18">
        <f t="shared" ca="1" si="920"/>
        <v>231.75757575757575</v>
      </c>
      <c r="W345" s="76"/>
      <c r="X345" s="8">
        <v>1</v>
      </c>
      <c r="Y345" s="8" t="s">
        <v>26</v>
      </c>
      <c r="Z345" s="8">
        <f t="shared" ref="Z345:AI345" si="954">SUM(D330)</f>
        <v>20</v>
      </c>
      <c r="AA345" s="9">
        <f t="shared" ca="1" si="954"/>
        <v>20</v>
      </c>
      <c r="AB345" s="11">
        <f t="shared" ca="1" si="954"/>
        <v>3662.0219999999999</v>
      </c>
      <c r="AC345" s="9">
        <f t="shared" ca="1" si="954"/>
        <v>2150</v>
      </c>
      <c r="AD345" s="9">
        <f t="shared" ca="1" si="954"/>
        <v>0</v>
      </c>
      <c r="AE345" s="9">
        <f t="shared" ca="1" si="954"/>
        <v>2150</v>
      </c>
      <c r="AF345" s="9">
        <f t="shared" ca="1" si="954"/>
        <v>2769</v>
      </c>
      <c r="AG345" s="9">
        <f t="shared" ca="1" si="954"/>
        <v>0</v>
      </c>
      <c r="AH345" s="9">
        <f t="shared" ca="1" si="954"/>
        <v>2769</v>
      </c>
      <c r="AI345" s="9">
        <f t="shared" ca="1" si="954"/>
        <v>4919</v>
      </c>
      <c r="AJ345" s="11">
        <f t="shared" ref="AJ345:AJ351" ca="1" si="955">AB345/AA345</f>
        <v>183.1011</v>
      </c>
      <c r="AK345" s="8">
        <f>SUM(O330)</f>
        <v>5161</v>
      </c>
      <c r="AL345" s="12">
        <f t="shared" ref="AL345:AL351" ca="1" si="956">AI345/AK345</f>
        <v>0.9531098624297617</v>
      </c>
      <c r="AM345" s="13">
        <f>SUM(Q330)</f>
        <v>1.5</v>
      </c>
      <c r="AN345" s="12">
        <f t="shared" ref="AN345:AN351" ca="1" si="957">AO345/AM345</f>
        <v>0.89549798808781966</v>
      </c>
      <c r="AO345" s="14">
        <f t="shared" ref="AO345:AO351" ca="1" si="958">AI345/AB345</f>
        <v>1.3432469821317294</v>
      </c>
      <c r="AP345" s="13">
        <f t="shared" ref="AP345:AQ345" ca="1" si="959">SUM(T330)</f>
        <v>254.04245577523415</v>
      </c>
      <c r="AQ345" s="13">
        <f t="shared" ca="1" si="959"/>
        <v>12.702122788761708</v>
      </c>
      <c r="AR345" s="9">
        <f t="shared" ref="AR345:AR351" ca="1" si="960">AI345/AA345</f>
        <v>245.95</v>
      </c>
      <c r="AS345" s="76"/>
      <c r="AT345" s="76"/>
    </row>
    <row r="346" spans="1:46" ht="15.75" customHeight="1" x14ac:dyDescent="0.25">
      <c r="A346" s="70"/>
      <c r="B346" s="16">
        <v>17</v>
      </c>
      <c r="C346" s="16" t="s">
        <v>29</v>
      </c>
      <c r="D346" s="17">
        <v>30</v>
      </c>
      <c r="E346" s="18">
        <f ca="1">IFERROR(__xludf.DUMMYFUNCTION("COUNT(IMPORTRANGE(""https://docs.google.com/spreadsheets/d/1ja_RQYsP0p5wRrACHojay4CW1wLx0QdS5tSwp-vYQ-s/edit"",""13!d2:d31""))"),30)</f>
        <v>30</v>
      </c>
      <c r="F346" s="23">
        <f ca="1">IFERROR(__xludf.DUMMYFUNCTION("SUM(IMPORTRANGE(""https://docs.google.com/spreadsheets/d/1ja_RQYsP0p5wRrACHojay4CW1wLx0QdS5tSwp-vYQ-s/edit"",""13!Q2:Q31""))"),6092.92999999999)</f>
        <v>6092.9299999999903</v>
      </c>
      <c r="G346" s="18">
        <f ca="1">IFERROR(__xludf.DUMMYFUNCTION("IMPORTRANGE(""https://docs.google.com/spreadsheets/d/1ja_RQYsP0p5wRrACHojay4CW1wLx0QdS5tSwp-vYQ-s/edit"",""13!e38"")"),2821)</f>
        <v>2821</v>
      </c>
      <c r="H346" s="18">
        <f ca="1">IFERROR(__xludf.DUMMYFUNCTION("IMPORTRANGE(""https://docs.google.com/spreadsheets/d/1ja_RQYsP0p5wRrACHojay4CW1wLx0QdS5tSwp-vYQ-s/edit"",""13!e39"")"),0)</f>
        <v>0</v>
      </c>
      <c r="I346" s="18">
        <f t="shared" ca="1" si="912"/>
        <v>2821</v>
      </c>
      <c r="J346" s="18">
        <f ca="1">IFERROR(__xludf.DUMMYFUNCTION("IMPORTRANGE(""https://docs.google.com/spreadsheets/d/1ja_RQYsP0p5wRrACHojay4CW1wLx0QdS5tSwp-vYQ-s/edit"",""13!e42"")"),4213)</f>
        <v>4213</v>
      </c>
      <c r="K346" s="18">
        <f ca="1">IFERROR(__xludf.DUMMYFUNCTION("IMPORTRANGE(""https://docs.google.com/spreadsheets/d/1ja_RQYsP0p5wRrACHojay4CW1wLx0QdS5tSwp-vYQ-s/edit"",""13!e43"")"),0)</f>
        <v>0</v>
      </c>
      <c r="L346" s="18">
        <f t="shared" ca="1" si="942"/>
        <v>4213</v>
      </c>
      <c r="M346" s="18">
        <f t="shared" ca="1" si="914"/>
        <v>7034</v>
      </c>
      <c r="N346" s="19">
        <f t="shared" ca="1" si="915"/>
        <v>203.09766666666636</v>
      </c>
      <c r="O346" s="16">
        <v>9201</v>
      </c>
      <c r="P346" s="20">
        <f t="shared" ca="1" si="916"/>
        <v>0.76448212150853168</v>
      </c>
      <c r="Q346" s="21">
        <v>1.5</v>
      </c>
      <c r="R346" s="20">
        <f t="shared" ca="1" si="917"/>
        <v>0.76963518920016172</v>
      </c>
      <c r="S346" s="22">
        <f t="shared" ca="1" si="918"/>
        <v>1.1544527838002425</v>
      </c>
      <c r="T346" s="21">
        <f ca="1">F346/26.491</f>
        <v>229.99999999999963</v>
      </c>
      <c r="U346" s="21">
        <f t="shared" ca="1" si="919"/>
        <v>7.6666666666666545</v>
      </c>
      <c r="V346" s="18">
        <f t="shared" ca="1" si="920"/>
        <v>234.46666666666667</v>
      </c>
      <c r="W346" s="76"/>
      <c r="X346" s="8">
        <v>2</v>
      </c>
      <c r="Y346" s="8" t="s">
        <v>32</v>
      </c>
      <c r="Z346" s="8">
        <f t="shared" ref="Z346:AI346" si="961">SUM(D333)</f>
        <v>42</v>
      </c>
      <c r="AA346" s="9">
        <f t="shared" ca="1" si="961"/>
        <v>41</v>
      </c>
      <c r="AB346" s="10">
        <f t="shared" ca="1" si="961"/>
        <v>8028.4799999999896</v>
      </c>
      <c r="AC346" s="8">
        <f t="shared" ca="1" si="961"/>
        <v>4560</v>
      </c>
      <c r="AD346" s="8">
        <f t="shared" ca="1" si="961"/>
        <v>0</v>
      </c>
      <c r="AE346" s="9">
        <f t="shared" ca="1" si="961"/>
        <v>4560</v>
      </c>
      <c r="AF346" s="8">
        <f t="shared" ca="1" si="961"/>
        <v>5878</v>
      </c>
      <c r="AG346" s="8">
        <f t="shared" ca="1" si="961"/>
        <v>0</v>
      </c>
      <c r="AH346" s="9">
        <f t="shared" ca="1" si="961"/>
        <v>5878</v>
      </c>
      <c r="AI346" s="9">
        <f t="shared" ca="1" si="961"/>
        <v>10438</v>
      </c>
      <c r="AJ346" s="11">
        <f t="shared" ca="1" si="955"/>
        <v>195.8165853658534</v>
      </c>
      <c r="AK346" s="8">
        <f>SUM(O333)</f>
        <v>13817</v>
      </c>
      <c r="AL346" s="12">
        <f t="shared" ca="1" si="956"/>
        <v>0.75544618947673159</v>
      </c>
      <c r="AM346" s="13">
        <f>SUM(Q333)</f>
        <v>1.5</v>
      </c>
      <c r="AN346" s="12">
        <f t="shared" ca="1" si="957"/>
        <v>0.86674771148046403</v>
      </c>
      <c r="AO346" s="14">
        <f t="shared" ca="1" si="958"/>
        <v>1.3001215672206961</v>
      </c>
      <c r="AP346" s="13">
        <f t="shared" ref="AP346:AQ346" ca="1" si="962">SUM(T333)</f>
        <v>319.9999999999996</v>
      </c>
      <c r="AQ346" s="13">
        <f t="shared" ca="1" si="962"/>
        <v>7.8048780487804779</v>
      </c>
      <c r="AR346" s="9">
        <f t="shared" ca="1" si="960"/>
        <v>254.58536585365854</v>
      </c>
      <c r="AS346" s="76"/>
      <c r="AT346" s="76"/>
    </row>
    <row r="347" spans="1:46" ht="15.75" customHeight="1" x14ac:dyDescent="0.25">
      <c r="A347" s="70"/>
      <c r="B347" s="16">
        <v>18</v>
      </c>
      <c r="C347" s="16" t="s">
        <v>31</v>
      </c>
      <c r="D347" s="17">
        <v>15</v>
      </c>
      <c r="E347" s="18">
        <f ca="1">IFERROR(__xludf.DUMMYFUNCTION("COUNT(IMPORTRANGE(""https://docs.google.com/spreadsheets/d/1ObnK1oSznTOmyW9Zcd2kxExl7TOnO2MNq_0giEKc_mE/edit"",""13!d2:d16""))"),14)</f>
        <v>14</v>
      </c>
      <c r="F347" s="19">
        <f ca="1">IFERROR(__xludf.DUMMYFUNCTION("SUM(IMPORTRANGE(""https://docs.google.com/spreadsheets/d/1ObnK1oSznTOmyW9Zcd2kxExl7TOnO2MNq_0giEKc_mE/edit"",""13!Q2:Q16""))"),2540.98099999999)</f>
        <v>2540.9809999999902</v>
      </c>
      <c r="G347" s="18">
        <f ca="1">IFERROR(__xludf.DUMMYFUNCTION("IMPORTRANGE(""https://docs.google.com/spreadsheets/d/1ObnK1oSznTOmyW9Zcd2kxExl7TOnO2MNq_0giEKc_mE/edit"",""13!e23"")"),1020)</f>
        <v>1020</v>
      </c>
      <c r="H347" s="18">
        <f ca="1">IFERROR(__xludf.DUMMYFUNCTION("IMPORTRANGE(""https://docs.google.com/spreadsheets/d/1ObnK1oSznTOmyW9Zcd2kxExl7TOnO2MNq_0giEKc_mE/edit"",""13!e24"")"),0)</f>
        <v>0</v>
      </c>
      <c r="I347" s="18">
        <f t="shared" ca="1" si="912"/>
        <v>1020</v>
      </c>
      <c r="J347" s="18">
        <f ca="1">IFERROR(__xludf.DUMMYFUNCTION("IMPORTRANGE(""https://docs.google.com/spreadsheets/d/1ObnK1oSznTOmyW9Zcd2kxExl7TOnO2MNq_0giEKc_mE/edit"",""13!e27"")"),870)</f>
        <v>870</v>
      </c>
      <c r="K347" s="18">
        <f ca="1">IFERROR(__xludf.DUMMYFUNCTION("IMPORTRANGE(""https://docs.google.com/spreadsheets/d/1ObnK1oSznTOmyW9Zcd2kxExl7TOnO2MNq_0giEKc_mE/edit"",""13!e28"")"),0)</f>
        <v>0</v>
      </c>
      <c r="L347" s="18">
        <f t="shared" ca="1" si="942"/>
        <v>870</v>
      </c>
      <c r="M347" s="18">
        <f t="shared" ca="1" si="914"/>
        <v>1890</v>
      </c>
      <c r="N347" s="19">
        <f t="shared" ca="1" si="915"/>
        <v>181.49864285714216</v>
      </c>
      <c r="O347" s="16">
        <v>2717</v>
      </c>
      <c r="P347" s="20">
        <f t="shared" ca="1" si="916"/>
        <v>0.69562016930437987</v>
      </c>
      <c r="Q347" s="21">
        <v>1.5</v>
      </c>
      <c r="R347" s="20">
        <f t="shared" ca="1" si="917"/>
        <v>0.4958714764100971</v>
      </c>
      <c r="S347" s="22">
        <f t="shared" ca="1" si="918"/>
        <v>0.74380721461514565</v>
      </c>
      <c r="T347" s="21">
        <f ca="1">F347/43.465</f>
        <v>58.460393419992869</v>
      </c>
      <c r="U347" s="21">
        <f t="shared" ca="1" si="919"/>
        <v>4.175742387142348</v>
      </c>
      <c r="V347" s="18">
        <f t="shared" ca="1" si="920"/>
        <v>135</v>
      </c>
      <c r="W347" s="76"/>
      <c r="X347" s="8">
        <v>3</v>
      </c>
      <c r="Y347" s="8" t="s">
        <v>36</v>
      </c>
      <c r="Z347" s="8">
        <f t="shared" ref="Z347:AI347" si="963">SUM(D338)</f>
        <v>29</v>
      </c>
      <c r="AA347" s="9">
        <f t="shared" ca="1" si="963"/>
        <v>29</v>
      </c>
      <c r="AB347" s="10">
        <f t="shared" ca="1" si="963"/>
        <v>5753.7759999999898</v>
      </c>
      <c r="AC347" s="9">
        <f t="shared" ca="1" si="963"/>
        <v>1690</v>
      </c>
      <c r="AD347" s="9">
        <f t="shared" ca="1" si="963"/>
        <v>0</v>
      </c>
      <c r="AE347" s="9">
        <f t="shared" ca="1" si="963"/>
        <v>1690</v>
      </c>
      <c r="AF347" s="9">
        <f t="shared" ca="1" si="963"/>
        <v>2320</v>
      </c>
      <c r="AG347" s="9">
        <f t="shared" ca="1" si="963"/>
        <v>0</v>
      </c>
      <c r="AH347" s="9">
        <f t="shared" ca="1" si="963"/>
        <v>2320</v>
      </c>
      <c r="AI347" s="9">
        <f t="shared" ca="1" si="963"/>
        <v>4010</v>
      </c>
      <c r="AJ347" s="11">
        <f t="shared" ca="1" si="955"/>
        <v>198.40606896551688</v>
      </c>
      <c r="AK347" s="8">
        <f t="shared" ref="AK347:AK350" si="964">SUM(O338)</f>
        <v>4796</v>
      </c>
      <c r="AL347" s="12">
        <f t="shared" ca="1" si="956"/>
        <v>0.83611342785654708</v>
      </c>
      <c r="AM347" s="13">
        <f t="shared" ref="AM347:AM350" si="965">SUM(Q338)</f>
        <v>1.5</v>
      </c>
      <c r="AN347" s="12">
        <f t="shared" ca="1" si="957"/>
        <v>0.46462242070830323</v>
      </c>
      <c r="AO347" s="14">
        <f t="shared" ca="1" si="958"/>
        <v>0.69693363106245487</v>
      </c>
      <c r="AP347" s="13">
        <f t="shared" ref="AP347:AQ347" ca="1" si="966">SUM(T338)</f>
        <v>153.7867108568982</v>
      </c>
      <c r="AQ347" s="13">
        <f t="shared" ca="1" si="966"/>
        <v>5.302990029548214</v>
      </c>
      <c r="AR347" s="9">
        <f t="shared" ca="1" si="960"/>
        <v>138.27586206896552</v>
      </c>
      <c r="AS347" s="76"/>
      <c r="AT347" s="76"/>
    </row>
    <row r="348" spans="1:46" ht="15.75" customHeight="1" x14ac:dyDescent="0.2">
      <c r="A348" s="70"/>
      <c r="B348" s="98" t="s">
        <v>33</v>
      </c>
      <c r="C348" s="98">
        <v>18</v>
      </c>
      <c r="D348" s="98">
        <f t="shared" ref="D348:M348" si="967">SUM(D330:D347)</f>
        <v>585</v>
      </c>
      <c r="E348" s="74">
        <f t="shared" ca="1" si="967"/>
        <v>573</v>
      </c>
      <c r="F348" s="99">
        <f t="shared" ca="1" si="967"/>
        <v>109793.74799999988</v>
      </c>
      <c r="G348" s="74">
        <f t="shared" ca="1" si="967"/>
        <v>43460</v>
      </c>
      <c r="H348" s="74">
        <f t="shared" ca="1" si="967"/>
        <v>504</v>
      </c>
      <c r="I348" s="74">
        <f t="shared" ca="1" si="967"/>
        <v>43964</v>
      </c>
      <c r="J348" s="74">
        <f t="shared" ca="1" si="967"/>
        <v>53427</v>
      </c>
      <c r="K348" s="74">
        <f t="shared" ca="1" si="967"/>
        <v>1054</v>
      </c>
      <c r="L348" s="74">
        <f t="shared" ca="1" si="967"/>
        <v>54481</v>
      </c>
      <c r="M348" s="74">
        <f t="shared" ca="1" si="967"/>
        <v>98445</v>
      </c>
      <c r="N348" s="99">
        <f t="shared" ca="1" si="915"/>
        <v>191.61212565445004</v>
      </c>
      <c r="O348" s="98">
        <f>SUM(O330:O347)</f>
        <v>126399</v>
      </c>
      <c r="P348" s="69">
        <f t="shared" ca="1" si="916"/>
        <v>0.77884318705053046</v>
      </c>
      <c r="Q348" s="72">
        <v>1.5</v>
      </c>
      <c r="R348" s="69">
        <f t="shared" ca="1" si="917"/>
        <v>0.59775716919692068</v>
      </c>
      <c r="S348" s="73">
        <f t="shared" ca="1" si="918"/>
        <v>0.89663575379538107</v>
      </c>
      <c r="T348" s="72">
        <f ca="1">SUM(T330:T347)</f>
        <v>4024.9674633357131</v>
      </c>
      <c r="U348" s="72">
        <f t="shared" ca="1" si="919"/>
        <v>7.0243760267638971</v>
      </c>
      <c r="V348" s="74">
        <f t="shared" ca="1" si="920"/>
        <v>171.80628272251309</v>
      </c>
      <c r="W348" s="76"/>
      <c r="X348" s="8">
        <v>4</v>
      </c>
      <c r="Y348" s="8" t="s">
        <v>37</v>
      </c>
      <c r="Z348" s="8">
        <f t="shared" ref="Z348:AI348" si="968">SUM(D339)</f>
        <v>30</v>
      </c>
      <c r="AA348" s="9">
        <f t="shared" ca="1" si="968"/>
        <v>30</v>
      </c>
      <c r="AB348" s="10">
        <f t="shared" ca="1" si="968"/>
        <v>5686.0559999999996</v>
      </c>
      <c r="AC348" s="9">
        <f t="shared" ca="1" si="968"/>
        <v>2085</v>
      </c>
      <c r="AD348" s="9">
        <f t="shared" ca="1" si="968"/>
        <v>0</v>
      </c>
      <c r="AE348" s="9">
        <f t="shared" ca="1" si="968"/>
        <v>2085</v>
      </c>
      <c r="AF348" s="9">
        <f t="shared" ca="1" si="968"/>
        <v>2998</v>
      </c>
      <c r="AG348" s="9">
        <f t="shared" ca="1" si="968"/>
        <v>0</v>
      </c>
      <c r="AH348" s="9">
        <f t="shared" ca="1" si="968"/>
        <v>2998</v>
      </c>
      <c r="AI348" s="9">
        <f t="shared" ca="1" si="968"/>
        <v>5083</v>
      </c>
      <c r="AJ348" s="11">
        <f t="shared" ca="1" si="955"/>
        <v>189.53519999999997</v>
      </c>
      <c r="AK348" s="8">
        <f t="shared" si="964"/>
        <v>5887</v>
      </c>
      <c r="AL348" s="12">
        <f t="shared" ca="1" si="956"/>
        <v>0.86342789196534742</v>
      </c>
      <c r="AM348" s="13">
        <f t="shared" si="965"/>
        <v>1.5</v>
      </c>
      <c r="AN348" s="12">
        <f t="shared" ca="1" si="957"/>
        <v>0.59596083237074471</v>
      </c>
      <c r="AO348" s="14">
        <f t="shared" ca="1" si="958"/>
        <v>0.89394124855611701</v>
      </c>
      <c r="AP348" s="13">
        <f t="shared" ref="AP348:AQ348" ca="1" si="969">SUM(T339)</f>
        <v>229.35043562439495</v>
      </c>
      <c r="AQ348" s="13">
        <f t="shared" ca="1" si="969"/>
        <v>7.6450145208131648</v>
      </c>
      <c r="AR348" s="9">
        <f t="shared" ca="1" si="960"/>
        <v>169.43333333333334</v>
      </c>
      <c r="AS348" s="76"/>
      <c r="AT348" s="76"/>
    </row>
    <row r="349" spans="1:46" ht="15.75" customHeight="1" x14ac:dyDescent="0.2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6"/>
      <c r="X349" s="8">
        <v>5</v>
      </c>
      <c r="Y349" s="8" t="s">
        <v>39</v>
      </c>
      <c r="Z349" s="8">
        <f t="shared" ref="Z349:AI349" si="970">SUM(D340)</f>
        <v>28</v>
      </c>
      <c r="AA349" s="9">
        <f t="shared" ca="1" si="970"/>
        <v>26</v>
      </c>
      <c r="AB349" s="10">
        <f t="shared" ca="1" si="970"/>
        <v>4975.0509999999904</v>
      </c>
      <c r="AC349" s="9">
        <f t="shared" ca="1" si="970"/>
        <v>1178</v>
      </c>
      <c r="AD349" s="9">
        <f t="shared" ca="1" si="970"/>
        <v>0</v>
      </c>
      <c r="AE349" s="9">
        <f t="shared" ca="1" si="970"/>
        <v>1178</v>
      </c>
      <c r="AF349" s="9">
        <f t="shared" ca="1" si="970"/>
        <v>1740</v>
      </c>
      <c r="AG349" s="9">
        <f t="shared" ca="1" si="970"/>
        <v>0</v>
      </c>
      <c r="AH349" s="9">
        <f t="shared" ca="1" si="970"/>
        <v>1740</v>
      </c>
      <c r="AI349" s="9">
        <f t="shared" ca="1" si="970"/>
        <v>2918</v>
      </c>
      <c r="AJ349" s="11">
        <f t="shared" ca="1" si="955"/>
        <v>191.34811538461503</v>
      </c>
      <c r="AK349" s="8">
        <f t="shared" si="964"/>
        <v>3569</v>
      </c>
      <c r="AL349" s="12">
        <f t="shared" ca="1" si="956"/>
        <v>0.81759596525637435</v>
      </c>
      <c r="AM349" s="13">
        <f t="shared" si="965"/>
        <v>1.5</v>
      </c>
      <c r="AN349" s="12">
        <f t="shared" ca="1" si="957"/>
        <v>0.39101776712104802</v>
      </c>
      <c r="AO349" s="14">
        <f t="shared" ca="1" si="958"/>
        <v>0.58652665068157206</v>
      </c>
      <c r="AP349" s="13">
        <f t="shared" ref="AP349:AQ349" ca="1" si="971">SUM(T340)</f>
        <v>231.79662675301637</v>
      </c>
      <c r="AQ349" s="13">
        <f t="shared" ca="1" si="971"/>
        <v>8.9152548751160143</v>
      </c>
      <c r="AR349" s="9">
        <f t="shared" ca="1" si="960"/>
        <v>112.23076923076923</v>
      </c>
      <c r="AS349" s="76"/>
      <c r="AT349" s="76"/>
    </row>
    <row r="350" spans="1:46" ht="15.75" customHeight="1" x14ac:dyDescent="0.2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6"/>
      <c r="X350" s="8">
        <v>6</v>
      </c>
      <c r="Y350" s="8" t="s">
        <v>41</v>
      </c>
      <c r="Z350" s="8">
        <f t="shared" ref="Z350:AI350" si="972">SUM(D341)</f>
        <v>24</v>
      </c>
      <c r="AA350" s="9">
        <f t="shared" ca="1" si="972"/>
        <v>24</v>
      </c>
      <c r="AB350" s="10">
        <f t="shared" ca="1" si="972"/>
        <v>4747.0640000000003</v>
      </c>
      <c r="AC350" s="9">
        <f t="shared" ca="1" si="972"/>
        <v>1368</v>
      </c>
      <c r="AD350" s="9">
        <f t="shared" ca="1" si="972"/>
        <v>0</v>
      </c>
      <c r="AE350" s="9">
        <f t="shared" ca="1" si="972"/>
        <v>1368</v>
      </c>
      <c r="AF350" s="9">
        <f t="shared" ca="1" si="972"/>
        <v>1679</v>
      </c>
      <c r="AG350" s="9">
        <f t="shared" ca="1" si="972"/>
        <v>46</v>
      </c>
      <c r="AH350" s="9">
        <f t="shared" ca="1" si="972"/>
        <v>1725</v>
      </c>
      <c r="AI350" s="9">
        <f t="shared" ca="1" si="972"/>
        <v>3093</v>
      </c>
      <c r="AJ350" s="11">
        <f t="shared" ca="1" si="955"/>
        <v>197.79433333333336</v>
      </c>
      <c r="AK350" s="8">
        <f t="shared" si="964"/>
        <v>3801</v>
      </c>
      <c r="AL350" s="12">
        <f t="shared" ca="1" si="956"/>
        <v>0.81373322809786897</v>
      </c>
      <c r="AM350" s="13">
        <f t="shared" si="965"/>
        <v>1.5</v>
      </c>
      <c r="AN350" s="12">
        <f t="shared" ca="1" si="957"/>
        <v>0.43437375186009702</v>
      </c>
      <c r="AO350" s="14">
        <f t="shared" ca="1" si="958"/>
        <v>0.65156062779014556</v>
      </c>
      <c r="AP350" s="13">
        <f t="shared" ref="AP350:AQ350" ca="1" si="973">SUM(T341)</f>
        <v>160.22222222222223</v>
      </c>
      <c r="AQ350" s="13">
        <f t="shared" ca="1" si="973"/>
        <v>6.6759259259259265</v>
      </c>
      <c r="AR350" s="9">
        <f t="shared" ca="1" si="960"/>
        <v>128.875</v>
      </c>
      <c r="AS350" s="76"/>
      <c r="AT350" s="76"/>
    </row>
    <row r="351" spans="1:46" ht="15.75" customHeight="1" x14ac:dyDescent="0.25">
      <c r="A351" s="110" t="s">
        <v>45</v>
      </c>
      <c r="B351" s="76"/>
      <c r="C351" s="76"/>
      <c r="D351" s="75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24" t="s">
        <v>33</v>
      </c>
      <c r="Y351" s="24">
        <v>6</v>
      </c>
      <c r="Z351" s="24">
        <f t="shared" ref="Z351:AI351" si="974">SUM(Z345:Z350)</f>
        <v>173</v>
      </c>
      <c r="AA351" s="25">
        <f t="shared" ca="1" si="974"/>
        <v>170</v>
      </c>
      <c r="AB351" s="27">
        <f t="shared" ca="1" si="974"/>
        <v>32852.448999999971</v>
      </c>
      <c r="AC351" s="25">
        <f t="shared" ca="1" si="974"/>
        <v>13031</v>
      </c>
      <c r="AD351" s="25">
        <f t="shared" ca="1" si="974"/>
        <v>0</v>
      </c>
      <c r="AE351" s="25">
        <f t="shared" ca="1" si="974"/>
        <v>13031</v>
      </c>
      <c r="AF351" s="25">
        <f t="shared" ca="1" si="974"/>
        <v>17384</v>
      </c>
      <c r="AG351" s="25">
        <f t="shared" ca="1" si="974"/>
        <v>46</v>
      </c>
      <c r="AH351" s="25">
        <f t="shared" ca="1" si="974"/>
        <v>17430</v>
      </c>
      <c r="AI351" s="25">
        <f t="shared" ca="1" si="974"/>
        <v>30461</v>
      </c>
      <c r="AJ351" s="27">
        <f t="shared" ca="1" si="955"/>
        <v>193.24969999999982</v>
      </c>
      <c r="AK351" s="24">
        <f>SUM(AK345:AK350)</f>
        <v>37031</v>
      </c>
      <c r="AL351" s="28">
        <f t="shared" ca="1" si="956"/>
        <v>0.82258108071615677</v>
      </c>
      <c r="AM351" s="29">
        <v>1.5</v>
      </c>
      <c r="AN351" s="28">
        <f t="shared" ca="1" si="957"/>
        <v>0.61813758034700406</v>
      </c>
      <c r="AO351" s="30">
        <f t="shared" ca="1" si="958"/>
        <v>0.92720637052050603</v>
      </c>
      <c r="AP351" s="29">
        <f ca="1">SUM(AP345:AP350)</f>
        <v>1349.1984512317656</v>
      </c>
      <c r="AQ351" s="29">
        <f ca="1">AP351/AA351</f>
        <v>7.9364614778339151</v>
      </c>
      <c r="AR351" s="25">
        <f t="shared" ca="1" si="960"/>
        <v>179.18235294117648</v>
      </c>
      <c r="AS351" s="76"/>
      <c r="AT351" s="76"/>
    </row>
    <row r="352" spans="1:46" ht="15.75" customHeight="1" x14ac:dyDescent="0.2">
      <c r="A352" s="110" t="s">
        <v>45</v>
      </c>
      <c r="B352" s="76"/>
      <c r="C352" s="76"/>
      <c r="D352" s="75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7" t="s">
        <v>1</v>
      </c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9"/>
      <c r="AS352" s="76"/>
      <c r="AT352" s="76"/>
    </row>
    <row r="353" spans="1:46" ht="15.75" customHeight="1" x14ac:dyDescent="0.2">
      <c r="A353" s="109">
        <v>46248</v>
      </c>
      <c r="B353" s="80" t="s">
        <v>2</v>
      </c>
      <c r="C353" s="80" t="s">
        <v>3</v>
      </c>
      <c r="D353" s="80" t="s">
        <v>4</v>
      </c>
      <c r="E353" s="80" t="s">
        <v>5</v>
      </c>
      <c r="F353" s="81" t="s">
        <v>6</v>
      </c>
      <c r="G353" s="80" t="s">
        <v>7</v>
      </c>
      <c r="H353" s="80" t="s">
        <v>8</v>
      </c>
      <c r="I353" s="80" t="s">
        <v>9</v>
      </c>
      <c r="J353" s="80" t="s">
        <v>10</v>
      </c>
      <c r="K353" s="80" t="s">
        <v>11</v>
      </c>
      <c r="L353" s="80" t="s">
        <v>12</v>
      </c>
      <c r="M353" s="80" t="s">
        <v>13</v>
      </c>
      <c r="N353" s="81" t="s">
        <v>14</v>
      </c>
      <c r="O353" s="80" t="s">
        <v>15</v>
      </c>
      <c r="P353" s="80" t="s">
        <v>16</v>
      </c>
      <c r="Q353" s="80" t="s">
        <v>17</v>
      </c>
      <c r="R353" s="80" t="s">
        <v>18</v>
      </c>
      <c r="S353" s="106" t="s">
        <v>19</v>
      </c>
      <c r="T353" s="107" t="s">
        <v>20</v>
      </c>
      <c r="U353" s="107" t="s">
        <v>21</v>
      </c>
      <c r="V353" s="105" t="s">
        <v>22</v>
      </c>
      <c r="W353" s="76"/>
      <c r="X353" s="1" t="s">
        <v>2</v>
      </c>
      <c r="Y353" s="1" t="s">
        <v>3</v>
      </c>
      <c r="Z353" s="1" t="s">
        <v>4</v>
      </c>
      <c r="AA353" s="1" t="s">
        <v>5</v>
      </c>
      <c r="AB353" s="2" t="s">
        <v>6</v>
      </c>
      <c r="AC353" s="1" t="s">
        <v>7</v>
      </c>
      <c r="AD353" s="1" t="s">
        <v>8</v>
      </c>
      <c r="AE353" s="1" t="s">
        <v>9</v>
      </c>
      <c r="AF353" s="1" t="s">
        <v>10</v>
      </c>
      <c r="AG353" s="1" t="s">
        <v>11</v>
      </c>
      <c r="AH353" s="1" t="s">
        <v>12</v>
      </c>
      <c r="AI353" s="1" t="s">
        <v>13</v>
      </c>
      <c r="AJ353" s="2" t="s">
        <v>14</v>
      </c>
      <c r="AK353" s="1" t="s">
        <v>15</v>
      </c>
      <c r="AL353" s="1" t="s">
        <v>16</v>
      </c>
      <c r="AM353" s="3" t="s">
        <v>17</v>
      </c>
      <c r="AN353" s="4" t="s">
        <v>18</v>
      </c>
      <c r="AO353" s="5" t="s">
        <v>19</v>
      </c>
      <c r="AP353" s="6" t="s">
        <v>20</v>
      </c>
      <c r="AQ353" s="6" t="s">
        <v>21</v>
      </c>
      <c r="AR353" s="7" t="s">
        <v>22</v>
      </c>
      <c r="AS353" s="76"/>
      <c r="AT353" s="76"/>
    </row>
    <row r="354" spans="1:46" ht="15.75" customHeight="1" x14ac:dyDescent="0.2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6"/>
      <c r="X354" s="8">
        <v>1</v>
      </c>
      <c r="Y354" s="8" t="s">
        <v>23</v>
      </c>
      <c r="Z354" s="8">
        <f t="shared" ref="Z354:AI354" si="975">SUM(D362)</f>
        <v>35</v>
      </c>
      <c r="AA354" s="9">
        <f t="shared" ca="1" si="975"/>
        <v>34</v>
      </c>
      <c r="AB354" s="10">
        <f t="shared" ca="1" si="975"/>
        <v>6766.6639999999898</v>
      </c>
      <c r="AC354" s="9">
        <f t="shared" ca="1" si="975"/>
        <v>3051</v>
      </c>
      <c r="AD354" s="9">
        <f t="shared" ca="1" si="975"/>
        <v>0</v>
      </c>
      <c r="AE354" s="9">
        <f t="shared" ca="1" si="975"/>
        <v>3051</v>
      </c>
      <c r="AF354" s="9">
        <f t="shared" ca="1" si="975"/>
        <v>3017</v>
      </c>
      <c r="AG354" s="9">
        <f t="shared" ca="1" si="975"/>
        <v>0</v>
      </c>
      <c r="AH354" s="9">
        <f t="shared" ca="1" si="975"/>
        <v>3017</v>
      </c>
      <c r="AI354" s="9">
        <f t="shared" ca="1" si="975"/>
        <v>6068</v>
      </c>
      <c r="AJ354" s="11">
        <f t="shared" ref="AJ354:AJ356" ca="1" si="976">AB354/AA354</f>
        <v>199.01952941176441</v>
      </c>
      <c r="AK354" s="8">
        <f>SUM(O362)</f>
        <v>6853</v>
      </c>
      <c r="AL354" s="12">
        <f t="shared" ref="AL354:AL360" ca="1" si="977">AI354/AK354</f>
        <v>0.88545162702466074</v>
      </c>
      <c r="AM354" s="13">
        <f t="shared" ref="AM354:AM356" si="978">SUM(Q362)</f>
        <v>1.5</v>
      </c>
      <c r="AN354" s="12">
        <f t="shared" ref="AN354:AN360" ca="1" si="979">AO354/AM354</f>
        <v>0.59783274791438434</v>
      </c>
      <c r="AO354" s="14">
        <f t="shared" ref="AO354:AO360" ca="1" si="980">AI354/AB354</f>
        <v>0.89674912187157652</v>
      </c>
      <c r="AP354" s="13">
        <f t="shared" ref="AP354:AQ354" ca="1" si="981">SUM(T362)</f>
        <v>200.55317131001746</v>
      </c>
      <c r="AQ354" s="13">
        <f t="shared" ca="1" si="981"/>
        <v>5.8986226855887489</v>
      </c>
      <c r="AR354" s="9">
        <f t="shared" ref="AR354:AR360" ca="1" si="982">AI354/AA354</f>
        <v>178.47058823529412</v>
      </c>
      <c r="AS354" s="76"/>
      <c r="AT354" s="76"/>
    </row>
    <row r="355" spans="1:46" ht="15.75" customHeight="1" x14ac:dyDescent="0.2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6"/>
      <c r="X355" s="8">
        <v>2</v>
      </c>
      <c r="Y355" s="8" t="s">
        <v>24</v>
      </c>
      <c r="Z355" s="8">
        <f t="shared" ref="Z355:AI355" si="983">SUM(D363)</f>
        <v>44</v>
      </c>
      <c r="AA355" s="9">
        <f t="shared" ca="1" si="983"/>
        <v>43</v>
      </c>
      <c r="AB355" s="10">
        <f t="shared" ca="1" si="983"/>
        <v>8391.0349999999908</v>
      </c>
      <c r="AC355" s="9">
        <f t="shared" ca="1" si="983"/>
        <v>1131</v>
      </c>
      <c r="AD355" s="9">
        <f t="shared" ca="1" si="983"/>
        <v>0</v>
      </c>
      <c r="AE355" s="9">
        <f t="shared" ca="1" si="983"/>
        <v>1131</v>
      </c>
      <c r="AF355" s="9">
        <f t="shared" ca="1" si="983"/>
        <v>1293</v>
      </c>
      <c r="AG355" s="9">
        <f t="shared" ca="1" si="983"/>
        <v>0</v>
      </c>
      <c r="AH355" s="9">
        <f t="shared" ca="1" si="983"/>
        <v>1293</v>
      </c>
      <c r="AI355" s="9">
        <f t="shared" ca="1" si="983"/>
        <v>2424</v>
      </c>
      <c r="AJ355" s="11">
        <f t="shared" ca="1" si="976"/>
        <v>195.14034883720907</v>
      </c>
      <c r="AK355" s="8">
        <v>1580</v>
      </c>
      <c r="AL355" s="15">
        <f t="shared" ca="1" si="977"/>
        <v>1.5341772151898734</v>
      </c>
      <c r="AM355" s="13">
        <f t="shared" si="978"/>
        <v>1.5</v>
      </c>
      <c r="AN355" s="12">
        <f t="shared" ca="1" si="979"/>
        <v>0.19258649260788471</v>
      </c>
      <c r="AO355" s="14">
        <f t="shared" ca="1" si="980"/>
        <v>0.28887973891182706</v>
      </c>
      <c r="AP355" s="13">
        <f t="shared" ref="AP355:AQ355" ca="1" si="984">SUM(T363)</f>
        <v>313.03991792575977</v>
      </c>
      <c r="AQ355" s="13">
        <f t="shared" ca="1" si="984"/>
        <v>7.279998091296739</v>
      </c>
      <c r="AR355" s="9">
        <f t="shared" ca="1" si="982"/>
        <v>56.372093023255815</v>
      </c>
      <c r="AS355" s="76"/>
      <c r="AT355" s="76"/>
    </row>
    <row r="356" spans="1:46" ht="15.75" customHeight="1" x14ac:dyDescent="0.2">
      <c r="A356" s="70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6"/>
      <c r="X356" s="8">
        <v>3</v>
      </c>
      <c r="Y356" s="8" t="s">
        <v>25</v>
      </c>
      <c r="Z356" s="8">
        <f t="shared" ref="Z356:AI356" si="985">SUM(D364)</f>
        <v>32</v>
      </c>
      <c r="AA356" s="9">
        <f t="shared" ca="1" si="985"/>
        <v>32</v>
      </c>
      <c r="AB356" s="10">
        <f t="shared" ca="1" si="985"/>
        <v>5732.6360000000004</v>
      </c>
      <c r="AC356" s="9">
        <f t="shared" ca="1" si="985"/>
        <v>2197</v>
      </c>
      <c r="AD356" s="9">
        <f t="shared" ca="1" si="985"/>
        <v>317</v>
      </c>
      <c r="AE356" s="9">
        <f t="shared" ca="1" si="985"/>
        <v>2514</v>
      </c>
      <c r="AF356" s="9">
        <f t="shared" ca="1" si="985"/>
        <v>3349</v>
      </c>
      <c r="AG356" s="9">
        <f t="shared" ca="1" si="985"/>
        <v>481</v>
      </c>
      <c r="AH356" s="9">
        <f t="shared" ca="1" si="985"/>
        <v>3830</v>
      </c>
      <c r="AI356" s="9">
        <f t="shared" ca="1" si="985"/>
        <v>6344</v>
      </c>
      <c r="AJ356" s="11">
        <f t="shared" ca="1" si="976"/>
        <v>179.14487500000001</v>
      </c>
      <c r="AK356" s="8">
        <f>SUM(O364)</f>
        <v>6622</v>
      </c>
      <c r="AL356" s="12">
        <f t="shared" ca="1" si="977"/>
        <v>0.95801872546058597</v>
      </c>
      <c r="AM356" s="13">
        <f t="shared" si="978"/>
        <v>1.5</v>
      </c>
      <c r="AN356" s="12">
        <f t="shared" ca="1" si="979"/>
        <v>0.73776415131421791</v>
      </c>
      <c r="AO356" s="14">
        <f t="shared" ca="1" si="980"/>
        <v>1.1066462269713269</v>
      </c>
      <c r="AP356" s="13">
        <f t="shared" ref="AP356:AQ356" ca="1" si="986">SUM(T364)</f>
        <v>240.46291946308727</v>
      </c>
      <c r="AQ356" s="13">
        <f t="shared" ca="1" si="986"/>
        <v>7.5144662332214773</v>
      </c>
      <c r="AR356" s="9">
        <f t="shared" ca="1" si="982"/>
        <v>198.25</v>
      </c>
      <c r="AS356" s="76"/>
      <c r="AT356" s="76"/>
    </row>
    <row r="357" spans="1:46" ht="15.75" customHeight="1" x14ac:dyDescent="0.25">
      <c r="A357" s="70"/>
      <c r="B357" s="16">
        <v>1</v>
      </c>
      <c r="C357" s="16" t="s">
        <v>26</v>
      </c>
      <c r="D357" s="17">
        <v>20</v>
      </c>
      <c r="E357" s="18">
        <f ca="1">IFERROR(__xludf.DUMMYFUNCTION("COUNT(IMPORTRANGE(""https://docs.google.com/spreadsheets/d/1iVFEBQOAONhqDIMRa2hQ7WkCQv0dJWSAmc0AzfvSCMg/edit"",""14!d2:d21""))"),20)</f>
        <v>20</v>
      </c>
      <c r="F357" s="19">
        <f ca="1">IFERROR(__xludf.DUMMYFUNCTION("SUM(IMPORTRANGE(""https://docs.google.com/spreadsheets/d/1iVFEBQOAONhqDIMRa2hQ7WkCQv0dJWSAmc0AzfvSCMg/edit"",""14!Q2:Q21""))"),3820.587)</f>
        <v>3820.587</v>
      </c>
      <c r="G357" s="18">
        <f ca="1">IFERROR(__xludf.DUMMYFUNCTION("IMPORTRANGE(""https://docs.google.com/spreadsheets/d/1iVFEBQOAONhqDIMRa2hQ7WkCQv0dJWSAmc0AzfvSCMg/edit"",""14!e28"")"),2440)</f>
        <v>2440</v>
      </c>
      <c r="H357" s="18">
        <f ca="1">IFERROR(__xludf.DUMMYFUNCTION("IMPORTRANGE(""https://docs.google.com/spreadsheets/d/1iVFEBQOAONhqDIMRa2hQ7WkCQv0dJWSAmc0AzfvSCMg/edit"",""14!e29"")"),70)</f>
        <v>70</v>
      </c>
      <c r="I357" s="18">
        <f t="shared" ref="I357:I374" ca="1" si="987">SUM(G357:H357)</f>
        <v>2510</v>
      </c>
      <c r="J357" s="18">
        <f ca="1">IFERROR(__xludf.DUMMYFUNCTION("IMPORTRANGE(""https://docs.google.com/spreadsheets/d/1iVFEBQOAONhqDIMRa2hQ7WkCQv0dJWSAmc0AzfvSCMg/edit"",""14!e32"")"),2537)</f>
        <v>2537</v>
      </c>
      <c r="K357" s="18">
        <f ca="1">IFERROR(__xludf.DUMMYFUNCTION("IMPORTRANGE(""https://docs.google.com/spreadsheets/d/1iVFEBQOAONhqDIMRa2hQ7WkCQv0dJWSAmc0AzfvSCMg/edit"",""14!e33"")"),0)</f>
        <v>0</v>
      </c>
      <c r="L357" s="18">
        <f t="shared" ref="L357:L363" ca="1" si="988">SUM(J357:K357)</f>
        <v>2537</v>
      </c>
      <c r="M357" s="18">
        <f t="shared" ref="M357:M374" ca="1" si="989">SUM(I357+L357)</f>
        <v>5047</v>
      </c>
      <c r="N357" s="19">
        <f t="shared" ref="N357:N375" ca="1" si="990">F357/E357</f>
        <v>191.02934999999999</v>
      </c>
      <c r="O357" s="16">
        <v>5161</v>
      </c>
      <c r="P357" s="20">
        <f t="shared" ref="P357:P375" ca="1" si="991">M357/O357</f>
        <v>0.97791125750823482</v>
      </c>
      <c r="Q357" s="21">
        <v>1.5</v>
      </c>
      <c r="R357" s="20">
        <f t="shared" ref="R357:R375" ca="1" si="992">S357/Q357</f>
        <v>0.88066746462432777</v>
      </c>
      <c r="S357" s="22">
        <f t="shared" ref="S357:S375" ca="1" si="993">M357/F357</f>
        <v>1.3210011969364917</v>
      </c>
      <c r="T357" s="21">
        <f ca="1">F357/14.415</f>
        <v>265.04245577523415</v>
      </c>
      <c r="U357" s="21">
        <f t="shared" ref="U357:U375" ca="1" si="994">T357/E357</f>
        <v>13.252122788761707</v>
      </c>
      <c r="V357" s="18">
        <f t="shared" ref="V357:V375" ca="1" si="995">M357/E357</f>
        <v>252.35</v>
      </c>
      <c r="W357" s="76"/>
      <c r="X357" s="8">
        <v>4</v>
      </c>
      <c r="Y357" s="8" t="s">
        <v>27</v>
      </c>
      <c r="Z357" s="8">
        <f t="shared" ref="Z357:AK357" si="996">SUM(D370)</f>
        <v>30</v>
      </c>
      <c r="AA357" s="9">
        <f t="shared" ca="1" si="996"/>
        <v>29</v>
      </c>
      <c r="AB357" s="10">
        <f t="shared" ca="1" si="996"/>
        <v>5245.9249999999902</v>
      </c>
      <c r="AC357" s="9">
        <f t="shared" ca="1" si="996"/>
        <v>2443</v>
      </c>
      <c r="AD357" s="9">
        <f t="shared" ca="1" si="996"/>
        <v>0</v>
      </c>
      <c r="AE357" s="9">
        <f t="shared" ca="1" si="996"/>
        <v>2443</v>
      </c>
      <c r="AF357" s="9">
        <f t="shared" ca="1" si="996"/>
        <v>2860</v>
      </c>
      <c r="AG357" s="9">
        <f t="shared" ca="1" si="996"/>
        <v>0</v>
      </c>
      <c r="AH357" s="9">
        <f t="shared" ca="1" si="996"/>
        <v>2860</v>
      </c>
      <c r="AI357" s="9">
        <f t="shared" ca="1" si="996"/>
        <v>5303</v>
      </c>
      <c r="AJ357" s="11">
        <f t="shared" ca="1" si="996"/>
        <v>180.89396551724104</v>
      </c>
      <c r="AK357" s="8">
        <f t="shared" si="996"/>
        <v>8101</v>
      </c>
      <c r="AL357" s="12">
        <f t="shared" ca="1" si="977"/>
        <v>0.6546105419084064</v>
      </c>
      <c r="AM357" s="13">
        <f>SUM(Q370)</f>
        <v>1.5</v>
      </c>
      <c r="AN357" s="12">
        <f t="shared" ca="1" si="979"/>
        <v>0.67391991561704367</v>
      </c>
      <c r="AO357" s="14">
        <f t="shared" ca="1" si="980"/>
        <v>1.0108798734255655</v>
      </c>
      <c r="AP357" s="13">
        <f t="shared" ref="AP357:AQ357" ca="1" si="997">SUM(T370)</f>
        <v>262.4931198398794</v>
      </c>
      <c r="AQ357" s="13">
        <f t="shared" ca="1" si="997"/>
        <v>9.0514868910303239</v>
      </c>
      <c r="AR357" s="9">
        <f t="shared" ca="1" si="982"/>
        <v>182.86206896551724</v>
      </c>
      <c r="AS357" s="76"/>
      <c r="AT357" s="76"/>
    </row>
    <row r="358" spans="1:46" ht="15.75" customHeight="1" x14ac:dyDescent="0.25">
      <c r="A358" s="70"/>
      <c r="B358" s="16">
        <v>2</v>
      </c>
      <c r="C358" s="16" t="s">
        <v>28</v>
      </c>
      <c r="D358" s="17">
        <v>33</v>
      </c>
      <c r="E358" s="18">
        <f ca="1">IFERROR(__xludf.DUMMYFUNCTION("COUNT(IMPORTRANGE(""https://docs.google.com/spreadsheets/d/1tJCeYclgeJZ4Dc78t_SkhVjtacKW-5-VGim8X1rzUzk/edit"",""14!d2:d34""))"),33)</f>
        <v>33</v>
      </c>
      <c r="F358" s="19">
        <f ca="1">IFERROR(__xludf.DUMMYFUNCTION("SUM(IMPORTRANGE(""https://docs.google.com/spreadsheets/d/1tJCeYclgeJZ4Dc78t_SkhVjtacKW-5-VGim8X1rzUzk/edit"",""14!Q2:Q34""))"),6450.41399999999)</f>
        <v>6450.4139999999898</v>
      </c>
      <c r="G358" s="18">
        <f ca="1">IFERROR(__xludf.DUMMYFUNCTION("IMPORTRANGE(""https://docs.google.com/spreadsheets/d/1tJCeYclgeJZ4Dc78t_SkhVjtacKW-5-VGim8X1rzUzk/edit"",""14!e41"")"),2930)</f>
        <v>2930</v>
      </c>
      <c r="H358" s="18">
        <f ca="1">IFERROR(__xludf.DUMMYFUNCTION("IMPORTRANGE(""https://docs.google.com/spreadsheets/d/1tJCeYclgeJZ4Dc78t_SkhVjtacKW-5-VGim8X1rzUzk/edit"",""14!e42"")"),141)</f>
        <v>141</v>
      </c>
      <c r="I358" s="18">
        <f t="shared" ca="1" si="987"/>
        <v>3071</v>
      </c>
      <c r="J358" s="18">
        <f ca="1">IFERROR(__xludf.DUMMYFUNCTION("IMPORTRANGE(""https://docs.google.com/spreadsheets/d/1tJCeYclgeJZ4Dc78t_SkhVjtacKW-5-VGim8X1rzUzk/edit"",""14!e45"")"),2728)</f>
        <v>2728</v>
      </c>
      <c r="K358" s="18">
        <f ca="1">IFERROR(__xludf.DUMMYFUNCTION("IMPORTRANGE(""https://docs.google.com/spreadsheets/d/1tJCeYclgeJZ4Dc78t_SkhVjtacKW-5-VGim8X1rzUzk/edit"",""14!e46"")"),216)</f>
        <v>216</v>
      </c>
      <c r="L358" s="18">
        <f t="shared" ca="1" si="988"/>
        <v>2944</v>
      </c>
      <c r="M358" s="18">
        <f t="shared" ca="1" si="989"/>
        <v>6015</v>
      </c>
      <c r="N358" s="19">
        <f t="shared" ca="1" si="990"/>
        <v>195.46709090909059</v>
      </c>
      <c r="O358" s="16">
        <v>7315</v>
      </c>
      <c r="P358" s="20">
        <f t="shared" ca="1" si="991"/>
        <v>0.82228298017771706</v>
      </c>
      <c r="Q358" s="21">
        <v>1.5</v>
      </c>
      <c r="R358" s="20">
        <f t="shared" ca="1" si="992"/>
        <v>0.62166552410434528</v>
      </c>
      <c r="S358" s="22">
        <f t="shared" ca="1" si="993"/>
        <v>0.93249828615651797</v>
      </c>
      <c r="T358" s="21">
        <f ca="1">F358/30.897</f>
        <v>208.77153121662266</v>
      </c>
      <c r="U358" s="21">
        <f t="shared" ca="1" si="994"/>
        <v>6.3264100368673537</v>
      </c>
      <c r="V358" s="18">
        <f t="shared" ca="1" si="995"/>
        <v>182.27272727272728</v>
      </c>
      <c r="W358" s="76"/>
      <c r="X358" s="8">
        <v>5</v>
      </c>
      <c r="Y358" s="8" t="s">
        <v>29</v>
      </c>
      <c r="Z358" s="8">
        <f t="shared" ref="Z358:AI358" si="998">SUM(D373)</f>
        <v>30</v>
      </c>
      <c r="AA358" s="9">
        <f t="shared" ca="1" si="998"/>
        <v>30</v>
      </c>
      <c r="AB358" s="10">
        <f t="shared" ca="1" si="998"/>
        <v>5975.9109999999901</v>
      </c>
      <c r="AC358" s="9">
        <f t="shared" ca="1" si="998"/>
        <v>2834</v>
      </c>
      <c r="AD358" s="9">
        <f t="shared" ca="1" si="998"/>
        <v>0</v>
      </c>
      <c r="AE358" s="9">
        <f t="shared" ca="1" si="998"/>
        <v>2834</v>
      </c>
      <c r="AF358" s="9">
        <f t="shared" ca="1" si="998"/>
        <v>3921</v>
      </c>
      <c r="AG358" s="9">
        <f t="shared" ca="1" si="998"/>
        <v>0</v>
      </c>
      <c r="AH358" s="9">
        <f t="shared" ca="1" si="998"/>
        <v>3921</v>
      </c>
      <c r="AI358" s="9">
        <f t="shared" ca="1" si="998"/>
        <v>6755</v>
      </c>
      <c r="AJ358" s="11">
        <f t="shared" ref="AJ358:AJ360" ca="1" si="999">AB358/AA358</f>
        <v>199.197033333333</v>
      </c>
      <c r="AK358" s="8">
        <f t="shared" ref="AK358:AK359" si="1000">SUM(O373)</f>
        <v>9201</v>
      </c>
      <c r="AL358" s="12">
        <f t="shared" ca="1" si="977"/>
        <v>0.73415933050755355</v>
      </c>
      <c r="AM358" s="13">
        <f t="shared" ref="AM358:AM359" si="1001">SUM(Q373)</f>
        <v>1.5</v>
      </c>
      <c r="AN358" s="12">
        <f t="shared" ca="1" si="979"/>
        <v>0.75358105790620733</v>
      </c>
      <c r="AO358" s="14">
        <f t="shared" ca="1" si="980"/>
        <v>1.1303715868593109</v>
      </c>
      <c r="AP358" s="13">
        <f t="shared" ref="AP358:AQ358" ca="1" si="1002">SUM(T373)</f>
        <v>225.5826884602314</v>
      </c>
      <c r="AQ358" s="13">
        <f t="shared" ca="1" si="1002"/>
        <v>7.5194229486743795</v>
      </c>
      <c r="AR358" s="9">
        <f t="shared" ca="1" si="982"/>
        <v>225.16666666666666</v>
      </c>
      <c r="AS358" s="76"/>
      <c r="AT358" s="76"/>
    </row>
    <row r="359" spans="1:46" ht="15.75" customHeight="1" x14ac:dyDescent="0.25">
      <c r="A359" s="70"/>
      <c r="B359" s="16">
        <v>3</v>
      </c>
      <c r="C359" s="16" t="s">
        <v>30</v>
      </c>
      <c r="D359" s="17">
        <v>60</v>
      </c>
      <c r="E359" s="18">
        <f ca="1">IFERROR(__xludf.DUMMYFUNCTION("COUNT(IMPORTRANGE(""https://docs.google.com/spreadsheets/d/130gLEONC13J8KkQ6dk06x3bLRy_jCrAw2hXatQf2W50/edit"",""14!d2:d61""))"),59)</f>
        <v>59</v>
      </c>
      <c r="F359" s="23">
        <f ca="1">IFERROR(__xludf.DUMMYFUNCTION("SUM(IMPORTRANGE(""https://docs.google.com/spreadsheets/d/130gLEONC13J8KkQ6dk06x3bLRy_jCrAw2hXatQf2W50/edit"",""14!Q2:Q61""))"),12048.4209999999)</f>
        <v>12048.4209999999</v>
      </c>
      <c r="G359" s="18">
        <f ca="1">IFERROR(__xludf.DUMMYFUNCTION("IMPORTRANGE(""https://docs.google.com/spreadsheets/d/130gLEONC13J8KkQ6dk06x3bLRy_jCrAw2hXatQf2W50/edit"",""14!e68"")"),3687)</f>
        <v>3687</v>
      </c>
      <c r="H359" s="18">
        <f ca="1">IFERROR(__xludf.DUMMYFUNCTION("IMPORTRANGE(""https://docs.google.com/spreadsheets/d/130gLEONC13J8KkQ6dk06x3bLRy_jCrAw2hXatQf2W50/edit"",""14!e69"")"),0)</f>
        <v>0</v>
      </c>
      <c r="I359" s="18">
        <f t="shared" ca="1" si="987"/>
        <v>3687</v>
      </c>
      <c r="J359" s="18">
        <f ca="1">IFERROR(__xludf.DUMMYFUNCTION("IMPORTRANGE(""https://docs.google.com/spreadsheets/d/130gLEONC13J8KkQ6dk06x3bLRy_jCrAw2hXatQf2W50/edit"",""14!e72"")"),5207)</f>
        <v>5207</v>
      </c>
      <c r="K359" s="18">
        <f ca="1">IFERROR(__xludf.DUMMYFUNCTION("IMPORTRANGE(""https://docs.google.com/spreadsheets/d/130gLEONC13J8KkQ6dk06x3bLRy_jCrAw2hXatQf2W50/edit"",""14!e73"")"),0)</f>
        <v>0</v>
      </c>
      <c r="L359" s="18">
        <f t="shared" ca="1" si="988"/>
        <v>5207</v>
      </c>
      <c r="M359" s="18">
        <f t="shared" ca="1" si="989"/>
        <v>8894</v>
      </c>
      <c r="N359" s="19">
        <f t="shared" ca="1" si="990"/>
        <v>204.21052542372712</v>
      </c>
      <c r="O359" s="16">
        <v>11164</v>
      </c>
      <c r="P359" s="20">
        <f t="shared" ca="1" si="991"/>
        <v>0.79666786098172693</v>
      </c>
      <c r="Q359" s="21">
        <v>1.5</v>
      </c>
      <c r="R359" s="20">
        <f t="shared" ca="1" si="992"/>
        <v>0.49212534433627297</v>
      </c>
      <c r="S359" s="22">
        <f t="shared" ca="1" si="993"/>
        <v>0.73818801650440946</v>
      </c>
      <c r="T359" s="21">
        <f ca="1">F359/29.603</f>
        <v>406.99999999999659</v>
      </c>
      <c r="U359" s="21">
        <f t="shared" ca="1" si="994"/>
        <v>6.8983050847457053</v>
      </c>
      <c r="V359" s="18">
        <f t="shared" ca="1" si="995"/>
        <v>150.74576271186442</v>
      </c>
      <c r="W359" s="76"/>
      <c r="X359" s="8">
        <v>6</v>
      </c>
      <c r="Y359" s="8" t="s">
        <v>31</v>
      </c>
      <c r="Z359" s="8">
        <f t="shared" ref="Z359:AI359" si="1003">SUM(D374)</f>
        <v>15</v>
      </c>
      <c r="AA359" s="9">
        <f t="shared" ca="1" si="1003"/>
        <v>14</v>
      </c>
      <c r="AB359" s="11">
        <f t="shared" ca="1" si="1003"/>
        <v>2651.3649999999998</v>
      </c>
      <c r="AC359" s="9">
        <f t="shared" ca="1" si="1003"/>
        <v>832</v>
      </c>
      <c r="AD359" s="9">
        <f t="shared" ca="1" si="1003"/>
        <v>8</v>
      </c>
      <c r="AE359" s="9">
        <f t="shared" ca="1" si="1003"/>
        <v>840</v>
      </c>
      <c r="AF359" s="9">
        <f t="shared" ca="1" si="1003"/>
        <v>1144</v>
      </c>
      <c r="AG359" s="9">
        <f t="shared" ca="1" si="1003"/>
        <v>0</v>
      </c>
      <c r="AH359" s="9">
        <f t="shared" ca="1" si="1003"/>
        <v>1144</v>
      </c>
      <c r="AI359" s="9">
        <f t="shared" ca="1" si="1003"/>
        <v>1984</v>
      </c>
      <c r="AJ359" s="11">
        <f t="shared" ca="1" si="999"/>
        <v>189.38321428571427</v>
      </c>
      <c r="AK359" s="8">
        <f t="shared" si="1000"/>
        <v>2717</v>
      </c>
      <c r="AL359" s="12">
        <f t="shared" ca="1" si="977"/>
        <v>0.73021715126978282</v>
      </c>
      <c r="AM359" s="13">
        <f t="shared" si="1001"/>
        <v>1.5</v>
      </c>
      <c r="AN359" s="12">
        <f t="shared" ca="1" si="979"/>
        <v>0.49886253558701527</v>
      </c>
      <c r="AO359" s="14">
        <f t="shared" ca="1" si="980"/>
        <v>0.74829380338052287</v>
      </c>
      <c r="AP359" s="13">
        <f t="shared" ref="AP359:AQ359" ca="1" si="1004">SUM(T374)</f>
        <v>60.999999999999993</v>
      </c>
      <c r="AQ359" s="13">
        <f t="shared" ca="1" si="1004"/>
        <v>4.3571428571428568</v>
      </c>
      <c r="AR359" s="9">
        <f t="shared" ca="1" si="982"/>
        <v>141.71428571428572</v>
      </c>
      <c r="AS359" s="76"/>
      <c r="AT359" s="76"/>
    </row>
    <row r="360" spans="1:46" ht="15.75" customHeight="1" x14ac:dyDescent="0.25">
      <c r="A360" s="70"/>
      <c r="B360" s="16">
        <v>4</v>
      </c>
      <c r="C360" s="16" t="s">
        <v>32</v>
      </c>
      <c r="D360" s="17">
        <v>42</v>
      </c>
      <c r="E360" s="18">
        <f ca="1">IFERROR(__xludf.DUMMYFUNCTION("COUNT(IMPORTRANGE(""https://docs.google.com/spreadsheets/d/1gYHli7FuKQLm2Q-5LMR0UtkD-gRRA_p8s-phLPLDLgc/edit"",""14!d2:d43""))"),42)</f>
        <v>42</v>
      </c>
      <c r="F360" s="23">
        <f ca="1">IFERROR(__xludf.DUMMYFUNCTION("SUM(IMPORTRANGE(""https://docs.google.com/spreadsheets/d/1gYHli7FuKQLm2Q-5LMR0UtkD-gRRA_p8s-phLPLDLgc/edit"",""14!Q2:Q43""))"),8290.83999999999)</f>
        <v>8290.8399999999892</v>
      </c>
      <c r="G360" s="16">
        <f ca="1">IFERROR(__xludf.DUMMYFUNCTION("IMPORTRANGE(""https://docs.google.com/spreadsheets/d/1gYHli7FuKQLm2Q-5LMR0UtkD-gRRA_p8s-phLPLDLgc/edit"",""14!e50"")"),4600)</f>
        <v>4600</v>
      </c>
      <c r="H360" s="16">
        <f ca="1">IFERROR(__xludf.DUMMYFUNCTION("IMPORTRANGE(""https://docs.google.com/spreadsheets/d/1gYHli7FuKQLm2Q-5LMR0UtkD-gRRA_p8s-phLPLDLgc/edit"",""14!e51"")"),131)</f>
        <v>131</v>
      </c>
      <c r="I360" s="18">
        <f t="shared" ca="1" si="987"/>
        <v>4731</v>
      </c>
      <c r="J360" s="16">
        <f ca="1">IFERROR(__xludf.DUMMYFUNCTION("IMPORTRANGE(""https://docs.google.com/spreadsheets/d/1gYHli7FuKQLm2Q-5LMR0UtkD-gRRA_p8s-phLPLDLgc/edit"",""14!e54"")"),5177)</f>
        <v>5177</v>
      </c>
      <c r="K360" s="16">
        <f ca="1">IFERROR(__xludf.DUMMYFUNCTION("IMPORTRANGE(""https://docs.google.com/spreadsheets/d/1gYHli7FuKQLm2Q-5LMR0UtkD-gRRA_p8s-phLPLDLgc/edit"",""14!e55"")"),143)</f>
        <v>143</v>
      </c>
      <c r="L360" s="18">
        <f t="shared" ca="1" si="988"/>
        <v>5320</v>
      </c>
      <c r="M360" s="18">
        <f t="shared" ca="1" si="989"/>
        <v>10051</v>
      </c>
      <c r="N360" s="19">
        <f t="shared" ca="1" si="990"/>
        <v>197.40095238095213</v>
      </c>
      <c r="O360" s="16">
        <v>13817</v>
      </c>
      <c r="P360" s="20">
        <f t="shared" ca="1" si="991"/>
        <v>0.72743721502496927</v>
      </c>
      <c r="Q360" s="21">
        <v>1.5</v>
      </c>
      <c r="R360" s="20">
        <f t="shared" ca="1" si="992"/>
        <v>0.80820117945427439</v>
      </c>
      <c r="S360" s="22">
        <f t="shared" ca="1" si="993"/>
        <v>1.2123017691814115</v>
      </c>
      <c r="T360" s="21">
        <f ca="1">F360/25.089</f>
        <v>330.45717246602055</v>
      </c>
      <c r="U360" s="21">
        <f t="shared" ca="1" si="994"/>
        <v>7.8680279158576321</v>
      </c>
      <c r="V360" s="18">
        <f t="shared" ca="1" si="995"/>
        <v>239.3095238095238</v>
      </c>
      <c r="W360" s="76"/>
      <c r="X360" s="24" t="s">
        <v>33</v>
      </c>
      <c r="Y360" s="24">
        <v>6</v>
      </c>
      <c r="Z360" s="24">
        <f t="shared" ref="Z360:AI360" si="1005">SUM(Z354:Z359)</f>
        <v>186</v>
      </c>
      <c r="AA360" s="25">
        <f t="shared" ca="1" si="1005"/>
        <v>182</v>
      </c>
      <c r="AB360" s="26">
        <f t="shared" ca="1" si="1005"/>
        <v>34763.535999999964</v>
      </c>
      <c r="AC360" s="25">
        <f t="shared" ca="1" si="1005"/>
        <v>12488</v>
      </c>
      <c r="AD360" s="25">
        <f t="shared" ca="1" si="1005"/>
        <v>325</v>
      </c>
      <c r="AE360" s="25">
        <f t="shared" ca="1" si="1005"/>
        <v>12813</v>
      </c>
      <c r="AF360" s="25">
        <f t="shared" ca="1" si="1005"/>
        <v>15584</v>
      </c>
      <c r="AG360" s="25">
        <f t="shared" ca="1" si="1005"/>
        <v>481</v>
      </c>
      <c r="AH360" s="25">
        <f t="shared" ca="1" si="1005"/>
        <v>16065</v>
      </c>
      <c r="AI360" s="25">
        <f t="shared" ca="1" si="1005"/>
        <v>28878</v>
      </c>
      <c r="AJ360" s="27">
        <f t="shared" ca="1" si="999"/>
        <v>191.00843956043937</v>
      </c>
      <c r="AK360" s="24">
        <f>SUM(AK354:AK359)</f>
        <v>35074</v>
      </c>
      <c r="AL360" s="28">
        <f t="shared" ca="1" si="977"/>
        <v>0.82334492786679592</v>
      </c>
      <c r="AM360" s="29">
        <v>1.5</v>
      </c>
      <c r="AN360" s="28">
        <f t="shared" ca="1" si="979"/>
        <v>0.5537986699626879</v>
      </c>
      <c r="AO360" s="30">
        <f t="shared" ca="1" si="980"/>
        <v>0.8306980049440319</v>
      </c>
      <c r="AP360" s="29">
        <f ca="1">SUM(AP354:AP359)</f>
        <v>1303.1318169989752</v>
      </c>
      <c r="AQ360" s="29">
        <f ca="1">AP360/AA360</f>
        <v>7.1600649285657978</v>
      </c>
      <c r="AR360" s="25">
        <f t="shared" ca="1" si="982"/>
        <v>158.67032967032966</v>
      </c>
      <c r="AS360" s="76"/>
      <c r="AT360" s="76"/>
    </row>
    <row r="361" spans="1:46" ht="15.75" customHeight="1" x14ac:dyDescent="0.25">
      <c r="A361" s="70"/>
      <c r="B361" s="16">
        <v>5</v>
      </c>
      <c r="C361" s="16" t="s">
        <v>34</v>
      </c>
      <c r="D361" s="17">
        <v>40</v>
      </c>
      <c r="E361" s="18">
        <f ca="1">IFERROR(__xludf.DUMMYFUNCTION("COUNT(IMPORTRANGE(""https://docs.google.com/spreadsheets/d/1ptS0qWBCKWkc9h2aXWT_YgMhN7yIv5WgAHRbF8l9Zpo/edit"",""14!d2:d41""))"),40)</f>
        <v>40</v>
      </c>
      <c r="F361" s="23">
        <f ca="1">IFERROR(__xludf.DUMMYFUNCTION("SUM(IMPORTRANGE(""https://docs.google.com/spreadsheets/d/1ptS0qWBCKWkc9h2aXWT_YgMhN7yIv5WgAHRbF8l9Zpo/edit"",""14!Q2:Q41""))"),7922.283)</f>
        <v>7922.2830000000004</v>
      </c>
      <c r="G361" s="18">
        <f ca="1">IFERROR(__xludf.DUMMYFUNCTION("IMPORTRANGE(""https://docs.google.com/spreadsheets/d/1ptS0qWBCKWkc9h2aXWT_YgMhN7yIv5WgAHRbF8l9Zpo/edit"",""14!e48"")"),2997)</f>
        <v>2997</v>
      </c>
      <c r="H361" s="18">
        <f ca="1">IFERROR(__xludf.DUMMYFUNCTION("IMPORTRANGE(""https://docs.google.com/spreadsheets/d/1ptS0qWBCKWkc9h2aXWT_YgMhN7yIv5WgAHRbF8l9Zpo/edit"",""14!e49"")"),0)</f>
        <v>0</v>
      </c>
      <c r="I361" s="18">
        <f t="shared" ca="1" si="987"/>
        <v>2997</v>
      </c>
      <c r="J361" s="18">
        <f ca="1">IFERROR(__xludf.DUMMYFUNCTION("IMPORTRANGE(""https://docs.google.com/spreadsheets/d/1ptS0qWBCKWkc9h2aXWT_YgMhN7yIv5WgAHRbF8l9Zpo/edit"",""14!e52"")"),2905)</f>
        <v>2905</v>
      </c>
      <c r="K361" s="18">
        <f ca="1">IFERROR(__xludf.DUMMYFUNCTION("IMPORTRANGE(""https://docs.google.com/spreadsheets/d/1ptS0qWBCKWkc9h2aXWT_YgMhN7yIv5WgAHRbF8l9Zpo/edit"",""14!e53"")"),0)</f>
        <v>0</v>
      </c>
      <c r="L361" s="18">
        <f t="shared" ca="1" si="988"/>
        <v>2905</v>
      </c>
      <c r="M361" s="18">
        <f t="shared" ca="1" si="989"/>
        <v>5902</v>
      </c>
      <c r="N361" s="19">
        <f t="shared" ca="1" si="990"/>
        <v>198.057075</v>
      </c>
      <c r="O361" s="16">
        <v>9354</v>
      </c>
      <c r="P361" s="20">
        <f t="shared" ca="1" si="991"/>
        <v>0.63096001710498184</v>
      </c>
      <c r="Q361" s="21">
        <v>1.5</v>
      </c>
      <c r="R361" s="20">
        <f t="shared" ca="1" si="992"/>
        <v>0.49665818131801992</v>
      </c>
      <c r="S361" s="22">
        <f t="shared" ca="1" si="993"/>
        <v>0.74498727197702985</v>
      </c>
      <c r="T361" s="21">
        <f ca="1">F361/30.713</f>
        <v>257.9455930713379</v>
      </c>
      <c r="U361" s="21">
        <f t="shared" ca="1" si="994"/>
        <v>6.448639826783447</v>
      </c>
      <c r="V361" s="18">
        <f t="shared" ca="1" si="995"/>
        <v>147.55000000000001</v>
      </c>
      <c r="W361" s="76"/>
      <c r="X361" s="100" t="s">
        <v>35</v>
      </c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9"/>
      <c r="AS361" s="76"/>
      <c r="AT361" s="76"/>
    </row>
    <row r="362" spans="1:46" ht="15.75" customHeight="1" x14ac:dyDescent="0.25">
      <c r="A362" s="70"/>
      <c r="B362" s="16">
        <v>6</v>
      </c>
      <c r="C362" s="16" t="s">
        <v>23</v>
      </c>
      <c r="D362" s="17">
        <v>35</v>
      </c>
      <c r="E362" s="18">
        <f ca="1">IFERROR(__xludf.DUMMYFUNCTION("COUNT(IMPORTRANGE(""https://docs.google.com/spreadsheets/d/1829CoYW82aTBBUgqkPnJa94KlBWI-DowAnP4ENQCmaQ/edit"",""14!d2:d36""))"),34)</f>
        <v>34</v>
      </c>
      <c r="F362" s="23">
        <f ca="1">IFERROR(__xludf.DUMMYFUNCTION("SUM(IMPORTRANGE(""https://docs.google.com/spreadsheets/d/1829CoYW82aTBBUgqkPnJa94KlBWI-DowAnP4ENQCmaQ/edit"",""14!Q2:Q36""))"),6766.66399999999)</f>
        <v>6766.6639999999898</v>
      </c>
      <c r="G362" s="18">
        <f ca="1">IFERROR(__xludf.DUMMYFUNCTION("IMPORTRANGE(""https://docs.google.com/spreadsheets/d/1829CoYW82aTBBUgqkPnJa94KlBWI-DowAnP4ENQCmaQ/edit"",""14!e43"")"),3051)</f>
        <v>3051</v>
      </c>
      <c r="H362" s="18">
        <f ca="1">IFERROR(__xludf.DUMMYFUNCTION("IMPORTRANGE(""https://docs.google.com/spreadsheets/d/1829CoYW82aTBBUgqkPnJa94KlBWI-DowAnP4ENQCmaQ/edit"",""14!e44"")"),0)</f>
        <v>0</v>
      </c>
      <c r="I362" s="18">
        <f t="shared" ca="1" si="987"/>
        <v>3051</v>
      </c>
      <c r="J362" s="18">
        <f ca="1">IFERROR(__xludf.DUMMYFUNCTION("IMPORTRANGE(""https://docs.google.com/spreadsheets/d/1829CoYW82aTBBUgqkPnJa94KlBWI-DowAnP4ENQCmaQ/edit"",""14!e47"")"),3017)</f>
        <v>3017</v>
      </c>
      <c r="K362" s="18">
        <f ca="1">IFERROR(__xludf.DUMMYFUNCTION("IMPORTRANGE(""https://docs.google.com/spreadsheets/d/1829CoYW82aTBBUgqkPnJa94KlBWI-DowAnP4ENQCmaQ/edit"",""14!e48"")"),0)</f>
        <v>0</v>
      </c>
      <c r="L362" s="18">
        <f t="shared" ca="1" si="988"/>
        <v>3017</v>
      </c>
      <c r="M362" s="18">
        <f t="shared" ca="1" si="989"/>
        <v>6068</v>
      </c>
      <c r="N362" s="19">
        <f t="shared" ca="1" si="990"/>
        <v>199.01952941176441</v>
      </c>
      <c r="O362" s="16">
        <v>6853</v>
      </c>
      <c r="P362" s="20">
        <f t="shared" ca="1" si="991"/>
        <v>0.88545162702466074</v>
      </c>
      <c r="Q362" s="21">
        <v>1.5</v>
      </c>
      <c r="R362" s="20">
        <f t="shared" ca="1" si="992"/>
        <v>0.59783274791438434</v>
      </c>
      <c r="S362" s="22">
        <f t="shared" ca="1" si="993"/>
        <v>0.89674912187157652</v>
      </c>
      <c r="T362" s="21">
        <f ca="1">F362/33.74</f>
        <v>200.55317131001746</v>
      </c>
      <c r="U362" s="21">
        <f t="shared" ca="1" si="994"/>
        <v>5.8986226855887489</v>
      </c>
      <c r="V362" s="18">
        <f t="shared" ca="1" si="995"/>
        <v>178.47058823529412</v>
      </c>
      <c r="W362" s="76"/>
      <c r="X362" s="1" t="s">
        <v>2</v>
      </c>
      <c r="Y362" s="1" t="s">
        <v>3</v>
      </c>
      <c r="Z362" s="1" t="s">
        <v>4</v>
      </c>
      <c r="AA362" s="1" t="s">
        <v>5</v>
      </c>
      <c r="AB362" s="2" t="s">
        <v>6</v>
      </c>
      <c r="AC362" s="1" t="s">
        <v>7</v>
      </c>
      <c r="AD362" s="1" t="s">
        <v>8</v>
      </c>
      <c r="AE362" s="1" t="s">
        <v>9</v>
      </c>
      <c r="AF362" s="1" t="s">
        <v>10</v>
      </c>
      <c r="AG362" s="1" t="s">
        <v>11</v>
      </c>
      <c r="AH362" s="1" t="s">
        <v>12</v>
      </c>
      <c r="AI362" s="1" t="s">
        <v>13</v>
      </c>
      <c r="AJ362" s="2" t="s">
        <v>14</v>
      </c>
      <c r="AK362" s="1" t="s">
        <v>15</v>
      </c>
      <c r="AL362" s="1" t="s">
        <v>16</v>
      </c>
      <c r="AM362" s="3" t="s">
        <v>17</v>
      </c>
      <c r="AN362" s="4" t="s">
        <v>18</v>
      </c>
      <c r="AO362" s="5" t="s">
        <v>19</v>
      </c>
      <c r="AP362" s="6" t="s">
        <v>20</v>
      </c>
      <c r="AQ362" s="6" t="s">
        <v>21</v>
      </c>
      <c r="AR362" s="7" t="s">
        <v>22</v>
      </c>
      <c r="AS362" s="76"/>
      <c r="AT362" s="76"/>
    </row>
    <row r="363" spans="1:46" ht="15.75" customHeight="1" x14ac:dyDescent="0.25">
      <c r="A363" s="70"/>
      <c r="B363" s="16">
        <v>7</v>
      </c>
      <c r="C363" s="16" t="s">
        <v>24</v>
      </c>
      <c r="D363" s="17">
        <v>44</v>
      </c>
      <c r="E363" s="31">
        <f ca="1">IFERROR(__xludf.DUMMYFUNCTION("COUNT(IMPORTRANGE(""https://docs.google.com/spreadsheets/d/1E2x4oDZxEIsuC5nl-5Z0--MoN8b1dt9SbpRcCfNP84Q/edit"",""14!d2:d45""))"),43)</f>
        <v>43</v>
      </c>
      <c r="F363" s="32">
        <f ca="1">IFERROR(__xludf.DUMMYFUNCTION("SUM(IMPORTRANGE(""https://docs.google.com/spreadsheets/d/1E2x4oDZxEIsuC5nl-5Z0--MoN8b1dt9SbpRcCfNP84Q/edit"",""14!Q2:Q45""))"),8391.03499999999)</f>
        <v>8391.0349999999908</v>
      </c>
      <c r="G363" s="31">
        <f ca="1">IFERROR(__xludf.DUMMYFUNCTION("IMPORTRANGE(""https://docs.google.com/spreadsheets/d/1E2x4oDZxEIsuC5nl-5Z0--MoN8b1dt9SbpRcCfNP84Q/edit"",""14!e53"")"),1131)</f>
        <v>1131</v>
      </c>
      <c r="H363" s="31">
        <f ca="1">IFERROR(__xludf.DUMMYFUNCTION("IMPORTRANGE(""https://docs.google.com/spreadsheets/d/1E2x4oDZxEIsuC5nl-5Z0--MoN8b1dt9SbpRcCfNP84Q/edit"",""14!e54"")"),0)</f>
        <v>0</v>
      </c>
      <c r="I363" s="31">
        <f t="shared" ca="1" si="987"/>
        <v>1131</v>
      </c>
      <c r="J363" s="31">
        <f ca="1">IFERROR(__xludf.DUMMYFUNCTION("IMPORTRANGE(""https://docs.google.com/spreadsheets/d/1E2x4oDZxEIsuC5nl-5Z0--MoN8b1dt9SbpRcCfNP84Q/edit"",""14!e57"")"),1293)</f>
        <v>1293</v>
      </c>
      <c r="K363" s="31">
        <f ca="1">IFERROR(__xludf.DUMMYFUNCTION("IMPORTRANGE(""https://docs.google.com/spreadsheets/d/1E2x4oDZxEIsuC5nl-5Z0--MoN8b1dt9SbpRcCfNP84Q/edit"",""14!e58"")"),0)</f>
        <v>0</v>
      </c>
      <c r="L363" s="18">
        <f t="shared" ca="1" si="988"/>
        <v>1293</v>
      </c>
      <c r="M363" s="18">
        <f t="shared" ca="1" si="989"/>
        <v>2424</v>
      </c>
      <c r="N363" s="19">
        <f t="shared" ca="1" si="990"/>
        <v>195.14034883720907</v>
      </c>
      <c r="O363" s="16">
        <v>1580</v>
      </c>
      <c r="P363" s="33">
        <f t="shared" ca="1" si="991"/>
        <v>1.5341772151898734</v>
      </c>
      <c r="Q363" s="21">
        <v>1.5</v>
      </c>
      <c r="R363" s="20">
        <f t="shared" ca="1" si="992"/>
        <v>0.19258649260788471</v>
      </c>
      <c r="S363" s="22">
        <f t="shared" ca="1" si="993"/>
        <v>0.28887973891182706</v>
      </c>
      <c r="T363" s="21">
        <f ca="1">F363/26.805</f>
        <v>313.03991792575977</v>
      </c>
      <c r="U363" s="21">
        <f t="shared" ca="1" si="994"/>
        <v>7.279998091296739</v>
      </c>
      <c r="V363" s="18">
        <f t="shared" ca="1" si="995"/>
        <v>56.372093023255815</v>
      </c>
      <c r="W363" s="76"/>
      <c r="X363" s="8">
        <v>1</v>
      </c>
      <c r="Y363" s="8" t="s">
        <v>28</v>
      </c>
      <c r="Z363" s="8">
        <f t="shared" ref="Z363:AI363" si="1006">SUM(D358)</f>
        <v>33</v>
      </c>
      <c r="AA363" s="9">
        <f t="shared" ca="1" si="1006"/>
        <v>33</v>
      </c>
      <c r="AB363" s="11">
        <f t="shared" ca="1" si="1006"/>
        <v>6450.4139999999898</v>
      </c>
      <c r="AC363" s="9">
        <f t="shared" ca="1" si="1006"/>
        <v>2930</v>
      </c>
      <c r="AD363" s="9">
        <f t="shared" ca="1" si="1006"/>
        <v>141</v>
      </c>
      <c r="AE363" s="9">
        <f t="shared" ca="1" si="1006"/>
        <v>3071</v>
      </c>
      <c r="AF363" s="9">
        <f t="shared" ca="1" si="1006"/>
        <v>2728</v>
      </c>
      <c r="AG363" s="9">
        <f t="shared" ca="1" si="1006"/>
        <v>216</v>
      </c>
      <c r="AH363" s="9">
        <f t="shared" ca="1" si="1006"/>
        <v>2944</v>
      </c>
      <c r="AI363" s="9">
        <f t="shared" ca="1" si="1006"/>
        <v>6015</v>
      </c>
      <c r="AJ363" s="11">
        <f t="shared" ref="AJ363:AJ369" ca="1" si="1007">AB363/AA363</f>
        <v>195.46709090909059</v>
      </c>
      <c r="AK363" s="8">
        <f t="shared" ref="AK363:AK364" si="1008">SUM(O358)</f>
        <v>7315</v>
      </c>
      <c r="AL363" s="12">
        <f t="shared" ref="AL363:AL369" ca="1" si="1009">AI363/AK363</f>
        <v>0.82228298017771706</v>
      </c>
      <c r="AM363" s="13">
        <f t="shared" ref="AM363:AM364" si="1010">SUM(Q358)</f>
        <v>1.5</v>
      </c>
      <c r="AN363" s="12">
        <f t="shared" ref="AN363:AN369" ca="1" si="1011">AO363/AM363</f>
        <v>0.62166552410434528</v>
      </c>
      <c r="AO363" s="14">
        <f t="shared" ref="AO363:AO369" ca="1" si="1012">AI363/AB363</f>
        <v>0.93249828615651797</v>
      </c>
      <c r="AP363" s="13">
        <f t="shared" ref="AP363:AQ363" ca="1" si="1013">SUM(T358)</f>
        <v>208.77153121662266</v>
      </c>
      <c r="AQ363" s="13">
        <f t="shared" ca="1" si="1013"/>
        <v>6.3264100368673537</v>
      </c>
      <c r="AR363" s="9">
        <f t="shared" ref="AR363:AR369" ca="1" si="1014">AI363/AA363</f>
        <v>182.27272727272728</v>
      </c>
      <c r="AS363" s="76"/>
      <c r="AT363" s="76"/>
    </row>
    <row r="364" spans="1:46" ht="15.75" customHeight="1" x14ac:dyDescent="0.25">
      <c r="A364" s="70"/>
      <c r="B364" s="16">
        <v>8</v>
      </c>
      <c r="C364" s="16" t="s">
        <v>25</v>
      </c>
      <c r="D364" s="34">
        <v>32</v>
      </c>
      <c r="E364" s="18">
        <f ca="1">IFERROR(__xludf.DUMMYFUNCTION("COUNT(IMPORTRANGE(""https://docs.google.com/spreadsheets/d/1KbRFOEYB0B44J_NSh1MwYQ1sLDlZXUHI-wuMLcZDn5k/edit"",""14!d2:D33""))"),32)</f>
        <v>32</v>
      </c>
      <c r="F364" s="23">
        <f ca="1">IFERROR(__xludf.DUMMYFUNCTION("SUM(IMPORTRANGE(""https://docs.google.com/spreadsheets/d/1KbRFOEYB0B44J_NSh1MwYQ1sLDlZXUHI-wuMLcZDn5k/edit"",""14!Q2:Q33""))"),5732.636)</f>
        <v>5732.6360000000004</v>
      </c>
      <c r="G364" s="18">
        <f ca="1">IFERROR(__xludf.DUMMYFUNCTION("IMPORTRANGE(""https://docs.google.com/spreadsheets/d/1KbRFOEYB0B44J_NSh1MwYQ1sLDlZXUHI-wuMLcZDn5k/edit"",""14!e40"")"),2197)</f>
        <v>2197</v>
      </c>
      <c r="H364" s="18">
        <f ca="1">IFERROR(__xludf.DUMMYFUNCTION("IMPORTRANGE(""https://docs.google.com/spreadsheets/d/1KbRFOEYB0B44J_NSh1MwYQ1sLDlZXUHI-wuMLcZDn5k/edit"",""14!e41"")"),317)</f>
        <v>317</v>
      </c>
      <c r="I364" s="18">
        <f t="shared" ca="1" si="987"/>
        <v>2514</v>
      </c>
      <c r="J364" s="18">
        <f ca="1">IFERROR(__xludf.DUMMYFUNCTION("IMPORTRANGE(""https://docs.google.com/spreadsheets/d/1KbRFOEYB0B44J_NSh1MwYQ1sLDlZXUHI-wuMLcZDn5k/edit"",""14!e44"")"),3349)</f>
        <v>3349</v>
      </c>
      <c r="K364" s="18">
        <f ca="1">IFERROR(__xludf.DUMMYFUNCTION("IMPORTRANGE(""https://docs.google.com/spreadsheets/d/1KbRFOEYB0B44J_NSh1MwYQ1sLDlZXUHI-wuMLcZDn5k/edit"",""14!e45"")"),481)</f>
        <v>481</v>
      </c>
      <c r="L364" s="18">
        <f ca="1">J364+K364</f>
        <v>3830</v>
      </c>
      <c r="M364" s="18">
        <f t="shared" ca="1" si="989"/>
        <v>6344</v>
      </c>
      <c r="N364" s="19">
        <f t="shared" ca="1" si="990"/>
        <v>179.14487500000001</v>
      </c>
      <c r="O364" s="16">
        <v>6622</v>
      </c>
      <c r="P364" s="20">
        <f t="shared" ca="1" si="991"/>
        <v>0.95801872546058597</v>
      </c>
      <c r="Q364" s="21">
        <v>1.5</v>
      </c>
      <c r="R364" s="20">
        <f t="shared" ca="1" si="992"/>
        <v>0.73776415131421791</v>
      </c>
      <c r="S364" s="22">
        <f t="shared" ca="1" si="993"/>
        <v>1.1066462269713269</v>
      </c>
      <c r="T364" s="21">
        <f ca="1">F364/23.84</f>
        <v>240.46291946308727</v>
      </c>
      <c r="U364" s="21">
        <f t="shared" ca="1" si="994"/>
        <v>7.5144662332214773</v>
      </c>
      <c r="V364" s="18">
        <f t="shared" ca="1" si="995"/>
        <v>198.25</v>
      </c>
      <c r="W364" s="76"/>
      <c r="X364" s="8">
        <v>2</v>
      </c>
      <c r="Y364" s="8" t="s">
        <v>30</v>
      </c>
      <c r="Z364" s="8">
        <f t="shared" ref="Z364:AI364" si="1015">SUM(D359)</f>
        <v>60</v>
      </c>
      <c r="AA364" s="9">
        <f t="shared" ca="1" si="1015"/>
        <v>59</v>
      </c>
      <c r="AB364" s="10">
        <f t="shared" ca="1" si="1015"/>
        <v>12048.4209999999</v>
      </c>
      <c r="AC364" s="9">
        <f t="shared" ca="1" si="1015"/>
        <v>3687</v>
      </c>
      <c r="AD364" s="9">
        <f t="shared" ca="1" si="1015"/>
        <v>0</v>
      </c>
      <c r="AE364" s="9">
        <f t="shared" ca="1" si="1015"/>
        <v>3687</v>
      </c>
      <c r="AF364" s="9">
        <f t="shared" ca="1" si="1015"/>
        <v>5207</v>
      </c>
      <c r="AG364" s="9">
        <f t="shared" ca="1" si="1015"/>
        <v>0</v>
      </c>
      <c r="AH364" s="9">
        <f t="shared" ca="1" si="1015"/>
        <v>5207</v>
      </c>
      <c r="AI364" s="9">
        <f t="shared" ca="1" si="1015"/>
        <v>8894</v>
      </c>
      <c r="AJ364" s="11">
        <f t="shared" ca="1" si="1007"/>
        <v>204.21052542372712</v>
      </c>
      <c r="AK364" s="8">
        <f t="shared" si="1008"/>
        <v>11164</v>
      </c>
      <c r="AL364" s="12">
        <f t="shared" ca="1" si="1009"/>
        <v>0.79666786098172693</v>
      </c>
      <c r="AM364" s="13">
        <f t="shared" si="1010"/>
        <v>1.5</v>
      </c>
      <c r="AN364" s="12">
        <f t="shared" ca="1" si="1011"/>
        <v>0.49212534433627297</v>
      </c>
      <c r="AO364" s="14">
        <f t="shared" ca="1" si="1012"/>
        <v>0.73818801650440946</v>
      </c>
      <c r="AP364" s="13">
        <f t="shared" ref="AP364:AQ364" ca="1" si="1016">SUM(T359)</f>
        <v>406.99999999999659</v>
      </c>
      <c r="AQ364" s="13">
        <f t="shared" ca="1" si="1016"/>
        <v>6.8983050847457053</v>
      </c>
      <c r="AR364" s="9">
        <f t="shared" ca="1" si="1014"/>
        <v>150.74576271186442</v>
      </c>
      <c r="AS364" s="76"/>
      <c r="AT364" s="76"/>
    </row>
    <row r="365" spans="1:46" ht="15.75" customHeight="1" x14ac:dyDescent="0.25">
      <c r="A365" s="70"/>
      <c r="B365" s="16">
        <v>9</v>
      </c>
      <c r="C365" s="16" t="s">
        <v>36</v>
      </c>
      <c r="D365" s="34">
        <v>29</v>
      </c>
      <c r="E365" s="18">
        <f ca="1">IFERROR(__xludf.DUMMYFUNCTION("COUNT(IMPORTRANGE(""https://docs.google.com/spreadsheets/d/1VqqqRGfmmkT0JC4ILJva2p8P11jjV0FX-TSKAaqOigw/edit"",""14!d2:d31""))"),29)</f>
        <v>29</v>
      </c>
      <c r="F365" s="23">
        <f ca="1">IFERROR(__xludf.DUMMYFUNCTION("SUM(IMPORTRANGE(""https://docs.google.com/spreadsheets/d/1VqqqRGfmmkT0JC4ILJva2p8P11jjV0FX-TSKAaqOigw/edit"",""14!Q2:Q31""))"),5698.45299999999)</f>
        <v>5698.4529999999904</v>
      </c>
      <c r="G365" s="18">
        <f ca="1">IFERROR(__xludf.DUMMYFUNCTION("IMPORTRANGE(""https://docs.google.com/spreadsheets/d/1VqqqRGfmmkT0JC4ILJva2p8P11jjV0FX-TSKAaqOigw/edit"",""14!e38"")"),1625)</f>
        <v>1625</v>
      </c>
      <c r="H365" s="18">
        <f ca="1">IFERROR(__xludf.DUMMYFUNCTION("IMPORTRANGE(""https://docs.google.com/spreadsheets/d/1VqqqRGfmmkT0JC4ILJva2p8P11jjV0FX-TSKAaqOigw/edit"",""14!e39"")"),0)</f>
        <v>0</v>
      </c>
      <c r="I365" s="18">
        <f t="shared" ca="1" si="987"/>
        <v>1625</v>
      </c>
      <c r="J365" s="18">
        <f ca="1">IFERROR(__xludf.DUMMYFUNCTION("IMPORTRANGE(""https://docs.google.com/spreadsheets/d/1VqqqRGfmmkT0JC4ILJva2p8P11jjV0FX-TSKAaqOigw/edit"",""14!e42"")"),2234)</f>
        <v>2234</v>
      </c>
      <c r="K365" s="18">
        <f ca="1">IFERROR(__xludf.DUMMYFUNCTION("IMPORTRANGE(""https://docs.google.com/spreadsheets/d/1VqqqRGfmmkT0JC4ILJva2p8P11jjV0FX-TSKAaqOigw/edit"",""14!e43"")"),0)</f>
        <v>0</v>
      </c>
      <c r="L365" s="18">
        <f t="shared" ref="L365:L374" ca="1" si="1017">SUM(J365:K365)</f>
        <v>2234</v>
      </c>
      <c r="M365" s="18">
        <f t="shared" ca="1" si="989"/>
        <v>3859</v>
      </c>
      <c r="N365" s="19">
        <f t="shared" ca="1" si="990"/>
        <v>196.49837931034449</v>
      </c>
      <c r="O365" s="16">
        <v>4796</v>
      </c>
      <c r="P365" s="20">
        <f t="shared" ca="1" si="991"/>
        <v>0.80462885738115097</v>
      </c>
      <c r="Q365" s="21">
        <v>1.5</v>
      </c>
      <c r="R365" s="20">
        <f t="shared" ca="1" si="992"/>
        <v>0.45146755911940856</v>
      </c>
      <c r="S365" s="22">
        <f t="shared" ca="1" si="993"/>
        <v>0.67720133867911281</v>
      </c>
      <c r="T365" s="21">
        <f ca="1">F365/37.414</f>
        <v>152.30803977120837</v>
      </c>
      <c r="U365" s="21">
        <f t="shared" ca="1" si="994"/>
        <v>5.2520013714209783</v>
      </c>
      <c r="V365" s="18">
        <f t="shared" ca="1" si="995"/>
        <v>133.06896551724137</v>
      </c>
      <c r="W365" s="76"/>
      <c r="X365" s="8">
        <v>3</v>
      </c>
      <c r="Y365" s="8" t="s">
        <v>34</v>
      </c>
      <c r="Z365" s="8">
        <f t="shared" ref="Z365:AI365" si="1018">SUM(D361)</f>
        <v>40</v>
      </c>
      <c r="AA365" s="9">
        <f t="shared" ca="1" si="1018"/>
        <v>40</v>
      </c>
      <c r="AB365" s="10">
        <f t="shared" ca="1" si="1018"/>
        <v>7922.2830000000004</v>
      </c>
      <c r="AC365" s="9">
        <f t="shared" ca="1" si="1018"/>
        <v>2997</v>
      </c>
      <c r="AD365" s="9">
        <f t="shared" ca="1" si="1018"/>
        <v>0</v>
      </c>
      <c r="AE365" s="9">
        <f t="shared" ca="1" si="1018"/>
        <v>2997</v>
      </c>
      <c r="AF365" s="9">
        <f t="shared" ca="1" si="1018"/>
        <v>2905</v>
      </c>
      <c r="AG365" s="9">
        <f t="shared" ca="1" si="1018"/>
        <v>0</v>
      </c>
      <c r="AH365" s="9">
        <f t="shared" ca="1" si="1018"/>
        <v>2905</v>
      </c>
      <c r="AI365" s="9">
        <f t="shared" ca="1" si="1018"/>
        <v>5902</v>
      </c>
      <c r="AJ365" s="11">
        <f t="shared" ca="1" si="1007"/>
        <v>198.057075</v>
      </c>
      <c r="AK365" s="8">
        <f>SUM(O361)</f>
        <v>9354</v>
      </c>
      <c r="AL365" s="12">
        <f t="shared" ca="1" si="1009"/>
        <v>0.63096001710498184</v>
      </c>
      <c r="AM365" s="13">
        <f>SUM(Q361)</f>
        <v>1.5</v>
      </c>
      <c r="AN365" s="12">
        <f t="shared" ca="1" si="1011"/>
        <v>0.49665818131801992</v>
      </c>
      <c r="AO365" s="14">
        <f t="shared" ca="1" si="1012"/>
        <v>0.74498727197702985</v>
      </c>
      <c r="AP365" s="13">
        <f t="shared" ref="AP365:AQ365" ca="1" si="1019">SUM(T361)</f>
        <v>257.9455930713379</v>
      </c>
      <c r="AQ365" s="13">
        <f t="shared" ca="1" si="1019"/>
        <v>6.448639826783447</v>
      </c>
      <c r="AR365" s="9">
        <f t="shared" ca="1" si="1014"/>
        <v>147.55000000000001</v>
      </c>
      <c r="AS365" s="76"/>
      <c r="AT365" s="76"/>
    </row>
    <row r="366" spans="1:46" ht="15.75" customHeight="1" x14ac:dyDescent="0.25">
      <c r="A366" s="70"/>
      <c r="B366" s="16">
        <v>10</v>
      </c>
      <c r="C366" s="16" t="s">
        <v>37</v>
      </c>
      <c r="D366" s="17">
        <v>30</v>
      </c>
      <c r="E366" s="18">
        <f ca="1">IFERROR(__xludf.DUMMYFUNCTION("COUNT(IMPORTRANGE(""https://docs.google.com/spreadsheets/d/1IYeRjQd_D6MRqoBKNaky3aSEUloYCJc5XDnPAbdyetk/edit"",""14!d2:d31""))"),29)</f>
        <v>29</v>
      </c>
      <c r="F366" s="23">
        <f ca="1">IFERROR(__xludf.DUMMYFUNCTION("SUM(IMPORTRANGE(""https://docs.google.com/spreadsheets/d/1IYeRjQd_D6MRqoBKNaky3aSEUloYCJc5XDnPAbdyetk/edit"",""14!Q2:Q31""))"),5798.70599999999)</f>
        <v>5798.7059999999901</v>
      </c>
      <c r="G366" s="18">
        <f ca="1">IFERROR(__xludf.DUMMYFUNCTION("(IMPORTRANGE(""https://docs.google.com/spreadsheets/d/1IYeRjQd_D6MRqoBKNaky3aSEUloYCJc5XDnPAbdyetk/edit"",""14!e38""))"),2012)</f>
        <v>2012</v>
      </c>
      <c r="H366" s="18">
        <f ca="1">IFERROR(__xludf.DUMMYFUNCTION("(IMPORTRANGE(""https://docs.google.com/spreadsheets/d/1IYeRjQd_D6MRqoBKNaky3aSEUloYCJc5XDnPAbdyetk/edit"",""14!e39""))"),0)</f>
        <v>0</v>
      </c>
      <c r="I366" s="18">
        <f t="shared" ca="1" si="987"/>
        <v>2012</v>
      </c>
      <c r="J366" s="18">
        <f ca="1">IFERROR(__xludf.DUMMYFUNCTION("(IMPORTRANGE(""https://docs.google.com/spreadsheets/d/1IYeRjQd_D6MRqoBKNaky3aSEUloYCJc5XDnPAbdyetk/edit"",""14!e42""))"),2900)</f>
        <v>2900</v>
      </c>
      <c r="K366" s="18">
        <f ca="1">IFERROR(__xludf.DUMMYFUNCTION("(IMPORTRANGE(""https://docs.google.com/spreadsheets/d/1IYeRjQd_D6MRqoBKNaky3aSEUloYCJc5XDnPAbdyetk/edit"",""14!e43""))"),0)</f>
        <v>0</v>
      </c>
      <c r="L366" s="18">
        <f t="shared" ca="1" si="1017"/>
        <v>2900</v>
      </c>
      <c r="M366" s="18">
        <f t="shared" ca="1" si="989"/>
        <v>4912</v>
      </c>
      <c r="N366" s="19">
        <f t="shared" ca="1" si="990"/>
        <v>199.95537931034448</v>
      </c>
      <c r="O366" s="16">
        <v>5887</v>
      </c>
      <c r="P366" s="20">
        <f t="shared" ca="1" si="991"/>
        <v>0.83438083913708172</v>
      </c>
      <c r="Q366" s="21">
        <v>1.5</v>
      </c>
      <c r="R366" s="20">
        <f t="shared" ca="1" si="992"/>
        <v>0.56472369295264702</v>
      </c>
      <c r="S366" s="22">
        <f t="shared" ca="1" si="993"/>
        <v>0.84708553942897058</v>
      </c>
      <c r="T366" s="21">
        <f ca="1">F366/24.792</f>
        <v>233.89424007744392</v>
      </c>
      <c r="U366" s="21">
        <f t="shared" ca="1" si="994"/>
        <v>8.0653186233601346</v>
      </c>
      <c r="V366" s="18">
        <f t="shared" ca="1" si="995"/>
        <v>169.37931034482759</v>
      </c>
      <c r="W366" s="76"/>
      <c r="X366" s="8">
        <v>4</v>
      </c>
      <c r="Y366" s="8" t="s">
        <v>38</v>
      </c>
      <c r="Z366" s="8">
        <f t="shared" ref="Z366:AI366" si="1020">SUM(D369)</f>
        <v>30</v>
      </c>
      <c r="AA366" s="9">
        <f t="shared" ca="1" si="1020"/>
        <v>30</v>
      </c>
      <c r="AB366" s="10">
        <f t="shared" ca="1" si="1020"/>
        <v>6490.3029999999899</v>
      </c>
      <c r="AC366" s="9">
        <f t="shared" ca="1" si="1020"/>
        <v>2306</v>
      </c>
      <c r="AD366" s="9">
        <f t="shared" ca="1" si="1020"/>
        <v>116</v>
      </c>
      <c r="AE366" s="9">
        <f t="shared" ca="1" si="1020"/>
        <v>2422</v>
      </c>
      <c r="AF366" s="9">
        <f t="shared" ca="1" si="1020"/>
        <v>3049</v>
      </c>
      <c r="AG366" s="9">
        <f t="shared" ca="1" si="1020"/>
        <v>0</v>
      </c>
      <c r="AH366" s="9">
        <f t="shared" ca="1" si="1020"/>
        <v>3049</v>
      </c>
      <c r="AI366" s="9">
        <f t="shared" ca="1" si="1020"/>
        <v>5471</v>
      </c>
      <c r="AJ366" s="11">
        <f t="shared" ca="1" si="1007"/>
        <v>216.343433333333</v>
      </c>
      <c r="AK366" s="8">
        <v>7324</v>
      </c>
      <c r="AL366" s="12">
        <f t="shared" ca="1" si="1009"/>
        <v>0.74699617695248499</v>
      </c>
      <c r="AM366" s="13">
        <f>SUM(Q369)</f>
        <v>1.5</v>
      </c>
      <c r="AN366" s="12">
        <f t="shared" ca="1" si="1011"/>
        <v>0.56196657279842543</v>
      </c>
      <c r="AO366" s="14">
        <f t="shared" ca="1" si="1012"/>
        <v>0.84294985919763821</v>
      </c>
      <c r="AP366" s="13">
        <f t="shared" ref="AP366:AQ366" ca="1" si="1021">SUM(T369)</f>
        <v>157.51251061764324</v>
      </c>
      <c r="AQ366" s="13">
        <f t="shared" ca="1" si="1021"/>
        <v>5.2504170205881078</v>
      </c>
      <c r="AR366" s="9">
        <f t="shared" ca="1" si="1014"/>
        <v>182.36666666666667</v>
      </c>
      <c r="AS366" s="76"/>
      <c r="AT366" s="76"/>
    </row>
    <row r="367" spans="1:46" ht="15.75" customHeight="1" x14ac:dyDescent="0.25">
      <c r="A367" s="70"/>
      <c r="B367" s="16">
        <v>12</v>
      </c>
      <c r="C367" s="16" t="s">
        <v>39</v>
      </c>
      <c r="D367" s="17">
        <v>28</v>
      </c>
      <c r="E367" s="18">
        <f ca="1">IFERROR(__xludf.DUMMYFUNCTION("COUNT(IMPORTRANGE(""https://docs.google.com/spreadsheets/d/1TAY2D35yAzyl8a_p5CuZehQvmatfj0b0Q8ICl8GtJBY/edit"",""14!d2:d29""))"),28)</f>
        <v>28</v>
      </c>
      <c r="F367" s="23">
        <f ca="1">IFERROR(__xludf.DUMMYFUNCTION("SUM(IMPORTRANGE(""https://docs.google.com/spreadsheets/d/1TAY2D35yAzyl8a_p5CuZehQvmatfj0b0Q8ICl8GtJBY/edit"",""14!Q2:Q29""))"),4996.51399999999)</f>
        <v>4996.5139999999901</v>
      </c>
      <c r="G367" s="18">
        <f ca="1">IFERROR(__xludf.DUMMYFUNCTION("IMPORTRANGE(""https://docs.google.com/spreadsheets/d/1TAY2D35yAzyl8a_p5CuZehQvmatfj0b0Q8ICl8GtJBY/edit"",""14!e36"")"),1151)</f>
        <v>1151</v>
      </c>
      <c r="H367" s="18">
        <f ca="1">IFERROR(__xludf.DUMMYFUNCTION("(IMPORTRANGE(""https://docs.google.com/spreadsheets/d/1TAY2D35yAzyl8a_p5CuZehQvmatfj0b0Q8ICl8GtJBY/edit"",""14!e37""))"),0)</f>
        <v>0</v>
      </c>
      <c r="I367" s="18">
        <f t="shared" ca="1" si="987"/>
        <v>1151</v>
      </c>
      <c r="J367" s="18">
        <f ca="1">IFERROR(__xludf.DUMMYFUNCTION("IMPORTRANGE(""https://docs.google.com/spreadsheets/d/1TAY2D35yAzyl8a_p5CuZehQvmatfj0b0Q8ICl8GtJBY/edit"",""14!e40"")"),1768)</f>
        <v>1768</v>
      </c>
      <c r="K367" s="18">
        <f ca="1">IFERROR(__xludf.DUMMYFUNCTION("IMPORTRANGE(""https://docs.google.com/spreadsheets/d/1TAY2D35yAzyl8a_p5CuZehQvmatfj0b0Q8ICl8GtJBY/edit"",""14!e41"")"),125)</f>
        <v>125</v>
      </c>
      <c r="L367" s="18">
        <f t="shared" ca="1" si="1017"/>
        <v>1893</v>
      </c>
      <c r="M367" s="18">
        <f t="shared" ca="1" si="989"/>
        <v>3044</v>
      </c>
      <c r="N367" s="19">
        <f t="shared" ca="1" si="990"/>
        <v>178.44692857142823</v>
      </c>
      <c r="O367" s="16">
        <v>3569</v>
      </c>
      <c r="P367" s="20">
        <f t="shared" ca="1" si="991"/>
        <v>0.85289997198094702</v>
      </c>
      <c r="Q367" s="21">
        <v>1.5</v>
      </c>
      <c r="R367" s="20">
        <f t="shared" ca="1" si="992"/>
        <v>0.40614983433116314</v>
      </c>
      <c r="S367" s="22">
        <f t="shared" ca="1" si="993"/>
        <v>0.60922475149674471</v>
      </c>
      <c r="T367" s="21">
        <f ca="1">F367/21.463</f>
        <v>232.79662675301634</v>
      </c>
      <c r="U367" s="21">
        <f t="shared" ca="1" si="994"/>
        <v>8.3141652411791558</v>
      </c>
      <c r="V367" s="18">
        <f t="shared" ca="1" si="995"/>
        <v>108.71428571428571</v>
      </c>
      <c r="W367" s="76"/>
      <c r="X367" s="8">
        <v>5</v>
      </c>
      <c r="Y367" s="8" t="s">
        <v>40</v>
      </c>
      <c r="Z367" s="8">
        <f t="shared" ref="Z367:AI367" si="1022">SUM(D371)</f>
        <v>30</v>
      </c>
      <c r="AA367" s="9">
        <f t="shared" ca="1" si="1022"/>
        <v>30</v>
      </c>
      <c r="AB367" s="10">
        <f t="shared" ca="1" si="1022"/>
        <v>5958.1419999999898</v>
      </c>
      <c r="AC367" s="9">
        <f t="shared" ca="1" si="1022"/>
        <v>3605</v>
      </c>
      <c r="AD367" s="9">
        <f t="shared" ca="1" si="1022"/>
        <v>0</v>
      </c>
      <c r="AE367" s="9">
        <f t="shared" ca="1" si="1022"/>
        <v>3605</v>
      </c>
      <c r="AF367" s="9">
        <f t="shared" ca="1" si="1022"/>
        <v>3965</v>
      </c>
      <c r="AG367" s="9">
        <f t="shared" ca="1" si="1022"/>
        <v>0</v>
      </c>
      <c r="AH367" s="9">
        <f t="shared" ca="1" si="1022"/>
        <v>3965</v>
      </c>
      <c r="AI367" s="9">
        <f t="shared" ca="1" si="1022"/>
        <v>7570</v>
      </c>
      <c r="AJ367" s="11">
        <f t="shared" ca="1" si="1007"/>
        <v>198.604733333333</v>
      </c>
      <c r="AK367" s="8">
        <f t="shared" ref="AK367:AK368" si="1023">SUM(O371)</f>
        <v>8239</v>
      </c>
      <c r="AL367" s="12">
        <f t="shared" ca="1" si="1009"/>
        <v>0.91880082534288143</v>
      </c>
      <c r="AM367" s="13">
        <f t="shared" ref="AM367:AM368" si="1024">SUM(Q371)</f>
        <v>1.5</v>
      </c>
      <c r="AN367" s="12">
        <f t="shared" ca="1" si="1011"/>
        <v>0.8470202064111052</v>
      </c>
      <c r="AO367" s="14">
        <f t="shared" ca="1" si="1012"/>
        <v>1.2705303096166578</v>
      </c>
      <c r="AP367" s="13">
        <f t="shared" ref="AP367:AQ367" ca="1" si="1025">SUM(T371)</f>
        <v>209.4765671694262</v>
      </c>
      <c r="AQ367" s="13">
        <f t="shared" ca="1" si="1025"/>
        <v>6.9825522389808734</v>
      </c>
      <c r="AR367" s="9">
        <f t="shared" ca="1" si="1014"/>
        <v>252.33333333333334</v>
      </c>
      <c r="AS367" s="76"/>
      <c r="AT367" s="76"/>
    </row>
    <row r="368" spans="1:46" ht="15.75" customHeight="1" x14ac:dyDescent="0.25">
      <c r="A368" s="70"/>
      <c r="B368" s="16">
        <v>12</v>
      </c>
      <c r="C368" s="16" t="s">
        <v>41</v>
      </c>
      <c r="D368" s="17">
        <v>24</v>
      </c>
      <c r="E368" s="18">
        <f ca="1">IFERROR(__xludf.DUMMYFUNCTION("COUNT(IMPORTRANGE(""https://docs.google.com/spreadsheets/d/1VAsUtLQHi7oV9NsI9EIHPnO1bcPJHeRgSbMoxSvPBME/edit"",""14!d2:d25""))"),24)</f>
        <v>24</v>
      </c>
      <c r="F368" s="23">
        <f ca="1">IFERROR(__xludf.DUMMYFUNCTION("SUM(IMPORTRANGE(""https://docs.google.com/spreadsheets/d/1VAsUtLQHi7oV9NsI9EIHPnO1bcPJHeRgSbMoxSvPBME/edit"",""14!Q2:Q25""))"),4628.552)</f>
        <v>4628.5519999999997</v>
      </c>
      <c r="G368" s="18">
        <f ca="1">IFERROR(__xludf.DUMMYFUNCTION("IMPORTRANGE(""https://docs.google.com/spreadsheets/d/1VAsUtLQHi7oV9NsI9EIHPnO1bcPJHeRgSbMoxSvPBME/edit"",""14!e32"")"),1224)</f>
        <v>1224</v>
      </c>
      <c r="H368" s="18">
        <f ca="1">IFERROR(__xludf.DUMMYFUNCTION("IMPORTRANGE(""https://docs.google.com/spreadsheets/d/1VAsUtLQHi7oV9NsI9EIHPnO1bcPJHeRgSbMoxSvPBME/edit"",""14!e33"")"),0)</f>
        <v>0</v>
      </c>
      <c r="I368" s="18">
        <f t="shared" ca="1" si="987"/>
        <v>1224</v>
      </c>
      <c r="J368" s="18">
        <f ca="1">IFERROR(__xludf.DUMMYFUNCTION("IMPORTRANGE(""https://docs.google.com/spreadsheets/d/1VAsUtLQHi7oV9NsI9EIHPnO1bcPJHeRgSbMoxSvPBME/edit"",""14!e36"")"),1871)</f>
        <v>1871</v>
      </c>
      <c r="K368" s="18">
        <f ca="1">IFERROR(__xludf.DUMMYFUNCTION("IMPORTRANGE(""https://docs.google.com/spreadsheets/d/1VAsUtLQHi7oV9NsI9EIHPnO1bcPJHeRgSbMoxSvPBME/edit"",""14!e37"")"),0)</f>
        <v>0</v>
      </c>
      <c r="L368" s="18">
        <f t="shared" ca="1" si="1017"/>
        <v>1871</v>
      </c>
      <c r="M368" s="18">
        <f t="shared" ca="1" si="989"/>
        <v>3095</v>
      </c>
      <c r="N368" s="19">
        <f t="shared" ca="1" si="990"/>
        <v>192.85633333333331</v>
      </c>
      <c r="O368" s="16">
        <v>3801</v>
      </c>
      <c r="P368" s="20">
        <f t="shared" ca="1" si="991"/>
        <v>0.81425940541962638</v>
      </c>
      <c r="Q368" s="21">
        <v>1.5</v>
      </c>
      <c r="R368" s="20">
        <f t="shared" ca="1" si="992"/>
        <v>0.44578376419522425</v>
      </c>
      <c r="S368" s="22">
        <f t="shared" ca="1" si="993"/>
        <v>0.66867564629283638</v>
      </c>
      <c r="T368" s="21">
        <f ca="1">F368/29.628</f>
        <v>156.2222222222222</v>
      </c>
      <c r="U368" s="21">
        <f t="shared" ca="1" si="994"/>
        <v>6.5092592592592586</v>
      </c>
      <c r="V368" s="18">
        <f t="shared" ca="1" si="995"/>
        <v>128.95833333333334</v>
      </c>
      <c r="W368" s="76"/>
      <c r="X368" s="8">
        <v>6</v>
      </c>
      <c r="Y368" s="8" t="s">
        <v>42</v>
      </c>
      <c r="Z368" s="8">
        <f t="shared" ref="Z368:AI368" si="1026">SUM(D372)</f>
        <v>33</v>
      </c>
      <c r="AA368" s="9">
        <f t="shared" ca="1" si="1026"/>
        <v>33</v>
      </c>
      <c r="AB368" s="10">
        <f t="shared" ca="1" si="1026"/>
        <v>6143.3490000000002</v>
      </c>
      <c r="AC368" s="9">
        <f t="shared" ca="1" si="1026"/>
        <v>3307</v>
      </c>
      <c r="AD368" s="9">
        <f t="shared" ca="1" si="1026"/>
        <v>0</v>
      </c>
      <c r="AE368" s="9">
        <f t="shared" ca="1" si="1026"/>
        <v>3307</v>
      </c>
      <c r="AF368" s="9">
        <f t="shared" ca="1" si="1026"/>
        <v>4200</v>
      </c>
      <c r="AG368" s="9">
        <f t="shared" ca="1" si="1026"/>
        <v>0</v>
      </c>
      <c r="AH368" s="9">
        <f t="shared" ca="1" si="1026"/>
        <v>4200</v>
      </c>
      <c r="AI368" s="9">
        <f t="shared" ca="1" si="1026"/>
        <v>7507</v>
      </c>
      <c r="AJ368" s="11">
        <f t="shared" ca="1" si="1007"/>
        <v>186.16209090909092</v>
      </c>
      <c r="AK368" s="8">
        <f t="shared" si="1023"/>
        <v>9877</v>
      </c>
      <c r="AL368" s="12">
        <f t="shared" ca="1" si="1009"/>
        <v>0.760048597752354</v>
      </c>
      <c r="AM368" s="13">
        <f t="shared" si="1024"/>
        <v>1.5</v>
      </c>
      <c r="AN368" s="12">
        <f t="shared" ca="1" si="1011"/>
        <v>0.81464794962270037</v>
      </c>
      <c r="AO368" s="14">
        <f t="shared" ca="1" si="1012"/>
        <v>1.2219719244340506</v>
      </c>
      <c r="AP368" s="13">
        <f t="shared" ref="AP368:AQ368" ca="1" si="1027">SUM(T372)</f>
        <v>234.88239342381954</v>
      </c>
      <c r="AQ368" s="13">
        <f t="shared" ca="1" si="1027"/>
        <v>7.1176482855702892</v>
      </c>
      <c r="AR368" s="9">
        <f t="shared" ca="1" si="1014"/>
        <v>227.4848484848485</v>
      </c>
      <c r="AS368" s="76"/>
      <c r="AT368" s="76"/>
    </row>
    <row r="369" spans="1:46" ht="15.75" customHeight="1" x14ac:dyDescent="0.25">
      <c r="A369" s="70"/>
      <c r="B369" s="16">
        <v>13</v>
      </c>
      <c r="C369" s="16" t="s">
        <v>43</v>
      </c>
      <c r="D369" s="17">
        <v>30</v>
      </c>
      <c r="E369" s="18">
        <f ca="1">IFERROR(__xludf.DUMMYFUNCTION("COUNT(IMPORTRANGE(""https://docs.google.com/spreadsheets/d/1p9Y_DGk7-TpRBFth-ljZceOIGCjQ0ylUeUq6xqnsZ-Q/edit"",""14!d2:d31""))"),30)</f>
        <v>30</v>
      </c>
      <c r="F369" s="23">
        <f ca="1">IFERROR(__xludf.DUMMYFUNCTION("SUM(IMPORTRANGE(""https://docs.google.com/spreadsheets/d/1p9Y_DGk7-TpRBFth-ljZceOIGCjQ0ylUeUq6xqnsZ-Q/edit"",""14!Q2:Q31""))"),6490.30299999999)</f>
        <v>6490.3029999999899</v>
      </c>
      <c r="G369" s="18">
        <f ca="1">IFERROR(__xludf.DUMMYFUNCTION("IMPORTRANGE(""https://docs.google.com/spreadsheets/d/1p9Y_DGk7-TpRBFth-ljZceOIGCjQ0ylUeUq6xqnsZ-Q/edit"",""14!e38"")"),2306)</f>
        <v>2306</v>
      </c>
      <c r="H369" s="18">
        <f ca="1">IFERROR(__xludf.DUMMYFUNCTION("IMPORTRANGE(""https://docs.google.com/spreadsheets/d/1p9Y_DGk7-TpRBFth-ljZceOIGCjQ0ylUeUq6xqnsZ-Q/edit"",""14!e39"")"),116)</f>
        <v>116</v>
      </c>
      <c r="I369" s="18">
        <f t="shared" ca="1" si="987"/>
        <v>2422</v>
      </c>
      <c r="J369" s="18">
        <f ca="1">IFERROR(__xludf.DUMMYFUNCTION("IMPORTRANGE(""https://docs.google.com/spreadsheets/d/1p9Y_DGk7-TpRBFth-ljZceOIGCjQ0ylUeUq6xqnsZ-Q/edit"",""14!e42"")"),3049)</f>
        <v>3049</v>
      </c>
      <c r="K369" s="18">
        <f ca="1">IFERROR(__xludf.DUMMYFUNCTION("IMPORTRANGE(""https://docs.google.com/spreadsheets/d/1p9Y_DGk7-TpRBFth-ljZceOIGCjQ0ylUeUq6xqnsZ-Q/edit"",""14!e43"")"),0)</f>
        <v>0</v>
      </c>
      <c r="L369" s="18">
        <f t="shared" ca="1" si="1017"/>
        <v>3049</v>
      </c>
      <c r="M369" s="18">
        <f t="shared" ca="1" si="989"/>
        <v>5471</v>
      </c>
      <c r="N369" s="19">
        <f t="shared" ca="1" si="990"/>
        <v>216.343433333333</v>
      </c>
      <c r="O369" s="16">
        <v>8345</v>
      </c>
      <c r="P369" s="20">
        <f t="shared" ca="1" si="991"/>
        <v>0.65560215698022772</v>
      </c>
      <c r="Q369" s="21">
        <v>1.5</v>
      </c>
      <c r="R369" s="20">
        <f t="shared" ca="1" si="992"/>
        <v>0.56196657279842543</v>
      </c>
      <c r="S369" s="22">
        <f t="shared" ca="1" si="993"/>
        <v>0.84294985919763821</v>
      </c>
      <c r="T369" s="21">
        <f ca="1">F369/41.205</f>
        <v>157.51251061764324</v>
      </c>
      <c r="U369" s="21">
        <f t="shared" ca="1" si="994"/>
        <v>5.2504170205881078</v>
      </c>
      <c r="V369" s="18">
        <f t="shared" ca="1" si="995"/>
        <v>182.36666666666667</v>
      </c>
      <c r="W369" s="76"/>
      <c r="X369" s="24" t="s">
        <v>33</v>
      </c>
      <c r="Y369" s="24">
        <v>6</v>
      </c>
      <c r="Z369" s="24">
        <f t="shared" ref="Z369:AI369" si="1028">SUM(Z363:Z368)</f>
        <v>226</v>
      </c>
      <c r="AA369" s="25">
        <f t="shared" ca="1" si="1028"/>
        <v>225</v>
      </c>
      <c r="AB369" s="27">
        <f t="shared" ca="1" si="1028"/>
        <v>45012.911999999873</v>
      </c>
      <c r="AC369" s="25">
        <f t="shared" ca="1" si="1028"/>
        <v>18832</v>
      </c>
      <c r="AD369" s="25">
        <f t="shared" ca="1" si="1028"/>
        <v>257</v>
      </c>
      <c r="AE369" s="25">
        <f t="shared" ca="1" si="1028"/>
        <v>19089</v>
      </c>
      <c r="AF369" s="25">
        <f t="shared" ca="1" si="1028"/>
        <v>22054</v>
      </c>
      <c r="AG369" s="25">
        <f t="shared" ca="1" si="1028"/>
        <v>216</v>
      </c>
      <c r="AH369" s="25">
        <f t="shared" ca="1" si="1028"/>
        <v>22270</v>
      </c>
      <c r="AI369" s="25">
        <f t="shared" ca="1" si="1028"/>
        <v>41359</v>
      </c>
      <c r="AJ369" s="27">
        <f t="shared" ca="1" si="1007"/>
        <v>200.0573866666661</v>
      </c>
      <c r="AK369" s="24">
        <f>SUM(AK363:AK368)</f>
        <v>53273</v>
      </c>
      <c r="AL369" s="28">
        <f t="shared" ca="1" si="1009"/>
        <v>0.77635950669194531</v>
      </c>
      <c r="AM369" s="29">
        <v>1.5</v>
      </c>
      <c r="AN369" s="28">
        <f t="shared" ca="1" si="1011"/>
        <v>0.61255016486528902</v>
      </c>
      <c r="AO369" s="30">
        <f t="shared" ca="1" si="1012"/>
        <v>0.91882524729793347</v>
      </c>
      <c r="AP369" s="29">
        <f ca="1">SUM(AP363:AP368)</f>
        <v>1475.5885954988464</v>
      </c>
      <c r="AQ369" s="29">
        <f ca="1">AP369/AA369</f>
        <v>6.5581715355504286</v>
      </c>
      <c r="AR369" s="25">
        <f t="shared" ca="1" si="1014"/>
        <v>183.81777777777779</v>
      </c>
      <c r="AS369" s="76"/>
      <c r="AT369" s="76"/>
    </row>
    <row r="370" spans="1:46" ht="15.75" customHeight="1" x14ac:dyDescent="0.25">
      <c r="A370" s="70"/>
      <c r="B370" s="16">
        <v>14</v>
      </c>
      <c r="C370" s="16" t="s">
        <v>27</v>
      </c>
      <c r="D370" s="17">
        <v>30</v>
      </c>
      <c r="E370" s="18">
        <f ca="1">IFERROR(__xludf.DUMMYFUNCTION("COUNT(IMPORTRANGE(""https://docs.google.com/spreadsheets/d/1zJUDEKztv_fercXA0LYNw155qdzS7TJGhWLhquaW5IY/edit"",""14!d2:d31""))"),29)</f>
        <v>29</v>
      </c>
      <c r="F370" s="23">
        <f ca="1">IFERROR(__xludf.DUMMYFUNCTION("SUM(IMPORTRANGE(""https://docs.google.com/spreadsheets/d/1zJUDEKztv_fercXA0LYNw155qdzS7TJGhWLhquaW5IY/edit"",""14!Q2:Q31""))"),5245.92499999999)</f>
        <v>5245.9249999999902</v>
      </c>
      <c r="G370" s="18">
        <f ca="1">IFERROR(__xludf.DUMMYFUNCTION("IMPORTRANGE(""https://docs.google.com/spreadsheets/d/1zJUDEKztv_fercXA0LYNw155qdzS7TJGhWLhquaW5IY/edit"",""14!e38"")"),2443)</f>
        <v>2443</v>
      </c>
      <c r="H370" s="18">
        <f ca="1">IFERROR(__xludf.DUMMYFUNCTION("IMPORTRANGE(""https://docs.google.com/spreadsheets/d/1zJUDEKztv_fercXA0LYNw155qdzS7TJGhWLhquaW5IY/edit"",""14!e39"")"),0)</f>
        <v>0</v>
      </c>
      <c r="I370" s="18">
        <f t="shared" ca="1" si="987"/>
        <v>2443</v>
      </c>
      <c r="J370" s="18">
        <f ca="1">IFERROR(__xludf.DUMMYFUNCTION("IMPORTRANGE(""https://docs.google.com/spreadsheets/d/1zJUDEKztv_fercXA0LYNw155qdzS7TJGhWLhquaW5IY/edit"",""14!e42"")"),2860)</f>
        <v>2860</v>
      </c>
      <c r="K370" s="18">
        <f ca="1">IFERROR(__xludf.DUMMYFUNCTION("IMPORTRANGE(""https://docs.google.com/spreadsheets/d/1zJUDEKztv_fercXA0LYNw155qdzS7TJGhWLhquaW5IY/edit"",""14!e43"")"),0)</f>
        <v>0</v>
      </c>
      <c r="L370" s="18">
        <f t="shared" ca="1" si="1017"/>
        <v>2860</v>
      </c>
      <c r="M370" s="18">
        <f t="shared" ca="1" si="989"/>
        <v>5303</v>
      </c>
      <c r="N370" s="19">
        <f t="shared" ca="1" si="990"/>
        <v>180.89396551724104</v>
      </c>
      <c r="O370" s="16">
        <v>8101</v>
      </c>
      <c r="P370" s="20">
        <f t="shared" ca="1" si="991"/>
        <v>0.6546105419084064</v>
      </c>
      <c r="Q370" s="21">
        <v>1.5</v>
      </c>
      <c r="R370" s="20">
        <f t="shared" ca="1" si="992"/>
        <v>0.67391991561704367</v>
      </c>
      <c r="S370" s="22">
        <f t="shared" ca="1" si="993"/>
        <v>1.0108798734255655</v>
      </c>
      <c r="T370" s="21">
        <f ca="1">F370/19.985</f>
        <v>262.4931198398794</v>
      </c>
      <c r="U370" s="21">
        <f t="shared" ca="1" si="994"/>
        <v>9.0514868910303239</v>
      </c>
      <c r="V370" s="18">
        <f t="shared" ca="1" si="995"/>
        <v>182.86206896551724</v>
      </c>
      <c r="W370" s="76"/>
      <c r="X370" s="97" t="s">
        <v>44</v>
      </c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9"/>
      <c r="AS370" s="76"/>
      <c r="AT370" s="76"/>
    </row>
    <row r="371" spans="1:46" ht="15.75" customHeight="1" x14ac:dyDescent="0.25">
      <c r="A371" s="70"/>
      <c r="B371" s="16">
        <v>15</v>
      </c>
      <c r="C371" s="16" t="s">
        <v>40</v>
      </c>
      <c r="D371" s="17">
        <v>30</v>
      </c>
      <c r="E371" s="18">
        <f ca="1">IFERROR(__xludf.DUMMYFUNCTION("COUNT(IMPORTRANGE(""https://docs.google.com/spreadsheets/d/15GJA66Ucb-8RQ5vWVpq5HYaWoZZFX82SCeHChBujbrI/edit"",""14!d2:d31""))"),30)</f>
        <v>30</v>
      </c>
      <c r="F371" s="23">
        <f ca="1">IFERROR(__xludf.DUMMYFUNCTION("SUM(IMPORTRANGE(""https://docs.google.com/spreadsheets/d/15GJA66Ucb-8RQ5vWVpq5HYaWoZZFX82SCeHChBujbrI/edit"",""14!Q2:Q31""))"),5958.14199999999)</f>
        <v>5958.1419999999898</v>
      </c>
      <c r="G371" s="18">
        <f ca="1">IFERROR(__xludf.DUMMYFUNCTION("IMPORTRANGE(""https://docs.google.com/spreadsheets/d/15GJA66Ucb-8RQ5vWVpq5HYaWoZZFX82SCeHChBujbrI/edit"",""14!e38"")"),3605)</f>
        <v>3605</v>
      </c>
      <c r="H371" s="18">
        <f ca="1">IFERROR(__xludf.DUMMYFUNCTION("IMPORTRANGE(""https://docs.google.com/spreadsheets/d/15GJA66Ucb-8RQ5vWVpq5HYaWoZZFX82SCeHChBujbrI/edit"",""14!e39"")"),0)</f>
        <v>0</v>
      </c>
      <c r="I371" s="18">
        <f t="shared" ca="1" si="987"/>
        <v>3605</v>
      </c>
      <c r="J371" s="18">
        <f ca="1">IFERROR(__xludf.DUMMYFUNCTION("IMPORTRANGE(""https://docs.google.com/spreadsheets/d/15GJA66Ucb-8RQ5vWVpq5HYaWoZZFX82SCeHChBujbrI/edit"",""14!e42"")"),3965)</f>
        <v>3965</v>
      </c>
      <c r="K371" s="18">
        <f ca="1">IFERROR(__xludf.DUMMYFUNCTION("IMPORTRANGE(""https://docs.google.com/spreadsheets/d/15GJA66Ucb-8RQ5vWVpq5HYaWoZZFX82SCeHChBujbrI/edit"",""14!e43"")"),0)</f>
        <v>0</v>
      </c>
      <c r="L371" s="18">
        <f t="shared" ca="1" si="1017"/>
        <v>3965</v>
      </c>
      <c r="M371" s="18">
        <f t="shared" ca="1" si="989"/>
        <v>7570</v>
      </c>
      <c r="N371" s="19">
        <f t="shared" ca="1" si="990"/>
        <v>198.604733333333</v>
      </c>
      <c r="O371" s="16">
        <v>8239</v>
      </c>
      <c r="P371" s="20">
        <f t="shared" ca="1" si="991"/>
        <v>0.91880082534288143</v>
      </c>
      <c r="Q371" s="21">
        <v>1.5</v>
      </c>
      <c r="R371" s="20">
        <f t="shared" ca="1" si="992"/>
        <v>0.8470202064111052</v>
      </c>
      <c r="S371" s="22">
        <f t="shared" ca="1" si="993"/>
        <v>1.2705303096166578</v>
      </c>
      <c r="T371" s="21">
        <f ca="1">F371/28.443</f>
        <v>209.4765671694262</v>
      </c>
      <c r="U371" s="21">
        <f t="shared" ca="1" si="994"/>
        <v>6.9825522389808734</v>
      </c>
      <c r="V371" s="18">
        <f t="shared" ca="1" si="995"/>
        <v>252.33333333333334</v>
      </c>
      <c r="W371" s="76"/>
      <c r="X371" s="1" t="s">
        <v>2</v>
      </c>
      <c r="Y371" s="1" t="s">
        <v>3</v>
      </c>
      <c r="Z371" s="1" t="s">
        <v>4</v>
      </c>
      <c r="AA371" s="1" t="s">
        <v>5</v>
      </c>
      <c r="AB371" s="2" t="s">
        <v>6</v>
      </c>
      <c r="AC371" s="1" t="s">
        <v>7</v>
      </c>
      <c r="AD371" s="1" t="s">
        <v>8</v>
      </c>
      <c r="AE371" s="1" t="s">
        <v>9</v>
      </c>
      <c r="AF371" s="1" t="s">
        <v>10</v>
      </c>
      <c r="AG371" s="1" t="s">
        <v>11</v>
      </c>
      <c r="AH371" s="1" t="s">
        <v>12</v>
      </c>
      <c r="AI371" s="1" t="s">
        <v>13</v>
      </c>
      <c r="AJ371" s="2" t="s">
        <v>14</v>
      </c>
      <c r="AK371" s="1" t="s">
        <v>15</v>
      </c>
      <c r="AL371" s="1" t="s">
        <v>16</v>
      </c>
      <c r="AM371" s="3" t="s">
        <v>17</v>
      </c>
      <c r="AN371" s="4" t="s">
        <v>18</v>
      </c>
      <c r="AO371" s="5" t="s">
        <v>19</v>
      </c>
      <c r="AP371" s="6" t="s">
        <v>20</v>
      </c>
      <c r="AQ371" s="6" t="s">
        <v>21</v>
      </c>
      <c r="AR371" s="7" t="s">
        <v>22</v>
      </c>
      <c r="AS371" s="76"/>
      <c r="AT371" s="76"/>
    </row>
    <row r="372" spans="1:46" ht="15.75" customHeight="1" x14ac:dyDescent="0.25">
      <c r="A372" s="70"/>
      <c r="B372" s="16">
        <v>16</v>
      </c>
      <c r="C372" s="16" t="s">
        <v>42</v>
      </c>
      <c r="D372" s="17">
        <v>33</v>
      </c>
      <c r="E372" s="18">
        <f ca="1">IFERROR(__xludf.DUMMYFUNCTION("COUNT(IMPORTRANGE(""https://docs.google.com/spreadsheets/d/14Tu_jFPEdrIQ6DHYu6vRvJKQsbXr-48NY1tKy4-8JKI/edit"",""14!d2:d34""))"),33)</f>
        <v>33</v>
      </c>
      <c r="F372" s="23">
        <f ca="1">IFERROR(__xludf.DUMMYFUNCTION("SUM(IMPORTRANGE(""https://docs.google.com/spreadsheets/d/14Tu_jFPEdrIQ6DHYu6vRvJKQsbXr-48NY1tKy4-8JKI/edit"",""14!Q2:Q34""))"),6143.349)</f>
        <v>6143.3490000000002</v>
      </c>
      <c r="G372" s="18">
        <f ca="1">IFERROR(__xludf.DUMMYFUNCTION("IMPORTRANGE(""https://docs.google.com/spreadsheets/d/14Tu_jFPEdrIQ6DHYu6vRvJKQsbXr-48NY1tKy4-8JKI/edit"",""14!e41"")"),3307)</f>
        <v>3307</v>
      </c>
      <c r="H372" s="18">
        <f ca="1">IFERROR(__xludf.DUMMYFUNCTION("IMPORTRANGE(""https://docs.google.com/spreadsheets/d/14Tu_jFPEdrIQ6DHYu6vRvJKQsbXr-48NY1tKy4-8JKI/edit"",""14!e42"")"),0)</f>
        <v>0</v>
      </c>
      <c r="I372" s="18">
        <f t="shared" ca="1" si="987"/>
        <v>3307</v>
      </c>
      <c r="J372" s="18">
        <f ca="1">IFERROR(__xludf.DUMMYFUNCTION("IMPORTRANGE(""https://docs.google.com/spreadsheets/d/14Tu_jFPEdrIQ6DHYu6vRvJKQsbXr-48NY1tKy4-8JKI/edit"",""14!e45"")"),4200)</f>
        <v>4200</v>
      </c>
      <c r="K372" s="18">
        <f ca="1">IFERROR(__xludf.DUMMYFUNCTION("IMPORTRANGE(""https://docs.google.com/spreadsheets/d/14Tu_jFPEdrIQ6DHYu6vRvJKQsbXr-48NY1tKy4-8JKI/edit"",""14!e46"")"),0)</f>
        <v>0</v>
      </c>
      <c r="L372" s="18">
        <f t="shared" ca="1" si="1017"/>
        <v>4200</v>
      </c>
      <c r="M372" s="18">
        <f t="shared" ca="1" si="989"/>
        <v>7507</v>
      </c>
      <c r="N372" s="19">
        <f t="shared" ca="1" si="990"/>
        <v>186.16209090909092</v>
      </c>
      <c r="O372" s="16">
        <v>9877</v>
      </c>
      <c r="P372" s="20">
        <f t="shared" ca="1" si="991"/>
        <v>0.760048597752354</v>
      </c>
      <c r="Q372" s="21">
        <v>1.5</v>
      </c>
      <c r="R372" s="20">
        <f t="shared" ca="1" si="992"/>
        <v>0.81464794962270037</v>
      </c>
      <c r="S372" s="22">
        <f t="shared" ca="1" si="993"/>
        <v>1.2219719244340506</v>
      </c>
      <c r="T372" s="21">
        <f ca="1">F372/26.155</f>
        <v>234.88239342381954</v>
      </c>
      <c r="U372" s="21">
        <f t="shared" ca="1" si="994"/>
        <v>7.1176482855702892</v>
      </c>
      <c r="V372" s="18">
        <f t="shared" ca="1" si="995"/>
        <v>227.4848484848485</v>
      </c>
      <c r="W372" s="76"/>
      <c r="X372" s="8">
        <v>1</v>
      </c>
      <c r="Y372" s="8" t="s">
        <v>26</v>
      </c>
      <c r="Z372" s="8">
        <f t="shared" ref="Z372:AI372" si="1029">SUM(D357)</f>
        <v>20</v>
      </c>
      <c r="AA372" s="9">
        <f t="shared" ca="1" si="1029"/>
        <v>20</v>
      </c>
      <c r="AB372" s="11">
        <f t="shared" ca="1" si="1029"/>
        <v>3820.587</v>
      </c>
      <c r="AC372" s="9">
        <f t="shared" ca="1" si="1029"/>
        <v>2440</v>
      </c>
      <c r="AD372" s="9">
        <f t="shared" ca="1" si="1029"/>
        <v>70</v>
      </c>
      <c r="AE372" s="9">
        <f t="shared" ca="1" si="1029"/>
        <v>2510</v>
      </c>
      <c r="AF372" s="9">
        <f t="shared" ca="1" si="1029"/>
        <v>2537</v>
      </c>
      <c r="AG372" s="9">
        <f t="shared" ca="1" si="1029"/>
        <v>0</v>
      </c>
      <c r="AH372" s="9">
        <f t="shared" ca="1" si="1029"/>
        <v>2537</v>
      </c>
      <c r="AI372" s="9">
        <f t="shared" ca="1" si="1029"/>
        <v>5047</v>
      </c>
      <c r="AJ372" s="11">
        <f t="shared" ref="AJ372:AJ378" ca="1" si="1030">AB372/AA372</f>
        <v>191.02934999999999</v>
      </c>
      <c r="AK372" s="8">
        <f>SUM(O357)</f>
        <v>5161</v>
      </c>
      <c r="AL372" s="12">
        <f t="shared" ref="AL372:AL378" ca="1" si="1031">AI372/AK372</f>
        <v>0.97791125750823482</v>
      </c>
      <c r="AM372" s="13">
        <f>SUM(Q357)</f>
        <v>1.5</v>
      </c>
      <c r="AN372" s="12">
        <f t="shared" ref="AN372:AN378" ca="1" si="1032">AO372/AM372</f>
        <v>0.88066746462432777</v>
      </c>
      <c r="AO372" s="14">
        <f t="shared" ref="AO372:AO378" ca="1" si="1033">AI372/AB372</f>
        <v>1.3210011969364917</v>
      </c>
      <c r="AP372" s="13">
        <f t="shared" ref="AP372:AQ372" ca="1" si="1034">SUM(T357)</f>
        <v>265.04245577523415</v>
      </c>
      <c r="AQ372" s="13">
        <f t="shared" ca="1" si="1034"/>
        <v>13.252122788761707</v>
      </c>
      <c r="AR372" s="9">
        <f t="shared" ref="AR372:AR378" ca="1" si="1035">AI372/AA372</f>
        <v>252.35</v>
      </c>
      <c r="AS372" s="76"/>
      <c r="AT372" s="76"/>
    </row>
    <row r="373" spans="1:46" ht="15.75" customHeight="1" x14ac:dyDescent="0.25">
      <c r="A373" s="70"/>
      <c r="B373" s="16">
        <v>17</v>
      </c>
      <c r="C373" s="16" t="s">
        <v>29</v>
      </c>
      <c r="D373" s="17">
        <v>30</v>
      </c>
      <c r="E373" s="18">
        <f ca="1">IFERROR(__xludf.DUMMYFUNCTION("COUNT(IMPORTRANGE(""https://docs.google.com/spreadsheets/d/1ja_RQYsP0p5wRrACHojay4CW1wLx0QdS5tSwp-vYQ-s/edit"",""14!d2:d31""))"),30)</f>
        <v>30</v>
      </c>
      <c r="F373" s="23">
        <f ca="1">IFERROR(__xludf.DUMMYFUNCTION("SUM(IMPORTRANGE(""https://docs.google.com/spreadsheets/d/1ja_RQYsP0p5wRrACHojay4CW1wLx0QdS5tSwp-vYQ-s/edit"",""14!Q2:Q31""))"),5975.91099999999)</f>
        <v>5975.9109999999901</v>
      </c>
      <c r="G373" s="18">
        <f ca="1">IFERROR(__xludf.DUMMYFUNCTION("IMPORTRANGE(""https://docs.google.com/spreadsheets/d/1ja_RQYsP0p5wRrACHojay4CW1wLx0QdS5tSwp-vYQ-s/edit"",""14!e38"")"),2834)</f>
        <v>2834</v>
      </c>
      <c r="H373" s="18">
        <f ca="1">IFERROR(__xludf.DUMMYFUNCTION("IMPORTRANGE(""https://docs.google.com/spreadsheets/d/1ja_RQYsP0p5wRrACHojay4CW1wLx0QdS5tSwp-vYQ-s/edit"",""14!e39"")"),0)</f>
        <v>0</v>
      </c>
      <c r="I373" s="18">
        <f t="shared" ca="1" si="987"/>
        <v>2834</v>
      </c>
      <c r="J373" s="18">
        <f ca="1">IFERROR(__xludf.DUMMYFUNCTION("IMPORTRANGE(""https://docs.google.com/spreadsheets/d/1ja_RQYsP0p5wRrACHojay4CW1wLx0QdS5tSwp-vYQ-s/edit"",""14!e42"")"),3921)</f>
        <v>3921</v>
      </c>
      <c r="K373" s="18">
        <f ca="1">IFERROR(__xludf.DUMMYFUNCTION("IMPORTRANGE(""https://docs.google.com/spreadsheets/d/1ja_RQYsP0p5wRrACHojay4CW1wLx0QdS5tSwp-vYQ-s/edit"",""14!e43"")"),0)</f>
        <v>0</v>
      </c>
      <c r="L373" s="18">
        <f t="shared" ca="1" si="1017"/>
        <v>3921</v>
      </c>
      <c r="M373" s="18">
        <f t="shared" ca="1" si="989"/>
        <v>6755</v>
      </c>
      <c r="N373" s="19">
        <f t="shared" ca="1" si="990"/>
        <v>199.197033333333</v>
      </c>
      <c r="O373" s="16">
        <v>9201</v>
      </c>
      <c r="P373" s="20">
        <f t="shared" ca="1" si="991"/>
        <v>0.73415933050755355</v>
      </c>
      <c r="Q373" s="21">
        <v>1.5</v>
      </c>
      <c r="R373" s="20">
        <f t="shared" ca="1" si="992"/>
        <v>0.75358105790620733</v>
      </c>
      <c r="S373" s="22">
        <f t="shared" ca="1" si="993"/>
        <v>1.1303715868593109</v>
      </c>
      <c r="T373" s="21">
        <f ca="1">F373/26.491</f>
        <v>225.5826884602314</v>
      </c>
      <c r="U373" s="21">
        <f t="shared" ca="1" si="994"/>
        <v>7.5194229486743795</v>
      </c>
      <c r="V373" s="18">
        <f t="shared" ca="1" si="995"/>
        <v>225.16666666666666</v>
      </c>
      <c r="W373" s="76"/>
      <c r="X373" s="8">
        <v>2</v>
      </c>
      <c r="Y373" s="8" t="s">
        <v>32</v>
      </c>
      <c r="Z373" s="8">
        <f t="shared" ref="Z373:AI373" si="1036">SUM(D360)</f>
        <v>42</v>
      </c>
      <c r="AA373" s="9">
        <f t="shared" ca="1" si="1036"/>
        <v>42</v>
      </c>
      <c r="AB373" s="10">
        <f t="shared" ca="1" si="1036"/>
        <v>8290.8399999999892</v>
      </c>
      <c r="AC373" s="8">
        <f t="shared" ca="1" si="1036"/>
        <v>4600</v>
      </c>
      <c r="AD373" s="8">
        <f t="shared" ca="1" si="1036"/>
        <v>131</v>
      </c>
      <c r="AE373" s="9">
        <f t="shared" ca="1" si="1036"/>
        <v>4731</v>
      </c>
      <c r="AF373" s="8">
        <f t="shared" ca="1" si="1036"/>
        <v>5177</v>
      </c>
      <c r="AG373" s="8">
        <f t="shared" ca="1" si="1036"/>
        <v>143</v>
      </c>
      <c r="AH373" s="9">
        <f t="shared" ca="1" si="1036"/>
        <v>5320</v>
      </c>
      <c r="AI373" s="9">
        <f t="shared" ca="1" si="1036"/>
        <v>10051</v>
      </c>
      <c r="AJ373" s="11">
        <f t="shared" ca="1" si="1030"/>
        <v>197.40095238095213</v>
      </c>
      <c r="AK373" s="8">
        <f>SUM(O360)</f>
        <v>13817</v>
      </c>
      <c r="AL373" s="12">
        <f t="shared" ca="1" si="1031"/>
        <v>0.72743721502496927</v>
      </c>
      <c r="AM373" s="13">
        <f>SUM(Q360)</f>
        <v>1.5</v>
      </c>
      <c r="AN373" s="12">
        <f t="shared" ca="1" si="1032"/>
        <v>0.80820117945427439</v>
      </c>
      <c r="AO373" s="14">
        <f t="shared" ca="1" si="1033"/>
        <v>1.2123017691814115</v>
      </c>
      <c r="AP373" s="13">
        <f t="shared" ref="AP373:AQ373" ca="1" si="1037">SUM(T360)</f>
        <v>330.45717246602055</v>
      </c>
      <c r="AQ373" s="13">
        <f t="shared" ca="1" si="1037"/>
        <v>7.8680279158576321</v>
      </c>
      <c r="AR373" s="9">
        <f t="shared" ca="1" si="1035"/>
        <v>239.3095238095238</v>
      </c>
      <c r="AS373" s="76"/>
      <c r="AT373" s="76"/>
    </row>
    <row r="374" spans="1:46" ht="15.75" customHeight="1" x14ac:dyDescent="0.25">
      <c r="A374" s="70"/>
      <c r="B374" s="16">
        <v>18</v>
      </c>
      <c r="C374" s="16" t="s">
        <v>31</v>
      </c>
      <c r="D374" s="17">
        <v>15</v>
      </c>
      <c r="E374" s="18">
        <f ca="1">IFERROR(__xludf.DUMMYFUNCTION("COUNT(IMPORTRANGE(""https://docs.google.com/spreadsheets/d/1ObnK1oSznTOmyW9Zcd2kxExl7TOnO2MNq_0giEKc_mE/edit"",""14!d2:d16""))"),14)</f>
        <v>14</v>
      </c>
      <c r="F374" s="19">
        <f ca="1">IFERROR(__xludf.DUMMYFUNCTION("SUM(IMPORTRANGE(""https://docs.google.com/spreadsheets/d/1ObnK1oSznTOmyW9Zcd2kxExl7TOnO2MNq_0giEKc_mE/edit"",""14!Q2:Q16""))"),2651.365)</f>
        <v>2651.3649999999998</v>
      </c>
      <c r="G374" s="18">
        <f ca="1">IFERROR(__xludf.DUMMYFUNCTION("IMPORTRANGE(""https://docs.google.com/spreadsheets/d/1ObnK1oSznTOmyW9Zcd2kxExl7TOnO2MNq_0giEKc_mE/edit"",""14!e23"")"),832)</f>
        <v>832</v>
      </c>
      <c r="H374" s="18">
        <f ca="1">IFERROR(__xludf.DUMMYFUNCTION("IMPORTRANGE(""https://docs.google.com/spreadsheets/d/1ObnK1oSznTOmyW9Zcd2kxExl7TOnO2MNq_0giEKc_mE/edit"",""14!e24"")"),8)</f>
        <v>8</v>
      </c>
      <c r="I374" s="18">
        <f t="shared" ca="1" si="987"/>
        <v>840</v>
      </c>
      <c r="J374" s="18">
        <f ca="1">IFERROR(__xludf.DUMMYFUNCTION("IMPORTRANGE(""https://docs.google.com/spreadsheets/d/1ObnK1oSznTOmyW9Zcd2kxExl7TOnO2MNq_0giEKc_mE/edit"",""14!e27"")"),1144)</f>
        <v>1144</v>
      </c>
      <c r="K374" s="18">
        <f ca="1">IFERROR(__xludf.DUMMYFUNCTION("IMPORTRANGE(""https://docs.google.com/spreadsheets/d/1ObnK1oSznTOmyW9Zcd2kxExl7TOnO2MNq_0giEKc_mE/edit"",""14!e28"")"),0)</f>
        <v>0</v>
      </c>
      <c r="L374" s="18">
        <f t="shared" ca="1" si="1017"/>
        <v>1144</v>
      </c>
      <c r="M374" s="18">
        <f t="shared" ca="1" si="989"/>
        <v>1984</v>
      </c>
      <c r="N374" s="19">
        <f t="shared" ca="1" si="990"/>
        <v>189.38321428571427</v>
      </c>
      <c r="O374" s="16">
        <v>2717</v>
      </c>
      <c r="P374" s="20">
        <f t="shared" ca="1" si="991"/>
        <v>0.73021715126978282</v>
      </c>
      <c r="Q374" s="21">
        <v>1.5</v>
      </c>
      <c r="R374" s="20">
        <f t="shared" ca="1" si="992"/>
        <v>0.49886253558701527</v>
      </c>
      <c r="S374" s="22">
        <f t="shared" ca="1" si="993"/>
        <v>0.74829380338052287</v>
      </c>
      <c r="T374" s="21">
        <f ca="1">F374/43.465</f>
        <v>60.999999999999993</v>
      </c>
      <c r="U374" s="21">
        <f t="shared" ca="1" si="994"/>
        <v>4.3571428571428568</v>
      </c>
      <c r="V374" s="18">
        <f t="shared" ca="1" si="995"/>
        <v>141.71428571428572</v>
      </c>
      <c r="W374" s="76"/>
      <c r="X374" s="8">
        <v>3</v>
      </c>
      <c r="Y374" s="8" t="s">
        <v>36</v>
      </c>
      <c r="Z374" s="8">
        <f t="shared" ref="Z374:AI374" si="1038">SUM(D365)</f>
        <v>29</v>
      </c>
      <c r="AA374" s="9">
        <f t="shared" ca="1" si="1038"/>
        <v>29</v>
      </c>
      <c r="AB374" s="10">
        <f t="shared" ca="1" si="1038"/>
        <v>5698.4529999999904</v>
      </c>
      <c r="AC374" s="9">
        <f t="shared" ca="1" si="1038"/>
        <v>1625</v>
      </c>
      <c r="AD374" s="9">
        <f t="shared" ca="1" si="1038"/>
        <v>0</v>
      </c>
      <c r="AE374" s="9">
        <f t="shared" ca="1" si="1038"/>
        <v>1625</v>
      </c>
      <c r="AF374" s="9">
        <f t="shared" ca="1" si="1038"/>
        <v>2234</v>
      </c>
      <c r="AG374" s="9">
        <f t="shared" ca="1" si="1038"/>
        <v>0</v>
      </c>
      <c r="AH374" s="9">
        <f t="shared" ca="1" si="1038"/>
        <v>2234</v>
      </c>
      <c r="AI374" s="9">
        <f t="shared" ca="1" si="1038"/>
        <v>3859</v>
      </c>
      <c r="AJ374" s="11">
        <f t="shared" ca="1" si="1030"/>
        <v>196.49837931034449</v>
      </c>
      <c r="AK374" s="8">
        <f t="shared" ref="AK374:AK377" si="1039">SUM(O365)</f>
        <v>4796</v>
      </c>
      <c r="AL374" s="12">
        <f t="shared" ca="1" si="1031"/>
        <v>0.80462885738115097</v>
      </c>
      <c r="AM374" s="13">
        <f t="shared" ref="AM374:AM377" si="1040">SUM(Q365)</f>
        <v>1.5</v>
      </c>
      <c r="AN374" s="12">
        <f t="shared" ca="1" si="1032"/>
        <v>0.45146755911940856</v>
      </c>
      <c r="AO374" s="14">
        <f t="shared" ca="1" si="1033"/>
        <v>0.67720133867911281</v>
      </c>
      <c r="AP374" s="13">
        <f t="shared" ref="AP374:AQ374" ca="1" si="1041">SUM(T365)</f>
        <v>152.30803977120837</v>
      </c>
      <c r="AQ374" s="13">
        <f t="shared" ca="1" si="1041"/>
        <v>5.2520013714209783</v>
      </c>
      <c r="AR374" s="9">
        <f t="shared" ca="1" si="1035"/>
        <v>133.06896551724137</v>
      </c>
      <c r="AS374" s="76"/>
      <c r="AT374" s="76"/>
    </row>
    <row r="375" spans="1:46" ht="15.75" customHeight="1" x14ac:dyDescent="0.2">
      <c r="A375" s="70"/>
      <c r="B375" s="98" t="s">
        <v>33</v>
      </c>
      <c r="C375" s="98">
        <v>18</v>
      </c>
      <c r="D375" s="98">
        <f t="shared" ref="D375:M375" si="1042">SUM(D357:D374)</f>
        <v>585</v>
      </c>
      <c r="E375" s="74">
        <f t="shared" ca="1" si="1042"/>
        <v>579</v>
      </c>
      <c r="F375" s="99">
        <f t="shared" ca="1" si="1042"/>
        <v>113010.0999999998</v>
      </c>
      <c r="G375" s="74">
        <f t="shared" ca="1" si="1042"/>
        <v>44372</v>
      </c>
      <c r="H375" s="74">
        <f t="shared" ca="1" si="1042"/>
        <v>783</v>
      </c>
      <c r="I375" s="74">
        <f t="shared" ca="1" si="1042"/>
        <v>45155</v>
      </c>
      <c r="J375" s="74">
        <f t="shared" ca="1" si="1042"/>
        <v>54125</v>
      </c>
      <c r="K375" s="74">
        <f t="shared" ca="1" si="1042"/>
        <v>965</v>
      </c>
      <c r="L375" s="74">
        <f t="shared" ca="1" si="1042"/>
        <v>55090</v>
      </c>
      <c r="M375" s="74">
        <f t="shared" ca="1" si="1042"/>
        <v>100245</v>
      </c>
      <c r="N375" s="99">
        <f t="shared" ca="1" si="990"/>
        <v>195.1815198618304</v>
      </c>
      <c r="O375" s="98">
        <f>SUM(O357:O374)</f>
        <v>126399</v>
      </c>
      <c r="P375" s="69">
        <f t="shared" ca="1" si="991"/>
        <v>0.79308380604276929</v>
      </c>
      <c r="Q375" s="72">
        <v>1.5</v>
      </c>
      <c r="R375" s="69">
        <f t="shared" ca="1" si="992"/>
        <v>0.59136307285809064</v>
      </c>
      <c r="S375" s="73">
        <f t="shared" ca="1" si="993"/>
        <v>0.88704460928713602</v>
      </c>
      <c r="T375" s="72">
        <f ca="1">SUM(T357:T374)</f>
        <v>4149.4411695629669</v>
      </c>
      <c r="U375" s="72">
        <f t="shared" ca="1" si="994"/>
        <v>7.1665650596942436</v>
      </c>
      <c r="V375" s="74">
        <f t="shared" ca="1" si="995"/>
        <v>173.13471502590673</v>
      </c>
      <c r="W375" s="76"/>
      <c r="X375" s="8">
        <v>4</v>
      </c>
      <c r="Y375" s="8" t="s">
        <v>37</v>
      </c>
      <c r="Z375" s="8">
        <f t="shared" ref="Z375:AI375" si="1043">SUM(D366)</f>
        <v>30</v>
      </c>
      <c r="AA375" s="9">
        <f t="shared" ca="1" si="1043"/>
        <v>29</v>
      </c>
      <c r="AB375" s="10">
        <f t="shared" ca="1" si="1043"/>
        <v>5798.7059999999901</v>
      </c>
      <c r="AC375" s="9">
        <f t="shared" ca="1" si="1043"/>
        <v>2012</v>
      </c>
      <c r="AD375" s="9">
        <f t="shared" ca="1" si="1043"/>
        <v>0</v>
      </c>
      <c r="AE375" s="9">
        <f t="shared" ca="1" si="1043"/>
        <v>2012</v>
      </c>
      <c r="AF375" s="9">
        <f t="shared" ca="1" si="1043"/>
        <v>2900</v>
      </c>
      <c r="AG375" s="9">
        <f t="shared" ca="1" si="1043"/>
        <v>0</v>
      </c>
      <c r="AH375" s="9">
        <f t="shared" ca="1" si="1043"/>
        <v>2900</v>
      </c>
      <c r="AI375" s="9">
        <f t="shared" ca="1" si="1043"/>
        <v>4912</v>
      </c>
      <c r="AJ375" s="11">
        <f t="shared" ca="1" si="1030"/>
        <v>199.95537931034448</v>
      </c>
      <c r="AK375" s="8">
        <f t="shared" si="1039"/>
        <v>5887</v>
      </c>
      <c r="AL375" s="12">
        <f t="shared" ca="1" si="1031"/>
        <v>0.83438083913708172</v>
      </c>
      <c r="AM375" s="13">
        <f t="shared" si="1040"/>
        <v>1.5</v>
      </c>
      <c r="AN375" s="12">
        <f t="shared" ca="1" si="1032"/>
        <v>0.56472369295264702</v>
      </c>
      <c r="AO375" s="14">
        <f t="shared" ca="1" si="1033"/>
        <v>0.84708553942897058</v>
      </c>
      <c r="AP375" s="13">
        <f t="shared" ref="AP375:AQ375" ca="1" si="1044">SUM(T366)</f>
        <v>233.89424007744392</v>
      </c>
      <c r="AQ375" s="13">
        <f t="shared" ca="1" si="1044"/>
        <v>8.0653186233601346</v>
      </c>
      <c r="AR375" s="9">
        <f t="shared" ca="1" si="1035"/>
        <v>169.37931034482759</v>
      </c>
      <c r="AS375" s="76"/>
      <c r="AT375" s="76"/>
    </row>
    <row r="376" spans="1:46" ht="15.75" customHeight="1" x14ac:dyDescent="0.2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6"/>
      <c r="X376" s="8">
        <v>5</v>
      </c>
      <c r="Y376" s="8" t="s">
        <v>39</v>
      </c>
      <c r="Z376" s="8">
        <f t="shared" ref="Z376:AI376" si="1045">SUM(D367)</f>
        <v>28</v>
      </c>
      <c r="AA376" s="9">
        <f t="shared" ca="1" si="1045"/>
        <v>28</v>
      </c>
      <c r="AB376" s="10">
        <f t="shared" ca="1" si="1045"/>
        <v>4996.5139999999901</v>
      </c>
      <c r="AC376" s="9">
        <f t="shared" ca="1" si="1045"/>
        <v>1151</v>
      </c>
      <c r="AD376" s="9">
        <f t="shared" ca="1" si="1045"/>
        <v>0</v>
      </c>
      <c r="AE376" s="9">
        <f t="shared" ca="1" si="1045"/>
        <v>1151</v>
      </c>
      <c r="AF376" s="9">
        <f t="shared" ca="1" si="1045"/>
        <v>1768</v>
      </c>
      <c r="AG376" s="9">
        <f t="shared" ca="1" si="1045"/>
        <v>125</v>
      </c>
      <c r="AH376" s="9">
        <f t="shared" ca="1" si="1045"/>
        <v>1893</v>
      </c>
      <c r="AI376" s="9">
        <f t="shared" ca="1" si="1045"/>
        <v>3044</v>
      </c>
      <c r="AJ376" s="11">
        <f t="shared" ca="1" si="1030"/>
        <v>178.44692857142823</v>
      </c>
      <c r="AK376" s="8">
        <f t="shared" si="1039"/>
        <v>3569</v>
      </c>
      <c r="AL376" s="12">
        <f t="shared" ca="1" si="1031"/>
        <v>0.85289997198094702</v>
      </c>
      <c r="AM376" s="13">
        <f t="shared" si="1040"/>
        <v>1.5</v>
      </c>
      <c r="AN376" s="12">
        <f t="shared" ca="1" si="1032"/>
        <v>0.40614983433116314</v>
      </c>
      <c r="AO376" s="14">
        <f t="shared" ca="1" si="1033"/>
        <v>0.60922475149674471</v>
      </c>
      <c r="AP376" s="13">
        <f t="shared" ref="AP376:AQ376" ca="1" si="1046">SUM(T367)</f>
        <v>232.79662675301634</v>
      </c>
      <c r="AQ376" s="13">
        <f t="shared" ca="1" si="1046"/>
        <v>8.3141652411791558</v>
      </c>
      <c r="AR376" s="9">
        <f t="shared" ca="1" si="1035"/>
        <v>108.71428571428571</v>
      </c>
      <c r="AS376" s="76"/>
      <c r="AT376" s="76"/>
    </row>
    <row r="377" spans="1:46" ht="15.75" customHeight="1" x14ac:dyDescent="0.2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6"/>
      <c r="X377" s="8">
        <v>6</v>
      </c>
      <c r="Y377" s="8" t="s">
        <v>41</v>
      </c>
      <c r="Z377" s="8">
        <f t="shared" ref="Z377:AI377" si="1047">SUM(D368)</f>
        <v>24</v>
      </c>
      <c r="AA377" s="9">
        <f t="shared" ca="1" si="1047"/>
        <v>24</v>
      </c>
      <c r="AB377" s="10">
        <f t="shared" ca="1" si="1047"/>
        <v>4628.5519999999997</v>
      </c>
      <c r="AC377" s="9">
        <f t="shared" ca="1" si="1047"/>
        <v>1224</v>
      </c>
      <c r="AD377" s="9">
        <f t="shared" ca="1" si="1047"/>
        <v>0</v>
      </c>
      <c r="AE377" s="9">
        <f t="shared" ca="1" si="1047"/>
        <v>1224</v>
      </c>
      <c r="AF377" s="9">
        <f t="shared" ca="1" si="1047"/>
        <v>1871</v>
      </c>
      <c r="AG377" s="9">
        <f t="shared" ca="1" si="1047"/>
        <v>0</v>
      </c>
      <c r="AH377" s="9">
        <f t="shared" ca="1" si="1047"/>
        <v>1871</v>
      </c>
      <c r="AI377" s="9">
        <f t="shared" ca="1" si="1047"/>
        <v>3095</v>
      </c>
      <c r="AJ377" s="11">
        <f t="shared" ca="1" si="1030"/>
        <v>192.85633333333331</v>
      </c>
      <c r="AK377" s="8">
        <f t="shared" si="1039"/>
        <v>3801</v>
      </c>
      <c r="AL377" s="12">
        <f t="shared" ca="1" si="1031"/>
        <v>0.81425940541962638</v>
      </c>
      <c r="AM377" s="13">
        <f t="shared" si="1040"/>
        <v>1.5</v>
      </c>
      <c r="AN377" s="12">
        <f t="shared" ca="1" si="1032"/>
        <v>0.44578376419522425</v>
      </c>
      <c r="AO377" s="14">
        <f t="shared" ca="1" si="1033"/>
        <v>0.66867564629283638</v>
      </c>
      <c r="AP377" s="13">
        <f t="shared" ref="AP377:AQ377" ca="1" si="1048">SUM(T368)</f>
        <v>156.2222222222222</v>
      </c>
      <c r="AQ377" s="13">
        <f t="shared" ca="1" si="1048"/>
        <v>6.5092592592592586</v>
      </c>
      <c r="AR377" s="9">
        <f t="shared" ca="1" si="1035"/>
        <v>128.95833333333334</v>
      </c>
      <c r="AS377" s="76"/>
      <c r="AT377" s="76"/>
    </row>
    <row r="378" spans="1:46" ht="15.75" customHeight="1" x14ac:dyDescent="0.25">
      <c r="A378" s="110" t="s">
        <v>45</v>
      </c>
      <c r="B378" s="76"/>
      <c r="C378" s="76"/>
      <c r="D378" s="75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24" t="s">
        <v>33</v>
      </c>
      <c r="Y378" s="24">
        <v>6</v>
      </c>
      <c r="Z378" s="24">
        <f t="shared" ref="Z378:AI378" si="1049">SUM(Z372:Z377)</f>
        <v>173</v>
      </c>
      <c r="AA378" s="25">
        <f t="shared" ca="1" si="1049"/>
        <v>172</v>
      </c>
      <c r="AB378" s="27">
        <f t="shared" ca="1" si="1049"/>
        <v>33233.651999999958</v>
      </c>
      <c r="AC378" s="25">
        <f t="shared" ca="1" si="1049"/>
        <v>13052</v>
      </c>
      <c r="AD378" s="25">
        <f t="shared" ca="1" si="1049"/>
        <v>201</v>
      </c>
      <c r="AE378" s="25">
        <f t="shared" ca="1" si="1049"/>
        <v>13253</v>
      </c>
      <c r="AF378" s="25">
        <f t="shared" ca="1" si="1049"/>
        <v>16487</v>
      </c>
      <c r="AG378" s="25">
        <f t="shared" ca="1" si="1049"/>
        <v>268</v>
      </c>
      <c r="AH378" s="25">
        <f t="shared" ca="1" si="1049"/>
        <v>16755</v>
      </c>
      <c r="AI378" s="25">
        <f t="shared" ca="1" si="1049"/>
        <v>30008</v>
      </c>
      <c r="AJ378" s="27">
        <f t="shared" ca="1" si="1030"/>
        <v>193.21890697674394</v>
      </c>
      <c r="AK378" s="24">
        <f>SUM(AK372:AK377)</f>
        <v>37031</v>
      </c>
      <c r="AL378" s="28">
        <f t="shared" ca="1" si="1031"/>
        <v>0.8103480867381383</v>
      </c>
      <c r="AM378" s="29">
        <v>1.5</v>
      </c>
      <c r="AN378" s="28">
        <f t="shared" ca="1" si="1032"/>
        <v>0.60196012563811396</v>
      </c>
      <c r="AO378" s="30">
        <f t="shared" ca="1" si="1033"/>
        <v>0.90294018845717094</v>
      </c>
      <c r="AP378" s="29">
        <f ca="1">SUM(AP372:AP377)</f>
        <v>1370.7207570651453</v>
      </c>
      <c r="AQ378" s="29">
        <f ca="1">AP378/AA378</f>
        <v>7.9693067271229383</v>
      </c>
      <c r="AR378" s="25">
        <f t="shared" ca="1" si="1035"/>
        <v>174.46511627906978</v>
      </c>
      <c r="AS378" s="76"/>
      <c r="AT378" s="76"/>
    </row>
    <row r="379" spans="1:46" ht="15.75" customHeight="1" x14ac:dyDescent="0.2">
      <c r="A379" s="110" t="s">
        <v>45</v>
      </c>
      <c r="B379" s="76"/>
      <c r="C379" s="76"/>
      <c r="D379" s="75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7" t="s">
        <v>1</v>
      </c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9"/>
      <c r="AS379" s="76"/>
      <c r="AT379" s="76"/>
    </row>
    <row r="380" spans="1:46" ht="15.75" customHeight="1" x14ac:dyDescent="0.2">
      <c r="A380" s="113">
        <v>46249</v>
      </c>
      <c r="B380" s="80" t="s">
        <v>2</v>
      </c>
      <c r="C380" s="80" t="s">
        <v>3</v>
      </c>
      <c r="D380" s="80" t="s">
        <v>4</v>
      </c>
      <c r="E380" s="80" t="s">
        <v>5</v>
      </c>
      <c r="F380" s="81" t="s">
        <v>6</v>
      </c>
      <c r="G380" s="80" t="s">
        <v>7</v>
      </c>
      <c r="H380" s="80" t="s">
        <v>8</v>
      </c>
      <c r="I380" s="80" t="s">
        <v>9</v>
      </c>
      <c r="J380" s="80" t="s">
        <v>10</v>
      </c>
      <c r="K380" s="80" t="s">
        <v>11</v>
      </c>
      <c r="L380" s="80" t="s">
        <v>12</v>
      </c>
      <c r="M380" s="80" t="s">
        <v>13</v>
      </c>
      <c r="N380" s="81" t="s">
        <v>14</v>
      </c>
      <c r="O380" s="80" t="s">
        <v>15</v>
      </c>
      <c r="P380" s="80" t="s">
        <v>16</v>
      </c>
      <c r="Q380" s="80" t="s">
        <v>17</v>
      </c>
      <c r="R380" s="80" t="s">
        <v>18</v>
      </c>
      <c r="S380" s="106" t="s">
        <v>19</v>
      </c>
      <c r="T380" s="107" t="s">
        <v>20</v>
      </c>
      <c r="U380" s="107" t="s">
        <v>21</v>
      </c>
      <c r="V380" s="105" t="s">
        <v>22</v>
      </c>
      <c r="W380" s="76"/>
      <c r="X380" s="1" t="s">
        <v>2</v>
      </c>
      <c r="Y380" s="1" t="s">
        <v>3</v>
      </c>
      <c r="Z380" s="1" t="s">
        <v>4</v>
      </c>
      <c r="AA380" s="1" t="s">
        <v>5</v>
      </c>
      <c r="AB380" s="2" t="s">
        <v>6</v>
      </c>
      <c r="AC380" s="1" t="s">
        <v>7</v>
      </c>
      <c r="AD380" s="1" t="s">
        <v>8</v>
      </c>
      <c r="AE380" s="1" t="s">
        <v>9</v>
      </c>
      <c r="AF380" s="1" t="s">
        <v>10</v>
      </c>
      <c r="AG380" s="1" t="s">
        <v>11</v>
      </c>
      <c r="AH380" s="1" t="s">
        <v>12</v>
      </c>
      <c r="AI380" s="1" t="s">
        <v>13</v>
      </c>
      <c r="AJ380" s="2" t="s">
        <v>14</v>
      </c>
      <c r="AK380" s="1" t="s">
        <v>15</v>
      </c>
      <c r="AL380" s="1" t="s">
        <v>16</v>
      </c>
      <c r="AM380" s="3" t="s">
        <v>17</v>
      </c>
      <c r="AN380" s="4" t="s">
        <v>18</v>
      </c>
      <c r="AO380" s="5" t="s">
        <v>19</v>
      </c>
      <c r="AP380" s="6" t="s">
        <v>20</v>
      </c>
      <c r="AQ380" s="6" t="s">
        <v>21</v>
      </c>
      <c r="AR380" s="7" t="s">
        <v>22</v>
      </c>
      <c r="AS380" s="76"/>
      <c r="AT380" s="76"/>
    </row>
    <row r="381" spans="1:46" ht="15.75" customHeight="1" x14ac:dyDescent="0.2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6"/>
      <c r="X381" s="8">
        <v>1</v>
      </c>
      <c r="Y381" s="8" t="s">
        <v>23</v>
      </c>
      <c r="Z381" s="8">
        <f t="shared" ref="Z381:AI381" si="1050">SUM(D389)</f>
        <v>28</v>
      </c>
      <c r="AA381" s="9">
        <f t="shared" ca="1" si="1050"/>
        <v>27</v>
      </c>
      <c r="AB381" s="10">
        <f t="shared" ca="1" si="1050"/>
        <v>5297.1799999999903</v>
      </c>
      <c r="AC381" s="9">
        <f t="shared" ca="1" si="1050"/>
        <v>1481</v>
      </c>
      <c r="AD381" s="9">
        <f t="shared" ca="1" si="1050"/>
        <v>0</v>
      </c>
      <c r="AE381" s="9">
        <f t="shared" ca="1" si="1050"/>
        <v>1481</v>
      </c>
      <c r="AF381" s="9">
        <f t="shared" ca="1" si="1050"/>
        <v>2066</v>
      </c>
      <c r="AG381" s="9">
        <f t="shared" ca="1" si="1050"/>
        <v>0</v>
      </c>
      <c r="AH381" s="9">
        <f t="shared" ca="1" si="1050"/>
        <v>2066</v>
      </c>
      <c r="AI381" s="9">
        <f t="shared" ca="1" si="1050"/>
        <v>3547</v>
      </c>
      <c r="AJ381" s="11">
        <f t="shared" ref="AJ381:AJ383" ca="1" si="1051">AB381/AA381</f>
        <v>196.19185185185148</v>
      </c>
      <c r="AK381" s="8">
        <f>SUM(O389)</f>
        <v>6853</v>
      </c>
      <c r="AL381" s="12">
        <f t="shared" ref="AL381:AL387" ca="1" si="1052">AI381/AK381</f>
        <v>0.51758354005545015</v>
      </c>
      <c r="AM381" s="13">
        <f t="shared" ref="AM381:AM383" si="1053">SUM(Q389)</f>
        <v>1.5</v>
      </c>
      <c r="AN381" s="12">
        <f t="shared" ref="AN381:AN387" ca="1" si="1054">AO381/AM381</f>
        <v>0.44640104105706641</v>
      </c>
      <c r="AO381" s="14">
        <f t="shared" ref="AO381:AO387" ca="1" si="1055">AI381/AB381</f>
        <v>0.66960156158559958</v>
      </c>
      <c r="AP381" s="13">
        <f t="shared" ref="AP381:AQ381" ca="1" si="1056">SUM(T389)</f>
        <v>156.99999999999972</v>
      </c>
      <c r="AQ381" s="13">
        <f t="shared" ca="1" si="1056"/>
        <v>5.8148148148148042</v>
      </c>
      <c r="AR381" s="9">
        <f t="shared" ref="AR381:AR387" ca="1" si="1057">AI381/AA381</f>
        <v>131.37037037037038</v>
      </c>
      <c r="AS381" s="76"/>
      <c r="AT381" s="76"/>
    </row>
    <row r="382" spans="1:46" ht="15.75" customHeight="1" x14ac:dyDescent="0.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6"/>
      <c r="X382" s="8">
        <v>2</v>
      </c>
      <c r="Y382" s="8" t="s">
        <v>24</v>
      </c>
      <c r="Z382" s="8">
        <f t="shared" ref="Z382:AI382" si="1058">SUM(D390)</f>
        <v>37</v>
      </c>
      <c r="AA382" s="9">
        <f t="shared" ca="1" si="1058"/>
        <v>36</v>
      </c>
      <c r="AB382" s="10">
        <f t="shared" ca="1" si="1058"/>
        <v>6902.3469999999897</v>
      </c>
      <c r="AC382" s="9">
        <f t="shared" ca="1" si="1058"/>
        <v>833</v>
      </c>
      <c r="AD382" s="9">
        <f t="shared" ca="1" si="1058"/>
        <v>8</v>
      </c>
      <c r="AE382" s="9">
        <f t="shared" ca="1" si="1058"/>
        <v>841</v>
      </c>
      <c r="AF382" s="9">
        <f t="shared" ca="1" si="1058"/>
        <v>1153</v>
      </c>
      <c r="AG382" s="9">
        <f t="shared" ca="1" si="1058"/>
        <v>14</v>
      </c>
      <c r="AH382" s="9">
        <f t="shared" ca="1" si="1058"/>
        <v>1167</v>
      </c>
      <c r="AI382" s="9">
        <f t="shared" ca="1" si="1058"/>
        <v>2008</v>
      </c>
      <c r="AJ382" s="11">
        <f t="shared" ca="1" si="1051"/>
        <v>191.73186111111082</v>
      </c>
      <c r="AK382" s="8">
        <v>1580</v>
      </c>
      <c r="AL382" s="15">
        <f t="shared" ca="1" si="1052"/>
        <v>1.270886075949367</v>
      </c>
      <c r="AM382" s="13">
        <f t="shared" si="1053"/>
        <v>1.5</v>
      </c>
      <c r="AN382" s="12">
        <f t="shared" ca="1" si="1054"/>
        <v>0.19394369287239088</v>
      </c>
      <c r="AO382" s="14">
        <f t="shared" ca="1" si="1055"/>
        <v>0.29091553930858632</v>
      </c>
      <c r="AP382" s="13">
        <f t="shared" ref="AP382:AQ382" ca="1" si="1059">SUM(T390)</f>
        <v>257.50221973512367</v>
      </c>
      <c r="AQ382" s="13">
        <f t="shared" ca="1" si="1059"/>
        <v>7.1528394370867687</v>
      </c>
      <c r="AR382" s="9">
        <f t="shared" ca="1" si="1057"/>
        <v>55.777777777777779</v>
      </c>
      <c r="AS382" s="76"/>
      <c r="AT382" s="76"/>
    </row>
    <row r="383" spans="1:46" ht="15.75" customHeight="1" x14ac:dyDescent="0.2">
      <c r="A383" s="70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6"/>
      <c r="X383" s="8">
        <v>3</v>
      </c>
      <c r="Y383" s="8" t="s">
        <v>25</v>
      </c>
      <c r="Z383" s="8">
        <f t="shared" ref="Z383:AI383" si="1060">SUM(D391)</f>
        <v>27</v>
      </c>
      <c r="AA383" s="9">
        <f t="shared" ca="1" si="1060"/>
        <v>27</v>
      </c>
      <c r="AB383" s="10">
        <f t="shared" ca="1" si="1060"/>
        <v>5125.6000000000004</v>
      </c>
      <c r="AC383" s="9">
        <f t="shared" ca="1" si="1060"/>
        <v>1497</v>
      </c>
      <c r="AD383" s="9">
        <f t="shared" ca="1" si="1060"/>
        <v>73</v>
      </c>
      <c r="AE383" s="9">
        <f t="shared" ca="1" si="1060"/>
        <v>1570</v>
      </c>
      <c r="AF383" s="9">
        <f t="shared" ca="1" si="1060"/>
        <v>3042</v>
      </c>
      <c r="AG383" s="9">
        <f t="shared" ca="1" si="1060"/>
        <v>327</v>
      </c>
      <c r="AH383" s="9">
        <f t="shared" ca="1" si="1060"/>
        <v>3369</v>
      </c>
      <c r="AI383" s="9">
        <f t="shared" ca="1" si="1060"/>
        <v>4939</v>
      </c>
      <c r="AJ383" s="11">
        <f t="shared" ca="1" si="1051"/>
        <v>189.83703703703705</v>
      </c>
      <c r="AK383" s="8">
        <f>SUM(O391)</f>
        <v>6622</v>
      </c>
      <c r="AL383" s="12">
        <f t="shared" ca="1" si="1052"/>
        <v>0.74584717607973416</v>
      </c>
      <c r="AM383" s="13">
        <f t="shared" si="1053"/>
        <v>1.5</v>
      </c>
      <c r="AN383" s="12">
        <f t="shared" ca="1" si="1054"/>
        <v>0.6423963373393683</v>
      </c>
      <c r="AO383" s="14">
        <f t="shared" ca="1" si="1055"/>
        <v>0.9635945060090525</v>
      </c>
      <c r="AP383" s="13">
        <f t="shared" ref="AP383:AQ383" ca="1" si="1061">SUM(T391)</f>
        <v>215.00000000000003</v>
      </c>
      <c r="AQ383" s="13">
        <f t="shared" ca="1" si="1061"/>
        <v>7.9629629629629637</v>
      </c>
      <c r="AR383" s="9">
        <f t="shared" ca="1" si="1057"/>
        <v>182.92592592592592</v>
      </c>
      <c r="AS383" s="76"/>
      <c r="AT383" s="76"/>
    </row>
    <row r="384" spans="1:46" ht="15.75" customHeight="1" x14ac:dyDescent="0.25">
      <c r="A384" s="70"/>
      <c r="B384" s="16">
        <v>1</v>
      </c>
      <c r="C384" s="16" t="s">
        <v>26</v>
      </c>
      <c r="D384" s="17">
        <v>16</v>
      </c>
      <c r="E384" s="18">
        <f ca="1">IFERROR(__xludf.DUMMYFUNCTION("COUNT(IMPORTRANGE(""https://docs.google.com/spreadsheets/d/1iVFEBQOAONhqDIMRa2hQ7WkCQv0dJWSAmc0AzfvSCMg/edit"",""15!d2:d21""))"),16)</f>
        <v>16</v>
      </c>
      <c r="F384" s="19">
        <f ca="1">IFERROR(__xludf.DUMMYFUNCTION("SUM(IMPORTRANGE(""https://docs.google.com/spreadsheets/d/1iVFEBQOAONhqDIMRa2hQ7WkCQv0dJWSAmc0AzfvSCMg/edit"",""15!Q2:Q21""))"),3121.383)</f>
        <v>3121.3829999999998</v>
      </c>
      <c r="G384" s="18">
        <f ca="1">IFERROR(__xludf.DUMMYFUNCTION("IMPORTRANGE(""https://docs.google.com/spreadsheets/d/1iVFEBQOAONhqDIMRa2hQ7WkCQv0dJWSAmc0AzfvSCMg/edit"",""15!e28"")"),1452)</f>
        <v>1452</v>
      </c>
      <c r="H384" s="18">
        <f ca="1">IFERROR(__xludf.DUMMYFUNCTION("IMPORTRANGE(""https://docs.google.com/spreadsheets/d/1iVFEBQOAONhqDIMRa2hQ7WkCQv0dJWSAmc0AzfvSCMg/edit"",""15!e29"")"),0)</f>
        <v>0</v>
      </c>
      <c r="I384" s="18">
        <f t="shared" ref="I384:I401" ca="1" si="1062">SUM(G384:H384)</f>
        <v>1452</v>
      </c>
      <c r="J384" s="18">
        <f ca="1">IFERROR(__xludf.DUMMYFUNCTION("IMPORTRANGE(""https://docs.google.com/spreadsheets/d/1iVFEBQOAONhqDIMRa2hQ7WkCQv0dJWSAmc0AzfvSCMg/edit"",""15!e32"")"),2219)</f>
        <v>2219</v>
      </c>
      <c r="K384" s="18">
        <f ca="1">IFERROR(__xludf.DUMMYFUNCTION("IMPORTRANGE(""https://docs.google.com/spreadsheets/d/1iVFEBQOAONhqDIMRa2hQ7WkCQv0dJWSAmc0AzfvSCMg/edit"",""15!e33"")"),0)</f>
        <v>0</v>
      </c>
      <c r="L384" s="18">
        <f t="shared" ref="L384:L390" ca="1" si="1063">SUM(J384:K384)</f>
        <v>2219</v>
      </c>
      <c r="M384" s="18">
        <f t="shared" ref="M384:M401" ca="1" si="1064">SUM(I384+L384)</f>
        <v>3671</v>
      </c>
      <c r="N384" s="19">
        <f t="shared" ref="N384:N402" ca="1" si="1065">F384/E384</f>
        <v>195.08643749999999</v>
      </c>
      <c r="O384" s="16">
        <v>5161</v>
      </c>
      <c r="P384" s="20">
        <f t="shared" ref="P384:P402" ca="1" si="1066">M384/O384</f>
        <v>0.71129626041464833</v>
      </c>
      <c r="Q384" s="21">
        <v>1.5</v>
      </c>
      <c r="R384" s="20">
        <f t="shared" ref="R384:R402" ca="1" si="1067">S384/Q384</f>
        <v>0.7840541623162981</v>
      </c>
      <c r="S384" s="22">
        <f t="shared" ref="S384:S402" ca="1" si="1068">M384/F384</f>
        <v>1.1760812434744472</v>
      </c>
      <c r="T384" s="21">
        <f ca="1">F384/14.415</f>
        <v>216.53714880332987</v>
      </c>
      <c r="U384" s="21">
        <f t="shared" ref="U384:U402" ca="1" si="1069">T384/E384</f>
        <v>13.533571800208117</v>
      </c>
      <c r="V384" s="18">
        <f t="shared" ref="V384:V402" ca="1" si="1070">M384/E384</f>
        <v>229.4375</v>
      </c>
      <c r="W384" s="76"/>
      <c r="X384" s="8">
        <v>4</v>
      </c>
      <c r="Y384" s="8" t="s">
        <v>27</v>
      </c>
      <c r="Z384" s="8">
        <f t="shared" ref="Z384:AK384" si="1071">SUM(D397)</f>
        <v>24</v>
      </c>
      <c r="AA384" s="9">
        <f t="shared" ca="1" si="1071"/>
        <v>23</v>
      </c>
      <c r="AB384" s="10">
        <f t="shared" ca="1" si="1071"/>
        <v>4318.6759999999904</v>
      </c>
      <c r="AC384" s="9">
        <f t="shared" ca="1" si="1071"/>
        <v>1980</v>
      </c>
      <c r="AD384" s="9">
        <f t="shared" ca="1" si="1071"/>
        <v>0</v>
      </c>
      <c r="AE384" s="9">
        <f t="shared" ca="1" si="1071"/>
        <v>1980</v>
      </c>
      <c r="AF384" s="9">
        <f t="shared" ca="1" si="1071"/>
        <v>2205</v>
      </c>
      <c r="AG384" s="9">
        <f t="shared" ca="1" si="1071"/>
        <v>0</v>
      </c>
      <c r="AH384" s="9">
        <f t="shared" ca="1" si="1071"/>
        <v>2205</v>
      </c>
      <c r="AI384" s="9">
        <f t="shared" ca="1" si="1071"/>
        <v>4185</v>
      </c>
      <c r="AJ384" s="11">
        <f t="shared" ca="1" si="1071"/>
        <v>187.76852173913002</v>
      </c>
      <c r="AK384" s="8">
        <f t="shared" si="1071"/>
        <v>8101</v>
      </c>
      <c r="AL384" s="12">
        <f t="shared" ca="1" si="1052"/>
        <v>0.51660288853227998</v>
      </c>
      <c r="AM384" s="13">
        <f>SUM(Q397)</f>
        <v>1.5</v>
      </c>
      <c r="AN384" s="12">
        <f t="shared" ca="1" si="1054"/>
        <v>0.64603132997242818</v>
      </c>
      <c r="AO384" s="14">
        <f t="shared" ca="1" si="1055"/>
        <v>0.96904699495864222</v>
      </c>
      <c r="AP384" s="13">
        <f t="shared" ref="AP384:AQ384" ca="1" si="1072">SUM(T397)</f>
        <v>216.09587190392747</v>
      </c>
      <c r="AQ384" s="13">
        <f t="shared" ca="1" si="1072"/>
        <v>9.3954726914751081</v>
      </c>
      <c r="AR384" s="9">
        <f t="shared" ca="1" si="1057"/>
        <v>181.95652173913044</v>
      </c>
      <c r="AS384" s="76"/>
      <c r="AT384" s="76"/>
    </row>
    <row r="385" spans="1:46" ht="15.75" customHeight="1" x14ac:dyDescent="0.25">
      <c r="A385" s="70"/>
      <c r="B385" s="16">
        <v>2</v>
      </c>
      <c r="C385" s="16" t="s">
        <v>28</v>
      </c>
      <c r="D385" s="17">
        <v>26</v>
      </c>
      <c r="E385" s="18">
        <f ca="1">IFERROR(__xludf.DUMMYFUNCTION("COUNT(IMPORTRANGE(""https://docs.google.com/spreadsheets/d/1tJCeYclgeJZ4Dc78t_SkhVjtacKW-5-VGim8X1rzUzk/edit"",""15!d2:d34""))"),25)</f>
        <v>25</v>
      </c>
      <c r="F385" s="19">
        <f ca="1">IFERROR(__xludf.DUMMYFUNCTION("SUM(IMPORTRANGE(""https://docs.google.com/spreadsheets/d/1tJCeYclgeJZ4Dc78t_SkhVjtacKW-5-VGim8X1rzUzk/edit"",""15!Q2:Q34""))"),4846.123)</f>
        <v>4846.1229999999996</v>
      </c>
      <c r="G385" s="18">
        <f ca="1">IFERROR(__xludf.DUMMYFUNCTION("IMPORTRANGE(""https://docs.google.com/spreadsheets/d/1tJCeYclgeJZ4Dc78t_SkhVjtacKW-5-VGim8X1rzUzk/edit"",""15!e41"")"),1700)</f>
        <v>1700</v>
      </c>
      <c r="H385" s="18">
        <f ca="1">IFERROR(__xludf.DUMMYFUNCTION("IMPORTRANGE(""https://docs.google.com/spreadsheets/d/1tJCeYclgeJZ4Dc78t_SkhVjtacKW-5-VGim8X1rzUzk/edit"",""15!e42"")"),89)</f>
        <v>89</v>
      </c>
      <c r="I385" s="18">
        <f t="shared" ca="1" si="1062"/>
        <v>1789</v>
      </c>
      <c r="J385" s="18">
        <f ca="1">IFERROR(__xludf.DUMMYFUNCTION("IMPORTRANGE(""https://docs.google.com/spreadsheets/d/1tJCeYclgeJZ4Dc78t_SkhVjtacKW-5-VGim8X1rzUzk/edit"",""15!e45"")"),2160)</f>
        <v>2160</v>
      </c>
      <c r="K385" s="18">
        <f ca="1">IFERROR(__xludf.DUMMYFUNCTION("IMPORTRANGE(""https://docs.google.com/spreadsheets/d/1tJCeYclgeJZ4Dc78t_SkhVjtacKW-5-VGim8X1rzUzk/edit"",""15!e46"")"),149)</f>
        <v>149</v>
      </c>
      <c r="L385" s="18">
        <f t="shared" ca="1" si="1063"/>
        <v>2309</v>
      </c>
      <c r="M385" s="18">
        <f t="shared" ca="1" si="1064"/>
        <v>4098</v>
      </c>
      <c r="N385" s="19">
        <f t="shared" ca="1" si="1065"/>
        <v>193.84491999999997</v>
      </c>
      <c r="O385" s="16">
        <v>7315</v>
      </c>
      <c r="P385" s="20">
        <f t="shared" ca="1" si="1066"/>
        <v>0.56021872863978128</v>
      </c>
      <c r="Q385" s="21">
        <v>1.5</v>
      </c>
      <c r="R385" s="20">
        <f t="shared" ca="1" si="1067"/>
        <v>0.56374962005710549</v>
      </c>
      <c r="S385" s="22">
        <f t="shared" ca="1" si="1068"/>
        <v>0.84562443008565824</v>
      </c>
      <c r="T385" s="21">
        <f ca="1">F385/30.897</f>
        <v>156.84768747774865</v>
      </c>
      <c r="U385" s="21">
        <f t="shared" ca="1" si="1069"/>
        <v>6.2739074991099457</v>
      </c>
      <c r="V385" s="18">
        <f t="shared" ca="1" si="1070"/>
        <v>163.92</v>
      </c>
      <c r="W385" s="76"/>
      <c r="X385" s="8">
        <v>5</v>
      </c>
      <c r="Y385" s="8" t="s">
        <v>29</v>
      </c>
      <c r="Z385" s="8">
        <f t="shared" ref="Z385:AI385" si="1073">SUM(D400)</f>
        <v>24</v>
      </c>
      <c r="AA385" s="9">
        <f t="shared" ca="1" si="1073"/>
        <v>23</v>
      </c>
      <c r="AB385" s="10">
        <f t="shared" ca="1" si="1073"/>
        <v>4609.4339999999902</v>
      </c>
      <c r="AC385" s="9">
        <f t="shared" ca="1" si="1073"/>
        <v>2062</v>
      </c>
      <c r="AD385" s="9">
        <f t="shared" ca="1" si="1073"/>
        <v>0</v>
      </c>
      <c r="AE385" s="9">
        <f t="shared" ca="1" si="1073"/>
        <v>2062</v>
      </c>
      <c r="AF385" s="9">
        <f t="shared" ca="1" si="1073"/>
        <v>3028</v>
      </c>
      <c r="AG385" s="9">
        <f t="shared" ca="1" si="1073"/>
        <v>0</v>
      </c>
      <c r="AH385" s="9">
        <f t="shared" ca="1" si="1073"/>
        <v>3028</v>
      </c>
      <c r="AI385" s="9">
        <f t="shared" ca="1" si="1073"/>
        <v>5090</v>
      </c>
      <c r="AJ385" s="11">
        <f t="shared" ref="AJ385:AJ387" ca="1" si="1074">AB385/AA385</f>
        <v>200.41017391304305</v>
      </c>
      <c r="AK385" s="8">
        <f t="shared" ref="AK385:AK386" si="1075">SUM(O400)</f>
        <v>9201</v>
      </c>
      <c r="AL385" s="12">
        <f t="shared" ca="1" si="1052"/>
        <v>0.55320073905010325</v>
      </c>
      <c r="AM385" s="13">
        <f t="shared" ref="AM385:AM386" si="1076">SUM(Q400)</f>
        <v>1.5</v>
      </c>
      <c r="AN385" s="12">
        <f t="shared" ca="1" si="1054"/>
        <v>0.7361713679669436</v>
      </c>
      <c r="AO385" s="14">
        <f t="shared" ca="1" si="1055"/>
        <v>1.1042570519504153</v>
      </c>
      <c r="AP385" s="13">
        <f t="shared" ref="AP385:AQ385" ca="1" si="1077">SUM(T400)</f>
        <v>173.99999999999963</v>
      </c>
      <c r="AQ385" s="13">
        <f t="shared" ca="1" si="1077"/>
        <v>7.5652173913043317</v>
      </c>
      <c r="AR385" s="9">
        <f t="shared" ca="1" si="1057"/>
        <v>221.30434782608697</v>
      </c>
      <c r="AS385" s="76"/>
      <c r="AT385" s="76"/>
    </row>
    <row r="386" spans="1:46" ht="15.75" customHeight="1" x14ac:dyDescent="0.25">
      <c r="A386" s="70"/>
      <c r="B386" s="16">
        <v>3</v>
      </c>
      <c r="C386" s="16" t="s">
        <v>30</v>
      </c>
      <c r="D386" s="17">
        <v>48</v>
      </c>
      <c r="E386" s="18">
        <f ca="1">IFERROR(__xludf.DUMMYFUNCTION("COUNT(IMPORTRANGE(""https://docs.google.com/spreadsheets/d/130gLEONC13J8KkQ6dk06x3bLRy_jCrAw2hXatQf2W50/edit"",""15!d2:d61""))"),46)</f>
        <v>46</v>
      </c>
      <c r="F386" s="23">
        <f ca="1">IFERROR(__xludf.DUMMYFUNCTION("SUM(IMPORTRANGE(""https://docs.google.com/spreadsheets/d/130gLEONC13J8KkQ6dk06x3bLRy_jCrAw2hXatQf2W50/edit"",""15!Q2:Q61""))"),8770.89799999999)</f>
        <v>8770.8979999999901</v>
      </c>
      <c r="G386" s="18">
        <f ca="1">IFERROR(__xludf.DUMMYFUNCTION("IMPORTRANGE(""https://docs.google.com/spreadsheets/d/130gLEONC13J8KkQ6dk06x3bLRy_jCrAw2hXatQf2W50/edit"",""15!e68"")"),2448)</f>
        <v>2448</v>
      </c>
      <c r="H386" s="18">
        <f ca="1">IFERROR(__xludf.DUMMYFUNCTION("IMPORTRANGE(""https://docs.google.com/spreadsheets/d/130gLEONC13J8KkQ6dk06x3bLRy_jCrAw2hXatQf2W50/edit"",""15!e69"")"),0)</f>
        <v>0</v>
      </c>
      <c r="I386" s="18">
        <f t="shared" ca="1" si="1062"/>
        <v>2448</v>
      </c>
      <c r="J386" s="18">
        <f ca="1">IFERROR(__xludf.DUMMYFUNCTION("IMPORTRANGE(""https://docs.google.com/spreadsheets/d/130gLEONC13J8KkQ6dk06x3bLRy_jCrAw2hXatQf2W50/edit"",""15!e72"")"),4264)</f>
        <v>4264</v>
      </c>
      <c r="K386" s="18">
        <f ca="1">IFERROR(__xludf.DUMMYFUNCTION("IMPORTRANGE(""https://docs.google.com/spreadsheets/d/130gLEONC13J8KkQ6dk06x3bLRy_jCrAw2hXatQf2W50/edit"",""15!e73"")"),64)</f>
        <v>64</v>
      </c>
      <c r="L386" s="18">
        <f t="shared" ca="1" si="1063"/>
        <v>4328</v>
      </c>
      <c r="M386" s="18">
        <f t="shared" ca="1" si="1064"/>
        <v>6776</v>
      </c>
      <c r="N386" s="19">
        <f t="shared" ca="1" si="1065"/>
        <v>190.6716956521737</v>
      </c>
      <c r="O386" s="16">
        <v>11164</v>
      </c>
      <c r="P386" s="20">
        <f t="shared" ca="1" si="1066"/>
        <v>0.60695091365102116</v>
      </c>
      <c r="Q386" s="21">
        <v>1.5</v>
      </c>
      <c r="R386" s="20">
        <f t="shared" ca="1" si="1067"/>
        <v>0.51503658272315311</v>
      </c>
      <c r="S386" s="22">
        <f t="shared" ca="1" si="1068"/>
        <v>0.77255487408472967</v>
      </c>
      <c r="T386" s="21">
        <f ca="1">F386/29.603</f>
        <v>296.28409282842921</v>
      </c>
      <c r="U386" s="21">
        <f t="shared" ca="1" si="1069"/>
        <v>6.4409585397484612</v>
      </c>
      <c r="V386" s="18">
        <f t="shared" ca="1" si="1070"/>
        <v>147.30434782608697</v>
      </c>
      <c r="W386" s="76"/>
      <c r="X386" s="8">
        <v>6</v>
      </c>
      <c r="Y386" s="8" t="s">
        <v>31</v>
      </c>
      <c r="Z386" s="8">
        <f t="shared" ref="Z386:AI386" si="1078">SUM(D401)</f>
        <v>12</v>
      </c>
      <c r="AA386" s="9">
        <f t="shared" ca="1" si="1078"/>
        <v>11</v>
      </c>
      <c r="AB386" s="11">
        <f t="shared" ca="1" si="1078"/>
        <v>1999.3899999999901</v>
      </c>
      <c r="AC386" s="9">
        <f t="shared" ca="1" si="1078"/>
        <v>566</v>
      </c>
      <c r="AD386" s="9">
        <f t="shared" ca="1" si="1078"/>
        <v>15</v>
      </c>
      <c r="AE386" s="9">
        <f t="shared" ca="1" si="1078"/>
        <v>581</v>
      </c>
      <c r="AF386" s="9">
        <f t="shared" ca="1" si="1078"/>
        <v>731</v>
      </c>
      <c r="AG386" s="9">
        <f t="shared" ca="1" si="1078"/>
        <v>0</v>
      </c>
      <c r="AH386" s="9">
        <f t="shared" ca="1" si="1078"/>
        <v>731</v>
      </c>
      <c r="AI386" s="9">
        <f t="shared" ca="1" si="1078"/>
        <v>1312</v>
      </c>
      <c r="AJ386" s="11">
        <f t="shared" ca="1" si="1074"/>
        <v>181.76272727272638</v>
      </c>
      <c r="AK386" s="8">
        <f t="shared" si="1075"/>
        <v>2717</v>
      </c>
      <c r="AL386" s="12">
        <f t="shared" ca="1" si="1052"/>
        <v>0.48288553551711444</v>
      </c>
      <c r="AM386" s="13">
        <f t="shared" si="1076"/>
        <v>1.5</v>
      </c>
      <c r="AN386" s="12">
        <f t="shared" ca="1" si="1054"/>
        <v>0.43746676069534757</v>
      </c>
      <c r="AO386" s="14">
        <f t="shared" ca="1" si="1055"/>
        <v>0.65620014104302138</v>
      </c>
      <c r="AP386" s="13">
        <f t="shared" ref="AP386:AQ386" ca="1" si="1079">SUM(T401)</f>
        <v>45.999999999999766</v>
      </c>
      <c r="AQ386" s="13">
        <f t="shared" ca="1" si="1079"/>
        <v>4.1818181818181603</v>
      </c>
      <c r="AR386" s="9">
        <f t="shared" ca="1" si="1057"/>
        <v>119.27272727272727</v>
      </c>
      <c r="AS386" s="76"/>
      <c r="AT386" s="76"/>
    </row>
    <row r="387" spans="1:46" ht="15.75" customHeight="1" x14ac:dyDescent="0.25">
      <c r="A387" s="70"/>
      <c r="B387" s="16">
        <v>4</v>
      </c>
      <c r="C387" s="16" t="s">
        <v>32</v>
      </c>
      <c r="D387" s="17">
        <v>33</v>
      </c>
      <c r="E387" s="18">
        <f ca="1">IFERROR(__xludf.DUMMYFUNCTION("COUNT(IMPORTRANGE(""https://docs.google.com/spreadsheets/d/1gYHli7FuKQLm2Q-5LMR0UtkD-gRRA_p8s-phLPLDLgc/edit"",""15!d2:d43""))"),33)</f>
        <v>33</v>
      </c>
      <c r="F387" s="23">
        <f ca="1">IFERROR(__xludf.DUMMYFUNCTION("SUM(IMPORTRANGE(""https://docs.google.com/spreadsheets/d/1gYHli7FuKQLm2Q-5LMR0UtkD-gRRA_p8s-phLPLDLgc/edit"",""15!Q2:Q43""))"),6372.60599999999)</f>
        <v>6372.6059999999898</v>
      </c>
      <c r="G387" s="16">
        <f ca="1">IFERROR(__xludf.DUMMYFUNCTION("IMPORTRANGE(""https://docs.google.com/spreadsheets/d/1gYHli7FuKQLm2Q-5LMR0UtkD-gRRA_p8s-phLPLDLgc/edit"",""15!e50"")"),3720)</f>
        <v>3720</v>
      </c>
      <c r="H387" s="16">
        <f ca="1">IFERROR(__xludf.DUMMYFUNCTION("IMPORTRANGE(""https://docs.google.com/spreadsheets/d/1gYHli7FuKQLm2Q-5LMR0UtkD-gRRA_p8s-phLPLDLgc/edit"",""15!e51"")"),0)</f>
        <v>0</v>
      </c>
      <c r="I387" s="18">
        <f t="shared" ca="1" si="1062"/>
        <v>3720</v>
      </c>
      <c r="J387" s="16">
        <f ca="1">IFERROR(__xludf.DUMMYFUNCTION("IMPORTRANGE(""https://docs.google.com/spreadsheets/d/1gYHli7FuKQLm2Q-5LMR0UtkD-gRRA_p8s-phLPLDLgc/edit"",""15!e54"")"),4156)</f>
        <v>4156</v>
      </c>
      <c r="K387" s="16">
        <f ca="1">IFERROR(__xludf.DUMMYFUNCTION("IMPORTRANGE(""https://docs.google.com/spreadsheets/d/1gYHli7FuKQLm2Q-5LMR0UtkD-gRRA_p8s-phLPLDLgc/edit"",""15!e55"")"),0)</f>
        <v>0</v>
      </c>
      <c r="L387" s="18">
        <f t="shared" ca="1" si="1063"/>
        <v>4156</v>
      </c>
      <c r="M387" s="18">
        <f t="shared" ca="1" si="1064"/>
        <v>7876</v>
      </c>
      <c r="N387" s="19">
        <f t="shared" ca="1" si="1065"/>
        <v>193.10927272727241</v>
      </c>
      <c r="O387" s="16">
        <v>13817</v>
      </c>
      <c r="P387" s="20">
        <f t="shared" ca="1" si="1066"/>
        <v>0.57002243612940584</v>
      </c>
      <c r="Q387" s="21">
        <v>1.5</v>
      </c>
      <c r="R387" s="20">
        <f t="shared" ca="1" si="1067"/>
        <v>0.82394340190915216</v>
      </c>
      <c r="S387" s="22">
        <f t="shared" ca="1" si="1068"/>
        <v>1.2359151028637283</v>
      </c>
      <c r="T387" s="21">
        <f ca="1">F387/25.089</f>
        <v>253.9999999999996</v>
      </c>
      <c r="U387" s="21">
        <f t="shared" ca="1" si="1069"/>
        <v>7.6969696969696848</v>
      </c>
      <c r="V387" s="18">
        <f t="shared" ca="1" si="1070"/>
        <v>238.66666666666666</v>
      </c>
      <c r="W387" s="76"/>
      <c r="X387" s="24" t="s">
        <v>33</v>
      </c>
      <c r="Y387" s="24">
        <v>6</v>
      </c>
      <c r="Z387" s="24">
        <f t="shared" ref="Z387:AI387" si="1080">SUM(Z381:Z386)</f>
        <v>152</v>
      </c>
      <c r="AA387" s="25">
        <f t="shared" ca="1" si="1080"/>
        <v>147</v>
      </c>
      <c r="AB387" s="26">
        <f t="shared" ca="1" si="1080"/>
        <v>28252.626999999949</v>
      </c>
      <c r="AC387" s="25">
        <f t="shared" ca="1" si="1080"/>
        <v>8419</v>
      </c>
      <c r="AD387" s="25">
        <f t="shared" ca="1" si="1080"/>
        <v>96</v>
      </c>
      <c r="AE387" s="25">
        <f t="shared" ca="1" si="1080"/>
        <v>8515</v>
      </c>
      <c r="AF387" s="25">
        <f t="shared" ca="1" si="1080"/>
        <v>12225</v>
      </c>
      <c r="AG387" s="25">
        <f t="shared" ca="1" si="1080"/>
        <v>341</v>
      </c>
      <c r="AH387" s="25">
        <f t="shared" ca="1" si="1080"/>
        <v>12566</v>
      </c>
      <c r="AI387" s="25">
        <f t="shared" ca="1" si="1080"/>
        <v>21081</v>
      </c>
      <c r="AJ387" s="27">
        <f t="shared" ca="1" si="1074"/>
        <v>192.19474149659828</v>
      </c>
      <c r="AK387" s="24">
        <f>SUM(AK381:AK386)</f>
        <v>35074</v>
      </c>
      <c r="AL387" s="28">
        <f t="shared" ca="1" si="1052"/>
        <v>0.60104350801163253</v>
      </c>
      <c r="AM387" s="29">
        <v>1.5</v>
      </c>
      <c r="AN387" s="28">
        <f t="shared" ca="1" si="1054"/>
        <v>0.49744046810231218</v>
      </c>
      <c r="AO387" s="30">
        <f t="shared" ca="1" si="1055"/>
        <v>0.7461607021534683</v>
      </c>
      <c r="AP387" s="29">
        <f ca="1">SUM(AP381:AP386)</f>
        <v>1065.5980916390502</v>
      </c>
      <c r="AQ387" s="29">
        <f ca="1">AP387/AA387</f>
        <v>7.2489666097894565</v>
      </c>
      <c r="AR387" s="25">
        <f t="shared" ca="1" si="1057"/>
        <v>143.40816326530611</v>
      </c>
      <c r="AS387" s="76"/>
      <c r="AT387" s="76"/>
    </row>
    <row r="388" spans="1:46" ht="15.75" customHeight="1" x14ac:dyDescent="0.25">
      <c r="A388" s="70"/>
      <c r="B388" s="16">
        <v>5</v>
      </c>
      <c r="C388" s="16" t="s">
        <v>34</v>
      </c>
      <c r="D388" s="17">
        <v>32</v>
      </c>
      <c r="E388" s="18">
        <f ca="1">IFERROR(__xludf.DUMMYFUNCTION("COUNT(IMPORTRANGE(""https://docs.google.com/spreadsheets/d/1ptS0qWBCKWkc9h2aXWT_YgMhN7yIv5WgAHRbF8l9Zpo/edit"",""15!d2:d41""))"),31)</f>
        <v>31</v>
      </c>
      <c r="F388" s="23">
        <f ca="1">IFERROR(__xludf.DUMMYFUNCTION("SUM(IMPORTRANGE(""https://docs.google.com/spreadsheets/d/1ptS0qWBCKWkc9h2aXWT_YgMhN7yIv5WgAHRbF8l9Zpo/edit"",""15!Q2:Q41""))"),6051.381)</f>
        <v>6051.3810000000003</v>
      </c>
      <c r="G388" s="18">
        <f ca="1">IFERROR(__xludf.DUMMYFUNCTION("IMPORTRANGE(""https://docs.google.com/spreadsheets/d/1ptS0qWBCKWkc9h2aXWT_YgMhN7yIv5WgAHRbF8l9Zpo/edit"",""15!e48"")"),1948)</f>
        <v>1948</v>
      </c>
      <c r="H388" s="18">
        <f ca="1">IFERROR(__xludf.DUMMYFUNCTION("IMPORTRANGE(""https://docs.google.com/spreadsheets/d/1ptS0qWBCKWkc9h2aXWT_YgMhN7yIv5WgAHRbF8l9Zpo/edit"",""15!e49"")"),0)</f>
        <v>0</v>
      </c>
      <c r="I388" s="18">
        <f t="shared" ca="1" si="1062"/>
        <v>1948</v>
      </c>
      <c r="J388" s="18">
        <f ca="1">IFERROR(__xludf.DUMMYFUNCTION("IMPORTRANGE(""https://docs.google.com/spreadsheets/d/1ptS0qWBCKWkc9h2aXWT_YgMhN7yIv5WgAHRbF8l9Zpo/edit"",""15!e52"")"),2608)</f>
        <v>2608</v>
      </c>
      <c r="K388" s="18">
        <f ca="1">IFERROR(__xludf.DUMMYFUNCTION("IMPORTRANGE(""https://docs.google.com/spreadsheets/d/1ptS0qWBCKWkc9h2aXWT_YgMhN7yIv5WgAHRbF8l9Zpo/edit"",""15!e53"")"),0)</f>
        <v>0</v>
      </c>
      <c r="L388" s="18">
        <f t="shared" ca="1" si="1063"/>
        <v>2608</v>
      </c>
      <c r="M388" s="18">
        <f t="shared" ca="1" si="1064"/>
        <v>4556</v>
      </c>
      <c r="N388" s="19">
        <f t="shared" ca="1" si="1065"/>
        <v>195.20583870967744</v>
      </c>
      <c r="O388" s="16">
        <v>9354</v>
      </c>
      <c r="P388" s="20">
        <f t="shared" ca="1" si="1066"/>
        <v>0.48706435749412014</v>
      </c>
      <c r="Q388" s="21">
        <v>1.5</v>
      </c>
      <c r="R388" s="20">
        <f t="shared" ca="1" si="1067"/>
        <v>0.50192399608177596</v>
      </c>
      <c r="S388" s="22">
        <f t="shared" ca="1" si="1068"/>
        <v>0.75288599412266388</v>
      </c>
      <c r="T388" s="21">
        <f ca="1">F388/30.713</f>
        <v>197.02995474229155</v>
      </c>
      <c r="U388" s="21">
        <f t="shared" ca="1" si="1069"/>
        <v>6.3558049916868242</v>
      </c>
      <c r="V388" s="18">
        <f t="shared" ca="1" si="1070"/>
        <v>146.96774193548387</v>
      </c>
      <c r="W388" s="76"/>
      <c r="X388" s="100" t="s">
        <v>35</v>
      </c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9"/>
      <c r="AS388" s="76"/>
      <c r="AT388" s="76"/>
    </row>
    <row r="389" spans="1:46" ht="15.75" customHeight="1" x14ac:dyDescent="0.25">
      <c r="A389" s="70"/>
      <c r="B389" s="16">
        <v>6</v>
      </c>
      <c r="C389" s="16" t="s">
        <v>23</v>
      </c>
      <c r="D389" s="17">
        <v>28</v>
      </c>
      <c r="E389" s="18">
        <f ca="1">IFERROR(__xludf.DUMMYFUNCTION("COUNT(IMPORTRANGE(""https://docs.google.com/spreadsheets/d/1829CoYW82aTBBUgqkPnJa94KlBWI-DowAnP4ENQCmaQ/edit"",""15!d2:d36""))"),27)</f>
        <v>27</v>
      </c>
      <c r="F389" s="23">
        <f ca="1">IFERROR(__xludf.DUMMYFUNCTION("SUM(IMPORTRANGE(""https://docs.google.com/spreadsheets/d/1829CoYW82aTBBUgqkPnJa94KlBWI-DowAnP4ENQCmaQ/edit"",""15!Q2:Q36""))"),5297.17999999999)</f>
        <v>5297.1799999999903</v>
      </c>
      <c r="G389" s="18">
        <f ca="1">IFERROR(__xludf.DUMMYFUNCTION("IMPORTRANGE(""https://docs.google.com/spreadsheets/d/1829CoYW82aTBBUgqkPnJa94KlBWI-DowAnP4ENQCmaQ/edit"",""15!e43"")"),1481)</f>
        <v>1481</v>
      </c>
      <c r="H389" s="18">
        <f ca="1">IFERROR(__xludf.DUMMYFUNCTION("IMPORTRANGE(""https://docs.google.com/spreadsheets/d/1829CoYW82aTBBUgqkPnJa94KlBWI-DowAnP4ENQCmaQ/edit"",""15!e44"")"),0)</f>
        <v>0</v>
      </c>
      <c r="I389" s="18">
        <f t="shared" ca="1" si="1062"/>
        <v>1481</v>
      </c>
      <c r="J389" s="18">
        <f ca="1">IFERROR(__xludf.DUMMYFUNCTION("IMPORTRANGE(""https://docs.google.com/spreadsheets/d/1829CoYW82aTBBUgqkPnJa94KlBWI-DowAnP4ENQCmaQ/edit"",""15!e47"")"),2066)</f>
        <v>2066</v>
      </c>
      <c r="K389" s="18">
        <f ca="1">IFERROR(__xludf.DUMMYFUNCTION("IMPORTRANGE(""https://docs.google.com/spreadsheets/d/1829CoYW82aTBBUgqkPnJa94KlBWI-DowAnP4ENQCmaQ/edit"",""15!e48"")"),0)</f>
        <v>0</v>
      </c>
      <c r="L389" s="18">
        <f t="shared" ca="1" si="1063"/>
        <v>2066</v>
      </c>
      <c r="M389" s="18">
        <f t="shared" ca="1" si="1064"/>
        <v>3547</v>
      </c>
      <c r="N389" s="19">
        <f t="shared" ca="1" si="1065"/>
        <v>196.19185185185148</v>
      </c>
      <c r="O389" s="16">
        <v>6853</v>
      </c>
      <c r="P389" s="20">
        <f t="shared" ca="1" si="1066"/>
        <v>0.51758354005545015</v>
      </c>
      <c r="Q389" s="21">
        <v>1.5</v>
      </c>
      <c r="R389" s="20">
        <f t="shared" ca="1" si="1067"/>
        <v>0.44640104105706641</v>
      </c>
      <c r="S389" s="22">
        <f t="shared" ca="1" si="1068"/>
        <v>0.66960156158559958</v>
      </c>
      <c r="T389" s="21">
        <f ca="1">F389/33.74</f>
        <v>156.99999999999972</v>
      </c>
      <c r="U389" s="21">
        <f t="shared" ca="1" si="1069"/>
        <v>5.8148148148148042</v>
      </c>
      <c r="V389" s="18">
        <f t="shared" ca="1" si="1070"/>
        <v>131.37037037037038</v>
      </c>
      <c r="W389" s="76"/>
      <c r="X389" s="1" t="s">
        <v>2</v>
      </c>
      <c r="Y389" s="1" t="s">
        <v>3</v>
      </c>
      <c r="Z389" s="1" t="s">
        <v>4</v>
      </c>
      <c r="AA389" s="1" t="s">
        <v>5</v>
      </c>
      <c r="AB389" s="2" t="s">
        <v>6</v>
      </c>
      <c r="AC389" s="1" t="s">
        <v>7</v>
      </c>
      <c r="AD389" s="1" t="s">
        <v>8</v>
      </c>
      <c r="AE389" s="1" t="s">
        <v>9</v>
      </c>
      <c r="AF389" s="1" t="s">
        <v>10</v>
      </c>
      <c r="AG389" s="1" t="s">
        <v>11</v>
      </c>
      <c r="AH389" s="1" t="s">
        <v>12</v>
      </c>
      <c r="AI389" s="1" t="s">
        <v>13</v>
      </c>
      <c r="AJ389" s="2" t="s">
        <v>14</v>
      </c>
      <c r="AK389" s="1" t="s">
        <v>15</v>
      </c>
      <c r="AL389" s="1" t="s">
        <v>16</v>
      </c>
      <c r="AM389" s="3" t="s">
        <v>17</v>
      </c>
      <c r="AN389" s="4" t="s">
        <v>18</v>
      </c>
      <c r="AO389" s="5" t="s">
        <v>19</v>
      </c>
      <c r="AP389" s="6" t="s">
        <v>20</v>
      </c>
      <c r="AQ389" s="6" t="s">
        <v>21</v>
      </c>
      <c r="AR389" s="7" t="s">
        <v>22</v>
      </c>
      <c r="AS389" s="76"/>
      <c r="AT389" s="76"/>
    </row>
    <row r="390" spans="1:46" ht="15.75" customHeight="1" x14ac:dyDescent="0.25">
      <c r="A390" s="70"/>
      <c r="B390" s="16">
        <v>7</v>
      </c>
      <c r="C390" s="16" t="s">
        <v>24</v>
      </c>
      <c r="D390" s="17">
        <v>37</v>
      </c>
      <c r="E390" s="31">
        <f ca="1">IFERROR(__xludf.DUMMYFUNCTION("COUNT(IMPORTRANGE(""https://docs.google.com/spreadsheets/d/1E2x4oDZxEIsuC5nl-5Z0--MoN8b1dt9SbpRcCfNP84Q/edit"",""15!d2:d45""))"),36)</f>
        <v>36</v>
      </c>
      <c r="F390" s="32">
        <f ca="1">IFERROR(__xludf.DUMMYFUNCTION("SUM(IMPORTRANGE(""https://docs.google.com/spreadsheets/d/1E2x4oDZxEIsuC5nl-5Z0--MoN8b1dt9SbpRcCfNP84Q/edit"",""15!Q2:Q45""))"),6902.34699999999)</f>
        <v>6902.3469999999897</v>
      </c>
      <c r="G390" s="31">
        <f ca="1">IFERROR(__xludf.DUMMYFUNCTION("IMPORTRANGE(""https://docs.google.com/spreadsheets/d/1E2x4oDZxEIsuC5nl-5Z0--MoN8b1dt9SbpRcCfNP84Q/edit"",""15!e53"")"),833)</f>
        <v>833</v>
      </c>
      <c r="H390" s="31">
        <f ca="1">IFERROR(__xludf.DUMMYFUNCTION("IMPORTRANGE(""https://docs.google.com/spreadsheets/d/1E2x4oDZxEIsuC5nl-5Z0--MoN8b1dt9SbpRcCfNP84Q/edit"",""15!e54"")"),8)</f>
        <v>8</v>
      </c>
      <c r="I390" s="31">
        <f t="shared" ca="1" si="1062"/>
        <v>841</v>
      </c>
      <c r="J390" s="31">
        <f ca="1">IFERROR(__xludf.DUMMYFUNCTION("IMPORTRANGE(""https://docs.google.com/spreadsheets/d/1E2x4oDZxEIsuC5nl-5Z0--MoN8b1dt9SbpRcCfNP84Q/edit"",""15!e57"")"),1153)</f>
        <v>1153</v>
      </c>
      <c r="K390" s="31">
        <f ca="1">IFERROR(__xludf.DUMMYFUNCTION("IMPORTRANGE(""https://docs.google.com/spreadsheets/d/1E2x4oDZxEIsuC5nl-5Z0--MoN8b1dt9SbpRcCfNP84Q/edit"",""15!e58"")"),14)</f>
        <v>14</v>
      </c>
      <c r="L390" s="18">
        <f t="shared" ca="1" si="1063"/>
        <v>1167</v>
      </c>
      <c r="M390" s="18">
        <f t="shared" ca="1" si="1064"/>
        <v>2008</v>
      </c>
      <c r="N390" s="19">
        <f t="shared" ca="1" si="1065"/>
        <v>191.73186111111082</v>
      </c>
      <c r="O390" s="16">
        <v>1580</v>
      </c>
      <c r="P390" s="33">
        <f t="shared" ca="1" si="1066"/>
        <v>1.270886075949367</v>
      </c>
      <c r="Q390" s="21">
        <v>1.5</v>
      </c>
      <c r="R390" s="20">
        <f t="shared" ca="1" si="1067"/>
        <v>0.19394369287239088</v>
      </c>
      <c r="S390" s="22">
        <f t="shared" ca="1" si="1068"/>
        <v>0.29091553930858632</v>
      </c>
      <c r="T390" s="21">
        <f ca="1">F390/26.805</f>
        <v>257.50221973512367</v>
      </c>
      <c r="U390" s="21">
        <f t="shared" ca="1" si="1069"/>
        <v>7.1528394370867687</v>
      </c>
      <c r="V390" s="18">
        <f t="shared" ca="1" si="1070"/>
        <v>55.777777777777779</v>
      </c>
      <c r="W390" s="76"/>
      <c r="X390" s="8">
        <v>1</v>
      </c>
      <c r="Y390" s="8" t="s">
        <v>28</v>
      </c>
      <c r="Z390" s="8">
        <f t="shared" ref="Z390:AI390" si="1081">SUM(D385)</f>
        <v>26</v>
      </c>
      <c r="AA390" s="9">
        <f t="shared" ca="1" si="1081"/>
        <v>25</v>
      </c>
      <c r="AB390" s="11">
        <f t="shared" ca="1" si="1081"/>
        <v>4846.1229999999996</v>
      </c>
      <c r="AC390" s="9">
        <f t="shared" ca="1" si="1081"/>
        <v>1700</v>
      </c>
      <c r="AD390" s="9">
        <f t="shared" ca="1" si="1081"/>
        <v>89</v>
      </c>
      <c r="AE390" s="9">
        <f t="shared" ca="1" si="1081"/>
        <v>1789</v>
      </c>
      <c r="AF390" s="9">
        <f t="shared" ca="1" si="1081"/>
        <v>2160</v>
      </c>
      <c r="AG390" s="9">
        <f t="shared" ca="1" si="1081"/>
        <v>149</v>
      </c>
      <c r="AH390" s="9">
        <f t="shared" ca="1" si="1081"/>
        <v>2309</v>
      </c>
      <c r="AI390" s="9">
        <f t="shared" ca="1" si="1081"/>
        <v>4098</v>
      </c>
      <c r="AJ390" s="11">
        <f t="shared" ref="AJ390:AJ396" ca="1" si="1082">AB390/AA390</f>
        <v>193.84491999999997</v>
      </c>
      <c r="AK390" s="8">
        <f t="shared" ref="AK390:AK391" si="1083">SUM(O385)</f>
        <v>7315</v>
      </c>
      <c r="AL390" s="12">
        <f t="shared" ref="AL390:AL396" ca="1" si="1084">AI390/AK390</f>
        <v>0.56021872863978128</v>
      </c>
      <c r="AM390" s="13">
        <f t="shared" ref="AM390:AM391" si="1085">SUM(Q385)</f>
        <v>1.5</v>
      </c>
      <c r="AN390" s="12">
        <f t="shared" ref="AN390:AN396" ca="1" si="1086">AO390/AM390</f>
        <v>0.56374962005710549</v>
      </c>
      <c r="AO390" s="14">
        <f t="shared" ref="AO390:AO396" ca="1" si="1087">AI390/AB390</f>
        <v>0.84562443008565824</v>
      </c>
      <c r="AP390" s="13">
        <f t="shared" ref="AP390:AQ390" ca="1" si="1088">SUM(T385)</f>
        <v>156.84768747774865</v>
      </c>
      <c r="AQ390" s="13">
        <f t="shared" ca="1" si="1088"/>
        <v>6.2739074991099457</v>
      </c>
      <c r="AR390" s="9">
        <f t="shared" ref="AR390:AR396" ca="1" si="1089">AI390/AA390</f>
        <v>163.92</v>
      </c>
      <c r="AS390" s="76"/>
      <c r="AT390" s="76"/>
    </row>
    <row r="391" spans="1:46" ht="15.75" customHeight="1" x14ac:dyDescent="0.25">
      <c r="A391" s="70"/>
      <c r="B391" s="16">
        <v>8</v>
      </c>
      <c r="C391" s="16" t="s">
        <v>25</v>
      </c>
      <c r="D391" s="34">
        <v>27</v>
      </c>
      <c r="E391" s="18">
        <f ca="1">IFERROR(__xludf.DUMMYFUNCTION("COUNT(IMPORTRANGE(""https://docs.google.com/spreadsheets/d/1KbRFOEYB0B44J_NSh1MwYQ1sLDlZXUHI-wuMLcZDn5k/edit"",""15!d2:D33""))"),27)</f>
        <v>27</v>
      </c>
      <c r="F391" s="23">
        <f ca="1">IFERROR(__xludf.DUMMYFUNCTION("SUM(IMPORTRANGE(""https://docs.google.com/spreadsheets/d/1KbRFOEYB0B44J_NSh1MwYQ1sLDlZXUHI-wuMLcZDn5k/edit"",""15!Q2:Q33""))"),5125.6)</f>
        <v>5125.6000000000004</v>
      </c>
      <c r="G391" s="18">
        <f ca="1">IFERROR(__xludf.DUMMYFUNCTION("IMPORTRANGE(""https://docs.google.com/spreadsheets/d/1KbRFOEYB0B44J_NSh1MwYQ1sLDlZXUHI-wuMLcZDn5k/edit"",""15!e40"")"),1497)</f>
        <v>1497</v>
      </c>
      <c r="H391" s="18">
        <f ca="1">IFERROR(__xludf.DUMMYFUNCTION("IMPORTRANGE(""https://docs.google.com/spreadsheets/d/1KbRFOEYB0B44J_NSh1MwYQ1sLDlZXUHI-wuMLcZDn5k/edit"",""15!e41"")"),73)</f>
        <v>73</v>
      </c>
      <c r="I391" s="18">
        <f t="shared" ca="1" si="1062"/>
        <v>1570</v>
      </c>
      <c r="J391" s="18">
        <f ca="1">IFERROR(__xludf.DUMMYFUNCTION("IMPORTRANGE(""https://docs.google.com/spreadsheets/d/1KbRFOEYB0B44J_NSh1MwYQ1sLDlZXUHI-wuMLcZDn5k/edit"",""15!e44"")"),3042)</f>
        <v>3042</v>
      </c>
      <c r="K391" s="18">
        <f ca="1">IFERROR(__xludf.DUMMYFUNCTION("IMPORTRANGE(""https://docs.google.com/spreadsheets/d/1KbRFOEYB0B44J_NSh1MwYQ1sLDlZXUHI-wuMLcZDn5k/edit"",""15!e45"")"),327)</f>
        <v>327</v>
      </c>
      <c r="L391" s="18">
        <f ca="1">J391+K391</f>
        <v>3369</v>
      </c>
      <c r="M391" s="18">
        <f t="shared" ca="1" si="1064"/>
        <v>4939</v>
      </c>
      <c r="N391" s="19">
        <f t="shared" ca="1" si="1065"/>
        <v>189.83703703703705</v>
      </c>
      <c r="O391" s="16">
        <v>6622</v>
      </c>
      <c r="P391" s="20">
        <f t="shared" ca="1" si="1066"/>
        <v>0.74584717607973416</v>
      </c>
      <c r="Q391" s="21">
        <v>1.5</v>
      </c>
      <c r="R391" s="20">
        <f t="shared" ca="1" si="1067"/>
        <v>0.6423963373393683</v>
      </c>
      <c r="S391" s="22">
        <f t="shared" ca="1" si="1068"/>
        <v>0.9635945060090525</v>
      </c>
      <c r="T391" s="21">
        <f ca="1">F391/23.84</f>
        <v>215.00000000000003</v>
      </c>
      <c r="U391" s="21">
        <f t="shared" ca="1" si="1069"/>
        <v>7.9629629629629637</v>
      </c>
      <c r="V391" s="18">
        <f t="shared" ca="1" si="1070"/>
        <v>182.92592592592592</v>
      </c>
      <c r="W391" s="76"/>
      <c r="X391" s="8">
        <v>2</v>
      </c>
      <c r="Y391" s="8" t="s">
        <v>30</v>
      </c>
      <c r="Z391" s="8">
        <f t="shared" ref="Z391:AI391" si="1090">SUM(D386)</f>
        <v>48</v>
      </c>
      <c r="AA391" s="9">
        <f t="shared" ca="1" si="1090"/>
        <v>46</v>
      </c>
      <c r="AB391" s="10">
        <f t="shared" ca="1" si="1090"/>
        <v>8770.8979999999901</v>
      </c>
      <c r="AC391" s="9">
        <f t="shared" ca="1" si="1090"/>
        <v>2448</v>
      </c>
      <c r="AD391" s="9">
        <f t="shared" ca="1" si="1090"/>
        <v>0</v>
      </c>
      <c r="AE391" s="9">
        <f t="shared" ca="1" si="1090"/>
        <v>2448</v>
      </c>
      <c r="AF391" s="9">
        <f t="shared" ca="1" si="1090"/>
        <v>4264</v>
      </c>
      <c r="AG391" s="9">
        <f t="shared" ca="1" si="1090"/>
        <v>64</v>
      </c>
      <c r="AH391" s="9">
        <f t="shared" ca="1" si="1090"/>
        <v>4328</v>
      </c>
      <c r="AI391" s="9">
        <f t="shared" ca="1" si="1090"/>
        <v>6776</v>
      </c>
      <c r="AJ391" s="11">
        <f t="shared" ca="1" si="1082"/>
        <v>190.6716956521737</v>
      </c>
      <c r="AK391" s="8">
        <f t="shared" si="1083"/>
        <v>11164</v>
      </c>
      <c r="AL391" s="12">
        <f t="shared" ca="1" si="1084"/>
        <v>0.60695091365102116</v>
      </c>
      <c r="AM391" s="13">
        <f t="shared" si="1085"/>
        <v>1.5</v>
      </c>
      <c r="AN391" s="12">
        <f t="shared" ca="1" si="1086"/>
        <v>0.51503658272315311</v>
      </c>
      <c r="AO391" s="14">
        <f t="shared" ca="1" si="1087"/>
        <v>0.77255487408472967</v>
      </c>
      <c r="AP391" s="13">
        <f t="shared" ref="AP391:AQ391" ca="1" si="1091">SUM(T386)</f>
        <v>296.28409282842921</v>
      </c>
      <c r="AQ391" s="13">
        <f t="shared" ca="1" si="1091"/>
        <v>6.4409585397484612</v>
      </c>
      <c r="AR391" s="9">
        <f t="shared" ca="1" si="1089"/>
        <v>147.30434782608697</v>
      </c>
      <c r="AS391" s="76"/>
      <c r="AT391" s="76"/>
    </row>
    <row r="392" spans="1:46" ht="15.75" customHeight="1" x14ac:dyDescent="0.25">
      <c r="A392" s="70"/>
      <c r="B392" s="16">
        <v>9</v>
      </c>
      <c r="C392" s="16" t="s">
        <v>36</v>
      </c>
      <c r="D392" s="34">
        <v>23</v>
      </c>
      <c r="E392" s="18">
        <f ca="1">IFERROR(__xludf.DUMMYFUNCTION("COUNT(IMPORTRANGE(""https://docs.google.com/spreadsheets/d/1VqqqRGfmmkT0JC4ILJva2p8P11jjV0FX-TSKAaqOigw/edit"",""15!d2:d31""))"),23)</f>
        <v>23</v>
      </c>
      <c r="F392" s="23">
        <f ca="1">IFERROR(__xludf.DUMMYFUNCTION("SUM(IMPORTRANGE(""https://docs.google.com/spreadsheets/d/1VqqqRGfmmkT0JC4ILJva2p8P11jjV0FX-TSKAaqOigw/edit"",""15!Q2:Q31""))"),4520.71)</f>
        <v>4520.71</v>
      </c>
      <c r="G392" s="18">
        <f ca="1">IFERROR(__xludf.DUMMYFUNCTION("IMPORTRANGE(""https://docs.google.com/spreadsheets/d/1VqqqRGfmmkT0JC4ILJva2p8P11jjV0FX-TSKAaqOigw/edit"",""15!e38"")"),1063)</f>
        <v>1063</v>
      </c>
      <c r="H392" s="18">
        <f ca="1">IFERROR(__xludf.DUMMYFUNCTION("IMPORTRANGE(""https://docs.google.com/spreadsheets/d/1VqqqRGfmmkT0JC4ILJva2p8P11jjV0FX-TSKAaqOigw/edit"",""15!e39"")"),0)</f>
        <v>0</v>
      </c>
      <c r="I392" s="18">
        <f t="shared" ca="1" si="1062"/>
        <v>1063</v>
      </c>
      <c r="J392" s="18">
        <f ca="1">IFERROR(__xludf.DUMMYFUNCTION("IMPORTRANGE(""https://docs.google.com/spreadsheets/d/1VqqqRGfmmkT0JC4ILJva2p8P11jjV0FX-TSKAaqOigw/edit"",""15!e42"")"),2162)</f>
        <v>2162</v>
      </c>
      <c r="K392" s="18">
        <f ca="1">IFERROR(__xludf.DUMMYFUNCTION("IMPORTRANGE(""https://docs.google.com/spreadsheets/d/1VqqqRGfmmkT0JC4ILJva2p8P11jjV0FX-TSKAaqOigw/edit"",""15!e43"")"),0)</f>
        <v>0</v>
      </c>
      <c r="L392" s="18">
        <f t="shared" ref="L392:L401" ca="1" si="1092">SUM(J392:K392)</f>
        <v>2162</v>
      </c>
      <c r="M392" s="18">
        <f t="shared" ca="1" si="1064"/>
        <v>3225</v>
      </c>
      <c r="N392" s="19">
        <f t="shared" ca="1" si="1065"/>
        <v>196.55260869565217</v>
      </c>
      <c r="O392" s="16">
        <v>4796</v>
      </c>
      <c r="P392" s="20">
        <f t="shared" ca="1" si="1066"/>
        <v>0.67243536280233529</v>
      </c>
      <c r="Q392" s="21">
        <v>1.5</v>
      </c>
      <c r="R392" s="20">
        <f t="shared" ca="1" si="1067"/>
        <v>0.47558901146058918</v>
      </c>
      <c r="S392" s="22">
        <f t="shared" ca="1" si="1068"/>
        <v>0.71338351719088378</v>
      </c>
      <c r="T392" s="21">
        <f ca="1">F392/37.414</f>
        <v>120.82936868551879</v>
      </c>
      <c r="U392" s="21">
        <f t="shared" ca="1" si="1069"/>
        <v>5.2534508124138606</v>
      </c>
      <c r="V392" s="18">
        <f t="shared" ca="1" si="1070"/>
        <v>140.21739130434781</v>
      </c>
      <c r="W392" s="76"/>
      <c r="X392" s="8">
        <v>3</v>
      </c>
      <c r="Y392" s="8" t="s">
        <v>34</v>
      </c>
      <c r="Z392" s="8">
        <f t="shared" ref="Z392:AI392" si="1093">SUM(D388)</f>
        <v>32</v>
      </c>
      <c r="AA392" s="9">
        <f t="shared" ca="1" si="1093"/>
        <v>31</v>
      </c>
      <c r="AB392" s="10">
        <f t="shared" ca="1" si="1093"/>
        <v>6051.3810000000003</v>
      </c>
      <c r="AC392" s="9">
        <f t="shared" ca="1" si="1093"/>
        <v>1948</v>
      </c>
      <c r="AD392" s="9">
        <f t="shared" ca="1" si="1093"/>
        <v>0</v>
      </c>
      <c r="AE392" s="9">
        <f t="shared" ca="1" si="1093"/>
        <v>1948</v>
      </c>
      <c r="AF392" s="9">
        <f t="shared" ca="1" si="1093"/>
        <v>2608</v>
      </c>
      <c r="AG392" s="9">
        <f t="shared" ca="1" si="1093"/>
        <v>0</v>
      </c>
      <c r="AH392" s="9">
        <f t="shared" ca="1" si="1093"/>
        <v>2608</v>
      </c>
      <c r="AI392" s="9">
        <f t="shared" ca="1" si="1093"/>
        <v>4556</v>
      </c>
      <c r="AJ392" s="11">
        <f t="shared" ca="1" si="1082"/>
        <v>195.20583870967744</v>
      </c>
      <c r="AK392" s="8">
        <f>SUM(O388)</f>
        <v>9354</v>
      </c>
      <c r="AL392" s="12">
        <f t="shared" ca="1" si="1084"/>
        <v>0.48706435749412014</v>
      </c>
      <c r="AM392" s="13">
        <f>SUM(Q388)</f>
        <v>1.5</v>
      </c>
      <c r="AN392" s="12">
        <f t="shared" ca="1" si="1086"/>
        <v>0.50192399608177596</v>
      </c>
      <c r="AO392" s="14">
        <f t="shared" ca="1" si="1087"/>
        <v>0.75288599412266388</v>
      </c>
      <c r="AP392" s="13">
        <f t="shared" ref="AP392:AQ392" ca="1" si="1094">SUM(T388)</f>
        <v>197.02995474229155</v>
      </c>
      <c r="AQ392" s="13">
        <f t="shared" ca="1" si="1094"/>
        <v>6.3558049916868242</v>
      </c>
      <c r="AR392" s="9">
        <f t="shared" ca="1" si="1089"/>
        <v>146.96774193548387</v>
      </c>
      <c r="AS392" s="76"/>
      <c r="AT392" s="76"/>
    </row>
    <row r="393" spans="1:46" ht="15.75" customHeight="1" x14ac:dyDescent="0.25">
      <c r="A393" s="70"/>
      <c r="B393" s="16">
        <v>10</v>
      </c>
      <c r="C393" s="16" t="s">
        <v>37</v>
      </c>
      <c r="D393" s="17">
        <v>24</v>
      </c>
      <c r="E393" s="18">
        <f ca="1">IFERROR(__xludf.DUMMYFUNCTION("COUNT(IMPORTRANGE(""https://docs.google.com/spreadsheets/d/1IYeRjQd_D6MRqoBKNaky3aSEUloYCJc5XDnPAbdyetk/edit"",""15!d2:d31""))"),24)</f>
        <v>24</v>
      </c>
      <c r="F393" s="23">
        <f ca="1">IFERROR(__xludf.DUMMYFUNCTION("SUM(IMPORTRANGE(""https://docs.google.com/spreadsheets/d/1IYeRjQd_D6MRqoBKNaky3aSEUloYCJc5XDnPAbdyetk/edit"",""15!Q2:Q31""))"),4795.71599999999)</f>
        <v>4795.7159999999903</v>
      </c>
      <c r="G393" s="18">
        <f ca="1">IFERROR(__xludf.DUMMYFUNCTION("(IMPORTRANGE(""https://docs.google.com/spreadsheets/d/1IYeRjQd_D6MRqoBKNaky3aSEUloYCJc5XDnPAbdyetk/edit"",""15!e38""))"),1429)</f>
        <v>1429</v>
      </c>
      <c r="H393" s="18">
        <f ca="1">IFERROR(__xludf.DUMMYFUNCTION("(IMPORTRANGE(""https://docs.google.com/spreadsheets/d/1IYeRjQd_D6MRqoBKNaky3aSEUloYCJc5XDnPAbdyetk/edit"",""15!e39""))"),0)</f>
        <v>0</v>
      </c>
      <c r="I393" s="18">
        <f t="shared" ca="1" si="1062"/>
        <v>1429</v>
      </c>
      <c r="J393" s="18">
        <f ca="1">IFERROR(__xludf.DUMMYFUNCTION("(IMPORTRANGE(""https://docs.google.com/spreadsheets/d/1IYeRjQd_D6MRqoBKNaky3aSEUloYCJc5XDnPAbdyetk/edit"",""15!e42""))"),2385)</f>
        <v>2385</v>
      </c>
      <c r="K393" s="18">
        <f ca="1">IFERROR(__xludf.DUMMYFUNCTION("(IMPORTRANGE(""https://docs.google.com/spreadsheets/d/1IYeRjQd_D6MRqoBKNaky3aSEUloYCJc5XDnPAbdyetk/edit"",""15!e43""))"),0)</f>
        <v>0</v>
      </c>
      <c r="L393" s="18">
        <f t="shared" ca="1" si="1092"/>
        <v>2385</v>
      </c>
      <c r="M393" s="18">
        <f t="shared" ca="1" si="1064"/>
        <v>3814</v>
      </c>
      <c r="N393" s="19">
        <f t="shared" ca="1" si="1065"/>
        <v>199.82149999999959</v>
      </c>
      <c r="O393" s="16">
        <v>5887</v>
      </c>
      <c r="P393" s="20">
        <f t="shared" ca="1" si="1066"/>
        <v>0.64786818413453373</v>
      </c>
      <c r="Q393" s="21">
        <v>1.5</v>
      </c>
      <c r="R393" s="20">
        <f t="shared" ca="1" si="1067"/>
        <v>0.5301954216360335</v>
      </c>
      <c r="S393" s="22">
        <f t="shared" ca="1" si="1068"/>
        <v>0.7952931324540502</v>
      </c>
      <c r="T393" s="21">
        <f ca="1">F393/24.792</f>
        <v>193.4380445304933</v>
      </c>
      <c r="U393" s="21">
        <f t="shared" ca="1" si="1069"/>
        <v>8.0599185221038869</v>
      </c>
      <c r="V393" s="18">
        <f t="shared" ca="1" si="1070"/>
        <v>158.91666666666666</v>
      </c>
      <c r="W393" s="76"/>
      <c r="X393" s="8">
        <v>4</v>
      </c>
      <c r="Y393" s="8" t="s">
        <v>38</v>
      </c>
      <c r="Z393" s="8">
        <f t="shared" ref="Z393:AI393" si="1095">SUM(D396)</f>
        <v>24</v>
      </c>
      <c r="AA393" s="9">
        <f t="shared" ca="1" si="1095"/>
        <v>24</v>
      </c>
      <c r="AB393" s="10">
        <f t="shared" ca="1" si="1095"/>
        <v>4656.165</v>
      </c>
      <c r="AC393" s="9">
        <f t="shared" ca="1" si="1095"/>
        <v>1454</v>
      </c>
      <c r="AD393" s="9">
        <f t="shared" ca="1" si="1095"/>
        <v>0</v>
      </c>
      <c r="AE393" s="9">
        <f t="shared" ca="1" si="1095"/>
        <v>1454</v>
      </c>
      <c r="AF393" s="9">
        <f t="shared" ca="1" si="1095"/>
        <v>1776</v>
      </c>
      <c r="AG393" s="9">
        <f t="shared" ca="1" si="1095"/>
        <v>164</v>
      </c>
      <c r="AH393" s="9">
        <f t="shared" ca="1" si="1095"/>
        <v>1940</v>
      </c>
      <c r="AI393" s="9">
        <f t="shared" ca="1" si="1095"/>
        <v>3394</v>
      </c>
      <c r="AJ393" s="11">
        <f t="shared" ca="1" si="1082"/>
        <v>194.00687500000001</v>
      </c>
      <c r="AK393" s="8">
        <v>7324</v>
      </c>
      <c r="AL393" s="12">
        <f t="shared" ca="1" si="1084"/>
        <v>0.46340797378481702</v>
      </c>
      <c r="AM393" s="13">
        <f>SUM(Q396)</f>
        <v>1.5</v>
      </c>
      <c r="AN393" s="12">
        <f t="shared" ca="1" si="1086"/>
        <v>0.48595070549833747</v>
      </c>
      <c r="AO393" s="14">
        <f t="shared" ca="1" si="1087"/>
        <v>0.72892605824750623</v>
      </c>
      <c r="AP393" s="13">
        <f t="shared" ref="AP393:AQ393" ca="1" si="1096">SUM(T396)</f>
        <v>113</v>
      </c>
      <c r="AQ393" s="13">
        <f t="shared" ca="1" si="1096"/>
        <v>4.708333333333333</v>
      </c>
      <c r="AR393" s="9">
        <f t="shared" ca="1" si="1089"/>
        <v>141.41666666666666</v>
      </c>
      <c r="AS393" s="76"/>
      <c r="AT393" s="76"/>
    </row>
    <row r="394" spans="1:46" ht="15.75" customHeight="1" x14ac:dyDescent="0.25">
      <c r="A394" s="70"/>
      <c r="B394" s="16">
        <v>12</v>
      </c>
      <c r="C394" s="16" t="s">
        <v>39</v>
      </c>
      <c r="D394" s="17">
        <v>22</v>
      </c>
      <c r="E394" s="18">
        <f ca="1">IFERROR(__xludf.DUMMYFUNCTION("COUNT(IMPORTRANGE(""https://docs.google.com/spreadsheets/d/1TAY2D35yAzyl8a_p5CuZehQvmatfj0b0Q8ICl8GtJBY/edit"",""15!d2:d29""))"),21)</f>
        <v>21</v>
      </c>
      <c r="F394" s="23">
        <f ca="1">IFERROR(__xludf.DUMMYFUNCTION("SUM(IMPORTRANGE(""https://docs.google.com/spreadsheets/d/1TAY2D35yAzyl8a_p5CuZehQvmatfj0b0Q8ICl8GtJBY/edit"",""15!Q2:Q29""))"),4190.74199999999)</f>
        <v>4190.7419999999902</v>
      </c>
      <c r="G394" s="18">
        <f ca="1">IFERROR(__xludf.DUMMYFUNCTION("IMPORTRANGE(""https://docs.google.com/spreadsheets/d/1TAY2D35yAzyl8a_p5CuZehQvmatfj0b0Q8ICl8GtJBY/edit"",""15!e36"")"),1025)</f>
        <v>1025</v>
      </c>
      <c r="H394" s="18">
        <f ca="1">IFERROR(__xludf.DUMMYFUNCTION("(IMPORTRANGE(""https://docs.google.com/spreadsheets/d/1TAY2D35yAzyl8a_p5CuZehQvmatfj0b0Q8ICl8GtJBY/edit"",""15!e37""))"),0)</f>
        <v>0</v>
      </c>
      <c r="I394" s="18">
        <f t="shared" ca="1" si="1062"/>
        <v>1025</v>
      </c>
      <c r="J394" s="18">
        <f ca="1">IFERROR(__xludf.DUMMYFUNCTION("IMPORTRANGE(""https://docs.google.com/spreadsheets/d/1TAY2D35yAzyl8a_p5CuZehQvmatfj0b0Q8ICl8GtJBY/edit"",""15!e40"")"),1698)</f>
        <v>1698</v>
      </c>
      <c r="K394" s="18">
        <f ca="1">IFERROR(__xludf.DUMMYFUNCTION("IMPORTRANGE(""https://docs.google.com/spreadsheets/d/1TAY2D35yAzyl8a_p5CuZehQvmatfj0b0Q8ICl8GtJBY/edit"",""15!e41"")"),0)</f>
        <v>0</v>
      </c>
      <c r="L394" s="18">
        <f t="shared" ca="1" si="1092"/>
        <v>1698</v>
      </c>
      <c r="M394" s="18">
        <f t="shared" ca="1" si="1064"/>
        <v>2723</v>
      </c>
      <c r="N394" s="19">
        <f t="shared" ca="1" si="1065"/>
        <v>199.55914285714238</v>
      </c>
      <c r="O394" s="16">
        <v>3569</v>
      </c>
      <c r="P394" s="20">
        <f t="shared" ca="1" si="1066"/>
        <v>0.76295881199215465</v>
      </c>
      <c r="Q394" s="21">
        <v>1.5</v>
      </c>
      <c r="R394" s="20">
        <f t="shared" ca="1" si="1067"/>
        <v>0.433177068245513</v>
      </c>
      <c r="S394" s="22">
        <f t="shared" ca="1" si="1068"/>
        <v>0.64976560236826952</v>
      </c>
      <c r="T394" s="21">
        <f ca="1">F394/21.463</f>
        <v>195.25425150258539</v>
      </c>
      <c r="U394" s="21">
        <f t="shared" ca="1" si="1069"/>
        <v>9.2978215001231135</v>
      </c>
      <c r="V394" s="18">
        <f t="shared" ca="1" si="1070"/>
        <v>129.66666666666666</v>
      </c>
      <c r="W394" s="76"/>
      <c r="X394" s="8">
        <v>5</v>
      </c>
      <c r="Y394" s="8" t="s">
        <v>40</v>
      </c>
      <c r="Z394" s="8">
        <f t="shared" ref="Z394:AI394" si="1097">SUM(D398)</f>
        <v>24</v>
      </c>
      <c r="AA394" s="9">
        <f t="shared" ca="1" si="1097"/>
        <v>24</v>
      </c>
      <c r="AB394" s="10">
        <f t="shared" ca="1" si="1097"/>
        <v>4778.424</v>
      </c>
      <c r="AC394" s="9">
        <f t="shared" ca="1" si="1097"/>
        <v>2574</v>
      </c>
      <c r="AD394" s="9">
        <f t="shared" ca="1" si="1097"/>
        <v>13</v>
      </c>
      <c r="AE394" s="9">
        <f t="shared" ca="1" si="1097"/>
        <v>2587</v>
      </c>
      <c r="AF394" s="9">
        <f t="shared" ca="1" si="1097"/>
        <v>3248</v>
      </c>
      <c r="AG394" s="9">
        <f t="shared" ca="1" si="1097"/>
        <v>0</v>
      </c>
      <c r="AH394" s="9">
        <f t="shared" ca="1" si="1097"/>
        <v>3248</v>
      </c>
      <c r="AI394" s="9">
        <f t="shared" ca="1" si="1097"/>
        <v>5835</v>
      </c>
      <c r="AJ394" s="11">
        <f t="shared" ca="1" si="1082"/>
        <v>199.101</v>
      </c>
      <c r="AK394" s="8">
        <f t="shared" ref="AK394:AK395" si="1098">SUM(O398)</f>
        <v>8239</v>
      </c>
      <c r="AL394" s="12">
        <f t="shared" ca="1" si="1084"/>
        <v>0.70821701662823155</v>
      </c>
      <c r="AM394" s="13">
        <f t="shared" ref="AM394:AM395" si="1099">SUM(Q398)</f>
        <v>1.5</v>
      </c>
      <c r="AN394" s="12">
        <f t="shared" ca="1" si="1086"/>
        <v>0.81407593800801259</v>
      </c>
      <c r="AO394" s="14">
        <f t="shared" ca="1" si="1087"/>
        <v>1.2211139070120189</v>
      </c>
      <c r="AP394" s="13">
        <f t="shared" ref="AP394:AQ394" ca="1" si="1100">SUM(T398)</f>
        <v>168</v>
      </c>
      <c r="AQ394" s="13">
        <f t="shared" ca="1" si="1100"/>
        <v>7</v>
      </c>
      <c r="AR394" s="9">
        <f t="shared" ca="1" si="1089"/>
        <v>243.125</v>
      </c>
      <c r="AS394" s="76"/>
      <c r="AT394" s="76"/>
    </row>
    <row r="395" spans="1:46" ht="15.75" customHeight="1" x14ac:dyDescent="0.25">
      <c r="A395" s="70"/>
      <c r="B395" s="16">
        <v>12</v>
      </c>
      <c r="C395" s="16" t="s">
        <v>41</v>
      </c>
      <c r="D395" s="17">
        <v>20</v>
      </c>
      <c r="E395" s="18">
        <f ca="1">IFERROR(__xludf.DUMMYFUNCTION("COUNT(IMPORTRANGE(""https://docs.google.com/spreadsheets/d/1VAsUtLQHi7oV9NsI9EIHPnO1bcPJHeRgSbMoxSvPBME/edit"",""15!d2:d25""))"),20)</f>
        <v>20</v>
      </c>
      <c r="F395" s="23">
        <f ca="1">IFERROR(__xludf.DUMMYFUNCTION("SUM(IMPORTRANGE(""https://docs.google.com/spreadsheets/d/1VAsUtLQHi7oV9NsI9EIHPnO1bcPJHeRgSbMoxSvPBME/edit"",""15!Q2:Q25""))"),3887.852)</f>
        <v>3887.8519999999999</v>
      </c>
      <c r="G395" s="18">
        <f ca="1">IFERROR(__xludf.DUMMYFUNCTION("IMPORTRANGE(""https://docs.google.com/spreadsheets/d/1VAsUtLQHi7oV9NsI9EIHPnO1bcPJHeRgSbMoxSvPBME/edit"",""15!e32"")"),986)</f>
        <v>986</v>
      </c>
      <c r="H395" s="18">
        <f ca="1">IFERROR(__xludf.DUMMYFUNCTION("IMPORTRANGE(""https://docs.google.com/spreadsheets/d/1VAsUtLQHi7oV9NsI9EIHPnO1bcPJHeRgSbMoxSvPBME/edit"",""15!e33"")"),0)</f>
        <v>0</v>
      </c>
      <c r="I395" s="18">
        <f t="shared" ca="1" si="1062"/>
        <v>986</v>
      </c>
      <c r="J395" s="18">
        <f ca="1">IFERROR(__xludf.DUMMYFUNCTION("IMPORTRANGE(""https://docs.google.com/spreadsheets/d/1VAsUtLQHi7oV9NsI9EIHPnO1bcPJHeRgSbMoxSvPBME/edit"",""15!e36"")"),1238)</f>
        <v>1238</v>
      </c>
      <c r="K395" s="18">
        <f ca="1">IFERROR(__xludf.DUMMYFUNCTION("IMPORTRANGE(""https://docs.google.com/spreadsheets/d/1VAsUtLQHi7oV9NsI9EIHPnO1bcPJHeRgSbMoxSvPBME/edit"",""15!e37"")"),0)</f>
        <v>0</v>
      </c>
      <c r="L395" s="18">
        <f t="shared" ca="1" si="1092"/>
        <v>1238</v>
      </c>
      <c r="M395" s="18">
        <f t="shared" ca="1" si="1064"/>
        <v>2224</v>
      </c>
      <c r="N395" s="19">
        <f t="shared" ca="1" si="1065"/>
        <v>194.39259999999999</v>
      </c>
      <c r="O395" s="16">
        <v>3801</v>
      </c>
      <c r="P395" s="20">
        <f t="shared" ca="1" si="1066"/>
        <v>0.58510918179426463</v>
      </c>
      <c r="Q395" s="21">
        <v>1.5</v>
      </c>
      <c r="R395" s="20">
        <f t="shared" ca="1" si="1067"/>
        <v>0.38135882401559185</v>
      </c>
      <c r="S395" s="22">
        <f t="shared" ca="1" si="1068"/>
        <v>0.57203823602338777</v>
      </c>
      <c r="T395" s="21">
        <f ca="1">F395/29.628</f>
        <v>131.22222222222223</v>
      </c>
      <c r="U395" s="21">
        <f t="shared" ca="1" si="1069"/>
        <v>6.5611111111111118</v>
      </c>
      <c r="V395" s="18">
        <f t="shared" ca="1" si="1070"/>
        <v>111.2</v>
      </c>
      <c r="W395" s="76"/>
      <c r="X395" s="8">
        <v>6</v>
      </c>
      <c r="Y395" s="8" t="s">
        <v>42</v>
      </c>
      <c r="Z395" s="8">
        <f t="shared" ref="Z395:AI395" si="1101">SUM(D399)</f>
        <v>26</v>
      </c>
      <c r="AA395" s="9">
        <f t="shared" ca="1" si="1101"/>
        <v>25</v>
      </c>
      <c r="AB395" s="10">
        <f t="shared" ca="1" si="1101"/>
        <v>4767.9029999999902</v>
      </c>
      <c r="AC395" s="9">
        <f t="shared" ca="1" si="1101"/>
        <v>2538</v>
      </c>
      <c r="AD395" s="9">
        <f t="shared" ca="1" si="1101"/>
        <v>0</v>
      </c>
      <c r="AE395" s="9">
        <f t="shared" ca="1" si="1101"/>
        <v>2538</v>
      </c>
      <c r="AF395" s="9">
        <f t="shared" ca="1" si="1101"/>
        <v>3087</v>
      </c>
      <c r="AG395" s="9">
        <f t="shared" ca="1" si="1101"/>
        <v>0</v>
      </c>
      <c r="AH395" s="9">
        <f t="shared" ca="1" si="1101"/>
        <v>3087</v>
      </c>
      <c r="AI395" s="9">
        <f t="shared" ca="1" si="1101"/>
        <v>5625</v>
      </c>
      <c r="AJ395" s="11">
        <f t="shared" ca="1" si="1082"/>
        <v>190.71611999999962</v>
      </c>
      <c r="AK395" s="8">
        <f t="shared" si="1098"/>
        <v>9877</v>
      </c>
      <c r="AL395" s="12">
        <f t="shared" ca="1" si="1084"/>
        <v>0.56950491039789408</v>
      </c>
      <c r="AM395" s="13">
        <f t="shared" si="1099"/>
        <v>1.5</v>
      </c>
      <c r="AN395" s="12">
        <f t="shared" ca="1" si="1086"/>
        <v>0.78650928930391573</v>
      </c>
      <c r="AO395" s="14">
        <f t="shared" ca="1" si="1087"/>
        <v>1.1797639339558736</v>
      </c>
      <c r="AP395" s="13">
        <f t="shared" ref="AP395:AQ395" ca="1" si="1102">SUM(T399)</f>
        <v>182.2941311412728</v>
      </c>
      <c r="AQ395" s="13">
        <f t="shared" ca="1" si="1102"/>
        <v>7.2917652456509119</v>
      </c>
      <c r="AR395" s="9">
        <f t="shared" ca="1" si="1089"/>
        <v>225</v>
      </c>
      <c r="AS395" s="76"/>
      <c r="AT395" s="76"/>
    </row>
    <row r="396" spans="1:46" ht="15.75" customHeight="1" x14ac:dyDescent="0.25">
      <c r="A396" s="70"/>
      <c r="B396" s="16">
        <v>13</v>
      </c>
      <c r="C396" s="16" t="s">
        <v>43</v>
      </c>
      <c r="D396" s="17">
        <v>24</v>
      </c>
      <c r="E396" s="18">
        <f ca="1">IFERROR(__xludf.DUMMYFUNCTION("COUNT(IMPORTRANGE(""https://docs.google.com/spreadsheets/d/1p9Y_DGk7-TpRBFth-ljZceOIGCjQ0ylUeUq6xqnsZ-Q/edit"",""15!d2:d31""))"),24)</f>
        <v>24</v>
      </c>
      <c r="F396" s="23">
        <f ca="1">IFERROR(__xludf.DUMMYFUNCTION("SUM(IMPORTRANGE(""https://docs.google.com/spreadsheets/d/1p9Y_DGk7-TpRBFth-ljZceOIGCjQ0ylUeUq6xqnsZ-Q/edit"",""15!Q2:Q31""))"),4656.165)</f>
        <v>4656.165</v>
      </c>
      <c r="G396" s="18">
        <f ca="1">IFERROR(__xludf.DUMMYFUNCTION("IMPORTRANGE(""https://docs.google.com/spreadsheets/d/1p9Y_DGk7-TpRBFth-ljZceOIGCjQ0ylUeUq6xqnsZ-Q/edit"",""15!e38"")"),1454)</f>
        <v>1454</v>
      </c>
      <c r="H396" s="18">
        <f ca="1">IFERROR(__xludf.DUMMYFUNCTION("IMPORTRANGE(""https://docs.google.com/spreadsheets/d/1p9Y_DGk7-TpRBFth-ljZceOIGCjQ0ylUeUq6xqnsZ-Q/edit"",""15!e39"")"),0)</f>
        <v>0</v>
      </c>
      <c r="I396" s="18">
        <f t="shared" ca="1" si="1062"/>
        <v>1454</v>
      </c>
      <c r="J396" s="18">
        <f ca="1">IFERROR(__xludf.DUMMYFUNCTION("IMPORTRANGE(""https://docs.google.com/spreadsheets/d/1p9Y_DGk7-TpRBFth-ljZceOIGCjQ0ylUeUq6xqnsZ-Q/edit"",""15!e42"")"),1776)</f>
        <v>1776</v>
      </c>
      <c r="K396" s="18">
        <f ca="1">IFERROR(__xludf.DUMMYFUNCTION("IMPORTRANGE(""https://docs.google.com/spreadsheets/d/1p9Y_DGk7-TpRBFth-ljZceOIGCjQ0ylUeUq6xqnsZ-Q/edit"",""15!e43"")"),164)</f>
        <v>164</v>
      </c>
      <c r="L396" s="18">
        <f t="shared" ca="1" si="1092"/>
        <v>1940</v>
      </c>
      <c r="M396" s="18">
        <f t="shared" ca="1" si="1064"/>
        <v>3394</v>
      </c>
      <c r="N396" s="19">
        <f t="shared" ca="1" si="1065"/>
        <v>194.00687500000001</v>
      </c>
      <c r="O396" s="16">
        <v>8345</v>
      </c>
      <c r="P396" s="20">
        <f t="shared" ca="1" si="1066"/>
        <v>0.40671060515278612</v>
      </c>
      <c r="Q396" s="21">
        <v>1.5</v>
      </c>
      <c r="R396" s="20">
        <f t="shared" ca="1" si="1067"/>
        <v>0.48595070549833747</v>
      </c>
      <c r="S396" s="22">
        <f t="shared" ca="1" si="1068"/>
        <v>0.72892605824750623</v>
      </c>
      <c r="T396" s="21">
        <f ca="1">F396/41.205</f>
        <v>113</v>
      </c>
      <c r="U396" s="21">
        <f t="shared" ca="1" si="1069"/>
        <v>4.708333333333333</v>
      </c>
      <c r="V396" s="18">
        <f t="shared" ca="1" si="1070"/>
        <v>141.41666666666666</v>
      </c>
      <c r="W396" s="76"/>
      <c r="X396" s="24" t="s">
        <v>33</v>
      </c>
      <c r="Y396" s="24">
        <v>6</v>
      </c>
      <c r="Z396" s="24">
        <f t="shared" ref="Z396:AI396" si="1103">SUM(Z390:Z395)</f>
        <v>180</v>
      </c>
      <c r="AA396" s="25">
        <f t="shared" ca="1" si="1103"/>
        <v>175</v>
      </c>
      <c r="AB396" s="27">
        <f t="shared" ca="1" si="1103"/>
        <v>33870.893999999978</v>
      </c>
      <c r="AC396" s="25">
        <f t="shared" ca="1" si="1103"/>
        <v>12662</v>
      </c>
      <c r="AD396" s="25">
        <f t="shared" ca="1" si="1103"/>
        <v>102</v>
      </c>
      <c r="AE396" s="25">
        <f t="shared" ca="1" si="1103"/>
        <v>12764</v>
      </c>
      <c r="AF396" s="25">
        <f t="shared" ca="1" si="1103"/>
        <v>17143</v>
      </c>
      <c r="AG396" s="25">
        <f t="shared" ca="1" si="1103"/>
        <v>377</v>
      </c>
      <c r="AH396" s="25">
        <f t="shared" ca="1" si="1103"/>
        <v>17520</v>
      </c>
      <c r="AI396" s="25">
        <f t="shared" ca="1" si="1103"/>
        <v>30284</v>
      </c>
      <c r="AJ396" s="27">
        <f t="shared" ca="1" si="1082"/>
        <v>193.5479657142856</v>
      </c>
      <c r="AK396" s="24">
        <f>SUM(AK390:AK395)</f>
        <v>53273</v>
      </c>
      <c r="AL396" s="28">
        <f t="shared" ca="1" si="1084"/>
        <v>0.56846807951495126</v>
      </c>
      <c r="AM396" s="29">
        <v>1.5</v>
      </c>
      <c r="AN396" s="28">
        <f t="shared" ca="1" si="1086"/>
        <v>0.59606732946976082</v>
      </c>
      <c r="AO396" s="30">
        <f t="shared" ca="1" si="1087"/>
        <v>0.89410099420464129</v>
      </c>
      <c r="AP396" s="29">
        <f ca="1">SUM(AP390:AP395)</f>
        <v>1113.4558661897422</v>
      </c>
      <c r="AQ396" s="29">
        <f ca="1">AP396/AA396</f>
        <v>6.3626049496556698</v>
      </c>
      <c r="AR396" s="25">
        <f t="shared" ca="1" si="1089"/>
        <v>173.05142857142857</v>
      </c>
      <c r="AS396" s="76"/>
      <c r="AT396" s="76"/>
    </row>
    <row r="397" spans="1:46" ht="15.75" customHeight="1" x14ac:dyDescent="0.25">
      <c r="A397" s="70"/>
      <c r="B397" s="16">
        <v>14</v>
      </c>
      <c r="C397" s="16" t="s">
        <v>27</v>
      </c>
      <c r="D397" s="17">
        <v>24</v>
      </c>
      <c r="E397" s="18">
        <f ca="1">IFERROR(__xludf.DUMMYFUNCTION("COUNT(IMPORTRANGE(""https://docs.google.com/spreadsheets/d/1zJUDEKztv_fercXA0LYNw155qdzS7TJGhWLhquaW5IY/edit"",""15!d2:d31""))"),23)</f>
        <v>23</v>
      </c>
      <c r="F397" s="23">
        <f ca="1">IFERROR(__xludf.DUMMYFUNCTION("SUM(IMPORTRANGE(""https://docs.google.com/spreadsheets/d/1zJUDEKztv_fercXA0LYNw155qdzS7TJGhWLhquaW5IY/edit"",""15!Q2:Q31""))"),4318.67599999999)</f>
        <v>4318.6759999999904</v>
      </c>
      <c r="G397" s="18">
        <f ca="1">IFERROR(__xludf.DUMMYFUNCTION("IMPORTRANGE(""https://docs.google.com/spreadsheets/d/1zJUDEKztv_fercXA0LYNw155qdzS7TJGhWLhquaW5IY/edit"",""15!e38"")"),1980)</f>
        <v>1980</v>
      </c>
      <c r="H397" s="18">
        <f ca="1">IFERROR(__xludf.DUMMYFUNCTION("IMPORTRANGE(""https://docs.google.com/spreadsheets/d/1zJUDEKztv_fercXA0LYNw155qdzS7TJGhWLhquaW5IY/edit"",""15!e39"")"),0)</f>
        <v>0</v>
      </c>
      <c r="I397" s="18">
        <f t="shared" ca="1" si="1062"/>
        <v>1980</v>
      </c>
      <c r="J397" s="18">
        <f ca="1">IFERROR(__xludf.DUMMYFUNCTION("IMPORTRANGE(""https://docs.google.com/spreadsheets/d/1zJUDEKztv_fercXA0LYNw155qdzS7TJGhWLhquaW5IY/edit"",""15!e42"")"),2205)</f>
        <v>2205</v>
      </c>
      <c r="K397" s="18">
        <f ca="1">IFERROR(__xludf.DUMMYFUNCTION("IMPORTRANGE(""https://docs.google.com/spreadsheets/d/1zJUDEKztv_fercXA0LYNw155qdzS7TJGhWLhquaW5IY/edit"",""15!e43"")"),0)</f>
        <v>0</v>
      </c>
      <c r="L397" s="18">
        <f t="shared" ca="1" si="1092"/>
        <v>2205</v>
      </c>
      <c r="M397" s="18">
        <f t="shared" ca="1" si="1064"/>
        <v>4185</v>
      </c>
      <c r="N397" s="19">
        <f t="shared" ca="1" si="1065"/>
        <v>187.76852173913002</v>
      </c>
      <c r="O397" s="16">
        <v>8101</v>
      </c>
      <c r="P397" s="20">
        <f t="shared" ca="1" si="1066"/>
        <v>0.51660288853227998</v>
      </c>
      <c r="Q397" s="21">
        <v>1.5</v>
      </c>
      <c r="R397" s="20">
        <f t="shared" ca="1" si="1067"/>
        <v>0.64603132997242818</v>
      </c>
      <c r="S397" s="22">
        <f t="shared" ca="1" si="1068"/>
        <v>0.96904699495864222</v>
      </c>
      <c r="T397" s="21">
        <f ca="1">F397/19.985</f>
        <v>216.09587190392747</v>
      </c>
      <c r="U397" s="21">
        <f t="shared" ca="1" si="1069"/>
        <v>9.3954726914751081</v>
      </c>
      <c r="V397" s="18">
        <f t="shared" ca="1" si="1070"/>
        <v>181.95652173913044</v>
      </c>
      <c r="W397" s="76"/>
      <c r="X397" s="97" t="s">
        <v>44</v>
      </c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9"/>
      <c r="AS397" s="76"/>
      <c r="AT397" s="76"/>
    </row>
    <row r="398" spans="1:46" ht="15.75" customHeight="1" x14ac:dyDescent="0.25">
      <c r="A398" s="70"/>
      <c r="B398" s="16">
        <v>15</v>
      </c>
      <c r="C398" s="16" t="s">
        <v>40</v>
      </c>
      <c r="D398" s="17">
        <v>24</v>
      </c>
      <c r="E398" s="18">
        <f ca="1">IFERROR(__xludf.DUMMYFUNCTION("COUNT(IMPORTRANGE(""https://docs.google.com/spreadsheets/d/15GJA66Ucb-8RQ5vWVpq5HYaWoZZFX82SCeHChBujbrI/edit"",""15!d2:d31""))"),24)</f>
        <v>24</v>
      </c>
      <c r="F398" s="23">
        <f ca="1">IFERROR(__xludf.DUMMYFUNCTION("SUM(IMPORTRANGE(""https://docs.google.com/spreadsheets/d/15GJA66Ucb-8RQ5vWVpq5HYaWoZZFX82SCeHChBujbrI/edit"",""15!Q2:Q31""))"),4778.424)</f>
        <v>4778.424</v>
      </c>
      <c r="G398" s="18">
        <f ca="1">IFERROR(__xludf.DUMMYFUNCTION("IMPORTRANGE(""https://docs.google.com/spreadsheets/d/15GJA66Ucb-8RQ5vWVpq5HYaWoZZFX82SCeHChBujbrI/edit"",""15!e38"")"),2574)</f>
        <v>2574</v>
      </c>
      <c r="H398" s="18">
        <f ca="1">IFERROR(__xludf.DUMMYFUNCTION("IMPORTRANGE(""https://docs.google.com/spreadsheets/d/15GJA66Ucb-8RQ5vWVpq5HYaWoZZFX82SCeHChBujbrI/edit"",""15!e39"")"),13)</f>
        <v>13</v>
      </c>
      <c r="I398" s="18">
        <f t="shared" ca="1" si="1062"/>
        <v>2587</v>
      </c>
      <c r="J398" s="18">
        <f ca="1">IFERROR(__xludf.DUMMYFUNCTION("IMPORTRANGE(""https://docs.google.com/spreadsheets/d/15GJA66Ucb-8RQ5vWVpq5HYaWoZZFX82SCeHChBujbrI/edit"",""15!e42"")"),3248)</f>
        <v>3248</v>
      </c>
      <c r="K398" s="18">
        <f ca="1">IFERROR(__xludf.DUMMYFUNCTION("IMPORTRANGE(""https://docs.google.com/spreadsheets/d/15GJA66Ucb-8RQ5vWVpq5HYaWoZZFX82SCeHChBujbrI/edit"",""15!e43"")"),0)</f>
        <v>0</v>
      </c>
      <c r="L398" s="18">
        <f t="shared" ca="1" si="1092"/>
        <v>3248</v>
      </c>
      <c r="M398" s="18">
        <f t="shared" ca="1" si="1064"/>
        <v>5835</v>
      </c>
      <c r="N398" s="19">
        <f t="shared" ca="1" si="1065"/>
        <v>199.101</v>
      </c>
      <c r="O398" s="16">
        <v>8239</v>
      </c>
      <c r="P398" s="20">
        <f t="shared" ca="1" si="1066"/>
        <v>0.70821701662823155</v>
      </c>
      <c r="Q398" s="21">
        <v>1.5</v>
      </c>
      <c r="R398" s="20">
        <f t="shared" ca="1" si="1067"/>
        <v>0.81407593800801259</v>
      </c>
      <c r="S398" s="22">
        <f t="shared" ca="1" si="1068"/>
        <v>1.2211139070120189</v>
      </c>
      <c r="T398" s="21">
        <f ca="1">F398/28.443</f>
        <v>168</v>
      </c>
      <c r="U398" s="21">
        <f t="shared" ca="1" si="1069"/>
        <v>7</v>
      </c>
      <c r="V398" s="18">
        <f t="shared" ca="1" si="1070"/>
        <v>243.125</v>
      </c>
      <c r="W398" s="76"/>
      <c r="X398" s="1" t="s">
        <v>2</v>
      </c>
      <c r="Y398" s="1" t="s">
        <v>3</v>
      </c>
      <c r="Z398" s="1" t="s">
        <v>4</v>
      </c>
      <c r="AA398" s="1" t="s">
        <v>5</v>
      </c>
      <c r="AB398" s="2" t="s">
        <v>6</v>
      </c>
      <c r="AC398" s="1" t="s">
        <v>7</v>
      </c>
      <c r="AD398" s="1" t="s">
        <v>8</v>
      </c>
      <c r="AE398" s="1" t="s">
        <v>9</v>
      </c>
      <c r="AF398" s="1" t="s">
        <v>10</v>
      </c>
      <c r="AG398" s="1" t="s">
        <v>11</v>
      </c>
      <c r="AH398" s="1" t="s">
        <v>12</v>
      </c>
      <c r="AI398" s="1" t="s">
        <v>13</v>
      </c>
      <c r="AJ398" s="2" t="s">
        <v>14</v>
      </c>
      <c r="AK398" s="1" t="s">
        <v>15</v>
      </c>
      <c r="AL398" s="1" t="s">
        <v>16</v>
      </c>
      <c r="AM398" s="3" t="s">
        <v>17</v>
      </c>
      <c r="AN398" s="4" t="s">
        <v>18</v>
      </c>
      <c r="AO398" s="5" t="s">
        <v>19</v>
      </c>
      <c r="AP398" s="6" t="s">
        <v>20</v>
      </c>
      <c r="AQ398" s="6" t="s">
        <v>21</v>
      </c>
      <c r="AR398" s="7" t="s">
        <v>22</v>
      </c>
      <c r="AS398" s="76"/>
      <c r="AT398" s="76"/>
    </row>
    <row r="399" spans="1:46" ht="15.75" customHeight="1" x14ac:dyDescent="0.25">
      <c r="A399" s="70"/>
      <c r="B399" s="16">
        <v>16</v>
      </c>
      <c r="C399" s="16" t="s">
        <v>42</v>
      </c>
      <c r="D399" s="17">
        <v>26</v>
      </c>
      <c r="E399" s="18">
        <f ca="1">IFERROR(__xludf.DUMMYFUNCTION("COUNT(IMPORTRANGE(""https://docs.google.com/spreadsheets/d/14Tu_jFPEdrIQ6DHYu6vRvJKQsbXr-48NY1tKy4-8JKI/edit"",""15!d2:d34""))"),25)</f>
        <v>25</v>
      </c>
      <c r="F399" s="23">
        <f ca="1">IFERROR(__xludf.DUMMYFUNCTION("SUM(IMPORTRANGE(""https://docs.google.com/spreadsheets/d/14Tu_jFPEdrIQ6DHYu6vRvJKQsbXr-48NY1tKy4-8JKI/edit"",""15!Q2:Q34""))"),4767.90299999999)</f>
        <v>4767.9029999999902</v>
      </c>
      <c r="G399" s="18">
        <f ca="1">IFERROR(__xludf.DUMMYFUNCTION("IMPORTRANGE(""https://docs.google.com/spreadsheets/d/14Tu_jFPEdrIQ6DHYu6vRvJKQsbXr-48NY1tKy4-8JKI/edit"",""15!e41"")"),2538)</f>
        <v>2538</v>
      </c>
      <c r="H399" s="18">
        <f ca="1">IFERROR(__xludf.DUMMYFUNCTION("IMPORTRANGE(""https://docs.google.com/spreadsheets/d/14Tu_jFPEdrIQ6DHYu6vRvJKQsbXr-48NY1tKy4-8JKI/edit"",""15!e42"")"),0)</f>
        <v>0</v>
      </c>
      <c r="I399" s="18">
        <f t="shared" ca="1" si="1062"/>
        <v>2538</v>
      </c>
      <c r="J399" s="18">
        <f ca="1">IFERROR(__xludf.DUMMYFUNCTION("IMPORTRANGE(""https://docs.google.com/spreadsheets/d/14Tu_jFPEdrIQ6DHYu6vRvJKQsbXr-48NY1tKy4-8JKI/edit"",""15!e45"")"),3087)</f>
        <v>3087</v>
      </c>
      <c r="K399" s="18">
        <f ca="1">IFERROR(__xludf.DUMMYFUNCTION("IMPORTRANGE(""https://docs.google.com/spreadsheets/d/14Tu_jFPEdrIQ6DHYu6vRvJKQsbXr-48NY1tKy4-8JKI/edit"",""15!e46"")"),0)</f>
        <v>0</v>
      </c>
      <c r="L399" s="18">
        <f t="shared" ca="1" si="1092"/>
        <v>3087</v>
      </c>
      <c r="M399" s="18">
        <f t="shared" ca="1" si="1064"/>
        <v>5625</v>
      </c>
      <c r="N399" s="19">
        <f t="shared" ca="1" si="1065"/>
        <v>190.71611999999962</v>
      </c>
      <c r="O399" s="16">
        <v>9877</v>
      </c>
      <c r="P399" s="20">
        <f t="shared" ca="1" si="1066"/>
        <v>0.56950491039789408</v>
      </c>
      <c r="Q399" s="21">
        <v>1.5</v>
      </c>
      <c r="R399" s="20">
        <f t="shared" ca="1" si="1067"/>
        <v>0.78650928930391573</v>
      </c>
      <c r="S399" s="22">
        <f t="shared" ca="1" si="1068"/>
        <v>1.1797639339558736</v>
      </c>
      <c r="T399" s="21">
        <f ca="1">F399/26.155</f>
        <v>182.2941311412728</v>
      </c>
      <c r="U399" s="21">
        <f t="shared" ca="1" si="1069"/>
        <v>7.2917652456509119</v>
      </c>
      <c r="V399" s="18">
        <f t="shared" ca="1" si="1070"/>
        <v>225</v>
      </c>
      <c r="W399" s="76"/>
      <c r="X399" s="8">
        <v>1</v>
      </c>
      <c r="Y399" s="8" t="s">
        <v>26</v>
      </c>
      <c r="Z399" s="8">
        <f t="shared" ref="Z399:AI399" si="1104">SUM(D384)</f>
        <v>16</v>
      </c>
      <c r="AA399" s="9">
        <f t="shared" ca="1" si="1104"/>
        <v>16</v>
      </c>
      <c r="AB399" s="11">
        <f t="shared" ca="1" si="1104"/>
        <v>3121.3829999999998</v>
      </c>
      <c r="AC399" s="9">
        <f t="shared" ca="1" si="1104"/>
        <v>1452</v>
      </c>
      <c r="AD399" s="9">
        <f t="shared" ca="1" si="1104"/>
        <v>0</v>
      </c>
      <c r="AE399" s="9">
        <f t="shared" ca="1" si="1104"/>
        <v>1452</v>
      </c>
      <c r="AF399" s="9">
        <f t="shared" ca="1" si="1104"/>
        <v>2219</v>
      </c>
      <c r="AG399" s="9">
        <f t="shared" ca="1" si="1104"/>
        <v>0</v>
      </c>
      <c r="AH399" s="9">
        <f t="shared" ca="1" si="1104"/>
        <v>2219</v>
      </c>
      <c r="AI399" s="9">
        <f t="shared" ca="1" si="1104"/>
        <v>3671</v>
      </c>
      <c r="AJ399" s="11">
        <f t="shared" ref="AJ399:AJ405" ca="1" si="1105">AB399/AA399</f>
        <v>195.08643749999999</v>
      </c>
      <c r="AK399" s="8">
        <f>SUM(O384)</f>
        <v>5161</v>
      </c>
      <c r="AL399" s="12">
        <f t="shared" ref="AL399:AL405" ca="1" si="1106">AI399/AK399</f>
        <v>0.71129626041464833</v>
      </c>
      <c r="AM399" s="13">
        <f>SUM(Q384)</f>
        <v>1.5</v>
      </c>
      <c r="AN399" s="12">
        <f t="shared" ref="AN399:AN405" ca="1" si="1107">AO399/AM399</f>
        <v>0.7840541623162981</v>
      </c>
      <c r="AO399" s="14">
        <f t="shared" ref="AO399:AO405" ca="1" si="1108">AI399/AB399</f>
        <v>1.1760812434744472</v>
      </c>
      <c r="AP399" s="13">
        <f t="shared" ref="AP399:AQ399" ca="1" si="1109">SUM(T384)</f>
        <v>216.53714880332987</v>
      </c>
      <c r="AQ399" s="13">
        <f t="shared" ca="1" si="1109"/>
        <v>13.533571800208117</v>
      </c>
      <c r="AR399" s="9">
        <f t="shared" ref="AR399:AR405" ca="1" si="1110">AI399/AA399</f>
        <v>229.4375</v>
      </c>
      <c r="AS399" s="76"/>
      <c r="AT399" s="76"/>
    </row>
    <row r="400" spans="1:46" ht="15.75" customHeight="1" x14ac:dyDescent="0.25">
      <c r="A400" s="70"/>
      <c r="B400" s="16">
        <v>17</v>
      </c>
      <c r="C400" s="16" t="s">
        <v>29</v>
      </c>
      <c r="D400" s="17">
        <v>24</v>
      </c>
      <c r="E400" s="18">
        <f ca="1">IFERROR(__xludf.DUMMYFUNCTION("COUNT(IMPORTRANGE(""https://docs.google.com/spreadsheets/d/1ja_RQYsP0p5wRrACHojay4CW1wLx0QdS5tSwp-vYQ-s/edit"",""15!d2:d31""))"),23)</f>
        <v>23</v>
      </c>
      <c r="F400" s="23">
        <f ca="1">IFERROR(__xludf.DUMMYFUNCTION("SUM(IMPORTRANGE(""https://docs.google.com/spreadsheets/d/1ja_RQYsP0p5wRrACHojay4CW1wLx0QdS5tSwp-vYQ-s/edit"",""15!Q2:Q31""))"),4609.43399999999)</f>
        <v>4609.4339999999902</v>
      </c>
      <c r="G400" s="18">
        <f ca="1">IFERROR(__xludf.DUMMYFUNCTION("IMPORTRANGE(""https://docs.google.com/spreadsheets/d/1ja_RQYsP0p5wRrACHojay4CW1wLx0QdS5tSwp-vYQ-s/edit"",""15!e38"")"),2062)</f>
        <v>2062</v>
      </c>
      <c r="H400" s="18">
        <f ca="1">IFERROR(__xludf.DUMMYFUNCTION("IMPORTRANGE(""https://docs.google.com/spreadsheets/d/1ja_RQYsP0p5wRrACHojay4CW1wLx0QdS5tSwp-vYQ-s/edit"",""15!e39"")"),0)</f>
        <v>0</v>
      </c>
      <c r="I400" s="18">
        <f t="shared" ca="1" si="1062"/>
        <v>2062</v>
      </c>
      <c r="J400" s="18">
        <f ca="1">IFERROR(__xludf.DUMMYFUNCTION("IMPORTRANGE(""https://docs.google.com/spreadsheets/d/1ja_RQYsP0p5wRrACHojay4CW1wLx0QdS5tSwp-vYQ-s/edit"",""15!e42"")"),3028)</f>
        <v>3028</v>
      </c>
      <c r="K400" s="18">
        <f ca="1">IFERROR(__xludf.DUMMYFUNCTION("IMPORTRANGE(""https://docs.google.com/spreadsheets/d/1ja_RQYsP0p5wRrACHojay4CW1wLx0QdS5tSwp-vYQ-s/edit"",""15!e43"")"),0)</f>
        <v>0</v>
      </c>
      <c r="L400" s="18">
        <f t="shared" ca="1" si="1092"/>
        <v>3028</v>
      </c>
      <c r="M400" s="18">
        <f t="shared" ca="1" si="1064"/>
        <v>5090</v>
      </c>
      <c r="N400" s="19">
        <f t="shared" ca="1" si="1065"/>
        <v>200.41017391304305</v>
      </c>
      <c r="O400" s="16">
        <v>9201</v>
      </c>
      <c r="P400" s="20">
        <f t="shared" ca="1" si="1066"/>
        <v>0.55320073905010325</v>
      </c>
      <c r="Q400" s="21">
        <v>1.5</v>
      </c>
      <c r="R400" s="20">
        <f t="shared" ca="1" si="1067"/>
        <v>0.7361713679669436</v>
      </c>
      <c r="S400" s="22">
        <f t="shared" ca="1" si="1068"/>
        <v>1.1042570519504153</v>
      </c>
      <c r="T400" s="21">
        <f ca="1">F400/26.491</f>
        <v>173.99999999999963</v>
      </c>
      <c r="U400" s="21">
        <f t="shared" ca="1" si="1069"/>
        <v>7.5652173913043317</v>
      </c>
      <c r="V400" s="18">
        <f t="shared" ca="1" si="1070"/>
        <v>221.30434782608697</v>
      </c>
      <c r="W400" s="76"/>
      <c r="X400" s="8">
        <v>2</v>
      </c>
      <c r="Y400" s="8" t="s">
        <v>32</v>
      </c>
      <c r="Z400" s="8">
        <f t="shared" ref="Z400:AI400" si="1111">SUM(D387)</f>
        <v>33</v>
      </c>
      <c r="AA400" s="9">
        <f t="shared" ca="1" si="1111"/>
        <v>33</v>
      </c>
      <c r="AB400" s="10">
        <f t="shared" ca="1" si="1111"/>
        <v>6372.6059999999898</v>
      </c>
      <c r="AC400" s="8">
        <f t="shared" ca="1" si="1111"/>
        <v>3720</v>
      </c>
      <c r="AD400" s="8">
        <f t="shared" ca="1" si="1111"/>
        <v>0</v>
      </c>
      <c r="AE400" s="9">
        <f t="shared" ca="1" si="1111"/>
        <v>3720</v>
      </c>
      <c r="AF400" s="8">
        <f t="shared" ca="1" si="1111"/>
        <v>4156</v>
      </c>
      <c r="AG400" s="8">
        <f t="shared" ca="1" si="1111"/>
        <v>0</v>
      </c>
      <c r="AH400" s="9">
        <f t="shared" ca="1" si="1111"/>
        <v>4156</v>
      </c>
      <c r="AI400" s="9">
        <f t="shared" ca="1" si="1111"/>
        <v>7876</v>
      </c>
      <c r="AJ400" s="11">
        <f t="shared" ca="1" si="1105"/>
        <v>193.10927272727241</v>
      </c>
      <c r="AK400" s="8">
        <f>SUM(O387)</f>
        <v>13817</v>
      </c>
      <c r="AL400" s="12">
        <f t="shared" ca="1" si="1106"/>
        <v>0.57002243612940584</v>
      </c>
      <c r="AM400" s="13">
        <f>SUM(Q387)</f>
        <v>1.5</v>
      </c>
      <c r="AN400" s="12">
        <f t="shared" ca="1" si="1107"/>
        <v>0.82394340190915216</v>
      </c>
      <c r="AO400" s="14">
        <f t="shared" ca="1" si="1108"/>
        <v>1.2359151028637283</v>
      </c>
      <c r="AP400" s="13">
        <f t="shared" ref="AP400:AQ400" ca="1" si="1112">SUM(T387)</f>
        <v>253.9999999999996</v>
      </c>
      <c r="AQ400" s="13">
        <f t="shared" ca="1" si="1112"/>
        <v>7.6969696969696848</v>
      </c>
      <c r="AR400" s="9">
        <f t="shared" ca="1" si="1110"/>
        <v>238.66666666666666</v>
      </c>
      <c r="AS400" s="76"/>
      <c r="AT400" s="76"/>
    </row>
    <row r="401" spans="1:46" ht="15.75" customHeight="1" x14ac:dyDescent="0.25">
      <c r="A401" s="70"/>
      <c r="B401" s="16">
        <v>18</v>
      </c>
      <c r="C401" s="16" t="s">
        <v>31</v>
      </c>
      <c r="D401" s="17">
        <v>12</v>
      </c>
      <c r="E401" s="18">
        <f ca="1">IFERROR(__xludf.DUMMYFUNCTION("COUNT(IMPORTRANGE(""https://docs.google.com/spreadsheets/d/1ObnK1oSznTOmyW9Zcd2kxExl7TOnO2MNq_0giEKc_mE/edit"",""15!d2:d16""))"),11)</f>
        <v>11</v>
      </c>
      <c r="F401" s="19">
        <f ca="1">IFERROR(__xludf.DUMMYFUNCTION("SUM(IMPORTRANGE(""https://docs.google.com/spreadsheets/d/1ObnK1oSznTOmyW9Zcd2kxExl7TOnO2MNq_0giEKc_mE/edit"",""15!Q2:Q16""))"),1999.38999999999)</f>
        <v>1999.3899999999901</v>
      </c>
      <c r="G401" s="18">
        <f ca="1">IFERROR(__xludf.DUMMYFUNCTION("IMPORTRANGE(""https://docs.google.com/spreadsheets/d/1ObnK1oSznTOmyW9Zcd2kxExl7TOnO2MNq_0giEKc_mE/edit"",""15!e23"")"),566)</f>
        <v>566</v>
      </c>
      <c r="H401" s="18">
        <f ca="1">IFERROR(__xludf.DUMMYFUNCTION("IMPORTRANGE(""https://docs.google.com/spreadsheets/d/1ObnK1oSznTOmyW9Zcd2kxExl7TOnO2MNq_0giEKc_mE/edit"",""15!e24"")"),15)</f>
        <v>15</v>
      </c>
      <c r="I401" s="18">
        <f t="shared" ca="1" si="1062"/>
        <v>581</v>
      </c>
      <c r="J401" s="18">
        <f ca="1">IFERROR(__xludf.DUMMYFUNCTION("IMPORTRANGE(""https://docs.google.com/spreadsheets/d/1ObnK1oSznTOmyW9Zcd2kxExl7TOnO2MNq_0giEKc_mE/edit"",""15!e27"")"),731)</f>
        <v>731</v>
      </c>
      <c r="K401" s="18">
        <f ca="1">IFERROR(__xludf.DUMMYFUNCTION("IMPORTRANGE(""https://docs.google.com/spreadsheets/d/1ObnK1oSznTOmyW9Zcd2kxExl7TOnO2MNq_0giEKc_mE/edit"",""15!e28"")"),0)</f>
        <v>0</v>
      </c>
      <c r="L401" s="18">
        <f t="shared" ca="1" si="1092"/>
        <v>731</v>
      </c>
      <c r="M401" s="18">
        <f t="shared" ca="1" si="1064"/>
        <v>1312</v>
      </c>
      <c r="N401" s="19">
        <f t="shared" ca="1" si="1065"/>
        <v>181.76272727272638</v>
      </c>
      <c r="O401" s="16">
        <v>2717</v>
      </c>
      <c r="P401" s="20">
        <f t="shared" ca="1" si="1066"/>
        <v>0.48288553551711444</v>
      </c>
      <c r="Q401" s="21">
        <v>1.5</v>
      </c>
      <c r="R401" s="20">
        <f t="shared" ca="1" si="1067"/>
        <v>0.43746676069534757</v>
      </c>
      <c r="S401" s="22">
        <f t="shared" ca="1" si="1068"/>
        <v>0.65620014104302138</v>
      </c>
      <c r="T401" s="21">
        <f ca="1">F401/43.465</f>
        <v>45.999999999999766</v>
      </c>
      <c r="U401" s="21">
        <f t="shared" ca="1" si="1069"/>
        <v>4.1818181818181603</v>
      </c>
      <c r="V401" s="18">
        <f t="shared" ca="1" si="1070"/>
        <v>119.27272727272727</v>
      </c>
      <c r="W401" s="76"/>
      <c r="X401" s="8">
        <v>3</v>
      </c>
      <c r="Y401" s="8" t="s">
        <v>36</v>
      </c>
      <c r="Z401" s="8">
        <f t="shared" ref="Z401:AI401" si="1113">SUM(D392)</f>
        <v>23</v>
      </c>
      <c r="AA401" s="9">
        <f t="shared" ca="1" si="1113"/>
        <v>23</v>
      </c>
      <c r="AB401" s="10">
        <f t="shared" ca="1" si="1113"/>
        <v>4520.71</v>
      </c>
      <c r="AC401" s="9">
        <f t="shared" ca="1" si="1113"/>
        <v>1063</v>
      </c>
      <c r="AD401" s="9">
        <f t="shared" ca="1" si="1113"/>
        <v>0</v>
      </c>
      <c r="AE401" s="9">
        <f t="shared" ca="1" si="1113"/>
        <v>1063</v>
      </c>
      <c r="AF401" s="9">
        <f t="shared" ca="1" si="1113"/>
        <v>2162</v>
      </c>
      <c r="AG401" s="9">
        <f t="shared" ca="1" si="1113"/>
        <v>0</v>
      </c>
      <c r="AH401" s="9">
        <f t="shared" ca="1" si="1113"/>
        <v>2162</v>
      </c>
      <c r="AI401" s="9">
        <f t="shared" ca="1" si="1113"/>
        <v>3225</v>
      </c>
      <c r="AJ401" s="11">
        <f t="shared" ca="1" si="1105"/>
        <v>196.55260869565217</v>
      </c>
      <c r="AK401" s="8">
        <f t="shared" ref="AK401:AK404" si="1114">SUM(O392)</f>
        <v>4796</v>
      </c>
      <c r="AL401" s="12">
        <f t="shared" ca="1" si="1106"/>
        <v>0.67243536280233529</v>
      </c>
      <c r="AM401" s="13">
        <f t="shared" ref="AM401:AM404" si="1115">SUM(Q392)</f>
        <v>1.5</v>
      </c>
      <c r="AN401" s="12">
        <f t="shared" ca="1" si="1107"/>
        <v>0.47558901146058918</v>
      </c>
      <c r="AO401" s="14">
        <f t="shared" ca="1" si="1108"/>
        <v>0.71338351719088378</v>
      </c>
      <c r="AP401" s="13">
        <f t="shared" ref="AP401:AQ401" ca="1" si="1116">SUM(T392)</f>
        <v>120.82936868551879</v>
      </c>
      <c r="AQ401" s="13">
        <f t="shared" ca="1" si="1116"/>
        <v>5.2534508124138606</v>
      </c>
      <c r="AR401" s="9">
        <f t="shared" ca="1" si="1110"/>
        <v>140.21739130434781</v>
      </c>
      <c r="AS401" s="76"/>
      <c r="AT401" s="76"/>
    </row>
    <row r="402" spans="1:46" ht="15.75" customHeight="1" x14ac:dyDescent="0.2">
      <c r="A402" s="70"/>
      <c r="B402" s="98" t="s">
        <v>33</v>
      </c>
      <c r="C402" s="98">
        <v>18</v>
      </c>
      <c r="D402" s="98">
        <f t="shared" ref="D402:M402" si="1117">SUM(D384:D401)</f>
        <v>470</v>
      </c>
      <c r="E402" s="74">
        <f t="shared" ca="1" si="1117"/>
        <v>459</v>
      </c>
      <c r="F402" s="99">
        <f t="shared" ca="1" si="1117"/>
        <v>89012.529999999897</v>
      </c>
      <c r="G402" s="74">
        <f t="shared" ca="1" si="1117"/>
        <v>30756</v>
      </c>
      <c r="H402" s="74">
        <f t="shared" ca="1" si="1117"/>
        <v>198</v>
      </c>
      <c r="I402" s="74">
        <f t="shared" ca="1" si="1117"/>
        <v>30954</v>
      </c>
      <c r="J402" s="74">
        <f t="shared" ca="1" si="1117"/>
        <v>43226</v>
      </c>
      <c r="K402" s="74">
        <f t="shared" ca="1" si="1117"/>
        <v>718</v>
      </c>
      <c r="L402" s="74">
        <f t="shared" ca="1" si="1117"/>
        <v>43944</v>
      </c>
      <c r="M402" s="74">
        <f t="shared" ca="1" si="1117"/>
        <v>74898</v>
      </c>
      <c r="N402" s="99">
        <f t="shared" ca="1" si="1065"/>
        <v>193.92708061002156</v>
      </c>
      <c r="O402" s="98">
        <f>SUM(O384:O401)</f>
        <v>126399</v>
      </c>
      <c r="P402" s="69">
        <f t="shared" ca="1" si="1066"/>
        <v>0.59255215626705904</v>
      </c>
      <c r="Q402" s="72">
        <v>1.5</v>
      </c>
      <c r="R402" s="69">
        <f t="shared" ca="1" si="1067"/>
        <v>0.56095473300219711</v>
      </c>
      <c r="S402" s="73">
        <f t="shared" ca="1" si="1068"/>
        <v>0.84143209950329567</v>
      </c>
      <c r="T402" s="72">
        <f ca="1">SUM(T384:T401)</f>
        <v>3290.3349935729411</v>
      </c>
      <c r="U402" s="72">
        <f t="shared" ca="1" si="1069"/>
        <v>7.1684858247776493</v>
      </c>
      <c r="V402" s="74">
        <f t="shared" ca="1" si="1070"/>
        <v>163.1764705882353</v>
      </c>
      <c r="W402" s="76"/>
      <c r="X402" s="8">
        <v>4</v>
      </c>
      <c r="Y402" s="8" t="s">
        <v>37</v>
      </c>
      <c r="Z402" s="8">
        <f t="shared" ref="Z402:AI402" si="1118">SUM(D393)</f>
        <v>24</v>
      </c>
      <c r="AA402" s="9">
        <f t="shared" ca="1" si="1118"/>
        <v>24</v>
      </c>
      <c r="AB402" s="10">
        <f t="shared" ca="1" si="1118"/>
        <v>4795.7159999999903</v>
      </c>
      <c r="AC402" s="9">
        <f t="shared" ca="1" si="1118"/>
        <v>1429</v>
      </c>
      <c r="AD402" s="9">
        <f t="shared" ca="1" si="1118"/>
        <v>0</v>
      </c>
      <c r="AE402" s="9">
        <f t="shared" ca="1" si="1118"/>
        <v>1429</v>
      </c>
      <c r="AF402" s="9">
        <f t="shared" ca="1" si="1118"/>
        <v>2385</v>
      </c>
      <c r="AG402" s="9">
        <f t="shared" ca="1" si="1118"/>
        <v>0</v>
      </c>
      <c r="AH402" s="9">
        <f t="shared" ca="1" si="1118"/>
        <v>2385</v>
      </c>
      <c r="AI402" s="9">
        <f t="shared" ca="1" si="1118"/>
        <v>3814</v>
      </c>
      <c r="AJ402" s="11">
        <f t="shared" ca="1" si="1105"/>
        <v>199.82149999999959</v>
      </c>
      <c r="AK402" s="8">
        <f t="shared" si="1114"/>
        <v>5887</v>
      </c>
      <c r="AL402" s="12">
        <f t="shared" ca="1" si="1106"/>
        <v>0.64786818413453373</v>
      </c>
      <c r="AM402" s="13">
        <f t="shared" si="1115"/>
        <v>1.5</v>
      </c>
      <c r="AN402" s="12">
        <f t="shared" ca="1" si="1107"/>
        <v>0.5301954216360335</v>
      </c>
      <c r="AO402" s="14">
        <f t="shared" ca="1" si="1108"/>
        <v>0.7952931324540502</v>
      </c>
      <c r="AP402" s="13">
        <f t="shared" ref="AP402:AQ402" ca="1" si="1119">SUM(T393)</f>
        <v>193.4380445304933</v>
      </c>
      <c r="AQ402" s="13">
        <f t="shared" ca="1" si="1119"/>
        <v>8.0599185221038869</v>
      </c>
      <c r="AR402" s="9">
        <f t="shared" ca="1" si="1110"/>
        <v>158.91666666666666</v>
      </c>
      <c r="AS402" s="76"/>
      <c r="AT402" s="76"/>
    </row>
    <row r="403" spans="1:46" ht="15.75" customHeight="1" x14ac:dyDescent="0.2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6"/>
      <c r="X403" s="8">
        <v>5</v>
      </c>
      <c r="Y403" s="8" t="s">
        <v>39</v>
      </c>
      <c r="Z403" s="8">
        <f t="shared" ref="Z403:AI403" si="1120">SUM(D394)</f>
        <v>22</v>
      </c>
      <c r="AA403" s="9">
        <f t="shared" ca="1" si="1120"/>
        <v>21</v>
      </c>
      <c r="AB403" s="10">
        <f t="shared" ca="1" si="1120"/>
        <v>4190.7419999999902</v>
      </c>
      <c r="AC403" s="9">
        <f t="shared" ca="1" si="1120"/>
        <v>1025</v>
      </c>
      <c r="AD403" s="9">
        <f t="shared" ca="1" si="1120"/>
        <v>0</v>
      </c>
      <c r="AE403" s="9">
        <f t="shared" ca="1" si="1120"/>
        <v>1025</v>
      </c>
      <c r="AF403" s="9">
        <f t="shared" ca="1" si="1120"/>
        <v>1698</v>
      </c>
      <c r="AG403" s="9">
        <f t="shared" ca="1" si="1120"/>
        <v>0</v>
      </c>
      <c r="AH403" s="9">
        <f t="shared" ca="1" si="1120"/>
        <v>1698</v>
      </c>
      <c r="AI403" s="9">
        <f t="shared" ca="1" si="1120"/>
        <v>2723</v>
      </c>
      <c r="AJ403" s="11">
        <f t="shared" ca="1" si="1105"/>
        <v>199.55914285714238</v>
      </c>
      <c r="AK403" s="8">
        <f t="shared" si="1114"/>
        <v>3569</v>
      </c>
      <c r="AL403" s="12">
        <f t="shared" ca="1" si="1106"/>
        <v>0.76295881199215465</v>
      </c>
      <c r="AM403" s="13">
        <f t="shared" si="1115"/>
        <v>1.5</v>
      </c>
      <c r="AN403" s="12">
        <f t="shared" ca="1" si="1107"/>
        <v>0.433177068245513</v>
      </c>
      <c r="AO403" s="14">
        <f t="shared" ca="1" si="1108"/>
        <v>0.64976560236826952</v>
      </c>
      <c r="AP403" s="13">
        <f t="shared" ref="AP403:AQ403" ca="1" si="1121">SUM(T394)</f>
        <v>195.25425150258539</v>
      </c>
      <c r="AQ403" s="13">
        <f t="shared" ca="1" si="1121"/>
        <v>9.2978215001231135</v>
      </c>
      <c r="AR403" s="9">
        <f t="shared" ca="1" si="1110"/>
        <v>129.66666666666666</v>
      </c>
      <c r="AS403" s="76"/>
      <c r="AT403" s="76"/>
    </row>
    <row r="404" spans="1:46" ht="15.75" customHeight="1" x14ac:dyDescent="0.2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6"/>
      <c r="X404" s="8">
        <v>6</v>
      </c>
      <c r="Y404" s="8" t="s">
        <v>41</v>
      </c>
      <c r="Z404" s="8">
        <f t="shared" ref="Z404:AI404" si="1122">SUM(D395)</f>
        <v>20</v>
      </c>
      <c r="AA404" s="9">
        <f t="shared" ca="1" si="1122"/>
        <v>20</v>
      </c>
      <c r="AB404" s="10">
        <f t="shared" ca="1" si="1122"/>
        <v>3887.8519999999999</v>
      </c>
      <c r="AC404" s="9">
        <f t="shared" ca="1" si="1122"/>
        <v>986</v>
      </c>
      <c r="AD404" s="9">
        <f t="shared" ca="1" si="1122"/>
        <v>0</v>
      </c>
      <c r="AE404" s="9">
        <f t="shared" ca="1" si="1122"/>
        <v>986</v>
      </c>
      <c r="AF404" s="9">
        <f t="shared" ca="1" si="1122"/>
        <v>1238</v>
      </c>
      <c r="AG404" s="9">
        <f t="shared" ca="1" si="1122"/>
        <v>0</v>
      </c>
      <c r="AH404" s="9">
        <f t="shared" ca="1" si="1122"/>
        <v>1238</v>
      </c>
      <c r="AI404" s="9">
        <f t="shared" ca="1" si="1122"/>
        <v>2224</v>
      </c>
      <c r="AJ404" s="11">
        <f t="shared" ca="1" si="1105"/>
        <v>194.39259999999999</v>
      </c>
      <c r="AK404" s="8">
        <f t="shared" si="1114"/>
        <v>3801</v>
      </c>
      <c r="AL404" s="12">
        <f t="shared" ca="1" si="1106"/>
        <v>0.58510918179426463</v>
      </c>
      <c r="AM404" s="13">
        <f t="shared" si="1115"/>
        <v>1.5</v>
      </c>
      <c r="AN404" s="12">
        <f t="shared" ca="1" si="1107"/>
        <v>0.38135882401559185</v>
      </c>
      <c r="AO404" s="14">
        <f t="shared" ca="1" si="1108"/>
        <v>0.57203823602338777</v>
      </c>
      <c r="AP404" s="13">
        <f t="shared" ref="AP404:AQ404" ca="1" si="1123">SUM(T395)</f>
        <v>131.22222222222223</v>
      </c>
      <c r="AQ404" s="13">
        <f t="shared" ca="1" si="1123"/>
        <v>6.5611111111111118</v>
      </c>
      <c r="AR404" s="9">
        <f t="shared" ca="1" si="1110"/>
        <v>111.2</v>
      </c>
      <c r="AS404" s="76"/>
      <c r="AT404" s="76"/>
    </row>
    <row r="405" spans="1:46" ht="15.75" customHeight="1" x14ac:dyDescent="0.25">
      <c r="A405" s="110" t="s">
        <v>45</v>
      </c>
      <c r="B405" s="76"/>
      <c r="C405" s="76"/>
      <c r="D405" s="75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24" t="s">
        <v>33</v>
      </c>
      <c r="Y405" s="24">
        <v>6</v>
      </c>
      <c r="Z405" s="24">
        <f t="shared" ref="Z405:AI405" si="1124">SUM(Z399:Z404)</f>
        <v>138</v>
      </c>
      <c r="AA405" s="25">
        <f t="shared" ca="1" si="1124"/>
        <v>137</v>
      </c>
      <c r="AB405" s="27">
        <f t="shared" ca="1" si="1124"/>
        <v>26889.008999999969</v>
      </c>
      <c r="AC405" s="25">
        <f t="shared" ca="1" si="1124"/>
        <v>9675</v>
      </c>
      <c r="AD405" s="25">
        <f t="shared" ca="1" si="1124"/>
        <v>0</v>
      </c>
      <c r="AE405" s="25">
        <f t="shared" ca="1" si="1124"/>
        <v>9675</v>
      </c>
      <c r="AF405" s="25">
        <f t="shared" ca="1" si="1124"/>
        <v>13858</v>
      </c>
      <c r="AG405" s="25">
        <f t="shared" ca="1" si="1124"/>
        <v>0</v>
      </c>
      <c r="AH405" s="25">
        <f t="shared" ca="1" si="1124"/>
        <v>13858</v>
      </c>
      <c r="AI405" s="25">
        <f t="shared" ca="1" si="1124"/>
        <v>23533</v>
      </c>
      <c r="AJ405" s="27">
        <f t="shared" ca="1" si="1105"/>
        <v>196.27013868613116</v>
      </c>
      <c r="AK405" s="24">
        <f>SUM(AK399:AK404)</f>
        <v>37031</v>
      </c>
      <c r="AL405" s="28">
        <f t="shared" ca="1" si="1106"/>
        <v>0.63549458561745564</v>
      </c>
      <c r="AM405" s="29">
        <v>1.5</v>
      </c>
      <c r="AN405" s="28">
        <f t="shared" ca="1" si="1107"/>
        <v>0.58346020363438034</v>
      </c>
      <c r="AO405" s="30">
        <f t="shared" ca="1" si="1108"/>
        <v>0.8751903054515705</v>
      </c>
      <c r="AP405" s="29">
        <f ca="1">SUM(AP399:AP404)</f>
        <v>1111.2810357441492</v>
      </c>
      <c r="AQ405" s="29">
        <f ca="1">AP405/AA405</f>
        <v>8.1115404068915993</v>
      </c>
      <c r="AR405" s="25">
        <f t="shared" ca="1" si="1110"/>
        <v>171.77372262773721</v>
      </c>
      <c r="AS405" s="76"/>
      <c r="AT405" s="76"/>
    </row>
    <row r="406" spans="1:46" ht="15.75" customHeight="1" x14ac:dyDescent="0.2">
      <c r="A406" s="110" t="s">
        <v>45</v>
      </c>
      <c r="B406" s="76"/>
      <c r="C406" s="76"/>
      <c r="D406" s="75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7" t="s">
        <v>1</v>
      </c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9"/>
      <c r="AS406" s="76"/>
      <c r="AT406" s="76"/>
    </row>
    <row r="407" spans="1:46" ht="15.75" customHeight="1" x14ac:dyDescent="0.2">
      <c r="A407" s="113">
        <v>46250</v>
      </c>
      <c r="B407" s="80" t="s">
        <v>2</v>
      </c>
      <c r="C407" s="80" t="s">
        <v>3</v>
      </c>
      <c r="D407" s="80" t="s">
        <v>4</v>
      </c>
      <c r="E407" s="80" t="s">
        <v>5</v>
      </c>
      <c r="F407" s="81" t="s">
        <v>6</v>
      </c>
      <c r="G407" s="80" t="s">
        <v>7</v>
      </c>
      <c r="H407" s="80" t="s">
        <v>8</v>
      </c>
      <c r="I407" s="80" t="s">
        <v>9</v>
      </c>
      <c r="J407" s="80" t="s">
        <v>10</v>
      </c>
      <c r="K407" s="80" t="s">
        <v>11</v>
      </c>
      <c r="L407" s="80" t="s">
        <v>12</v>
      </c>
      <c r="M407" s="80" t="s">
        <v>13</v>
      </c>
      <c r="N407" s="81" t="s">
        <v>14</v>
      </c>
      <c r="O407" s="80" t="s">
        <v>15</v>
      </c>
      <c r="P407" s="80" t="s">
        <v>16</v>
      </c>
      <c r="Q407" s="80" t="s">
        <v>17</v>
      </c>
      <c r="R407" s="80" t="s">
        <v>18</v>
      </c>
      <c r="S407" s="106" t="s">
        <v>19</v>
      </c>
      <c r="T407" s="107" t="s">
        <v>20</v>
      </c>
      <c r="U407" s="107" t="s">
        <v>21</v>
      </c>
      <c r="V407" s="105" t="s">
        <v>22</v>
      </c>
      <c r="W407" s="76"/>
      <c r="X407" s="1" t="s">
        <v>2</v>
      </c>
      <c r="Y407" s="1" t="s">
        <v>3</v>
      </c>
      <c r="Z407" s="1" t="s">
        <v>4</v>
      </c>
      <c r="AA407" s="1" t="s">
        <v>5</v>
      </c>
      <c r="AB407" s="2" t="s">
        <v>6</v>
      </c>
      <c r="AC407" s="1" t="s">
        <v>7</v>
      </c>
      <c r="AD407" s="1" t="s">
        <v>8</v>
      </c>
      <c r="AE407" s="1" t="s">
        <v>9</v>
      </c>
      <c r="AF407" s="1" t="s">
        <v>10</v>
      </c>
      <c r="AG407" s="1" t="s">
        <v>11</v>
      </c>
      <c r="AH407" s="1" t="s">
        <v>12</v>
      </c>
      <c r="AI407" s="1" t="s">
        <v>13</v>
      </c>
      <c r="AJ407" s="2" t="s">
        <v>14</v>
      </c>
      <c r="AK407" s="1" t="s">
        <v>15</v>
      </c>
      <c r="AL407" s="1" t="s">
        <v>16</v>
      </c>
      <c r="AM407" s="3" t="s">
        <v>17</v>
      </c>
      <c r="AN407" s="4" t="s">
        <v>18</v>
      </c>
      <c r="AO407" s="5" t="s">
        <v>19</v>
      </c>
      <c r="AP407" s="6" t="s">
        <v>20</v>
      </c>
      <c r="AQ407" s="6" t="s">
        <v>21</v>
      </c>
      <c r="AR407" s="7" t="s">
        <v>22</v>
      </c>
      <c r="AS407" s="76"/>
      <c r="AT407" s="76"/>
    </row>
    <row r="408" spans="1:46" ht="15.75" customHeight="1" x14ac:dyDescent="0.2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6"/>
      <c r="X408" s="8">
        <v>1</v>
      </c>
      <c r="Y408" s="8" t="s">
        <v>23</v>
      </c>
      <c r="Z408" s="8">
        <f t="shared" ref="Z408:AI408" si="1125">SUM(D416)</f>
        <v>26</v>
      </c>
      <c r="AA408" s="9">
        <f t="shared" ca="1" si="1125"/>
        <v>25</v>
      </c>
      <c r="AB408" s="10">
        <f t="shared" ca="1" si="1125"/>
        <v>4993.5199999999904</v>
      </c>
      <c r="AC408" s="9">
        <f t="shared" ca="1" si="1125"/>
        <v>1036</v>
      </c>
      <c r="AD408" s="9">
        <f t="shared" ca="1" si="1125"/>
        <v>0</v>
      </c>
      <c r="AE408" s="9">
        <f t="shared" ca="1" si="1125"/>
        <v>1036</v>
      </c>
      <c r="AF408" s="9">
        <f t="shared" ca="1" si="1125"/>
        <v>1985</v>
      </c>
      <c r="AG408" s="9">
        <f t="shared" ca="1" si="1125"/>
        <v>0</v>
      </c>
      <c r="AH408" s="9">
        <f t="shared" ca="1" si="1125"/>
        <v>1985</v>
      </c>
      <c r="AI408" s="9">
        <f t="shared" ca="1" si="1125"/>
        <v>3021</v>
      </c>
      <c r="AJ408" s="11">
        <f t="shared" ref="AJ408:AJ410" ca="1" si="1126">AB408/AA408</f>
        <v>199.74079999999961</v>
      </c>
      <c r="AK408" s="8">
        <f>SUM(O416)</f>
        <v>6853</v>
      </c>
      <c r="AL408" s="12">
        <f t="shared" ref="AL408:AL414" ca="1" si="1127">AI408/AK408</f>
        <v>0.44082883408726103</v>
      </c>
      <c r="AM408" s="13">
        <f t="shared" ref="AM408:AM410" si="1128">SUM(Q416)</f>
        <v>1.5</v>
      </c>
      <c r="AN408" s="12">
        <f t="shared" ref="AN408:AN414" ca="1" si="1129">AO408/AM408</f>
        <v>0.40332270622727129</v>
      </c>
      <c r="AO408" s="14">
        <f t="shared" ref="AO408:AO414" ca="1" si="1130">AI408/AB408</f>
        <v>0.60498405934090693</v>
      </c>
      <c r="AP408" s="13">
        <f t="shared" ref="AP408:AQ408" ca="1" si="1131">SUM(T416)</f>
        <v>147.99999999999972</v>
      </c>
      <c r="AQ408" s="13">
        <f t="shared" ca="1" si="1131"/>
        <v>5.9199999999999884</v>
      </c>
      <c r="AR408" s="9">
        <f t="shared" ref="AR408:AR414" ca="1" si="1132">AI408/AA408</f>
        <v>120.84</v>
      </c>
      <c r="AS408" s="76"/>
      <c r="AT408" s="76"/>
    </row>
    <row r="409" spans="1:46" ht="15.75" customHeight="1" x14ac:dyDescent="0.2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6"/>
      <c r="X409" s="8">
        <v>2</v>
      </c>
      <c r="Y409" s="8" t="s">
        <v>24</v>
      </c>
      <c r="Z409" s="8">
        <f t="shared" ref="Z409:AI409" si="1133">SUM(D417)</f>
        <v>35</v>
      </c>
      <c r="AA409" s="9">
        <f t="shared" ca="1" si="1133"/>
        <v>35</v>
      </c>
      <c r="AB409" s="10">
        <f t="shared" ca="1" si="1133"/>
        <v>6613.5739999999896</v>
      </c>
      <c r="AC409" s="9">
        <f t="shared" ca="1" si="1133"/>
        <v>621</v>
      </c>
      <c r="AD409" s="9">
        <f t="shared" ca="1" si="1133"/>
        <v>30</v>
      </c>
      <c r="AE409" s="9">
        <f t="shared" ca="1" si="1133"/>
        <v>651</v>
      </c>
      <c r="AF409" s="9">
        <f t="shared" ca="1" si="1133"/>
        <v>722</v>
      </c>
      <c r="AG409" s="9">
        <f t="shared" ca="1" si="1133"/>
        <v>28</v>
      </c>
      <c r="AH409" s="9">
        <f t="shared" ca="1" si="1133"/>
        <v>750</v>
      </c>
      <c r="AI409" s="9">
        <f t="shared" ca="1" si="1133"/>
        <v>1401</v>
      </c>
      <c r="AJ409" s="11">
        <f t="shared" ca="1" si="1126"/>
        <v>188.95925714285684</v>
      </c>
      <c r="AK409" s="8">
        <v>1580</v>
      </c>
      <c r="AL409" s="12">
        <f t="shared" ca="1" si="1127"/>
        <v>0.88670886075949362</v>
      </c>
      <c r="AM409" s="13">
        <f t="shared" si="1128"/>
        <v>1.5</v>
      </c>
      <c r="AN409" s="12">
        <f t="shared" ca="1" si="1129"/>
        <v>0.14122469938341983</v>
      </c>
      <c r="AO409" s="14">
        <f t="shared" ca="1" si="1130"/>
        <v>0.21183704907512976</v>
      </c>
      <c r="AP409" s="13">
        <f t="shared" ref="AP409:AQ409" ca="1" si="1134">SUM(T417)</f>
        <v>246.7291177019209</v>
      </c>
      <c r="AQ409" s="13">
        <f t="shared" ca="1" si="1134"/>
        <v>7.0494033629120256</v>
      </c>
      <c r="AR409" s="9">
        <f t="shared" ca="1" si="1132"/>
        <v>40.028571428571432</v>
      </c>
      <c r="AS409" s="76"/>
      <c r="AT409" s="76"/>
    </row>
    <row r="410" spans="1:46" ht="15.75" customHeight="1" x14ac:dyDescent="0.2">
      <c r="A410" s="70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6"/>
      <c r="X410" s="8">
        <v>3</v>
      </c>
      <c r="Y410" s="8" t="s">
        <v>25</v>
      </c>
      <c r="Z410" s="8">
        <f t="shared" ref="Z410:AI410" si="1135">SUM(D418)</f>
        <v>26</v>
      </c>
      <c r="AA410" s="9">
        <f t="shared" ca="1" si="1135"/>
        <v>21</v>
      </c>
      <c r="AB410" s="10">
        <f t="shared" ca="1" si="1135"/>
        <v>3137.6120000000001</v>
      </c>
      <c r="AC410" s="9">
        <f t="shared" ca="1" si="1135"/>
        <v>1058</v>
      </c>
      <c r="AD410" s="9">
        <f t="shared" ca="1" si="1135"/>
        <v>87</v>
      </c>
      <c r="AE410" s="9">
        <f t="shared" ca="1" si="1135"/>
        <v>1145</v>
      </c>
      <c r="AF410" s="9">
        <f t="shared" ca="1" si="1135"/>
        <v>1577</v>
      </c>
      <c r="AG410" s="9">
        <f t="shared" ca="1" si="1135"/>
        <v>27</v>
      </c>
      <c r="AH410" s="9">
        <f t="shared" ca="1" si="1135"/>
        <v>1604</v>
      </c>
      <c r="AI410" s="9">
        <f t="shared" ca="1" si="1135"/>
        <v>2749</v>
      </c>
      <c r="AJ410" s="11">
        <f t="shared" ca="1" si="1126"/>
        <v>149.41009523809524</v>
      </c>
      <c r="AK410" s="8">
        <f>SUM(O418)</f>
        <v>6622</v>
      </c>
      <c r="AL410" s="12">
        <f t="shared" ca="1" si="1127"/>
        <v>0.41513138024765933</v>
      </c>
      <c r="AM410" s="13">
        <f t="shared" si="1128"/>
        <v>1.5</v>
      </c>
      <c r="AN410" s="12">
        <f t="shared" ca="1" si="1129"/>
        <v>0.58409601527106181</v>
      </c>
      <c r="AO410" s="14">
        <f t="shared" ca="1" si="1130"/>
        <v>0.87614402290659266</v>
      </c>
      <c r="AP410" s="13">
        <f t="shared" ref="AP410:AQ410" ca="1" si="1136">SUM(T418)</f>
        <v>131.61124161073826</v>
      </c>
      <c r="AQ410" s="13">
        <f t="shared" ca="1" si="1136"/>
        <v>6.2672019814637263</v>
      </c>
      <c r="AR410" s="9">
        <f t="shared" ca="1" si="1132"/>
        <v>130.9047619047619</v>
      </c>
      <c r="AS410" s="76"/>
      <c r="AT410" s="76"/>
    </row>
    <row r="411" spans="1:46" ht="15.75" customHeight="1" x14ac:dyDescent="0.25">
      <c r="A411" s="70"/>
      <c r="B411" s="16">
        <v>1</v>
      </c>
      <c r="C411" s="16" t="s">
        <v>26</v>
      </c>
      <c r="D411" s="17">
        <v>15</v>
      </c>
      <c r="E411" s="18">
        <f ca="1">IFERROR(__xludf.DUMMYFUNCTION("COUNT(IMPORTRANGE(""https://docs.google.com/spreadsheets/d/1iVFEBQOAONhqDIMRa2hQ7WkCQv0dJWSAmc0AzfvSCMg/edit"",""16!d2:d21""))"),15)</f>
        <v>15</v>
      </c>
      <c r="F411" s="19">
        <f ca="1">IFERROR(__xludf.DUMMYFUNCTION("SUM(IMPORTRANGE(""https://docs.google.com/spreadsheets/d/1iVFEBQOAONhqDIMRa2hQ7WkCQv0dJWSAmc0AzfvSCMg/edit"",""16!Q2:Q21""))"),2832.93)</f>
        <v>2832.93</v>
      </c>
      <c r="G411" s="18">
        <f ca="1">IFERROR(__xludf.DUMMYFUNCTION("IMPORTRANGE(""https://docs.google.com/spreadsheets/d/1iVFEBQOAONhqDIMRa2hQ7WkCQv0dJWSAmc0AzfvSCMg/edit"",""16!e28"")"),1168)</f>
        <v>1168</v>
      </c>
      <c r="H411" s="18">
        <f ca="1">IFERROR(__xludf.DUMMYFUNCTION("IMPORTRANGE(""https://docs.google.com/spreadsheets/d/1iVFEBQOAONhqDIMRa2hQ7WkCQv0dJWSAmc0AzfvSCMg/edit"",""16!e29"")"),115)</f>
        <v>115</v>
      </c>
      <c r="I411" s="18">
        <f t="shared" ref="I411:I428" ca="1" si="1137">SUM(G411:H411)</f>
        <v>1283</v>
      </c>
      <c r="J411" s="18">
        <f ca="1">IFERROR(__xludf.DUMMYFUNCTION("IMPORTRANGE(""https://docs.google.com/spreadsheets/d/1iVFEBQOAONhqDIMRa2hQ7WkCQv0dJWSAmc0AzfvSCMg/edit"",""16!e32"")"),1715)</f>
        <v>1715</v>
      </c>
      <c r="K411" s="18">
        <f ca="1">IFERROR(__xludf.DUMMYFUNCTION("IMPORTRANGE(""https://docs.google.com/spreadsheets/d/1iVFEBQOAONhqDIMRa2hQ7WkCQv0dJWSAmc0AzfvSCMg/edit"",""16!e33"")"),0)</f>
        <v>0</v>
      </c>
      <c r="L411" s="18">
        <f t="shared" ref="L411:L417" ca="1" si="1138">SUM(J411:K411)</f>
        <v>1715</v>
      </c>
      <c r="M411" s="18">
        <f t="shared" ref="M411:M428" ca="1" si="1139">SUM(I411+L411)</f>
        <v>2998</v>
      </c>
      <c r="N411" s="19">
        <f t="shared" ref="N411:N429" ca="1" si="1140">F411/E411</f>
        <v>188.86199999999999</v>
      </c>
      <c r="O411" s="16">
        <v>5161</v>
      </c>
      <c r="P411" s="20">
        <f t="shared" ref="P411:P429" ca="1" si="1141">M411/O411</f>
        <v>0.58089517535361368</v>
      </c>
      <c r="Q411" s="21">
        <v>1.5</v>
      </c>
      <c r="R411" s="20">
        <f t="shared" ref="R411:R429" ca="1" si="1142">S411/Q411</f>
        <v>0.70551219644208185</v>
      </c>
      <c r="S411" s="22">
        <f t="shared" ref="S411:S429" ca="1" si="1143">M411/F411</f>
        <v>1.0582682946631228</v>
      </c>
      <c r="T411" s="21">
        <f ca="1">F411/14.415</f>
        <v>196.52653485952132</v>
      </c>
      <c r="U411" s="21">
        <f t="shared" ref="U411:U429" ca="1" si="1144">T411/E411</f>
        <v>13.101768990634755</v>
      </c>
      <c r="V411" s="18">
        <f t="shared" ref="V411:V429" ca="1" si="1145">M411/E411</f>
        <v>199.86666666666667</v>
      </c>
      <c r="W411" s="76"/>
      <c r="X411" s="8">
        <v>4</v>
      </c>
      <c r="Y411" s="8" t="s">
        <v>27</v>
      </c>
      <c r="Z411" s="8">
        <f t="shared" ref="Z411:AK411" si="1146">SUM(D424)</f>
        <v>23</v>
      </c>
      <c r="AA411" s="9">
        <f t="shared" ca="1" si="1146"/>
        <v>30</v>
      </c>
      <c r="AB411" s="10">
        <f t="shared" ca="1" si="1146"/>
        <v>4386.57</v>
      </c>
      <c r="AC411" s="9">
        <f t="shared" ca="1" si="1146"/>
        <v>1422</v>
      </c>
      <c r="AD411" s="9">
        <f t="shared" ca="1" si="1146"/>
        <v>0</v>
      </c>
      <c r="AE411" s="9">
        <f t="shared" ca="1" si="1146"/>
        <v>1422</v>
      </c>
      <c r="AF411" s="9">
        <f t="shared" ca="1" si="1146"/>
        <v>1712</v>
      </c>
      <c r="AG411" s="9">
        <f t="shared" ca="1" si="1146"/>
        <v>0</v>
      </c>
      <c r="AH411" s="9">
        <f t="shared" ca="1" si="1146"/>
        <v>1712</v>
      </c>
      <c r="AI411" s="9">
        <f t="shared" ca="1" si="1146"/>
        <v>3134</v>
      </c>
      <c r="AJ411" s="11">
        <f t="shared" ca="1" si="1146"/>
        <v>146.21899999999999</v>
      </c>
      <c r="AK411" s="8">
        <f t="shared" si="1146"/>
        <v>8101</v>
      </c>
      <c r="AL411" s="12">
        <f t="shared" ca="1" si="1127"/>
        <v>0.38686581903468709</v>
      </c>
      <c r="AM411" s="13">
        <f>SUM(Q424)</f>
        <v>1.5</v>
      </c>
      <c r="AN411" s="12">
        <f t="shared" ca="1" si="1129"/>
        <v>0.4763022893361632</v>
      </c>
      <c r="AO411" s="14">
        <f t="shared" ca="1" si="1130"/>
        <v>0.71445343400424477</v>
      </c>
      <c r="AP411" s="13">
        <f t="shared" ref="AP411:AQ411" ca="1" si="1147">SUM(T424)</f>
        <v>219.49311983987991</v>
      </c>
      <c r="AQ411" s="13">
        <f t="shared" ca="1" si="1147"/>
        <v>7.3164373279959971</v>
      </c>
      <c r="AR411" s="9">
        <f t="shared" ca="1" si="1132"/>
        <v>104.46666666666667</v>
      </c>
      <c r="AS411" s="76"/>
      <c r="AT411" s="76"/>
    </row>
    <row r="412" spans="1:46" ht="15.75" customHeight="1" x14ac:dyDescent="0.25">
      <c r="A412" s="70"/>
      <c r="B412" s="16">
        <v>2</v>
      </c>
      <c r="C412" s="16" t="s">
        <v>28</v>
      </c>
      <c r="D412" s="17">
        <v>24</v>
      </c>
      <c r="E412" s="18">
        <f ca="1">IFERROR(__xludf.DUMMYFUNCTION("COUNT(IMPORTRANGE(""https://docs.google.com/spreadsheets/d/1tJCeYclgeJZ4Dc78t_SkhVjtacKW-5-VGim8X1rzUzk/edit"",""16!d2:d34""))"),23)</f>
        <v>23</v>
      </c>
      <c r="F412" s="19">
        <f ca="1">IFERROR(__xludf.DUMMYFUNCTION("SUM(IMPORTRANGE(""https://docs.google.com/spreadsheets/d/1tJCeYclgeJZ4Dc78t_SkhVjtacKW-5-VGim8X1rzUzk/edit"",""16!Q2:Q34""))"),4427.83699999999)</f>
        <v>4427.8369999999904</v>
      </c>
      <c r="G412" s="18">
        <f ca="1">IFERROR(__xludf.DUMMYFUNCTION("IMPORTRANGE(""https://docs.google.com/spreadsheets/d/1tJCeYclgeJZ4Dc78t_SkhVjtacKW-5-VGim8X1rzUzk/edit"",""16!e41"")"),1469)</f>
        <v>1469</v>
      </c>
      <c r="H412" s="18">
        <f ca="1">IFERROR(__xludf.DUMMYFUNCTION("IMPORTRANGE(""https://docs.google.com/spreadsheets/d/1tJCeYclgeJZ4Dc78t_SkhVjtacKW-5-VGim8X1rzUzk/edit"",""16!e42"")"),100)</f>
        <v>100</v>
      </c>
      <c r="I412" s="18">
        <f t="shared" ca="1" si="1137"/>
        <v>1569</v>
      </c>
      <c r="J412" s="18">
        <f ca="1">IFERROR(__xludf.DUMMYFUNCTION("IMPORTRANGE(""https://docs.google.com/spreadsheets/d/1tJCeYclgeJZ4Dc78t_SkhVjtacKW-5-VGim8X1rzUzk/edit"",""16!e45"")"),1447)</f>
        <v>1447</v>
      </c>
      <c r="K412" s="18">
        <f ca="1">IFERROR(__xludf.DUMMYFUNCTION("IMPORTRANGE(""https://docs.google.com/spreadsheets/d/1tJCeYclgeJZ4Dc78t_SkhVjtacKW-5-VGim8X1rzUzk/edit"",""16!e46"")"),184)</f>
        <v>184</v>
      </c>
      <c r="L412" s="18">
        <f t="shared" ca="1" si="1138"/>
        <v>1631</v>
      </c>
      <c r="M412" s="18">
        <f t="shared" ca="1" si="1139"/>
        <v>3200</v>
      </c>
      <c r="N412" s="19">
        <f t="shared" ca="1" si="1140"/>
        <v>192.51465217391262</v>
      </c>
      <c r="O412" s="16">
        <v>7315</v>
      </c>
      <c r="P412" s="20">
        <f t="shared" ca="1" si="1141"/>
        <v>0.43745727956254271</v>
      </c>
      <c r="Q412" s="21">
        <v>1.5</v>
      </c>
      <c r="R412" s="20">
        <f t="shared" ca="1" si="1142"/>
        <v>0.48180033125278504</v>
      </c>
      <c r="S412" s="22">
        <f t="shared" ca="1" si="1143"/>
        <v>0.72270049687917759</v>
      </c>
      <c r="T412" s="21">
        <f ca="1">F412/30.897</f>
        <v>143.3096093471855</v>
      </c>
      <c r="U412" s="21">
        <f t="shared" ca="1" si="1144"/>
        <v>6.2308525803124128</v>
      </c>
      <c r="V412" s="18">
        <f t="shared" ca="1" si="1145"/>
        <v>139.13043478260869</v>
      </c>
      <c r="W412" s="76"/>
      <c r="X412" s="8">
        <v>5</v>
      </c>
      <c r="Y412" s="8" t="s">
        <v>29</v>
      </c>
      <c r="Z412" s="8">
        <f t="shared" ref="Z412:AI412" si="1148">SUM(D427)</f>
        <v>23</v>
      </c>
      <c r="AA412" s="9">
        <f t="shared" ca="1" si="1148"/>
        <v>23</v>
      </c>
      <c r="AB412" s="10">
        <f t="shared" ca="1" si="1148"/>
        <v>4662.4159999999902</v>
      </c>
      <c r="AC412" s="9">
        <f t="shared" ca="1" si="1148"/>
        <v>1705</v>
      </c>
      <c r="AD412" s="9">
        <f t="shared" ca="1" si="1148"/>
        <v>0</v>
      </c>
      <c r="AE412" s="9">
        <f t="shared" ca="1" si="1148"/>
        <v>1705</v>
      </c>
      <c r="AF412" s="9">
        <f t="shared" ca="1" si="1148"/>
        <v>2425</v>
      </c>
      <c r="AG412" s="9">
        <f t="shared" ca="1" si="1148"/>
        <v>0</v>
      </c>
      <c r="AH412" s="9">
        <f t="shared" ca="1" si="1148"/>
        <v>2425</v>
      </c>
      <c r="AI412" s="9">
        <f t="shared" ca="1" si="1148"/>
        <v>4130</v>
      </c>
      <c r="AJ412" s="11">
        <f t="shared" ref="AJ412:AJ414" ca="1" si="1149">AB412/AA412</f>
        <v>202.71373913043436</v>
      </c>
      <c r="AK412" s="8">
        <f t="shared" ref="AK412:AK413" si="1150">SUM(O427)</f>
        <v>9201</v>
      </c>
      <c r="AL412" s="12">
        <f t="shared" ca="1" si="1127"/>
        <v>0.44886425388544721</v>
      </c>
      <c r="AM412" s="13">
        <f t="shared" ref="AM412:AM413" si="1151">SUM(Q427)</f>
        <v>1.5</v>
      </c>
      <c r="AN412" s="12">
        <f t="shared" ca="1" si="1129"/>
        <v>0.59053789566039139</v>
      </c>
      <c r="AO412" s="14">
        <f t="shared" ca="1" si="1130"/>
        <v>0.88580684349058703</v>
      </c>
      <c r="AP412" s="13">
        <f t="shared" ref="AP412:AQ412" ca="1" si="1152">SUM(T427)</f>
        <v>175.99999999999963</v>
      </c>
      <c r="AQ412" s="13">
        <f t="shared" ca="1" si="1152"/>
        <v>7.6521739130434625</v>
      </c>
      <c r="AR412" s="9">
        <f t="shared" ca="1" si="1132"/>
        <v>179.56521739130434</v>
      </c>
      <c r="AS412" s="76"/>
      <c r="AT412" s="76"/>
    </row>
    <row r="413" spans="1:46" ht="15.75" customHeight="1" x14ac:dyDescent="0.25">
      <c r="A413" s="70"/>
      <c r="B413" s="16">
        <v>3</v>
      </c>
      <c r="C413" s="16" t="s">
        <v>30</v>
      </c>
      <c r="D413" s="17">
        <v>45</v>
      </c>
      <c r="E413" s="18">
        <f ca="1">IFERROR(__xludf.DUMMYFUNCTION("COUNT(IMPORTRANGE(""https://docs.google.com/spreadsheets/d/130gLEONC13J8KkQ6dk06x3bLRy_jCrAw2hXatQf2W50/edit"",""16!d2:d61""))"),44)</f>
        <v>44</v>
      </c>
      <c r="F413" s="23">
        <f ca="1">IFERROR(__xludf.DUMMYFUNCTION("SUM(IMPORTRANGE(""https://docs.google.com/spreadsheets/d/130gLEONC13J8KkQ6dk06x3bLRy_jCrAw2hXatQf2W50/edit"",""16!Q2:Q61""))"),8673.67899999999)</f>
        <v>8673.6789999999892</v>
      </c>
      <c r="G413" s="18">
        <f ca="1">IFERROR(__xludf.DUMMYFUNCTION("IMPORTRANGE(""https://docs.google.com/spreadsheets/d/130gLEONC13J8KkQ6dk06x3bLRy_jCrAw2hXatQf2W50/edit"",""16!e68"")"),2024)</f>
        <v>2024</v>
      </c>
      <c r="H413" s="18">
        <f ca="1">IFERROR(__xludf.DUMMYFUNCTION("IMPORTRANGE(""https://docs.google.com/spreadsheets/d/130gLEONC13J8KkQ6dk06x3bLRy_jCrAw2hXatQf2W50/edit"",""16!e69"")"),147)</f>
        <v>147</v>
      </c>
      <c r="I413" s="18">
        <f t="shared" ca="1" si="1137"/>
        <v>2171</v>
      </c>
      <c r="J413" s="18">
        <f ca="1">IFERROR(__xludf.DUMMYFUNCTION("IMPORTRANGE(""https://docs.google.com/spreadsheets/d/130gLEONC13J8KkQ6dk06x3bLRy_jCrAw2hXatQf2W50/edit"",""16!e72"")"),3810)</f>
        <v>3810</v>
      </c>
      <c r="K413" s="18">
        <f ca="1">IFERROR(__xludf.DUMMYFUNCTION("IMPORTRANGE(""https://docs.google.com/spreadsheets/d/130gLEONC13J8KkQ6dk06x3bLRy_jCrAw2hXatQf2W50/edit"",""16!e73"")"),41)</f>
        <v>41</v>
      </c>
      <c r="L413" s="18">
        <f t="shared" ca="1" si="1138"/>
        <v>3851</v>
      </c>
      <c r="M413" s="18">
        <f t="shared" ca="1" si="1139"/>
        <v>6022</v>
      </c>
      <c r="N413" s="19">
        <f t="shared" ca="1" si="1140"/>
        <v>197.12906818181793</v>
      </c>
      <c r="O413" s="16">
        <v>11164</v>
      </c>
      <c r="P413" s="20">
        <f t="shared" ca="1" si="1141"/>
        <v>0.53941239699032606</v>
      </c>
      <c r="Q413" s="21">
        <v>1.5</v>
      </c>
      <c r="R413" s="20">
        <f t="shared" ca="1" si="1142"/>
        <v>0.46285626510580707</v>
      </c>
      <c r="S413" s="22">
        <f t="shared" ca="1" si="1143"/>
        <v>0.69428439765871064</v>
      </c>
      <c r="T413" s="21">
        <f ca="1">F413/29.603</f>
        <v>292.9999999999996</v>
      </c>
      <c r="U413" s="21">
        <f t="shared" ca="1" si="1144"/>
        <v>6.6590909090909003</v>
      </c>
      <c r="V413" s="18">
        <f t="shared" ca="1" si="1145"/>
        <v>136.86363636363637</v>
      </c>
      <c r="W413" s="76"/>
      <c r="X413" s="8">
        <v>6</v>
      </c>
      <c r="Y413" s="8" t="s">
        <v>31</v>
      </c>
      <c r="Z413" s="8">
        <f t="shared" ref="Z413:AI413" si="1153">SUM(D428)</f>
        <v>11</v>
      </c>
      <c r="AA413" s="9">
        <f t="shared" ca="1" si="1153"/>
        <v>10</v>
      </c>
      <c r="AB413" s="11">
        <f t="shared" ca="1" si="1153"/>
        <v>1912.46</v>
      </c>
      <c r="AC413" s="9">
        <f t="shared" ca="1" si="1153"/>
        <v>406</v>
      </c>
      <c r="AD413" s="9">
        <f t="shared" ca="1" si="1153"/>
        <v>0</v>
      </c>
      <c r="AE413" s="9">
        <f t="shared" ca="1" si="1153"/>
        <v>406</v>
      </c>
      <c r="AF413" s="9">
        <f t="shared" ca="1" si="1153"/>
        <v>554</v>
      </c>
      <c r="AG413" s="9">
        <f t="shared" ca="1" si="1153"/>
        <v>13</v>
      </c>
      <c r="AH413" s="9">
        <f t="shared" ca="1" si="1153"/>
        <v>567</v>
      </c>
      <c r="AI413" s="9">
        <f t="shared" ca="1" si="1153"/>
        <v>973</v>
      </c>
      <c r="AJ413" s="11">
        <f t="shared" ca="1" si="1149"/>
        <v>191.24600000000001</v>
      </c>
      <c r="AK413" s="8">
        <f t="shared" si="1150"/>
        <v>2717</v>
      </c>
      <c r="AL413" s="12">
        <f t="shared" ca="1" si="1127"/>
        <v>0.35811556864188443</v>
      </c>
      <c r="AM413" s="13">
        <f t="shared" si="1151"/>
        <v>1.5</v>
      </c>
      <c r="AN413" s="12">
        <f t="shared" ca="1" si="1129"/>
        <v>0.33917920723396394</v>
      </c>
      <c r="AO413" s="14">
        <f t="shared" ca="1" si="1130"/>
        <v>0.50876881085094594</v>
      </c>
      <c r="AP413" s="13">
        <f t="shared" ref="AP413:AQ413" ca="1" si="1154">SUM(T428)</f>
        <v>44</v>
      </c>
      <c r="AQ413" s="13">
        <f t="shared" ca="1" si="1154"/>
        <v>4.4000000000000004</v>
      </c>
      <c r="AR413" s="9">
        <f t="shared" ca="1" si="1132"/>
        <v>97.3</v>
      </c>
      <c r="AS413" s="76"/>
      <c r="AT413" s="76"/>
    </row>
    <row r="414" spans="1:46" ht="15.75" customHeight="1" x14ac:dyDescent="0.25">
      <c r="A414" s="70"/>
      <c r="B414" s="16">
        <v>4</v>
      </c>
      <c r="C414" s="16" t="s">
        <v>32</v>
      </c>
      <c r="D414" s="17">
        <v>32</v>
      </c>
      <c r="E414" s="18">
        <f ca="1">IFERROR(__xludf.DUMMYFUNCTION("COUNT(IMPORTRANGE(""https://docs.google.com/spreadsheets/d/1gYHli7FuKQLm2Q-5LMR0UtkD-gRRA_p8s-phLPLDLgc/edit"",""16!d2:d43""))"),32)</f>
        <v>32</v>
      </c>
      <c r="F414" s="23">
        <f ca="1">IFERROR(__xludf.DUMMYFUNCTION("SUM(IMPORTRANGE(""https://docs.google.com/spreadsheets/d/1gYHli7FuKQLm2Q-5LMR0UtkD-gRRA_p8s-phLPLDLgc/edit"",""16!Q2:Q43""))"),6422.78399999999)</f>
        <v>6422.7839999999896</v>
      </c>
      <c r="G414" s="16">
        <f ca="1">IFERROR(__xludf.DUMMYFUNCTION("IMPORTRANGE(""https://docs.google.com/spreadsheets/d/1gYHli7FuKQLm2Q-5LMR0UtkD-gRRA_p8s-phLPLDLgc/edit"",""16!e50"")"),3004)</f>
        <v>3004</v>
      </c>
      <c r="H414" s="16">
        <f ca="1">IFERROR(__xludf.DUMMYFUNCTION("IMPORTRANGE(""https://docs.google.com/spreadsheets/d/1gYHli7FuKQLm2Q-5LMR0UtkD-gRRA_p8s-phLPLDLgc/edit"",""16!e51"")"),0)</f>
        <v>0</v>
      </c>
      <c r="I414" s="18">
        <f t="shared" ca="1" si="1137"/>
        <v>3004</v>
      </c>
      <c r="J414" s="16">
        <f ca="1">IFERROR(__xludf.DUMMYFUNCTION("IMPORTRANGE(""https://docs.google.com/spreadsheets/d/1gYHli7FuKQLm2Q-5LMR0UtkD-gRRA_p8s-phLPLDLgc/edit"",""16!e54"")"),3454)</f>
        <v>3454</v>
      </c>
      <c r="K414" s="16">
        <f ca="1">IFERROR(__xludf.DUMMYFUNCTION("IMPORTRANGE(""https://docs.google.com/spreadsheets/d/1gYHli7FuKQLm2Q-5LMR0UtkD-gRRA_p8s-phLPLDLgc/edit"",""16!e55"")"),0)</f>
        <v>0</v>
      </c>
      <c r="L414" s="18">
        <f t="shared" ca="1" si="1138"/>
        <v>3454</v>
      </c>
      <c r="M414" s="18">
        <f t="shared" ca="1" si="1139"/>
        <v>6458</v>
      </c>
      <c r="N414" s="19">
        <f t="shared" ca="1" si="1140"/>
        <v>200.71199999999968</v>
      </c>
      <c r="O414" s="16">
        <v>13817</v>
      </c>
      <c r="P414" s="20">
        <f t="shared" ca="1" si="1141"/>
        <v>0.4673952377505971</v>
      </c>
      <c r="Q414" s="21">
        <v>1.5</v>
      </c>
      <c r="R414" s="20">
        <f t="shared" ca="1" si="1142"/>
        <v>0.67032198705940294</v>
      </c>
      <c r="S414" s="22">
        <f t="shared" ca="1" si="1143"/>
        <v>1.0054829805891043</v>
      </c>
      <c r="T414" s="21">
        <f ca="1">F414/25.089</f>
        <v>255.9999999999996</v>
      </c>
      <c r="U414" s="21">
        <f t="shared" ca="1" si="1144"/>
        <v>7.9999999999999876</v>
      </c>
      <c r="V414" s="18">
        <f t="shared" ca="1" si="1145"/>
        <v>201.8125</v>
      </c>
      <c r="W414" s="76"/>
      <c r="X414" s="24" t="s">
        <v>33</v>
      </c>
      <c r="Y414" s="24">
        <v>6</v>
      </c>
      <c r="Z414" s="24">
        <f t="shared" ref="Z414:AI414" si="1155">SUM(Z408:Z413)</f>
        <v>144</v>
      </c>
      <c r="AA414" s="25">
        <f t="shared" ca="1" si="1155"/>
        <v>144</v>
      </c>
      <c r="AB414" s="26">
        <f t="shared" ca="1" si="1155"/>
        <v>25706.151999999969</v>
      </c>
      <c r="AC414" s="25">
        <f t="shared" ca="1" si="1155"/>
        <v>6248</v>
      </c>
      <c r="AD414" s="25">
        <f t="shared" ca="1" si="1155"/>
        <v>117</v>
      </c>
      <c r="AE414" s="25">
        <f t="shared" ca="1" si="1155"/>
        <v>6365</v>
      </c>
      <c r="AF414" s="25">
        <f t="shared" ca="1" si="1155"/>
        <v>8975</v>
      </c>
      <c r="AG414" s="25">
        <f t="shared" ca="1" si="1155"/>
        <v>68</v>
      </c>
      <c r="AH414" s="25">
        <f t="shared" ca="1" si="1155"/>
        <v>9043</v>
      </c>
      <c r="AI414" s="25">
        <f t="shared" ca="1" si="1155"/>
        <v>15408</v>
      </c>
      <c r="AJ414" s="27">
        <f t="shared" ca="1" si="1149"/>
        <v>178.51494444444424</v>
      </c>
      <c r="AK414" s="24">
        <f>SUM(AK408:AK413)</f>
        <v>35074</v>
      </c>
      <c r="AL414" s="28">
        <f t="shared" ca="1" si="1127"/>
        <v>0.43929976620858757</v>
      </c>
      <c r="AM414" s="29">
        <v>1.5</v>
      </c>
      <c r="AN414" s="28">
        <f t="shared" ca="1" si="1129"/>
        <v>0.39959306239222475</v>
      </c>
      <c r="AO414" s="30">
        <f t="shared" ca="1" si="1130"/>
        <v>0.5993895935883371</v>
      </c>
      <c r="AP414" s="29">
        <f ca="1">SUM(AP408:AP413)</f>
        <v>965.83347915253842</v>
      </c>
      <c r="AQ414" s="29">
        <f ca="1">AP414/AA414</f>
        <v>6.7071769385592948</v>
      </c>
      <c r="AR414" s="25">
        <f t="shared" ca="1" si="1132"/>
        <v>107</v>
      </c>
      <c r="AS414" s="76"/>
      <c r="AT414" s="76"/>
    </row>
    <row r="415" spans="1:46" ht="15.75" customHeight="1" x14ac:dyDescent="0.25">
      <c r="A415" s="70"/>
      <c r="B415" s="16">
        <v>5</v>
      </c>
      <c r="C415" s="16" t="s">
        <v>34</v>
      </c>
      <c r="D415" s="17">
        <v>30</v>
      </c>
      <c r="E415" s="18">
        <f ca="1">IFERROR(__xludf.DUMMYFUNCTION("COUNT(IMPORTRANGE(""https://docs.google.com/spreadsheets/d/1ptS0qWBCKWkc9h2aXWT_YgMhN7yIv5WgAHRbF8l9Zpo/edit"",""16!d2:d41""))"),30)</f>
        <v>30</v>
      </c>
      <c r="F415" s="23">
        <f ca="1">IFERROR(__xludf.DUMMYFUNCTION("SUM(IMPORTRANGE(""https://docs.google.com/spreadsheets/d/1ptS0qWBCKWkc9h2aXWT_YgMhN7yIv5WgAHRbF8l9Zpo/edit"",""16!Q2:Q41""))"),5924.523)</f>
        <v>5924.5230000000001</v>
      </c>
      <c r="G415" s="18">
        <f ca="1">IFERROR(__xludf.DUMMYFUNCTION("IMPORTRANGE(""https://docs.google.com/spreadsheets/d/1ptS0qWBCKWkc9h2aXWT_YgMhN7yIv5WgAHRbF8l9Zpo/edit"",""16!e48"")"),1510)</f>
        <v>1510</v>
      </c>
      <c r="H415" s="18">
        <f ca="1">IFERROR(__xludf.DUMMYFUNCTION("IMPORTRANGE(""https://docs.google.com/spreadsheets/d/1ptS0qWBCKWkc9h2aXWT_YgMhN7yIv5WgAHRbF8l9Zpo/edit"",""16!e49"")"),0)</f>
        <v>0</v>
      </c>
      <c r="I415" s="18">
        <f t="shared" ca="1" si="1137"/>
        <v>1510</v>
      </c>
      <c r="J415" s="18">
        <f ca="1">IFERROR(__xludf.DUMMYFUNCTION("IMPORTRANGE(""https://docs.google.com/spreadsheets/d/1ptS0qWBCKWkc9h2aXWT_YgMhN7yIv5WgAHRbF8l9Zpo/edit"",""16!e52"")"),2198)</f>
        <v>2198</v>
      </c>
      <c r="K415" s="18">
        <f ca="1">IFERROR(__xludf.DUMMYFUNCTION("IMPORTRANGE(""https://docs.google.com/spreadsheets/d/1ptS0qWBCKWkc9h2aXWT_YgMhN7yIv5WgAHRbF8l9Zpo/edit"",""16!e53"")"),112)</f>
        <v>112</v>
      </c>
      <c r="L415" s="18">
        <f t="shared" ca="1" si="1138"/>
        <v>2310</v>
      </c>
      <c r="M415" s="18">
        <f t="shared" ca="1" si="1139"/>
        <v>3820</v>
      </c>
      <c r="N415" s="19">
        <f t="shared" ca="1" si="1140"/>
        <v>197.48410000000001</v>
      </c>
      <c r="O415" s="16">
        <v>9354</v>
      </c>
      <c r="P415" s="20">
        <f t="shared" ca="1" si="1141"/>
        <v>0.40838144109471886</v>
      </c>
      <c r="Q415" s="21">
        <v>1.5</v>
      </c>
      <c r="R415" s="20">
        <f t="shared" ca="1" si="1142"/>
        <v>0.42985176471872361</v>
      </c>
      <c r="S415" s="22">
        <f t="shared" ca="1" si="1143"/>
        <v>0.64477764707808538</v>
      </c>
      <c r="T415" s="21">
        <f ca="1">F415/30.713</f>
        <v>192.89952137531338</v>
      </c>
      <c r="U415" s="21">
        <f t="shared" ca="1" si="1144"/>
        <v>6.4299840458437796</v>
      </c>
      <c r="V415" s="18">
        <f t="shared" ca="1" si="1145"/>
        <v>127.33333333333333</v>
      </c>
      <c r="W415" s="76"/>
      <c r="X415" s="100" t="s">
        <v>35</v>
      </c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9"/>
      <c r="AS415" s="76"/>
      <c r="AT415" s="76"/>
    </row>
    <row r="416" spans="1:46" ht="15.75" customHeight="1" x14ac:dyDescent="0.25">
      <c r="A416" s="70"/>
      <c r="B416" s="16">
        <v>6</v>
      </c>
      <c r="C416" s="16" t="s">
        <v>23</v>
      </c>
      <c r="D416" s="17">
        <v>26</v>
      </c>
      <c r="E416" s="18">
        <f ca="1">IFERROR(__xludf.DUMMYFUNCTION("COUNT(IMPORTRANGE(""https://docs.google.com/spreadsheets/d/1829CoYW82aTBBUgqkPnJa94KlBWI-DowAnP4ENQCmaQ/edit"",""16!d2:d36""))"),25)</f>
        <v>25</v>
      </c>
      <c r="F416" s="23">
        <f ca="1">IFERROR(__xludf.DUMMYFUNCTION("SUM(IMPORTRANGE(""https://docs.google.com/spreadsheets/d/1829CoYW82aTBBUgqkPnJa94KlBWI-DowAnP4ENQCmaQ/edit"",""16!Q2:Q36""))"),4993.51999999999)</f>
        <v>4993.5199999999904</v>
      </c>
      <c r="G416" s="18">
        <f ca="1">IFERROR(__xludf.DUMMYFUNCTION("IMPORTRANGE(""https://docs.google.com/spreadsheets/d/1829CoYW82aTBBUgqkPnJa94KlBWI-DowAnP4ENQCmaQ/edit"",""16!e43"")"),1036)</f>
        <v>1036</v>
      </c>
      <c r="H416" s="18">
        <f ca="1">IFERROR(__xludf.DUMMYFUNCTION("IMPORTRANGE(""https://docs.google.com/spreadsheets/d/1829CoYW82aTBBUgqkPnJa94KlBWI-DowAnP4ENQCmaQ/edit"",""16!e44"")"),0)</f>
        <v>0</v>
      </c>
      <c r="I416" s="18">
        <f t="shared" ca="1" si="1137"/>
        <v>1036</v>
      </c>
      <c r="J416" s="18">
        <f ca="1">IFERROR(__xludf.DUMMYFUNCTION("IMPORTRANGE(""https://docs.google.com/spreadsheets/d/1829CoYW82aTBBUgqkPnJa94KlBWI-DowAnP4ENQCmaQ/edit"",""16!e47"")"),1985)</f>
        <v>1985</v>
      </c>
      <c r="K416" s="18">
        <f ca="1">IFERROR(__xludf.DUMMYFUNCTION("IMPORTRANGE(""https://docs.google.com/spreadsheets/d/1829CoYW82aTBBUgqkPnJa94KlBWI-DowAnP4ENQCmaQ/edit"",""16!e48"")"),0)</f>
        <v>0</v>
      </c>
      <c r="L416" s="18">
        <f t="shared" ca="1" si="1138"/>
        <v>1985</v>
      </c>
      <c r="M416" s="18">
        <f t="shared" ca="1" si="1139"/>
        <v>3021</v>
      </c>
      <c r="N416" s="19">
        <f t="shared" ca="1" si="1140"/>
        <v>199.74079999999961</v>
      </c>
      <c r="O416" s="16">
        <v>6853</v>
      </c>
      <c r="P416" s="20">
        <f t="shared" ca="1" si="1141"/>
        <v>0.44082883408726103</v>
      </c>
      <c r="Q416" s="21">
        <v>1.5</v>
      </c>
      <c r="R416" s="20">
        <f t="shared" ca="1" si="1142"/>
        <v>0.40332270622727129</v>
      </c>
      <c r="S416" s="22">
        <f t="shared" ca="1" si="1143"/>
        <v>0.60498405934090693</v>
      </c>
      <c r="T416" s="21">
        <f ca="1">F416/33.74</f>
        <v>147.99999999999972</v>
      </c>
      <c r="U416" s="21">
        <f t="shared" ca="1" si="1144"/>
        <v>5.9199999999999884</v>
      </c>
      <c r="V416" s="18">
        <f t="shared" ca="1" si="1145"/>
        <v>120.84</v>
      </c>
      <c r="W416" s="76"/>
      <c r="X416" s="1" t="s">
        <v>2</v>
      </c>
      <c r="Y416" s="1" t="s">
        <v>3</v>
      </c>
      <c r="Z416" s="1" t="s">
        <v>4</v>
      </c>
      <c r="AA416" s="1" t="s">
        <v>5</v>
      </c>
      <c r="AB416" s="2" t="s">
        <v>6</v>
      </c>
      <c r="AC416" s="1" t="s">
        <v>7</v>
      </c>
      <c r="AD416" s="1" t="s">
        <v>8</v>
      </c>
      <c r="AE416" s="1" t="s">
        <v>9</v>
      </c>
      <c r="AF416" s="1" t="s">
        <v>10</v>
      </c>
      <c r="AG416" s="1" t="s">
        <v>11</v>
      </c>
      <c r="AH416" s="1" t="s">
        <v>12</v>
      </c>
      <c r="AI416" s="1" t="s">
        <v>13</v>
      </c>
      <c r="AJ416" s="2" t="s">
        <v>14</v>
      </c>
      <c r="AK416" s="1" t="s">
        <v>15</v>
      </c>
      <c r="AL416" s="1" t="s">
        <v>16</v>
      </c>
      <c r="AM416" s="3" t="s">
        <v>17</v>
      </c>
      <c r="AN416" s="4" t="s">
        <v>18</v>
      </c>
      <c r="AO416" s="5" t="s">
        <v>19</v>
      </c>
      <c r="AP416" s="6" t="s">
        <v>20</v>
      </c>
      <c r="AQ416" s="6" t="s">
        <v>21</v>
      </c>
      <c r="AR416" s="7" t="s">
        <v>22</v>
      </c>
      <c r="AS416" s="76"/>
      <c r="AT416" s="76"/>
    </row>
    <row r="417" spans="1:46" ht="15.75" customHeight="1" x14ac:dyDescent="0.25">
      <c r="A417" s="70"/>
      <c r="B417" s="16">
        <v>7</v>
      </c>
      <c r="C417" s="16" t="s">
        <v>24</v>
      </c>
      <c r="D417" s="17">
        <v>35</v>
      </c>
      <c r="E417" s="31">
        <f ca="1">IFERROR(__xludf.DUMMYFUNCTION("COUNT(IMPORTRANGE(""https://docs.google.com/spreadsheets/d/1E2x4oDZxEIsuC5nl-5Z0--MoN8b1dt9SbpRcCfNP84Q/edit"",""16!d2:d45""))"),35)</f>
        <v>35</v>
      </c>
      <c r="F417" s="32">
        <f ca="1">IFERROR(__xludf.DUMMYFUNCTION("SUM(IMPORTRANGE(""https://docs.google.com/spreadsheets/d/1E2x4oDZxEIsuC5nl-5Z0--MoN8b1dt9SbpRcCfNP84Q/edit"",""16!Q2:Q45""))"),6613.57399999999)</f>
        <v>6613.5739999999896</v>
      </c>
      <c r="G417" s="31">
        <f ca="1">IFERROR(__xludf.DUMMYFUNCTION("IMPORTRANGE(""https://docs.google.com/spreadsheets/d/1E2x4oDZxEIsuC5nl-5Z0--MoN8b1dt9SbpRcCfNP84Q/edit"",""16!e53"")"),621)</f>
        <v>621</v>
      </c>
      <c r="H417" s="31">
        <f ca="1">IFERROR(__xludf.DUMMYFUNCTION("IMPORTRANGE(""https://docs.google.com/spreadsheets/d/1E2x4oDZxEIsuC5nl-5Z0--MoN8b1dt9SbpRcCfNP84Q/edit"",""16!e54"")"),30)</f>
        <v>30</v>
      </c>
      <c r="I417" s="31">
        <f t="shared" ca="1" si="1137"/>
        <v>651</v>
      </c>
      <c r="J417" s="31">
        <f ca="1">IFERROR(__xludf.DUMMYFUNCTION("IMPORTRANGE(""https://docs.google.com/spreadsheets/d/1E2x4oDZxEIsuC5nl-5Z0--MoN8b1dt9SbpRcCfNP84Q/edit"",""16!e57"")"),722)</f>
        <v>722</v>
      </c>
      <c r="K417" s="31">
        <f ca="1">IFERROR(__xludf.DUMMYFUNCTION("IMPORTRANGE(""https://docs.google.com/spreadsheets/d/1E2x4oDZxEIsuC5nl-5Z0--MoN8b1dt9SbpRcCfNP84Q/edit"",""16!e58"")"),28)</f>
        <v>28</v>
      </c>
      <c r="L417" s="18">
        <f t="shared" ca="1" si="1138"/>
        <v>750</v>
      </c>
      <c r="M417" s="18">
        <f t="shared" ca="1" si="1139"/>
        <v>1401</v>
      </c>
      <c r="N417" s="19">
        <f t="shared" ca="1" si="1140"/>
        <v>188.95925714285684</v>
      </c>
      <c r="O417" s="16">
        <v>1580</v>
      </c>
      <c r="P417" s="20">
        <f t="shared" ca="1" si="1141"/>
        <v>0.88670886075949362</v>
      </c>
      <c r="Q417" s="21">
        <v>1.5</v>
      </c>
      <c r="R417" s="20">
        <f t="shared" ca="1" si="1142"/>
        <v>0.14122469938341983</v>
      </c>
      <c r="S417" s="22">
        <f t="shared" ca="1" si="1143"/>
        <v>0.21183704907512976</v>
      </c>
      <c r="T417" s="21">
        <f ca="1">F417/26.805</f>
        <v>246.7291177019209</v>
      </c>
      <c r="U417" s="21">
        <f t="shared" ca="1" si="1144"/>
        <v>7.0494033629120256</v>
      </c>
      <c r="V417" s="18">
        <f t="shared" ca="1" si="1145"/>
        <v>40.028571428571432</v>
      </c>
      <c r="W417" s="76"/>
      <c r="X417" s="8">
        <v>1</v>
      </c>
      <c r="Y417" s="8" t="s">
        <v>28</v>
      </c>
      <c r="Z417" s="8">
        <f t="shared" ref="Z417:AI417" si="1156">SUM(D412)</f>
        <v>24</v>
      </c>
      <c r="AA417" s="9">
        <f t="shared" ca="1" si="1156"/>
        <v>23</v>
      </c>
      <c r="AB417" s="11">
        <f t="shared" ca="1" si="1156"/>
        <v>4427.8369999999904</v>
      </c>
      <c r="AC417" s="9">
        <f t="shared" ca="1" si="1156"/>
        <v>1469</v>
      </c>
      <c r="AD417" s="9">
        <f t="shared" ca="1" si="1156"/>
        <v>100</v>
      </c>
      <c r="AE417" s="9">
        <f t="shared" ca="1" si="1156"/>
        <v>1569</v>
      </c>
      <c r="AF417" s="9">
        <f t="shared" ca="1" si="1156"/>
        <v>1447</v>
      </c>
      <c r="AG417" s="9">
        <f t="shared" ca="1" si="1156"/>
        <v>184</v>
      </c>
      <c r="AH417" s="9">
        <f t="shared" ca="1" si="1156"/>
        <v>1631</v>
      </c>
      <c r="AI417" s="9">
        <f t="shared" ca="1" si="1156"/>
        <v>3200</v>
      </c>
      <c r="AJ417" s="11">
        <f t="shared" ref="AJ417:AJ423" ca="1" si="1157">AB417/AA417</f>
        <v>192.51465217391262</v>
      </c>
      <c r="AK417" s="8">
        <f t="shared" ref="AK417:AK418" si="1158">SUM(O412)</f>
        <v>7315</v>
      </c>
      <c r="AL417" s="12">
        <f t="shared" ref="AL417:AL423" ca="1" si="1159">AI417/AK417</f>
        <v>0.43745727956254271</v>
      </c>
      <c r="AM417" s="13">
        <f t="shared" ref="AM417:AM418" si="1160">SUM(Q412)</f>
        <v>1.5</v>
      </c>
      <c r="AN417" s="12">
        <f t="shared" ref="AN417:AN423" ca="1" si="1161">AO417/AM417</f>
        <v>0.48180033125278504</v>
      </c>
      <c r="AO417" s="14">
        <f t="shared" ref="AO417:AO423" ca="1" si="1162">AI417/AB417</f>
        <v>0.72270049687917759</v>
      </c>
      <c r="AP417" s="13">
        <f t="shared" ref="AP417:AQ417" ca="1" si="1163">SUM(T412)</f>
        <v>143.3096093471855</v>
      </c>
      <c r="AQ417" s="13">
        <f t="shared" ca="1" si="1163"/>
        <v>6.2308525803124128</v>
      </c>
      <c r="AR417" s="9">
        <f t="shared" ref="AR417:AR423" ca="1" si="1164">AI417/AA417</f>
        <v>139.13043478260869</v>
      </c>
      <c r="AS417" s="76"/>
      <c r="AT417" s="76"/>
    </row>
    <row r="418" spans="1:46" ht="15.75" customHeight="1" x14ac:dyDescent="0.25">
      <c r="A418" s="70"/>
      <c r="B418" s="16">
        <v>8</v>
      </c>
      <c r="C418" s="16" t="s">
        <v>25</v>
      </c>
      <c r="D418" s="34">
        <v>26</v>
      </c>
      <c r="E418" s="18">
        <f ca="1">IFERROR(__xludf.DUMMYFUNCTION("COUNT(IMPORTRANGE(""https://docs.google.com/spreadsheets/d/1KbRFOEYB0B44J_NSh1MwYQ1sLDlZXUHI-wuMLcZDn5k/edit"",""16!d2:D33""))"),21)</f>
        <v>21</v>
      </c>
      <c r="F418" s="23">
        <f ca="1">IFERROR(__xludf.DUMMYFUNCTION("SUM(IMPORTRANGE(""https://docs.google.com/spreadsheets/d/1KbRFOEYB0B44J_NSh1MwYQ1sLDlZXUHI-wuMLcZDn5k/edit"",""16!Q2:Q33""))"),3137.612)</f>
        <v>3137.6120000000001</v>
      </c>
      <c r="G418" s="18">
        <f ca="1">IFERROR(__xludf.DUMMYFUNCTION("IMPORTRANGE(""https://docs.google.com/spreadsheets/d/1KbRFOEYB0B44J_NSh1MwYQ1sLDlZXUHI-wuMLcZDn5k/edit"",""16!e40"")"),1058)</f>
        <v>1058</v>
      </c>
      <c r="H418" s="18">
        <f ca="1">IFERROR(__xludf.DUMMYFUNCTION("IMPORTRANGE(""https://docs.google.com/spreadsheets/d/1KbRFOEYB0B44J_NSh1MwYQ1sLDlZXUHI-wuMLcZDn5k/edit"",""16!e41"")"),87)</f>
        <v>87</v>
      </c>
      <c r="I418" s="18">
        <f t="shared" ca="1" si="1137"/>
        <v>1145</v>
      </c>
      <c r="J418" s="18">
        <f ca="1">IFERROR(__xludf.DUMMYFUNCTION("IMPORTRANGE(""https://docs.google.com/spreadsheets/d/1KbRFOEYB0B44J_NSh1MwYQ1sLDlZXUHI-wuMLcZDn5k/edit"",""16!e44"")"),1577)</f>
        <v>1577</v>
      </c>
      <c r="K418" s="18">
        <f ca="1">IFERROR(__xludf.DUMMYFUNCTION("IMPORTRANGE(""https://docs.google.com/spreadsheets/d/1KbRFOEYB0B44J_NSh1MwYQ1sLDlZXUHI-wuMLcZDn5k/edit"",""16!e45"")"),27)</f>
        <v>27</v>
      </c>
      <c r="L418" s="18">
        <f ca="1">J418+K418</f>
        <v>1604</v>
      </c>
      <c r="M418" s="18">
        <f t="shared" ca="1" si="1139"/>
        <v>2749</v>
      </c>
      <c r="N418" s="19">
        <f t="shared" ca="1" si="1140"/>
        <v>149.41009523809524</v>
      </c>
      <c r="O418" s="16">
        <v>6622</v>
      </c>
      <c r="P418" s="20">
        <f t="shared" ca="1" si="1141"/>
        <v>0.41513138024765933</v>
      </c>
      <c r="Q418" s="21">
        <v>1.5</v>
      </c>
      <c r="R418" s="20">
        <f t="shared" ca="1" si="1142"/>
        <v>0.58409601527106181</v>
      </c>
      <c r="S418" s="22">
        <f t="shared" ca="1" si="1143"/>
        <v>0.87614402290659266</v>
      </c>
      <c r="T418" s="21">
        <f ca="1">F418/23.84</f>
        <v>131.61124161073826</v>
      </c>
      <c r="U418" s="21">
        <f t="shared" ca="1" si="1144"/>
        <v>6.2672019814637263</v>
      </c>
      <c r="V418" s="18">
        <f t="shared" ca="1" si="1145"/>
        <v>130.9047619047619</v>
      </c>
      <c r="W418" s="76"/>
      <c r="X418" s="8">
        <v>2</v>
      </c>
      <c r="Y418" s="8" t="s">
        <v>30</v>
      </c>
      <c r="Z418" s="8">
        <f t="shared" ref="Z418:AI418" si="1165">SUM(D413)</f>
        <v>45</v>
      </c>
      <c r="AA418" s="9">
        <f t="shared" ca="1" si="1165"/>
        <v>44</v>
      </c>
      <c r="AB418" s="10">
        <f t="shared" ca="1" si="1165"/>
        <v>8673.6789999999892</v>
      </c>
      <c r="AC418" s="9">
        <f t="shared" ca="1" si="1165"/>
        <v>2024</v>
      </c>
      <c r="AD418" s="9">
        <f t="shared" ca="1" si="1165"/>
        <v>147</v>
      </c>
      <c r="AE418" s="9">
        <f t="shared" ca="1" si="1165"/>
        <v>2171</v>
      </c>
      <c r="AF418" s="9">
        <f t="shared" ca="1" si="1165"/>
        <v>3810</v>
      </c>
      <c r="AG418" s="9">
        <f t="shared" ca="1" si="1165"/>
        <v>41</v>
      </c>
      <c r="AH418" s="9">
        <f t="shared" ca="1" si="1165"/>
        <v>3851</v>
      </c>
      <c r="AI418" s="9">
        <f t="shared" ca="1" si="1165"/>
        <v>6022</v>
      </c>
      <c r="AJ418" s="11">
        <f t="shared" ca="1" si="1157"/>
        <v>197.12906818181793</v>
      </c>
      <c r="AK418" s="8">
        <f t="shared" si="1158"/>
        <v>11164</v>
      </c>
      <c r="AL418" s="12">
        <f t="shared" ca="1" si="1159"/>
        <v>0.53941239699032606</v>
      </c>
      <c r="AM418" s="13">
        <f t="shared" si="1160"/>
        <v>1.5</v>
      </c>
      <c r="AN418" s="12">
        <f t="shared" ca="1" si="1161"/>
        <v>0.46285626510580707</v>
      </c>
      <c r="AO418" s="14">
        <f t="shared" ca="1" si="1162"/>
        <v>0.69428439765871064</v>
      </c>
      <c r="AP418" s="13">
        <f t="shared" ref="AP418:AQ418" ca="1" si="1166">SUM(T413)</f>
        <v>292.9999999999996</v>
      </c>
      <c r="AQ418" s="13">
        <f t="shared" ca="1" si="1166"/>
        <v>6.6590909090909003</v>
      </c>
      <c r="AR418" s="9">
        <f t="shared" ca="1" si="1164"/>
        <v>136.86363636363637</v>
      </c>
      <c r="AS418" s="76"/>
      <c r="AT418" s="76"/>
    </row>
    <row r="419" spans="1:46" ht="15.75" customHeight="1" x14ac:dyDescent="0.25">
      <c r="A419" s="70"/>
      <c r="B419" s="16">
        <v>9</v>
      </c>
      <c r="C419" s="16" t="s">
        <v>36</v>
      </c>
      <c r="D419" s="34">
        <v>22</v>
      </c>
      <c r="E419" s="18">
        <f ca="1">IFERROR(__xludf.DUMMYFUNCTION("COUNT(IMPORTRANGE(""https://docs.google.com/spreadsheets/d/1VqqqRGfmmkT0JC4ILJva2p8P11jjV0FX-TSKAaqOigw/edit"",""16!d2:d31""))"),22)</f>
        <v>22</v>
      </c>
      <c r="F419" s="23">
        <f ca="1">IFERROR(__xludf.DUMMYFUNCTION("SUM(IMPORTRANGE(""https://docs.google.com/spreadsheets/d/1VqqqRGfmmkT0JC4ILJva2p8P11jjV0FX-TSKAaqOigw/edit"",""16!Q2:Q31""))"),4335.236)</f>
        <v>4335.2359999999999</v>
      </c>
      <c r="G419" s="18">
        <f ca="1">IFERROR(__xludf.DUMMYFUNCTION("IMPORTRANGE(""https://docs.google.com/spreadsheets/d/1VqqqRGfmmkT0JC4ILJva2p8P11jjV0FX-TSKAaqOigw/edit"",""16!e38"")"),803)</f>
        <v>803</v>
      </c>
      <c r="H419" s="18">
        <f ca="1">IFERROR(__xludf.DUMMYFUNCTION("IMPORTRANGE(""https://docs.google.com/spreadsheets/d/1VqqqRGfmmkT0JC4ILJva2p8P11jjV0FX-TSKAaqOigw/edit"",""16!e39"")"),0)</f>
        <v>0</v>
      </c>
      <c r="I419" s="18">
        <f t="shared" ca="1" si="1137"/>
        <v>803</v>
      </c>
      <c r="J419" s="18">
        <f ca="1">IFERROR(__xludf.DUMMYFUNCTION("IMPORTRANGE(""https://docs.google.com/spreadsheets/d/1VqqqRGfmmkT0JC4ILJva2p8P11jjV0FX-TSKAaqOigw/edit"",""16!e42"")"),1394)</f>
        <v>1394</v>
      </c>
      <c r="K419" s="18">
        <f ca="1">IFERROR(__xludf.DUMMYFUNCTION("IMPORTRANGE(""https://docs.google.com/spreadsheets/d/1VqqqRGfmmkT0JC4ILJva2p8P11jjV0FX-TSKAaqOigw/edit"",""16!e43"")"),0)</f>
        <v>0</v>
      </c>
      <c r="L419" s="18">
        <f t="shared" ref="L419:L428" ca="1" si="1167">SUM(J419:K419)</f>
        <v>1394</v>
      </c>
      <c r="M419" s="18">
        <f t="shared" ca="1" si="1139"/>
        <v>2197</v>
      </c>
      <c r="N419" s="19">
        <f t="shared" ca="1" si="1140"/>
        <v>197.05618181818181</v>
      </c>
      <c r="O419" s="16">
        <v>4796</v>
      </c>
      <c r="P419" s="20">
        <f t="shared" ca="1" si="1141"/>
        <v>0.45809007506255212</v>
      </c>
      <c r="Q419" s="21">
        <v>1.5</v>
      </c>
      <c r="R419" s="20">
        <f t="shared" ca="1" si="1142"/>
        <v>0.33785165713392917</v>
      </c>
      <c r="S419" s="22">
        <f t="shared" ca="1" si="1143"/>
        <v>0.50677748570089376</v>
      </c>
      <c r="T419" s="21">
        <f ca="1">F419/37.414</f>
        <v>115.87202651413908</v>
      </c>
      <c r="U419" s="21">
        <f t="shared" ca="1" si="1144"/>
        <v>5.2669102960972305</v>
      </c>
      <c r="V419" s="18">
        <f t="shared" ca="1" si="1145"/>
        <v>99.86363636363636</v>
      </c>
      <c r="W419" s="76"/>
      <c r="X419" s="8">
        <v>3</v>
      </c>
      <c r="Y419" s="8" t="s">
        <v>34</v>
      </c>
      <c r="Z419" s="8">
        <f t="shared" ref="Z419:AI419" si="1168">SUM(D415)</f>
        <v>30</v>
      </c>
      <c r="AA419" s="9">
        <f t="shared" ca="1" si="1168"/>
        <v>30</v>
      </c>
      <c r="AB419" s="10">
        <f t="shared" ca="1" si="1168"/>
        <v>5924.5230000000001</v>
      </c>
      <c r="AC419" s="9">
        <f t="shared" ca="1" si="1168"/>
        <v>1510</v>
      </c>
      <c r="AD419" s="9">
        <f t="shared" ca="1" si="1168"/>
        <v>0</v>
      </c>
      <c r="AE419" s="9">
        <f t="shared" ca="1" si="1168"/>
        <v>1510</v>
      </c>
      <c r="AF419" s="9">
        <f t="shared" ca="1" si="1168"/>
        <v>2198</v>
      </c>
      <c r="AG419" s="9">
        <f t="shared" ca="1" si="1168"/>
        <v>112</v>
      </c>
      <c r="AH419" s="9">
        <f t="shared" ca="1" si="1168"/>
        <v>2310</v>
      </c>
      <c r="AI419" s="9">
        <f t="shared" ca="1" si="1168"/>
        <v>3820</v>
      </c>
      <c r="AJ419" s="11">
        <f t="shared" ca="1" si="1157"/>
        <v>197.48410000000001</v>
      </c>
      <c r="AK419" s="8">
        <f>SUM(O415)</f>
        <v>9354</v>
      </c>
      <c r="AL419" s="12">
        <f t="shared" ca="1" si="1159"/>
        <v>0.40838144109471886</v>
      </c>
      <c r="AM419" s="13">
        <f>SUM(Q415)</f>
        <v>1.5</v>
      </c>
      <c r="AN419" s="12">
        <f t="shared" ca="1" si="1161"/>
        <v>0.42985176471872361</v>
      </c>
      <c r="AO419" s="14">
        <f t="shared" ca="1" si="1162"/>
        <v>0.64477764707808538</v>
      </c>
      <c r="AP419" s="13">
        <f t="shared" ref="AP419:AQ419" ca="1" si="1169">SUM(T415)</f>
        <v>192.89952137531338</v>
      </c>
      <c r="AQ419" s="13">
        <f t="shared" ca="1" si="1169"/>
        <v>6.4299840458437796</v>
      </c>
      <c r="AR419" s="9">
        <f t="shared" ca="1" si="1164"/>
        <v>127.33333333333333</v>
      </c>
      <c r="AS419" s="76"/>
      <c r="AT419" s="76"/>
    </row>
    <row r="420" spans="1:46" ht="15.75" customHeight="1" x14ac:dyDescent="0.25">
      <c r="A420" s="70"/>
      <c r="B420" s="16">
        <v>10</v>
      </c>
      <c r="C420" s="16" t="s">
        <v>37</v>
      </c>
      <c r="D420" s="17">
        <v>23</v>
      </c>
      <c r="E420" s="18">
        <f ca="1">IFERROR(__xludf.DUMMYFUNCTION("COUNT(IMPORTRANGE(""https://docs.google.com/spreadsheets/d/1IYeRjQd_D6MRqoBKNaky3aSEUloYCJc5XDnPAbdyetk/edit"",""16!d2:d31""))"),23)</f>
        <v>23</v>
      </c>
      <c r="F420" s="23">
        <f ca="1">IFERROR(__xludf.DUMMYFUNCTION("SUM(IMPORTRANGE(""https://docs.google.com/spreadsheets/d/1IYeRjQd_D6MRqoBKNaky3aSEUloYCJc5XDnPAbdyetk/edit"",""16!Q2:Q31""))"),4572.58799999999)</f>
        <v>4572.5879999999897</v>
      </c>
      <c r="G420" s="18">
        <f ca="1">IFERROR(__xludf.DUMMYFUNCTION("(IMPORTRANGE(""https://docs.google.com/spreadsheets/d/1IYeRjQd_D6MRqoBKNaky3aSEUloYCJc5XDnPAbdyetk/edit"",""16!e38""))"),917)</f>
        <v>917</v>
      </c>
      <c r="H420" s="18">
        <f ca="1">IFERROR(__xludf.DUMMYFUNCTION("(IMPORTRANGE(""https://docs.google.com/spreadsheets/d/1IYeRjQd_D6MRqoBKNaky3aSEUloYCJc5XDnPAbdyetk/edit"",""16!e39""))"),0)</f>
        <v>0</v>
      </c>
      <c r="I420" s="18">
        <f t="shared" ca="1" si="1137"/>
        <v>917</v>
      </c>
      <c r="J420" s="18">
        <f ca="1">IFERROR(__xludf.DUMMYFUNCTION("(IMPORTRANGE(""https://docs.google.com/spreadsheets/d/1IYeRjQd_D6MRqoBKNaky3aSEUloYCJc5XDnPAbdyetk/edit"",""16!e42""))"),1593)</f>
        <v>1593</v>
      </c>
      <c r="K420" s="18">
        <f ca="1">IFERROR(__xludf.DUMMYFUNCTION("(IMPORTRANGE(""https://docs.google.com/spreadsheets/d/1IYeRjQd_D6MRqoBKNaky3aSEUloYCJc5XDnPAbdyetk/edit"",""16!e43""))"),0)</f>
        <v>0</v>
      </c>
      <c r="L420" s="18">
        <f t="shared" ca="1" si="1167"/>
        <v>1593</v>
      </c>
      <c r="M420" s="18">
        <f t="shared" ca="1" si="1139"/>
        <v>2510</v>
      </c>
      <c r="N420" s="19">
        <f t="shared" ca="1" si="1140"/>
        <v>198.80817391304302</v>
      </c>
      <c r="O420" s="16">
        <v>5887</v>
      </c>
      <c r="P420" s="20">
        <f t="shared" ca="1" si="1141"/>
        <v>0.42636317309325633</v>
      </c>
      <c r="Q420" s="21">
        <v>1.5</v>
      </c>
      <c r="R420" s="20">
        <f t="shared" ca="1" si="1142"/>
        <v>0.36594885288885354</v>
      </c>
      <c r="S420" s="22">
        <f t="shared" ca="1" si="1143"/>
        <v>0.54892327933328033</v>
      </c>
      <c r="T420" s="21">
        <f ca="1">F420/24.792</f>
        <v>184.43804453049327</v>
      </c>
      <c r="U420" s="21">
        <f t="shared" ca="1" si="1144"/>
        <v>8.0190454143692733</v>
      </c>
      <c r="V420" s="18">
        <f t="shared" ca="1" si="1145"/>
        <v>109.1304347826087</v>
      </c>
      <c r="W420" s="76"/>
      <c r="X420" s="8">
        <v>4</v>
      </c>
      <c r="Y420" s="8" t="s">
        <v>38</v>
      </c>
      <c r="Z420" s="8">
        <f t="shared" ref="Z420:AI420" si="1170">SUM(D423)</f>
        <v>23</v>
      </c>
      <c r="AA420" s="9">
        <f t="shared" ca="1" si="1170"/>
        <v>22</v>
      </c>
      <c r="AB420" s="10">
        <f t="shared" ca="1" si="1170"/>
        <v>4367.7299999999996</v>
      </c>
      <c r="AC420" s="9">
        <f t="shared" ca="1" si="1170"/>
        <v>1146</v>
      </c>
      <c r="AD420" s="9">
        <f t="shared" ca="1" si="1170"/>
        <v>0</v>
      </c>
      <c r="AE420" s="9">
        <f t="shared" ca="1" si="1170"/>
        <v>1146</v>
      </c>
      <c r="AF420" s="9">
        <f t="shared" ca="1" si="1170"/>
        <v>1762</v>
      </c>
      <c r="AG420" s="9">
        <f t="shared" ca="1" si="1170"/>
        <v>0</v>
      </c>
      <c r="AH420" s="9">
        <f t="shared" ca="1" si="1170"/>
        <v>1762</v>
      </c>
      <c r="AI420" s="9">
        <f t="shared" ca="1" si="1170"/>
        <v>2908</v>
      </c>
      <c r="AJ420" s="11">
        <f t="shared" ca="1" si="1157"/>
        <v>198.53318181818179</v>
      </c>
      <c r="AK420" s="8">
        <v>7324</v>
      </c>
      <c r="AL420" s="12">
        <f t="shared" ca="1" si="1159"/>
        <v>0.39705079191698528</v>
      </c>
      <c r="AM420" s="13">
        <f>SUM(Q423)</f>
        <v>1.5</v>
      </c>
      <c r="AN420" s="12">
        <f t="shared" ca="1" si="1161"/>
        <v>0.44386138032036476</v>
      </c>
      <c r="AO420" s="14">
        <f t="shared" ca="1" si="1162"/>
        <v>0.66579207048054712</v>
      </c>
      <c r="AP420" s="13">
        <f t="shared" ref="AP420:AQ420" ca="1" si="1171">SUM(T423)</f>
        <v>106</v>
      </c>
      <c r="AQ420" s="13">
        <f t="shared" ca="1" si="1171"/>
        <v>4.8181818181818183</v>
      </c>
      <c r="AR420" s="9">
        <f t="shared" ca="1" si="1164"/>
        <v>132.18181818181819</v>
      </c>
      <c r="AS420" s="76"/>
      <c r="AT420" s="76"/>
    </row>
    <row r="421" spans="1:46" ht="15.75" customHeight="1" x14ac:dyDescent="0.25">
      <c r="A421" s="70"/>
      <c r="B421" s="16">
        <v>12</v>
      </c>
      <c r="C421" s="16" t="s">
        <v>39</v>
      </c>
      <c r="D421" s="17">
        <v>21</v>
      </c>
      <c r="E421" s="18">
        <f ca="1">IFERROR(__xludf.DUMMYFUNCTION("COUNT(IMPORTRANGE(""https://docs.google.com/spreadsheets/d/1TAY2D35yAzyl8a_p5CuZehQvmatfj0b0Q8ICl8GtJBY/edit"",""16!d2:d29""))"),21)</f>
        <v>21</v>
      </c>
      <c r="F421" s="23">
        <f ca="1">IFERROR(__xludf.DUMMYFUNCTION("SUM(IMPORTRANGE(""https://docs.google.com/spreadsheets/d/1TAY2D35yAzyl8a_p5CuZehQvmatfj0b0Q8ICl8GtJBY/edit"",""16!Q2:Q29""))"),4126.35299999999)</f>
        <v>4126.3529999999901</v>
      </c>
      <c r="G421" s="18">
        <f ca="1">IFERROR(__xludf.DUMMYFUNCTION("IMPORTRANGE(""https://docs.google.com/spreadsheets/d/1TAY2D35yAzyl8a_p5CuZehQvmatfj0b0Q8ICl8GtJBY/edit"",""16!e36"")"),726)</f>
        <v>726</v>
      </c>
      <c r="H421" s="18">
        <f ca="1">IFERROR(__xludf.DUMMYFUNCTION("(IMPORTRANGE(""https://docs.google.com/spreadsheets/d/1TAY2D35yAzyl8a_p5CuZehQvmatfj0b0Q8ICl8GtJBY/edit"",""16!e37""))"),0)</f>
        <v>0</v>
      </c>
      <c r="I421" s="18">
        <f t="shared" ca="1" si="1137"/>
        <v>726</v>
      </c>
      <c r="J421" s="18">
        <f ca="1">IFERROR(__xludf.DUMMYFUNCTION("IMPORTRANGE(""https://docs.google.com/spreadsheets/d/1TAY2D35yAzyl8a_p5CuZehQvmatfj0b0Q8ICl8GtJBY/edit"",""16!e40"")"),1376)</f>
        <v>1376</v>
      </c>
      <c r="K421" s="18">
        <f ca="1">IFERROR(__xludf.DUMMYFUNCTION("IMPORTRANGE(""https://docs.google.com/spreadsheets/d/1TAY2D35yAzyl8a_p5CuZehQvmatfj0b0Q8ICl8GtJBY/edit"",""16!e41"")"),0)</f>
        <v>0</v>
      </c>
      <c r="L421" s="18">
        <f t="shared" ca="1" si="1167"/>
        <v>1376</v>
      </c>
      <c r="M421" s="18">
        <f t="shared" ca="1" si="1139"/>
        <v>2102</v>
      </c>
      <c r="N421" s="19">
        <f t="shared" ca="1" si="1140"/>
        <v>196.49299999999954</v>
      </c>
      <c r="O421" s="16">
        <v>3569</v>
      </c>
      <c r="P421" s="20">
        <f t="shared" ca="1" si="1141"/>
        <v>0.58896049313533205</v>
      </c>
      <c r="Q421" s="21">
        <v>1.5</v>
      </c>
      <c r="R421" s="20">
        <f t="shared" ca="1" si="1142"/>
        <v>0.33960578102099764</v>
      </c>
      <c r="S421" s="22">
        <f t="shared" ca="1" si="1143"/>
        <v>0.50940867153149649</v>
      </c>
      <c r="T421" s="21">
        <f ca="1">F421/21.463</f>
        <v>192.25425150258536</v>
      </c>
      <c r="U421" s="21">
        <f t="shared" ca="1" si="1144"/>
        <v>9.1549643572659694</v>
      </c>
      <c r="V421" s="18">
        <f t="shared" ca="1" si="1145"/>
        <v>100.0952380952381</v>
      </c>
      <c r="W421" s="76"/>
      <c r="X421" s="8">
        <v>5</v>
      </c>
      <c r="Y421" s="8" t="s">
        <v>40</v>
      </c>
      <c r="Z421" s="8">
        <f t="shared" ref="Z421:AI421" si="1172">SUM(D425)</f>
        <v>23</v>
      </c>
      <c r="AA421" s="9">
        <f t="shared" ca="1" si="1172"/>
        <v>23</v>
      </c>
      <c r="AB421" s="10">
        <f t="shared" ca="1" si="1172"/>
        <v>4451.9960000000001</v>
      </c>
      <c r="AC421" s="9">
        <f t="shared" ca="1" si="1172"/>
        <v>2040</v>
      </c>
      <c r="AD421" s="9">
        <f t="shared" ca="1" si="1172"/>
        <v>33</v>
      </c>
      <c r="AE421" s="9">
        <f t="shared" ca="1" si="1172"/>
        <v>2073</v>
      </c>
      <c r="AF421" s="9">
        <f t="shared" ca="1" si="1172"/>
        <v>2575</v>
      </c>
      <c r="AG421" s="9">
        <f t="shared" ca="1" si="1172"/>
        <v>0</v>
      </c>
      <c r="AH421" s="9">
        <f t="shared" ca="1" si="1172"/>
        <v>2575</v>
      </c>
      <c r="AI421" s="9">
        <f t="shared" ca="1" si="1172"/>
        <v>4648</v>
      </c>
      <c r="AJ421" s="11">
        <f t="shared" ca="1" si="1157"/>
        <v>193.56504347826086</v>
      </c>
      <c r="AK421" s="8">
        <f t="shared" ref="AK421:AK422" si="1173">SUM(O425)</f>
        <v>8239</v>
      </c>
      <c r="AL421" s="12">
        <f t="shared" ca="1" si="1159"/>
        <v>0.56414613423959215</v>
      </c>
      <c r="AM421" s="13">
        <f t="shared" ref="AM421:AM422" si="1174">SUM(Q425)</f>
        <v>1.5</v>
      </c>
      <c r="AN421" s="12">
        <f t="shared" ca="1" si="1161"/>
        <v>0.69601739684102737</v>
      </c>
      <c r="AO421" s="14">
        <f t="shared" ca="1" si="1162"/>
        <v>1.044026095261541</v>
      </c>
      <c r="AP421" s="13">
        <f t="shared" ref="AP421:AQ421" ca="1" si="1175">SUM(T425)</f>
        <v>156.52343283057343</v>
      </c>
      <c r="AQ421" s="13">
        <f t="shared" ca="1" si="1175"/>
        <v>6.8053666448075401</v>
      </c>
      <c r="AR421" s="9">
        <f t="shared" ca="1" si="1164"/>
        <v>202.08695652173913</v>
      </c>
      <c r="AS421" s="76"/>
      <c r="AT421" s="76"/>
    </row>
    <row r="422" spans="1:46" ht="15.75" customHeight="1" x14ac:dyDescent="0.25">
      <c r="A422" s="70"/>
      <c r="B422" s="16">
        <v>12</v>
      </c>
      <c r="C422" s="16" t="s">
        <v>41</v>
      </c>
      <c r="D422" s="17">
        <v>19</v>
      </c>
      <c r="E422" s="18">
        <f ca="1">IFERROR(__xludf.DUMMYFUNCTION("COUNT(IMPORTRANGE(""https://docs.google.com/spreadsheets/d/1VAsUtLQHi7oV9NsI9EIHPnO1bcPJHeRgSbMoxSvPBME/edit"",""16!d2:d25""))"),19)</f>
        <v>19</v>
      </c>
      <c r="F422" s="23">
        <f ca="1">IFERROR(__xludf.DUMMYFUNCTION("SUM(IMPORTRANGE(""https://docs.google.com/spreadsheets/d/1VAsUtLQHi7oV9NsI9EIHPnO1bcPJHeRgSbMoxSvPBME/edit"",""16!Q2:Q25""))"),3812.136)</f>
        <v>3812.136</v>
      </c>
      <c r="G422" s="18">
        <f ca="1">IFERROR(__xludf.DUMMYFUNCTION("IMPORTRANGE(""https://docs.google.com/spreadsheets/d/1VAsUtLQHi7oV9NsI9EIHPnO1bcPJHeRgSbMoxSvPBME/edit"",""16!e32"")"),735)</f>
        <v>735</v>
      </c>
      <c r="H422" s="18">
        <f ca="1">IFERROR(__xludf.DUMMYFUNCTION("IMPORTRANGE(""https://docs.google.com/spreadsheets/d/1VAsUtLQHi7oV9NsI9EIHPnO1bcPJHeRgSbMoxSvPBME/edit"",""16!e33"")"),0)</f>
        <v>0</v>
      </c>
      <c r="I422" s="18">
        <f t="shared" ca="1" si="1137"/>
        <v>735</v>
      </c>
      <c r="J422" s="18">
        <f ca="1">IFERROR(__xludf.DUMMYFUNCTION("IMPORTRANGE(""https://docs.google.com/spreadsheets/d/1VAsUtLQHi7oV9NsI9EIHPnO1bcPJHeRgSbMoxSvPBME/edit"",""16!e36"")"),1004)</f>
        <v>1004</v>
      </c>
      <c r="K422" s="18">
        <f ca="1">IFERROR(__xludf.DUMMYFUNCTION("IMPORTRANGE(""https://docs.google.com/spreadsheets/d/1VAsUtLQHi7oV9NsI9EIHPnO1bcPJHeRgSbMoxSvPBME/edit"",""16!e37"")"),0)</f>
        <v>0</v>
      </c>
      <c r="L422" s="18">
        <f t="shared" ca="1" si="1167"/>
        <v>1004</v>
      </c>
      <c r="M422" s="18">
        <f t="shared" ca="1" si="1139"/>
        <v>1739</v>
      </c>
      <c r="N422" s="19">
        <f t="shared" ca="1" si="1140"/>
        <v>200.63873684210526</v>
      </c>
      <c r="O422" s="16">
        <v>3801</v>
      </c>
      <c r="P422" s="20">
        <f t="shared" ca="1" si="1141"/>
        <v>0.45751118126808732</v>
      </c>
      <c r="Q422" s="21">
        <v>1.5</v>
      </c>
      <c r="R422" s="20">
        <f t="shared" ca="1" si="1142"/>
        <v>0.30411646733834613</v>
      </c>
      <c r="S422" s="22">
        <f t="shared" ca="1" si="1143"/>
        <v>0.45617470100751917</v>
      </c>
      <c r="T422" s="21">
        <f ca="1">F422/29.628</f>
        <v>128.66666666666666</v>
      </c>
      <c r="U422" s="21">
        <f t="shared" ca="1" si="1144"/>
        <v>6.7719298245614032</v>
      </c>
      <c r="V422" s="18">
        <f t="shared" ca="1" si="1145"/>
        <v>91.526315789473685</v>
      </c>
      <c r="W422" s="76"/>
      <c r="X422" s="8">
        <v>6</v>
      </c>
      <c r="Y422" s="8" t="s">
        <v>42</v>
      </c>
      <c r="Z422" s="8">
        <f t="shared" ref="Z422:AI422" si="1176">SUM(D426)</f>
        <v>24</v>
      </c>
      <c r="AA422" s="9">
        <f t="shared" ca="1" si="1176"/>
        <v>23</v>
      </c>
      <c r="AB422" s="10">
        <f t="shared" ca="1" si="1176"/>
        <v>4178.6450000000004</v>
      </c>
      <c r="AC422" s="9">
        <f t="shared" ca="1" si="1176"/>
        <v>1962</v>
      </c>
      <c r="AD422" s="9">
        <f t="shared" ca="1" si="1176"/>
        <v>103</v>
      </c>
      <c r="AE422" s="9">
        <f t="shared" ca="1" si="1176"/>
        <v>2065</v>
      </c>
      <c r="AF422" s="9">
        <f t="shared" ca="1" si="1176"/>
        <v>2176</v>
      </c>
      <c r="AG422" s="9">
        <f t="shared" ca="1" si="1176"/>
        <v>100</v>
      </c>
      <c r="AH422" s="9">
        <f t="shared" ca="1" si="1176"/>
        <v>2276</v>
      </c>
      <c r="AI422" s="9">
        <f t="shared" ca="1" si="1176"/>
        <v>4341</v>
      </c>
      <c r="AJ422" s="11">
        <f t="shared" ca="1" si="1157"/>
        <v>181.68021739130435</v>
      </c>
      <c r="AK422" s="8">
        <f t="shared" si="1173"/>
        <v>9877</v>
      </c>
      <c r="AL422" s="12">
        <f t="shared" ca="1" si="1159"/>
        <v>0.43950592285106815</v>
      </c>
      <c r="AM422" s="13">
        <f t="shared" si="1174"/>
        <v>1.5</v>
      </c>
      <c r="AN422" s="12">
        <f t="shared" ca="1" si="1161"/>
        <v>0.69256900263123555</v>
      </c>
      <c r="AO422" s="14">
        <f t="shared" ca="1" si="1162"/>
        <v>1.0388535039468534</v>
      </c>
      <c r="AP422" s="13">
        <f t="shared" ref="AP422:AQ422" ca="1" si="1177">SUM(T426)</f>
        <v>159.76467214681705</v>
      </c>
      <c r="AQ422" s="13">
        <f t="shared" ca="1" si="1177"/>
        <v>6.9462900933398712</v>
      </c>
      <c r="AR422" s="9">
        <f t="shared" ca="1" si="1164"/>
        <v>188.7391304347826</v>
      </c>
      <c r="AS422" s="76"/>
      <c r="AT422" s="76"/>
    </row>
    <row r="423" spans="1:46" ht="15.75" customHeight="1" x14ac:dyDescent="0.25">
      <c r="A423" s="70"/>
      <c r="B423" s="16">
        <v>13</v>
      </c>
      <c r="C423" s="16" t="s">
        <v>43</v>
      </c>
      <c r="D423" s="17">
        <v>23</v>
      </c>
      <c r="E423" s="18">
        <f ca="1">IFERROR(__xludf.DUMMYFUNCTION("COUNT(IMPORTRANGE(""https://docs.google.com/spreadsheets/d/1p9Y_DGk7-TpRBFth-ljZceOIGCjQ0ylUeUq6xqnsZ-Q/edit"",""16!d2:d31""))"),22)</f>
        <v>22</v>
      </c>
      <c r="F423" s="23">
        <f ca="1">IFERROR(__xludf.DUMMYFUNCTION("SUM(IMPORTRANGE(""https://docs.google.com/spreadsheets/d/1p9Y_DGk7-TpRBFth-ljZceOIGCjQ0ylUeUq6xqnsZ-Q/edit"",""16!Q2:Q31""))"),4367.73)</f>
        <v>4367.7299999999996</v>
      </c>
      <c r="G423" s="18">
        <f ca="1">IFERROR(__xludf.DUMMYFUNCTION("IMPORTRANGE(""https://docs.google.com/spreadsheets/d/1p9Y_DGk7-TpRBFth-ljZceOIGCjQ0ylUeUq6xqnsZ-Q/edit"",""16!e38"")"),1146)</f>
        <v>1146</v>
      </c>
      <c r="H423" s="18">
        <f ca="1">IFERROR(__xludf.DUMMYFUNCTION("IMPORTRANGE(""https://docs.google.com/spreadsheets/d/1p9Y_DGk7-TpRBFth-ljZceOIGCjQ0ylUeUq6xqnsZ-Q/edit"",""16!e39"")"),0)</f>
        <v>0</v>
      </c>
      <c r="I423" s="18">
        <f t="shared" ca="1" si="1137"/>
        <v>1146</v>
      </c>
      <c r="J423" s="18">
        <f ca="1">IFERROR(__xludf.DUMMYFUNCTION("IMPORTRANGE(""https://docs.google.com/spreadsheets/d/1p9Y_DGk7-TpRBFth-ljZceOIGCjQ0ylUeUq6xqnsZ-Q/edit"",""16!e42"")"),1762)</f>
        <v>1762</v>
      </c>
      <c r="K423" s="18">
        <f ca="1">IFERROR(__xludf.DUMMYFUNCTION("IMPORTRANGE(""https://docs.google.com/spreadsheets/d/1p9Y_DGk7-TpRBFth-ljZceOIGCjQ0ylUeUq6xqnsZ-Q/edit"",""16!e43"")"),0)</f>
        <v>0</v>
      </c>
      <c r="L423" s="18">
        <f t="shared" ca="1" si="1167"/>
        <v>1762</v>
      </c>
      <c r="M423" s="18">
        <f t="shared" ca="1" si="1139"/>
        <v>2908</v>
      </c>
      <c r="N423" s="19">
        <f t="shared" ca="1" si="1140"/>
        <v>198.53318181818179</v>
      </c>
      <c r="O423" s="16">
        <v>8345</v>
      </c>
      <c r="P423" s="20">
        <f t="shared" ca="1" si="1141"/>
        <v>0.34847213900539242</v>
      </c>
      <c r="Q423" s="21">
        <v>1.5</v>
      </c>
      <c r="R423" s="20">
        <f t="shared" ca="1" si="1142"/>
        <v>0.44386138032036476</v>
      </c>
      <c r="S423" s="22">
        <f t="shared" ca="1" si="1143"/>
        <v>0.66579207048054712</v>
      </c>
      <c r="T423" s="21">
        <f ca="1">F423/41.205</f>
        <v>106</v>
      </c>
      <c r="U423" s="21">
        <f t="shared" ca="1" si="1144"/>
        <v>4.8181818181818183</v>
      </c>
      <c r="V423" s="18">
        <f t="shared" ca="1" si="1145"/>
        <v>132.18181818181819</v>
      </c>
      <c r="W423" s="76"/>
      <c r="X423" s="24" t="s">
        <v>33</v>
      </c>
      <c r="Y423" s="24">
        <v>6</v>
      </c>
      <c r="Z423" s="24">
        <f t="shared" ref="Z423:AI423" si="1178">SUM(Z417:Z422)</f>
        <v>169</v>
      </c>
      <c r="AA423" s="25">
        <f t="shared" ca="1" si="1178"/>
        <v>165</v>
      </c>
      <c r="AB423" s="27">
        <f t="shared" ca="1" si="1178"/>
        <v>32024.409999999978</v>
      </c>
      <c r="AC423" s="25">
        <f t="shared" ca="1" si="1178"/>
        <v>10151</v>
      </c>
      <c r="AD423" s="25">
        <f t="shared" ca="1" si="1178"/>
        <v>383</v>
      </c>
      <c r="AE423" s="25">
        <f t="shared" ca="1" si="1178"/>
        <v>10534</v>
      </c>
      <c r="AF423" s="25">
        <f t="shared" ca="1" si="1178"/>
        <v>13968</v>
      </c>
      <c r="AG423" s="25">
        <f t="shared" ca="1" si="1178"/>
        <v>437</v>
      </c>
      <c r="AH423" s="25">
        <f t="shared" ca="1" si="1178"/>
        <v>14405</v>
      </c>
      <c r="AI423" s="25">
        <f t="shared" ca="1" si="1178"/>
        <v>24939</v>
      </c>
      <c r="AJ423" s="27">
        <f t="shared" ca="1" si="1157"/>
        <v>194.08733333333319</v>
      </c>
      <c r="AK423" s="24">
        <f>SUM(AK417:AK422)</f>
        <v>53273</v>
      </c>
      <c r="AL423" s="28">
        <f t="shared" ca="1" si="1159"/>
        <v>0.46813582865616726</v>
      </c>
      <c r="AM423" s="29">
        <v>1.5</v>
      </c>
      <c r="AN423" s="28">
        <f t="shared" ca="1" si="1161"/>
        <v>0.51916647332456745</v>
      </c>
      <c r="AO423" s="30">
        <f t="shared" ca="1" si="1162"/>
        <v>0.77874970998685122</v>
      </c>
      <c r="AP423" s="29">
        <f ca="1">SUM(AP417:AP422)</f>
        <v>1051.497235699889</v>
      </c>
      <c r="AQ423" s="29">
        <f ca="1">AP423/AA423</f>
        <v>6.3727105193932667</v>
      </c>
      <c r="AR423" s="25">
        <f t="shared" ca="1" si="1164"/>
        <v>151.14545454545456</v>
      </c>
      <c r="AS423" s="76"/>
      <c r="AT423" s="76"/>
    </row>
    <row r="424" spans="1:46" ht="15.75" customHeight="1" x14ac:dyDescent="0.25">
      <c r="A424" s="70"/>
      <c r="B424" s="16">
        <v>14</v>
      </c>
      <c r="C424" s="16" t="s">
        <v>27</v>
      </c>
      <c r="D424" s="17">
        <v>23</v>
      </c>
      <c r="E424" s="18">
        <f ca="1">IFERROR(__xludf.DUMMYFUNCTION("COUNT(IMPORTRANGE(""https://docs.google.com/spreadsheets/d/1zJUDEKztv_fercXA0LYNw155qdzS7TJGhWLhquaW5IY/edit"",""16!d2:d31""))"),30)</f>
        <v>30</v>
      </c>
      <c r="F424" s="23">
        <f ca="1">IFERROR(__xludf.DUMMYFUNCTION("SUM(IMPORTRANGE(""https://docs.google.com/spreadsheets/d/1zJUDEKztv_fercXA0LYNw155qdzS7TJGhWLhquaW5IY/edit"",""16!Q2:Q31""))"),4386.57)</f>
        <v>4386.57</v>
      </c>
      <c r="G424" s="18">
        <f ca="1">IFERROR(__xludf.DUMMYFUNCTION("IMPORTRANGE(""https://docs.google.com/spreadsheets/d/1zJUDEKztv_fercXA0LYNw155qdzS7TJGhWLhquaW5IY/edit"",""16!e38"")"),1422)</f>
        <v>1422</v>
      </c>
      <c r="H424" s="18">
        <f ca="1">IFERROR(__xludf.DUMMYFUNCTION("IMPORTRANGE(""https://docs.google.com/spreadsheets/d/1zJUDEKztv_fercXA0LYNw155qdzS7TJGhWLhquaW5IY/edit"",""16!e39"")"),0)</f>
        <v>0</v>
      </c>
      <c r="I424" s="18">
        <f t="shared" ca="1" si="1137"/>
        <v>1422</v>
      </c>
      <c r="J424" s="18">
        <f ca="1">IFERROR(__xludf.DUMMYFUNCTION("IMPORTRANGE(""https://docs.google.com/spreadsheets/d/1zJUDEKztv_fercXA0LYNw155qdzS7TJGhWLhquaW5IY/edit"",""16!e42"")"),1712)</f>
        <v>1712</v>
      </c>
      <c r="K424" s="18">
        <f ca="1">IFERROR(__xludf.DUMMYFUNCTION("IMPORTRANGE(""https://docs.google.com/spreadsheets/d/1zJUDEKztv_fercXA0LYNw155qdzS7TJGhWLhquaW5IY/edit"",""16!e43"")"),0)</f>
        <v>0</v>
      </c>
      <c r="L424" s="18">
        <f t="shared" ca="1" si="1167"/>
        <v>1712</v>
      </c>
      <c r="M424" s="18">
        <f t="shared" ca="1" si="1139"/>
        <v>3134</v>
      </c>
      <c r="N424" s="19">
        <f t="shared" ca="1" si="1140"/>
        <v>146.21899999999999</v>
      </c>
      <c r="O424" s="16">
        <v>8101</v>
      </c>
      <c r="P424" s="20">
        <f t="shared" ca="1" si="1141"/>
        <v>0.38686581903468709</v>
      </c>
      <c r="Q424" s="21">
        <v>1.5</v>
      </c>
      <c r="R424" s="20">
        <f t="shared" ca="1" si="1142"/>
        <v>0.4763022893361632</v>
      </c>
      <c r="S424" s="22">
        <f t="shared" ca="1" si="1143"/>
        <v>0.71445343400424477</v>
      </c>
      <c r="T424" s="21">
        <f ca="1">F424/19.985</f>
        <v>219.49311983987991</v>
      </c>
      <c r="U424" s="21">
        <f t="shared" ca="1" si="1144"/>
        <v>7.3164373279959971</v>
      </c>
      <c r="V424" s="18">
        <f t="shared" ca="1" si="1145"/>
        <v>104.46666666666667</v>
      </c>
      <c r="W424" s="76"/>
      <c r="X424" s="97" t="s">
        <v>44</v>
      </c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9"/>
      <c r="AS424" s="76"/>
      <c r="AT424" s="76"/>
    </row>
    <row r="425" spans="1:46" ht="15.75" customHeight="1" x14ac:dyDescent="0.25">
      <c r="A425" s="70"/>
      <c r="B425" s="16">
        <v>15</v>
      </c>
      <c r="C425" s="16" t="s">
        <v>40</v>
      </c>
      <c r="D425" s="17">
        <v>23</v>
      </c>
      <c r="E425" s="18">
        <f ca="1">IFERROR(__xludf.DUMMYFUNCTION("COUNT(IMPORTRANGE(""https://docs.google.com/spreadsheets/d/15GJA66Ucb-8RQ5vWVpq5HYaWoZZFX82SCeHChBujbrI/edit"",""16!d2:d31""))"),23)</f>
        <v>23</v>
      </c>
      <c r="F425" s="23">
        <f ca="1">IFERROR(__xludf.DUMMYFUNCTION("SUM(IMPORTRANGE(""https://docs.google.com/spreadsheets/d/15GJA66Ucb-8RQ5vWVpq5HYaWoZZFX82SCeHChBujbrI/edit"",""16!Q2:Q31""))"),4451.996)</f>
        <v>4451.9960000000001</v>
      </c>
      <c r="G425" s="18">
        <f ca="1">IFERROR(__xludf.DUMMYFUNCTION("IMPORTRANGE(""https://docs.google.com/spreadsheets/d/15GJA66Ucb-8RQ5vWVpq5HYaWoZZFX82SCeHChBujbrI/edit"",""16!e38"")"),2040)</f>
        <v>2040</v>
      </c>
      <c r="H425" s="18">
        <f ca="1">IFERROR(__xludf.DUMMYFUNCTION("IMPORTRANGE(""https://docs.google.com/spreadsheets/d/15GJA66Ucb-8RQ5vWVpq5HYaWoZZFX82SCeHChBujbrI/edit"",""16!e39"")"),33)</f>
        <v>33</v>
      </c>
      <c r="I425" s="18">
        <f t="shared" ca="1" si="1137"/>
        <v>2073</v>
      </c>
      <c r="J425" s="18">
        <f ca="1">IFERROR(__xludf.DUMMYFUNCTION("IMPORTRANGE(""https://docs.google.com/spreadsheets/d/15GJA66Ucb-8RQ5vWVpq5HYaWoZZFX82SCeHChBujbrI/edit"",""16!e42"")"),2575)</f>
        <v>2575</v>
      </c>
      <c r="K425" s="18">
        <f ca="1">IFERROR(__xludf.DUMMYFUNCTION("IMPORTRANGE(""https://docs.google.com/spreadsheets/d/15GJA66Ucb-8RQ5vWVpq5HYaWoZZFX82SCeHChBujbrI/edit"",""16!e43"")"),0)</f>
        <v>0</v>
      </c>
      <c r="L425" s="18">
        <f t="shared" ca="1" si="1167"/>
        <v>2575</v>
      </c>
      <c r="M425" s="18">
        <f t="shared" ca="1" si="1139"/>
        <v>4648</v>
      </c>
      <c r="N425" s="19">
        <f t="shared" ca="1" si="1140"/>
        <v>193.56504347826086</v>
      </c>
      <c r="O425" s="16">
        <v>8239</v>
      </c>
      <c r="P425" s="20">
        <f t="shared" ca="1" si="1141"/>
        <v>0.56414613423959215</v>
      </c>
      <c r="Q425" s="21">
        <v>1.5</v>
      </c>
      <c r="R425" s="20">
        <f t="shared" ca="1" si="1142"/>
        <v>0.69601739684102737</v>
      </c>
      <c r="S425" s="22">
        <f t="shared" ca="1" si="1143"/>
        <v>1.044026095261541</v>
      </c>
      <c r="T425" s="21">
        <f ca="1">F425/28.443</f>
        <v>156.52343283057343</v>
      </c>
      <c r="U425" s="21">
        <f t="shared" ca="1" si="1144"/>
        <v>6.8053666448075401</v>
      </c>
      <c r="V425" s="18">
        <f t="shared" ca="1" si="1145"/>
        <v>202.08695652173913</v>
      </c>
      <c r="W425" s="76"/>
      <c r="X425" s="1" t="s">
        <v>2</v>
      </c>
      <c r="Y425" s="1" t="s">
        <v>3</v>
      </c>
      <c r="Z425" s="1" t="s">
        <v>4</v>
      </c>
      <c r="AA425" s="1" t="s">
        <v>5</v>
      </c>
      <c r="AB425" s="2" t="s">
        <v>6</v>
      </c>
      <c r="AC425" s="1" t="s">
        <v>7</v>
      </c>
      <c r="AD425" s="1" t="s">
        <v>8</v>
      </c>
      <c r="AE425" s="1" t="s">
        <v>9</v>
      </c>
      <c r="AF425" s="1" t="s">
        <v>10</v>
      </c>
      <c r="AG425" s="1" t="s">
        <v>11</v>
      </c>
      <c r="AH425" s="1" t="s">
        <v>12</v>
      </c>
      <c r="AI425" s="1" t="s">
        <v>13</v>
      </c>
      <c r="AJ425" s="2" t="s">
        <v>14</v>
      </c>
      <c r="AK425" s="1" t="s">
        <v>15</v>
      </c>
      <c r="AL425" s="1" t="s">
        <v>16</v>
      </c>
      <c r="AM425" s="3" t="s">
        <v>17</v>
      </c>
      <c r="AN425" s="4" t="s">
        <v>18</v>
      </c>
      <c r="AO425" s="5" t="s">
        <v>19</v>
      </c>
      <c r="AP425" s="6" t="s">
        <v>20</v>
      </c>
      <c r="AQ425" s="6" t="s">
        <v>21</v>
      </c>
      <c r="AR425" s="7" t="s">
        <v>22</v>
      </c>
      <c r="AS425" s="76"/>
      <c r="AT425" s="76"/>
    </row>
    <row r="426" spans="1:46" ht="15.75" customHeight="1" x14ac:dyDescent="0.25">
      <c r="A426" s="70"/>
      <c r="B426" s="16">
        <v>16</v>
      </c>
      <c r="C426" s="16" t="s">
        <v>42</v>
      </c>
      <c r="D426" s="17">
        <v>24</v>
      </c>
      <c r="E426" s="18">
        <f ca="1">IFERROR(__xludf.DUMMYFUNCTION("COUNT(IMPORTRANGE(""https://docs.google.com/spreadsheets/d/14Tu_jFPEdrIQ6DHYu6vRvJKQsbXr-48NY1tKy4-8JKI/edit"",""16!d2:d34""))"),23)</f>
        <v>23</v>
      </c>
      <c r="F426" s="23">
        <f ca="1">IFERROR(__xludf.DUMMYFUNCTION("SUM(IMPORTRANGE(""https://docs.google.com/spreadsheets/d/14Tu_jFPEdrIQ6DHYu6vRvJKQsbXr-48NY1tKy4-8JKI/edit"",""16!Q2:Q34""))"),4178.645)</f>
        <v>4178.6450000000004</v>
      </c>
      <c r="G426" s="18">
        <f ca="1">IFERROR(__xludf.DUMMYFUNCTION("IMPORTRANGE(""https://docs.google.com/spreadsheets/d/14Tu_jFPEdrIQ6DHYu6vRvJKQsbXr-48NY1tKy4-8JKI/edit"",""16!e41"")"),1962)</f>
        <v>1962</v>
      </c>
      <c r="H426" s="18">
        <f ca="1">IFERROR(__xludf.DUMMYFUNCTION("IMPORTRANGE(""https://docs.google.com/spreadsheets/d/14Tu_jFPEdrIQ6DHYu6vRvJKQsbXr-48NY1tKy4-8JKI/edit"",""16!e42"")"),103)</f>
        <v>103</v>
      </c>
      <c r="I426" s="18">
        <f t="shared" ca="1" si="1137"/>
        <v>2065</v>
      </c>
      <c r="J426" s="18">
        <f ca="1">IFERROR(__xludf.DUMMYFUNCTION("IMPORTRANGE(""https://docs.google.com/spreadsheets/d/14Tu_jFPEdrIQ6DHYu6vRvJKQsbXr-48NY1tKy4-8JKI/edit"",""16!e45"")"),2176)</f>
        <v>2176</v>
      </c>
      <c r="K426" s="18">
        <f ca="1">IFERROR(__xludf.DUMMYFUNCTION("IMPORTRANGE(""https://docs.google.com/spreadsheets/d/14Tu_jFPEdrIQ6DHYu6vRvJKQsbXr-48NY1tKy4-8JKI/edit"",""16!e46"")"),100)</f>
        <v>100</v>
      </c>
      <c r="L426" s="18">
        <f t="shared" ca="1" si="1167"/>
        <v>2276</v>
      </c>
      <c r="M426" s="18">
        <f t="shared" ca="1" si="1139"/>
        <v>4341</v>
      </c>
      <c r="N426" s="19">
        <f t="shared" ca="1" si="1140"/>
        <v>181.68021739130435</v>
      </c>
      <c r="O426" s="16">
        <v>9877</v>
      </c>
      <c r="P426" s="20">
        <f t="shared" ca="1" si="1141"/>
        <v>0.43950592285106815</v>
      </c>
      <c r="Q426" s="21">
        <v>1.5</v>
      </c>
      <c r="R426" s="20">
        <f t="shared" ca="1" si="1142"/>
        <v>0.69256900263123555</v>
      </c>
      <c r="S426" s="22">
        <f t="shared" ca="1" si="1143"/>
        <v>1.0388535039468534</v>
      </c>
      <c r="T426" s="21">
        <f ca="1">F426/26.155</f>
        <v>159.76467214681705</v>
      </c>
      <c r="U426" s="21">
        <f t="shared" ca="1" si="1144"/>
        <v>6.9462900933398712</v>
      </c>
      <c r="V426" s="18">
        <f t="shared" ca="1" si="1145"/>
        <v>188.7391304347826</v>
      </c>
      <c r="W426" s="76"/>
      <c r="X426" s="8">
        <v>1</v>
      </c>
      <c r="Y426" s="8" t="s">
        <v>26</v>
      </c>
      <c r="Z426" s="8">
        <f t="shared" ref="Z426:AI426" si="1179">SUM(D411)</f>
        <v>15</v>
      </c>
      <c r="AA426" s="9">
        <f t="shared" ca="1" si="1179"/>
        <v>15</v>
      </c>
      <c r="AB426" s="11">
        <f t="shared" ca="1" si="1179"/>
        <v>2832.93</v>
      </c>
      <c r="AC426" s="9">
        <f t="shared" ca="1" si="1179"/>
        <v>1168</v>
      </c>
      <c r="AD426" s="9">
        <f t="shared" ca="1" si="1179"/>
        <v>115</v>
      </c>
      <c r="AE426" s="9">
        <f t="shared" ca="1" si="1179"/>
        <v>1283</v>
      </c>
      <c r="AF426" s="9">
        <f t="shared" ca="1" si="1179"/>
        <v>1715</v>
      </c>
      <c r="AG426" s="9">
        <f t="shared" ca="1" si="1179"/>
        <v>0</v>
      </c>
      <c r="AH426" s="9">
        <f t="shared" ca="1" si="1179"/>
        <v>1715</v>
      </c>
      <c r="AI426" s="9">
        <f t="shared" ca="1" si="1179"/>
        <v>2998</v>
      </c>
      <c r="AJ426" s="11">
        <f t="shared" ref="AJ426:AJ432" ca="1" si="1180">AB426/AA426</f>
        <v>188.86199999999999</v>
      </c>
      <c r="AK426" s="8">
        <f>SUM(O411)</f>
        <v>5161</v>
      </c>
      <c r="AL426" s="12">
        <f t="shared" ref="AL426:AL432" ca="1" si="1181">AI426/AK426</f>
        <v>0.58089517535361368</v>
      </c>
      <c r="AM426" s="13">
        <f>SUM(Q411)</f>
        <v>1.5</v>
      </c>
      <c r="AN426" s="12">
        <f t="shared" ref="AN426:AN432" ca="1" si="1182">AO426/AM426</f>
        <v>0.70551219644208185</v>
      </c>
      <c r="AO426" s="14">
        <f t="shared" ref="AO426:AO432" ca="1" si="1183">AI426/AB426</f>
        <v>1.0582682946631228</v>
      </c>
      <c r="AP426" s="13">
        <f t="shared" ref="AP426:AQ426" ca="1" si="1184">SUM(T411)</f>
        <v>196.52653485952132</v>
      </c>
      <c r="AQ426" s="13">
        <f t="shared" ca="1" si="1184"/>
        <v>13.101768990634755</v>
      </c>
      <c r="AR426" s="9">
        <f t="shared" ref="AR426:AR432" ca="1" si="1185">AI426/AA426</f>
        <v>199.86666666666667</v>
      </c>
      <c r="AS426" s="76"/>
      <c r="AT426" s="76"/>
    </row>
    <row r="427" spans="1:46" ht="15.75" customHeight="1" x14ac:dyDescent="0.25">
      <c r="A427" s="70"/>
      <c r="B427" s="16">
        <v>17</v>
      </c>
      <c r="C427" s="16" t="s">
        <v>29</v>
      </c>
      <c r="D427" s="17">
        <v>23</v>
      </c>
      <c r="E427" s="18">
        <f ca="1">IFERROR(__xludf.DUMMYFUNCTION("COUNT(IMPORTRANGE(""https://docs.google.com/spreadsheets/d/1ja_RQYsP0p5wRrACHojay4CW1wLx0QdS5tSwp-vYQ-s/edit"",""16!d2:d31""))"),23)</f>
        <v>23</v>
      </c>
      <c r="F427" s="23">
        <f ca="1">IFERROR(__xludf.DUMMYFUNCTION("SUM(IMPORTRANGE(""https://docs.google.com/spreadsheets/d/1ja_RQYsP0p5wRrACHojay4CW1wLx0QdS5tSwp-vYQ-s/edit"",""16!Q2:Q31""))"),4662.41599999999)</f>
        <v>4662.4159999999902</v>
      </c>
      <c r="G427" s="18">
        <f ca="1">IFERROR(__xludf.DUMMYFUNCTION("IMPORTRANGE(""https://docs.google.com/spreadsheets/d/1ja_RQYsP0p5wRrACHojay4CW1wLx0QdS5tSwp-vYQ-s/edit"",""16!e38"")"),1705)</f>
        <v>1705</v>
      </c>
      <c r="H427" s="18">
        <f ca="1">IFERROR(__xludf.DUMMYFUNCTION("IMPORTRANGE(""https://docs.google.com/spreadsheets/d/1ja_RQYsP0p5wRrACHojay4CW1wLx0QdS5tSwp-vYQ-s/edit"",""16!e39"")"),0)</f>
        <v>0</v>
      </c>
      <c r="I427" s="18">
        <f t="shared" ca="1" si="1137"/>
        <v>1705</v>
      </c>
      <c r="J427" s="18">
        <f ca="1">IFERROR(__xludf.DUMMYFUNCTION("IMPORTRANGE(""https://docs.google.com/spreadsheets/d/1ja_RQYsP0p5wRrACHojay4CW1wLx0QdS5tSwp-vYQ-s/edit"",""16!e42"")"),2425)</f>
        <v>2425</v>
      </c>
      <c r="K427" s="18">
        <f ca="1">IFERROR(__xludf.DUMMYFUNCTION("IMPORTRANGE(""https://docs.google.com/spreadsheets/d/1ja_RQYsP0p5wRrACHojay4CW1wLx0QdS5tSwp-vYQ-s/edit"",""16!e43"")"),0)</f>
        <v>0</v>
      </c>
      <c r="L427" s="18">
        <f t="shared" ca="1" si="1167"/>
        <v>2425</v>
      </c>
      <c r="M427" s="18">
        <f t="shared" ca="1" si="1139"/>
        <v>4130</v>
      </c>
      <c r="N427" s="19">
        <f t="shared" ca="1" si="1140"/>
        <v>202.71373913043436</v>
      </c>
      <c r="O427" s="16">
        <v>9201</v>
      </c>
      <c r="P427" s="20">
        <f t="shared" ca="1" si="1141"/>
        <v>0.44886425388544721</v>
      </c>
      <c r="Q427" s="21">
        <v>1.5</v>
      </c>
      <c r="R427" s="20">
        <f t="shared" ca="1" si="1142"/>
        <v>0.59053789566039139</v>
      </c>
      <c r="S427" s="22">
        <f t="shared" ca="1" si="1143"/>
        <v>0.88580684349058703</v>
      </c>
      <c r="T427" s="21">
        <f ca="1">F427/26.491</f>
        <v>175.99999999999963</v>
      </c>
      <c r="U427" s="21">
        <f t="shared" ca="1" si="1144"/>
        <v>7.6521739130434625</v>
      </c>
      <c r="V427" s="18">
        <f t="shared" ca="1" si="1145"/>
        <v>179.56521739130434</v>
      </c>
      <c r="W427" s="76"/>
      <c r="X427" s="8">
        <v>2</v>
      </c>
      <c r="Y427" s="8" t="s">
        <v>32</v>
      </c>
      <c r="Z427" s="8">
        <f t="shared" ref="Z427:AI427" si="1186">SUM(D414)</f>
        <v>32</v>
      </c>
      <c r="AA427" s="9">
        <f t="shared" ca="1" si="1186"/>
        <v>32</v>
      </c>
      <c r="AB427" s="10">
        <f t="shared" ca="1" si="1186"/>
        <v>6422.7839999999896</v>
      </c>
      <c r="AC427" s="8">
        <f t="shared" ca="1" si="1186"/>
        <v>3004</v>
      </c>
      <c r="AD427" s="8">
        <f t="shared" ca="1" si="1186"/>
        <v>0</v>
      </c>
      <c r="AE427" s="9">
        <f t="shared" ca="1" si="1186"/>
        <v>3004</v>
      </c>
      <c r="AF427" s="8">
        <f t="shared" ca="1" si="1186"/>
        <v>3454</v>
      </c>
      <c r="AG427" s="8">
        <f t="shared" ca="1" si="1186"/>
        <v>0</v>
      </c>
      <c r="AH427" s="9">
        <f t="shared" ca="1" si="1186"/>
        <v>3454</v>
      </c>
      <c r="AI427" s="9">
        <f t="shared" ca="1" si="1186"/>
        <v>6458</v>
      </c>
      <c r="AJ427" s="11">
        <f t="shared" ca="1" si="1180"/>
        <v>200.71199999999968</v>
      </c>
      <c r="AK427" s="8">
        <f>SUM(O414)</f>
        <v>13817</v>
      </c>
      <c r="AL427" s="12">
        <f t="shared" ca="1" si="1181"/>
        <v>0.4673952377505971</v>
      </c>
      <c r="AM427" s="13">
        <f>SUM(Q414)</f>
        <v>1.5</v>
      </c>
      <c r="AN427" s="12">
        <f t="shared" ca="1" si="1182"/>
        <v>0.67032198705940294</v>
      </c>
      <c r="AO427" s="14">
        <f t="shared" ca="1" si="1183"/>
        <v>1.0054829805891043</v>
      </c>
      <c r="AP427" s="13">
        <f t="shared" ref="AP427:AQ427" ca="1" si="1187">SUM(T414)</f>
        <v>255.9999999999996</v>
      </c>
      <c r="AQ427" s="13">
        <f t="shared" ca="1" si="1187"/>
        <v>7.9999999999999876</v>
      </c>
      <c r="AR427" s="9">
        <f t="shared" ca="1" si="1185"/>
        <v>201.8125</v>
      </c>
      <c r="AS427" s="76"/>
      <c r="AT427" s="76"/>
    </row>
    <row r="428" spans="1:46" ht="15.75" customHeight="1" x14ac:dyDescent="0.25">
      <c r="A428" s="70"/>
      <c r="B428" s="16">
        <v>18</v>
      </c>
      <c r="C428" s="16" t="s">
        <v>31</v>
      </c>
      <c r="D428" s="17">
        <v>11</v>
      </c>
      <c r="E428" s="18">
        <f ca="1">IFERROR(__xludf.DUMMYFUNCTION("COUNT(IMPORTRANGE(""https://docs.google.com/spreadsheets/d/1ObnK1oSznTOmyW9Zcd2kxExl7TOnO2MNq_0giEKc_mE/edit"",""16!d2:d16""))"),10)</f>
        <v>10</v>
      </c>
      <c r="F428" s="19">
        <f ca="1">IFERROR(__xludf.DUMMYFUNCTION("SUM(IMPORTRANGE(""https://docs.google.com/spreadsheets/d/1ObnK1oSznTOmyW9Zcd2kxExl7TOnO2MNq_0giEKc_mE/edit"",""16!Q2:Q16""))"),1912.46)</f>
        <v>1912.46</v>
      </c>
      <c r="G428" s="18">
        <f ca="1">IFERROR(__xludf.DUMMYFUNCTION("IMPORTRANGE(""https://docs.google.com/spreadsheets/d/1ObnK1oSznTOmyW9Zcd2kxExl7TOnO2MNq_0giEKc_mE/edit"",""16!e23"")"),406)</f>
        <v>406</v>
      </c>
      <c r="H428" s="18">
        <f ca="1">IFERROR(__xludf.DUMMYFUNCTION("IMPORTRANGE(""https://docs.google.com/spreadsheets/d/1ObnK1oSznTOmyW9Zcd2kxExl7TOnO2MNq_0giEKc_mE/edit"",""16!e24"")"),0)</f>
        <v>0</v>
      </c>
      <c r="I428" s="18">
        <f t="shared" ca="1" si="1137"/>
        <v>406</v>
      </c>
      <c r="J428" s="18">
        <f ca="1">IFERROR(__xludf.DUMMYFUNCTION("IMPORTRANGE(""https://docs.google.com/spreadsheets/d/1ObnK1oSznTOmyW9Zcd2kxExl7TOnO2MNq_0giEKc_mE/edit"",""16!e27"")"),554)</f>
        <v>554</v>
      </c>
      <c r="K428" s="18">
        <f ca="1">IFERROR(__xludf.DUMMYFUNCTION("IMPORTRANGE(""https://docs.google.com/spreadsheets/d/1ObnK1oSznTOmyW9Zcd2kxExl7TOnO2MNq_0giEKc_mE/edit"",""16!e28"")"),13)</f>
        <v>13</v>
      </c>
      <c r="L428" s="18">
        <f t="shared" ca="1" si="1167"/>
        <v>567</v>
      </c>
      <c r="M428" s="18">
        <f t="shared" ca="1" si="1139"/>
        <v>973</v>
      </c>
      <c r="N428" s="19">
        <f t="shared" ca="1" si="1140"/>
        <v>191.24600000000001</v>
      </c>
      <c r="O428" s="16">
        <v>2717</v>
      </c>
      <c r="P428" s="20">
        <f t="shared" ca="1" si="1141"/>
        <v>0.35811556864188443</v>
      </c>
      <c r="Q428" s="21">
        <v>1.5</v>
      </c>
      <c r="R428" s="20">
        <f t="shared" ca="1" si="1142"/>
        <v>0.33917920723396394</v>
      </c>
      <c r="S428" s="22">
        <f t="shared" ca="1" si="1143"/>
        <v>0.50876881085094594</v>
      </c>
      <c r="T428" s="21">
        <f ca="1">F428/43.465</f>
        <v>44</v>
      </c>
      <c r="U428" s="21">
        <f t="shared" ca="1" si="1144"/>
        <v>4.4000000000000004</v>
      </c>
      <c r="V428" s="18">
        <f t="shared" ca="1" si="1145"/>
        <v>97.3</v>
      </c>
      <c r="W428" s="76"/>
      <c r="X428" s="8">
        <v>3</v>
      </c>
      <c r="Y428" s="8" t="s">
        <v>36</v>
      </c>
      <c r="Z428" s="8">
        <f t="shared" ref="Z428:AI428" si="1188">SUM(D419)</f>
        <v>22</v>
      </c>
      <c r="AA428" s="9">
        <f t="shared" ca="1" si="1188"/>
        <v>22</v>
      </c>
      <c r="AB428" s="10">
        <f t="shared" ca="1" si="1188"/>
        <v>4335.2359999999999</v>
      </c>
      <c r="AC428" s="9">
        <f t="shared" ca="1" si="1188"/>
        <v>803</v>
      </c>
      <c r="AD428" s="9">
        <f t="shared" ca="1" si="1188"/>
        <v>0</v>
      </c>
      <c r="AE428" s="9">
        <f t="shared" ca="1" si="1188"/>
        <v>803</v>
      </c>
      <c r="AF428" s="9">
        <f t="shared" ca="1" si="1188"/>
        <v>1394</v>
      </c>
      <c r="AG428" s="9">
        <f t="shared" ca="1" si="1188"/>
        <v>0</v>
      </c>
      <c r="AH428" s="9">
        <f t="shared" ca="1" si="1188"/>
        <v>1394</v>
      </c>
      <c r="AI428" s="9">
        <f t="shared" ca="1" si="1188"/>
        <v>2197</v>
      </c>
      <c r="AJ428" s="11">
        <f t="shared" ca="1" si="1180"/>
        <v>197.05618181818181</v>
      </c>
      <c r="AK428" s="8">
        <f t="shared" ref="AK428:AK431" si="1189">SUM(O419)</f>
        <v>4796</v>
      </c>
      <c r="AL428" s="12">
        <f t="shared" ca="1" si="1181"/>
        <v>0.45809007506255212</v>
      </c>
      <c r="AM428" s="13">
        <f t="shared" ref="AM428:AM431" si="1190">SUM(Q419)</f>
        <v>1.5</v>
      </c>
      <c r="AN428" s="12">
        <f t="shared" ca="1" si="1182"/>
        <v>0.33785165713392917</v>
      </c>
      <c r="AO428" s="14">
        <f t="shared" ca="1" si="1183"/>
        <v>0.50677748570089376</v>
      </c>
      <c r="AP428" s="13">
        <f t="shared" ref="AP428:AQ428" ca="1" si="1191">SUM(T419)</f>
        <v>115.87202651413908</v>
      </c>
      <c r="AQ428" s="13">
        <f t="shared" ca="1" si="1191"/>
        <v>5.2669102960972305</v>
      </c>
      <c r="AR428" s="9">
        <f t="shared" ca="1" si="1185"/>
        <v>99.86363636363636</v>
      </c>
      <c r="AS428" s="76"/>
      <c r="AT428" s="76"/>
    </row>
    <row r="429" spans="1:46" ht="15.75" customHeight="1" x14ac:dyDescent="0.2">
      <c r="A429" s="70"/>
      <c r="B429" s="98" t="s">
        <v>33</v>
      </c>
      <c r="C429" s="98">
        <v>18</v>
      </c>
      <c r="D429" s="98">
        <f t="shared" ref="D429:M429" si="1192">SUM(D411:D428)</f>
        <v>445</v>
      </c>
      <c r="E429" s="74">
        <f t="shared" ca="1" si="1192"/>
        <v>441</v>
      </c>
      <c r="F429" s="99">
        <f t="shared" ca="1" si="1192"/>
        <v>83832.588999999934</v>
      </c>
      <c r="G429" s="74">
        <f t="shared" ca="1" si="1192"/>
        <v>23752</v>
      </c>
      <c r="H429" s="74">
        <f t="shared" ca="1" si="1192"/>
        <v>615</v>
      </c>
      <c r="I429" s="74">
        <f t="shared" ca="1" si="1192"/>
        <v>24367</v>
      </c>
      <c r="J429" s="74">
        <f t="shared" ca="1" si="1192"/>
        <v>33479</v>
      </c>
      <c r="K429" s="74">
        <f t="shared" ca="1" si="1192"/>
        <v>505</v>
      </c>
      <c r="L429" s="74">
        <f t="shared" ca="1" si="1192"/>
        <v>33984</v>
      </c>
      <c r="M429" s="74">
        <f t="shared" ca="1" si="1192"/>
        <v>58351</v>
      </c>
      <c r="N429" s="99">
        <f t="shared" ca="1" si="1140"/>
        <v>190.09657369614499</v>
      </c>
      <c r="O429" s="98">
        <f>SUM(O411:O428)</f>
        <v>126399</v>
      </c>
      <c r="P429" s="69">
        <f t="shared" ca="1" si="1141"/>
        <v>0.46164131045340551</v>
      </c>
      <c r="Q429" s="72">
        <v>1.5</v>
      </c>
      <c r="R429" s="69">
        <f t="shared" ca="1" si="1142"/>
        <v>0.46402797683686825</v>
      </c>
      <c r="S429" s="73">
        <f t="shared" ca="1" si="1143"/>
        <v>0.69604196525530238</v>
      </c>
      <c r="T429" s="72">
        <f ca="1">SUM(T411:T428)</f>
        <v>3091.0882389258327</v>
      </c>
      <c r="U429" s="72">
        <f t="shared" ca="1" si="1144"/>
        <v>7.0092703830517751</v>
      </c>
      <c r="V429" s="74">
        <f t="shared" ca="1" si="1145"/>
        <v>132.31519274376419</v>
      </c>
      <c r="W429" s="76"/>
      <c r="X429" s="8">
        <v>4</v>
      </c>
      <c r="Y429" s="8" t="s">
        <v>37</v>
      </c>
      <c r="Z429" s="8">
        <f t="shared" ref="Z429:AI429" si="1193">SUM(D420)</f>
        <v>23</v>
      </c>
      <c r="AA429" s="9">
        <f t="shared" ca="1" si="1193"/>
        <v>23</v>
      </c>
      <c r="AB429" s="10">
        <f t="shared" ca="1" si="1193"/>
        <v>4572.5879999999897</v>
      </c>
      <c r="AC429" s="9">
        <f t="shared" ca="1" si="1193"/>
        <v>917</v>
      </c>
      <c r="AD429" s="9">
        <f t="shared" ca="1" si="1193"/>
        <v>0</v>
      </c>
      <c r="AE429" s="9">
        <f t="shared" ca="1" si="1193"/>
        <v>917</v>
      </c>
      <c r="AF429" s="9">
        <f t="shared" ca="1" si="1193"/>
        <v>1593</v>
      </c>
      <c r="AG429" s="9">
        <f t="shared" ca="1" si="1193"/>
        <v>0</v>
      </c>
      <c r="AH429" s="9">
        <f t="shared" ca="1" si="1193"/>
        <v>1593</v>
      </c>
      <c r="AI429" s="9">
        <f t="shared" ca="1" si="1193"/>
        <v>2510</v>
      </c>
      <c r="AJ429" s="11">
        <f t="shared" ca="1" si="1180"/>
        <v>198.80817391304302</v>
      </c>
      <c r="AK429" s="8">
        <f t="shared" si="1189"/>
        <v>5887</v>
      </c>
      <c r="AL429" s="12">
        <f t="shared" ca="1" si="1181"/>
        <v>0.42636317309325633</v>
      </c>
      <c r="AM429" s="13">
        <f t="shared" si="1190"/>
        <v>1.5</v>
      </c>
      <c r="AN429" s="12">
        <f t="shared" ca="1" si="1182"/>
        <v>0.36594885288885354</v>
      </c>
      <c r="AO429" s="14">
        <f t="shared" ca="1" si="1183"/>
        <v>0.54892327933328033</v>
      </c>
      <c r="AP429" s="13">
        <f t="shared" ref="AP429:AQ429" ca="1" si="1194">SUM(T420)</f>
        <v>184.43804453049327</v>
      </c>
      <c r="AQ429" s="13">
        <f t="shared" ca="1" si="1194"/>
        <v>8.0190454143692733</v>
      </c>
      <c r="AR429" s="9">
        <f t="shared" ca="1" si="1185"/>
        <v>109.1304347826087</v>
      </c>
      <c r="AS429" s="76"/>
      <c r="AT429" s="76"/>
    </row>
    <row r="430" spans="1:46" ht="15.75" customHeight="1" x14ac:dyDescent="0.2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6"/>
      <c r="X430" s="8">
        <v>5</v>
      </c>
      <c r="Y430" s="8" t="s">
        <v>39</v>
      </c>
      <c r="Z430" s="8">
        <f t="shared" ref="Z430:AI430" si="1195">SUM(D421)</f>
        <v>21</v>
      </c>
      <c r="AA430" s="9">
        <f t="shared" ca="1" si="1195"/>
        <v>21</v>
      </c>
      <c r="AB430" s="10">
        <f t="shared" ca="1" si="1195"/>
        <v>4126.3529999999901</v>
      </c>
      <c r="AC430" s="9">
        <f t="shared" ca="1" si="1195"/>
        <v>726</v>
      </c>
      <c r="AD430" s="9">
        <f t="shared" ca="1" si="1195"/>
        <v>0</v>
      </c>
      <c r="AE430" s="9">
        <f t="shared" ca="1" si="1195"/>
        <v>726</v>
      </c>
      <c r="AF430" s="9">
        <f t="shared" ca="1" si="1195"/>
        <v>1376</v>
      </c>
      <c r="AG430" s="9">
        <f t="shared" ca="1" si="1195"/>
        <v>0</v>
      </c>
      <c r="AH430" s="9">
        <f t="shared" ca="1" si="1195"/>
        <v>1376</v>
      </c>
      <c r="AI430" s="9">
        <f t="shared" ca="1" si="1195"/>
        <v>2102</v>
      </c>
      <c r="AJ430" s="11">
        <f t="shared" ca="1" si="1180"/>
        <v>196.49299999999954</v>
      </c>
      <c r="AK430" s="8">
        <f t="shared" si="1189"/>
        <v>3569</v>
      </c>
      <c r="AL430" s="12">
        <f t="shared" ca="1" si="1181"/>
        <v>0.58896049313533205</v>
      </c>
      <c r="AM430" s="13">
        <f t="shared" si="1190"/>
        <v>1.5</v>
      </c>
      <c r="AN430" s="12">
        <f t="shared" ca="1" si="1182"/>
        <v>0.33960578102099764</v>
      </c>
      <c r="AO430" s="14">
        <f t="shared" ca="1" si="1183"/>
        <v>0.50940867153149649</v>
      </c>
      <c r="AP430" s="13">
        <f t="shared" ref="AP430:AQ430" ca="1" si="1196">SUM(T421)</f>
        <v>192.25425150258536</v>
      </c>
      <c r="AQ430" s="13">
        <f t="shared" ca="1" si="1196"/>
        <v>9.1549643572659694</v>
      </c>
      <c r="AR430" s="9">
        <f t="shared" ca="1" si="1185"/>
        <v>100.0952380952381</v>
      </c>
      <c r="AS430" s="76"/>
      <c r="AT430" s="76"/>
    </row>
    <row r="431" spans="1:46" ht="15.75" customHeight="1" x14ac:dyDescent="0.2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6"/>
      <c r="X431" s="8">
        <v>6</v>
      </c>
      <c r="Y431" s="8" t="s">
        <v>41</v>
      </c>
      <c r="Z431" s="8">
        <f t="shared" ref="Z431:AI431" si="1197">SUM(D422)</f>
        <v>19</v>
      </c>
      <c r="AA431" s="9">
        <f t="shared" ca="1" si="1197"/>
        <v>19</v>
      </c>
      <c r="AB431" s="10">
        <f t="shared" ca="1" si="1197"/>
        <v>3812.136</v>
      </c>
      <c r="AC431" s="9">
        <f t="shared" ca="1" si="1197"/>
        <v>735</v>
      </c>
      <c r="AD431" s="9">
        <f t="shared" ca="1" si="1197"/>
        <v>0</v>
      </c>
      <c r="AE431" s="9">
        <f t="shared" ca="1" si="1197"/>
        <v>735</v>
      </c>
      <c r="AF431" s="9">
        <f t="shared" ca="1" si="1197"/>
        <v>1004</v>
      </c>
      <c r="AG431" s="9">
        <f t="shared" ca="1" si="1197"/>
        <v>0</v>
      </c>
      <c r="AH431" s="9">
        <f t="shared" ca="1" si="1197"/>
        <v>1004</v>
      </c>
      <c r="AI431" s="9">
        <f t="shared" ca="1" si="1197"/>
        <v>1739</v>
      </c>
      <c r="AJ431" s="11">
        <f t="shared" ca="1" si="1180"/>
        <v>200.63873684210526</v>
      </c>
      <c r="AK431" s="8">
        <f t="shared" si="1189"/>
        <v>3801</v>
      </c>
      <c r="AL431" s="12">
        <f t="shared" ca="1" si="1181"/>
        <v>0.45751118126808732</v>
      </c>
      <c r="AM431" s="13">
        <f t="shared" si="1190"/>
        <v>1.5</v>
      </c>
      <c r="AN431" s="12">
        <f t="shared" ca="1" si="1182"/>
        <v>0.30411646733834613</v>
      </c>
      <c r="AO431" s="14">
        <f t="shared" ca="1" si="1183"/>
        <v>0.45617470100751917</v>
      </c>
      <c r="AP431" s="13">
        <f t="shared" ref="AP431:AQ431" ca="1" si="1198">SUM(T422)</f>
        <v>128.66666666666666</v>
      </c>
      <c r="AQ431" s="13">
        <f t="shared" ca="1" si="1198"/>
        <v>6.7719298245614032</v>
      </c>
      <c r="AR431" s="9">
        <f t="shared" ca="1" si="1185"/>
        <v>91.526315789473685</v>
      </c>
      <c r="AS431" s="76"/>
      <c r="AT431" s="76"/>
    </row>
    <row r="432" spans="1:46" ht="15.75" customHeight="1" x14ac:dyDescent="0.25">
      <c r="A432" s="110" t="s">
        <v>45</v>
      </c>
      <c r="B432" s="76"/>
      <c r="C432" s="76"/>
      <c r="D432" s="75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24" t="s">
        <v>33</v>
      </c>
      <c r="Y432" s="24">
        <v>6</v>
      </c>
      <c r="Z432" s="24">
        <f t="shared" ref="Z432:AI432" si="1199">SUM(Z426:Z431)</f>
        <v>132</v>
      </c>
      <c r="AA432" s="25">
        <f t="shared" ca="1" si="1199"/>
        <v>132</v>
      </c>
      <c r="AB432" s="27">
        <f t="shared" ca="1" si="1199"/>
        <v>26102.026999999965</v>
      </c>
      <c r="AC432" s="25">
        <f t="shared" ca="1" si="1199"/>
        <v>7353</v>
      </c>
      <c r="AD432" s="25">
        <f t="shared" ca="1" si="1199"/>
        <v>115</v>
      </c>
      <c r="AE432" s="25">
        <f t="shared" ca="1" si="1199"/>
        <v>7468</v>
      </c>
      <c r="AF432" s="25">
        <f t="shared" ca="1" si="1199"/>
        <v>10536</v>
      </c>
      <c r="AG432" s="25">
        <f t="shared" ca="1" si="1199"/>
        <v>0</v>
      </c>
      <c r="AH432" s="25">
        <f t="shared" ca="1" si="1199"/>
        <v>10536</v>
      </c>
      <c r="AI432" s="25">
        <f t="shared" ca="1" si="1199"/>
        <v>18004</v>
      </c>
      <c r="AJ432" s="27">
        <f t="shared" ca="1" si="1180"/>
        <v>197.74262878787852</v>
      </c>
      <c r="AK432" s="24">
        <f>SUM(AK426:AK431)</f>
        <v>37031</v>
      </c>
      <c r="AL432" s="28">
        <f t="shared" ca="1" si="1181"/>
        <v>0.48618724852150902</v>
      </c>
      <c r="AM432" s="29">
        <v>1.5</v>
      </c>
      <c r="AN432" s="28">
        <f t="shared" ca="1" si="1182"/>
        <v>0.45983657386710552</v>
      </c>
      <c r="AO432" s="30">
        <f t="shared" ca="1" si="1183"/>
        <v>0.68975486080065829</v>
      </c>
      <c r="AP432" s="29">
        <f ca="1">SUM(AP426:AP431)</f>
        <v>1073.7575240734052</v>
      </c>
      <c r="AQ432" s="29">
        <f ca="1">AP432/AA432</f>
        <v>8.1345266975257964</v>
      </c>
      <c r="AR432" s="25">
        <f t="shared" ca="1" si="1185"/>
        <v>136.39393939393941</v>
      </c>
      <c r="AS432" s="76"/>
      <c r="AT432" s="76"/>
    </row>
    <row r="433" spans="1:46" ht="15.75" customHeight="1" x14ac:dyDescent="0.2">
      <c r="A433" s="110" t="s">
        <v>45</v>
      </c>
      <c r="B433" s="76"/>
      <c r="C433" s="76"/>
      <c r="D433" s="75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7" t="s">
        <v>1</v>
      </c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9"/>
      <c r="AS433" s="76"/>
      <c r="AT433" s="76"/>
    </row>
    <row r="434" spans="1:46" ht="15.75" customHeight="1" x14ac:dyDescent="0.2">
      <c r="A434" s="113">
        <v>46251</v>
      </c>
      <c r="B434" s="80" t="s">
        <v>2</v>
      </c>
      <c r="C434" s="80" t="s">
        <v>3</v>
      </c>
      <c r="D434" s="80" t="s">
        <v>4</v>
      </c>
      <c r="E434" s="80" t="s">
        <v>5</v>
      </c>
      <c r="F434" s="81" t="s">
        <v>6</v>
      </c>
      <c r="G434" s="80" t="s">
        <v>7</v>
      </c>
      <c r="H434" s="80" t="s">
        <v>8</v>
      </c>
      <c r="I434" s="80" t="s">
        <v>9</v>
      </c>
      <c r="J434" s="80" t="s">
        <v>10</v>
      </c>
      <c r="K434" s="80" t="s">
        <v>11</v>
      </c>
      <c r="L434" s="80" t="s">
        <v>12</v>
      </c>
      <c r="M434" s="80" t="s">
        <v>13</v>
      </c>
      <c r="N434" s="81" t="s">
        <v>14</v>
      </c>
      <c r="O434" s="80" t="s">
        <v>15</v>
      </c>
      <c r="P434" s="80" t="s">
        <v>16</v>
      </c>
      <c r="Q434" s="80" t="s">
        <v>17</v>
      </c>
      <c r="R434" s="80" t="s">
        <v>18</v>
      </c>
      <c r="S434" s="106" t="s">
        <v>19</v>
      </c>
      <c r="T434" s="107" t="s">
        <v>20</v>
      </c>
      <c r="U434" s="107" t="s">
        <v>21</v>
      </c>
      <c r="V434" s="105" t="s">
        <v>22</v>
      </c>
      <c r="W434" s="76"/>
      <c r="X434" s="1" t="s">
        <v>2</v>
      </c>
      <c r="Y434" s="1" t="s">
        <v>3</v>
      </c>
      <c r="Z434" s="1" t="s">
        <v>4</v>
      </c>
      <c r="AA434" s="1" t="s">
        <v>5</v>
      </c>
      <c r="AB434" s="2" t="s">
        <v>6</v>
      </c>
      <c r="AC434" s="1" t="s">
        <v>7</v>
      </c>
      <c r="AD434" s="1" t="s">
        <v>8</v>
      </c>
      <c r="AE434" s="1" t="s">
        <v>9</v>
      </c>
      <c r="AF434" s="1" t="s">
        <v>10</v>
      </c>
      <c r="AG434" s="1" t="s">
        <v>11</v>
      </c>
      <c r="AH434" s="1" t="s">
        <v>12</v>
      </c>
      <c r="AI434" s="1" t="s">
        <v>13</v>
      </c>
      <c r="AJ434" s="2" t="s">
        <v>14</v>
      </c>
      <c r="AK434" s="1" t="s">
        <v>15</v>
      </c>
      <c r="AL434" s="1" t="s">
        <v>16</v>
      </c>
      <c r="AM434" s="3" t="s">
        <v>17</v>
      </c>
      <c r="AN434" s="4" t="s">
        <v>18</v>
      </c>
      <c r="AO434" s="5" t="s">
        <v>19</v>
      </c>
      <c r="AP434" s="6" t="s">
        <v>20</v>
      </c>
      <c r="AQ434" s="6" t="s">
        <v>21</v>
      </c>
      <c r="AR434" s="7" t="s">
        <v>22</v>
      </c>
      <c r="AS434" s="76"/>
      <c r="AT434" s="76"/>
    </row>
    <row r="435" spans="1:46" ht="15.75" customHeight="1" x14ac:dyDescent="0.2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6"/>
      <c r="X435" s="8">
        <v>1</v>
      </c>
      <c r="Y435" s="8" t="s">
        <v>23</v>
      </c>
      <c r="Z435" s="8">
        <f t="shared" ref="Z435:AI435" si="1200">SUM(D443)</f>
        <v>28</v>
      </c>
      <c r="AA435" s="9">
        <f t="shared" ca="1" si="1200"/>
        <v>28</v>
      </c>
      <c r="AB435" s="10">
        <f t="shared" ca="1" si="1200"/>
        <v>5533.3599999999897</v>
      </c>
      <c r="AC435" s="9">
        <f t="shared" ca="1" si="1200"/>
        <v>1011</v>
      </c>
      <c r="AD435" s="9">
        <f t="shared" ca="1" si="1200"/>
        <v>0</v>
      </c>
      <c r="AE435" s="9">
        <f t="shared" ca="1" si="1200"/>
        <v>1011</v>
      </c>
      <c r="AF435" s="9">
        <f t="shared" ca="1" si="1200"/>
        <v>1634</v>
      </c>
      <c r="AG435" s="9">
        <f t="shared" ca="1" si="1200"/>
        <v>0</v>
      </c>
      <c r="AH435" s="9">
        <f t="shared" ca="1" si="1200"/>
        <v>1634</v>
      </c>
      <c r="AI435" s="9">
        <f t="shared" ca="1" si="1200"/>
        <v>2645</v>
      </c>
      <c r="AJ435" s="11">
        <f t="shared" ref="AJ435:AJ437" ca="1" si="1201">AB435/AA435</f>
        <v>197.61999999999964</v>
      </c>
      <c r="AK435" s="8">
        <f>SUM(O443)</f>
        <v>6853</v>
      </c>
      <c r="AL435" s="12">
        <f t="shared" ref="AL435:AL441" ca="1" si="1202">AI435/AK435</f>
        <v>0.38596235225448711</v>
      </c>
      <c r="AM435" s="13">
        <f t="shared" ref="AM435:AM437" si="1203">SUM(Q443)</f>
        <v>1.5</v>
      </c>
      <c r="AN435" s="12">
        <f t="shared" ref="AN435:AN441" ca="1" si="1204">AO435/AM435</f>
        <v>0.31867316302090171</v>
      </c>
      <c r="AO435" s="14">
        <f t="shared" ref="AO435:AO441" ca="1" si="1205">AI435/AB435</f>
        <v>0.47800974453135253</v>
      </c>
      <c r="AP435" s="13">
        <f t="shared" ref="AP435:AQ435" ca="1" si="1206">SUM(T443)</f>
        <v>163.99999999999969</v>
      </c>
      <c r="AQ435" s="13">
        <f t="shared" ca="1" si="1206"/>
        <v>5.8571428571428461</v>
      </c>
      <c r="AR435" s="9">
        <f t="shared" ref="AR435:AR441" ca="1" si="1207">AI435/AA435</f>
        <v>94.464285714285708</v>
      </c>
      <c r="AS435" s="76"/>
      <c r="AT435" s="76"/>
    </row>
    <row r="436" spans="1:46" ht="15.75" customHeight="1" x14ac:dyDescent="0.2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6"/>
      <c r="X436" s="8">
        <v>2</v>
      </c>
      <c r="Y436" s="8" t="s">
        <v>24</v>
      </c>
      <c r="Z436" s="8">
        <f t="shared" ref="Z436:AI436" si="1208">SUM(D444)</f>
        <v>37</v>
      </c>
      <c r="AA436" s="9">
        <f t="shared" ca="1" si="1208"/>
        <v>37</v>
      </c>
      <c r="AB436" s="10">
        <f t="shared" ca="1" si="1208"/>
        <v>7342.5119999999897</v>
      </c>
      <c r="AC436" s="9">
        <f t="shared" ca="1" si="1208"/>
        <v>495</v>
      </c>
      <c r="AD436" s="9">
        <f t="shared" ca="1" si="1208"/>
        <v>12</v>
      </c>
      <c r="AE436" s="9">
        <f t="shared" ca="1" si="1208"/>
        <v>507</v>
      </c>
      <c r="AF436" s="9">
        <f t="shared" ca="1" si="1208"/>
        <v>586</v>
      </c>
      <c r="AG436" s="9">
        <f t="shared" ca="1" si="1208"/>
        <v>10</v>
      </c>
      <c r="AH436" s="9">
        <f t="shared" ca="1" si="1208"/>
        <v>596</v>
      </c>
      <c r="AI436" s="9">
        <f t="shared" ca="1" si="1208"/>
        <v>1103</v>
      </c>
      <c r="AJ436" s="11">
        <f t="shared" ca="1" si="1201"/>
        <v>198.44627027026999</v>
      </c>
      <c r="AK436" s="8">
        <v>1580</v>
      </c>
      <c r="AL436" s="12">
        <f t="shared" ca="1" si="1202"/>
        <v>0.69810126582278476</v>
      </c>
      <c r="AM436" s="13">
        <f t="shared" si="1203"/>
        <v>1.5</v>
      </c>
      <c r="AN436" s="12">
        <f t="shared" ca="1" si="1204"/>
        <v>0.10014737917123383</v>
      </c>
      <c r="AO436" s="14">
        <f t="shared" ca="1" si="1205"/>
        <v>0.15022106875685073</v>
      </c>
      <c r="AP436" s="13">
        <f t="shared" ref="AP436:AQ436" ca="1" si="1209">SUM(T444)</f>
        <v>273.92322327923858</v>
      </c>
      <c r="AQ436" s="13">
        <f t="shared" ca="1" si="1209"/>
        <v>7.4033303588983399</v>
      </c>
      <c r="AR436" s="9">
        <f t="shared" ca="1" si="1207"/>
        <v>29.810810810810811</v>
      </c>
      <c r="AS436" s="76"/>
      <c r="AT436" s="76"/>
    </row>
    <row r="437" spans="1:46" ht="15.75" customHeight="1" x14ac:dyDescent="0.2">
      <c r="A437" s="70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6"/>
      <c r="X437" s="8">
        <v>3</v>
      </c>
      <c r="Y437" s="8" t="s">
        <v>25</v>
      </c>
      <c r="Z437" s="8">
        <f t="shared" ref="Z437:AI437" si="1210">SUM(D445)</f>
        <v>27</v>
      </c>
      <c r="AA437" s="9">
        <f t="shared" ca="1" si="1210"/>
        <v>0</v>
      </c>
      <c r="AB437" s="10">
        <f t="shared" ca="1" si="1210"/>
        <v>0</v>
      </c>
      <c r="AC437" s="9">
        <f t="shared" ca="1" si="1210"/>
        <v>0</v>
      </c>
      <c r="AD437" s="9">
        <f t="shared" ca="1" si="1210"/>
        <v>0</v>
      </c>
      <c r="AE437" s="9">
        <f t="shared" ca="1" si="1210"/>
        <v>0</v>
      </c>
      <c r="AF437" s="9">
        <f t="shared" ca="1" si="1210"/>
        <v>0</v>
      </c>
      <c r="AG437" s="9">
        <f t="shared" ca="1" si="1210"/>
        <v>0</v>
      </c>
      <c r="AH437" s="9">
        <f t="shared" ca="1" si="1210"/>
        <v>0</v>
      </c>
      <c r="AI437" s="9">
        <f t="shared" ca="1" si="1210"/>
        <v>0</v>
      </c>
      <c r="AJ437" s="11" t="e">
        <f t="shared" ca="1" si="1201"/>
        <v>#DIV/0!</v>
      </c>
      <c r="AK437" s="8">
        <f>SUM(O445)</f>
        <v>6622</v>
      </c>
      <c r="AL437" s="12">
        <f t="shared" ca="1" si="1202"/>
        <v>0</v>
      </c>
      <c r="AM437" s="13">
        <f t="shared" si="1203"/>
        <v>1.5</v>
      </c>
      <c r="AN437" s="12" t="e">
        <f t="shared" ca="1" si="1204"/>
        <v>#DIV/0!</v>
      </c>
      <c r="AO437" s="14" t="e">
        <f t="shared" ca="1" si="1205"/>
        <v>#DIV/0!</v>
      </c>
      <c r="AP437" s="13">
        <f t="shared" ref="AP437:AQ437" ca="1" si="1211">SUM(T445)</f>
        <v>0</v>
      </c>
      <c r="AQ437" s="13" t="e">
        <f t="shared" ca="1" si="1211"/>
        <v>#DIV/0!</v>
      </c>
      <c r="AR437" s="9" t="e">
        <f t="shared" ca="1" si="1207"/>
        <v>#DIV/0!</v>
      </c>
      <c r="AS437" s="76"/>
      <c r="AT437" s="76"/>
    </row>
    <row r="438" spans="1:46" ht="15.75" customHeight="1" x14ac:dyDescent="0.25">
      <c r="A438" s="70"/>
      <c r="B438" s="36">
        <v>1</v>
      </c>
      <c r="C438" s="36" t="s">
        <v>26</v>
      </c>
      <c r="D438" s="37">
        <v>16</v>
      </c>
      <c r="E438" s="38">
        <f ca="1">IFERROR(__xludf.DUMMYFUNCTION("COUNT(IMPORTRANGE(""https://docs.google.com/spreadsheets/d/1iVFEBQOAONhqDIMRa2hQ7WkCQv0dJWSAmc0AzfvSCMg/edit"",""17!d2:d21""))"),0)</f>
        <v>0</v>
      </c>
      <c r="F438" s="39">
        <f ca="1">IFERROR(__xludf.DUMMYFUNCTION("SUM(IMPORTRANGE(""https://docs.google.com/spreadsheets/d/1iVFEBQOAONhqDIMRa2hQ7WkCQv0dJWSAmc0AzfvSCMg/edit"",""17!Q2:Q21""))"),0)</f>
        <v>0</v>
      </c>
      <c r="G438" s="38">
        <f ca="1">IFERROR(__xludf.DUMMYFUNCTION("IMPORTRANGE(""https://docs.google.com/spreadsheets/d/1iVFEBQOAONhqDIMRa2hQ7WkCQv0dJWSAmc0AzfvSCMg/edit"",""17!e28"")"),0)</f>
        <v>0</v>
      </c>
      <c r="H438" s="38">
        <f ca="1">IFERROR(__xludf.DUMMYFUNCTION("IMPORTRANGE(""https://docs.google.com/spreadsheets/d/1iVFEBQOAONhqDIMRa2hQ7WkCQv0dJWSAmc0AzfvSCMg/edit"",""17!e29"")"),0)</f>
        <v>0</v>
      </c>
      <c r="I438" s="38">
        <f t="shared" ref="I438:I455" ca="1" si="1212">SUM(G438:H438)</f>
        <v>0</v>
      </c>
      <c r="J438" s="38">
        <f ca="1">IFERROR(__xludf.DUMMYFUNCTION("IMPORTRANGE(""https://docs.google.com/spreadsheets/d/1iVFEBQOAONhqDIMRa2hQ7WkCQv0dJWSAmc0AzfvSCMg/edit"",""17!e32"")"),0)</f>
        <v>0</v>
      </c>
      <c r="K438" s="38">
        <f ca="1">IFERROR(__xludf.DUMMYFUNCTION("IMPORTRANGE(""https://docs.google.com/spreadsheets/d/1iVFEBQOAONhqDIMRa2hQ7WkCQv0dJWSAmc0AzfvSCMg/edit"",""17!e33"")"),0)</f>
        <v>0</v>
      </c>
      <c r="L438" s="38">
        <f t="shared" ref="L438:L444" ca="1" si="1213">SUM(J438:K438)</f>
        <v>0</v>
      </c>
      <c r="M438" s="38">
        <f t="shared" ref="M438:M455" ca="1" si="1214">SUM(I438+L438)</f>
        <v>0</v>
      </c>
      <c r="N438" s="39" t="e">
        <f t="shared" ref="N438:N456" ca="1" si="1215">F438/E438</f>
        <v>#DIV/0!</v>
      </c>
      <c r="O438" s="36">
        <v>5161</v>
      </c>
      <c r="P438" s="20">
        <f t="shared" ref="P438:P456" ca="1" si="1216">M438/O438</f>
        <v>0</v>
      </c>
      <c r="Q438" s="40">
        <v>1.5</v>
      </c>
      <c r="R438" s="20" t="e">
        <f t="shared" ref="R438:R456" ca="1" si="1217">S438/Q438</f>
        <v>#DIV/0!</v>
      </c>
      <c r="S438" s="41" t="e">
        <f t="shared" ref="S438:S456" ca="1" si="1218">M438/F438</f>
        <v>#DIV/0!</v>
      </c>
      <c r="T438" s="40">
        <f ca="1">F438/14.415</f>
        <v>0</v>
      </c>
      <c r="U438" s="40" t="e">
        <f t="shared" ref="U438:U456" ca="1" si="1219">T438/E438</f>
        <v>#DIV/0!</v>
      </c>
      <c r="V438" s="38" t="e">
        <f t="shared" ref="V438:V456" ca="1" si="1220">M438/E438</f>
        <v>#DIV/0!</v>
      </c>
      <c r="W438" s="76"/>
      <c r="X438" s="8">
        <v>4</v>
      </c>
      <c r="Y438" s="8" t="s">
        <v>27</v>
      </c>
      <c r="Z438" s="8">
        <f t="shared" ref="Z438:AK438" si="1221">SUM(D451)</f>
        <v>24</v>
      </c>
      <c r="AA438" s="9">
        <f t="shared" ca="1" si="1221"/>
        <v>24</v>
      </c>
      <c r="AB438" s="10">
        <f t="shared" ca="1" si="1221"/>
        <v>4786.2700000000004</v>
      </c>
      <c r="AC438" s="9">
        <f t="shared" ca="1" si="1221"/>
        <v>1630</v>
      </c>
      <c r="AD438" s="9">
        <f t="shared" ca="1" si="1221"/>
        <v>0</v>
      </c>
      <c r="AE438" s="9">
        <f t="shared" ca="1" si="1221"/>
        <v>1630</v>
      </c>
      <c r="AF438" s="9">
        <f t="shared" ca="1" si="1221"/>
        <v>1911</v>
      </c>
      <c r="AG438" s="9">
        <f t="shared" ca="1" si="1221"/>
        <v>0</v>
      </c>
      <c r="AH438" s="9">
        <f t="shared" ca="1" si="1221"/>
        <v>1911</v>
      </c>
      <c r="AI438" s="9">
        <f t="shared" ca="1" si="1221"/>
        <v>3541</v>
      </c>
      <c r="AJ438" s="11">
        <f t="shared" ca="1" si="1221"/>
        <v>199.42791666666668</v>
      </c>
      <c r="AK438" s="8">
        <f t="shared" si="1221"/>
        <v>8101</v>
      </c>
      <c r="AL438" s="12">
        <f t="shared" ca="1" si="1202"/>
        <v>0.43710653005801753</v>
      </c>
      <c r="AM438" s="13">
        <f>SUM(Q451)</f>
        <v>1.5</v>
      </c>
      <c r="AN438" s="12">
        <f t="shared" ca="1" si="1204"/>
        <v>0.49321635985154755</v>
      </c>
      <c r="AO438" s="14">
        <f t="shared" ca="1" si="1205"/>
        <v>0.73982453977732132</v>
      </c>
      <c r="AP438" s="13">
        <f t="shared" ref="AP438:AQ438" ca="1" si="1222">SUM(T451)</f>
        <v>239.49311983987994</v>
      </c>
      <c r="AQ438" s="13">
        <f t="shared" ca="1" si="1222"/>
        <v>9.9788799933283308</v>
      </c>
      <c r="AR438" s="9">
        <f t="shared" ca="1" si="1207"/>
        <v>147.54166666666666</v>
      </c>
      <c r="AS438" s="76"/>
      <c r="AT438" s="76"/>
    </row>
    <row r="439" spans="1:46" ht="15.75" customHeight="1" x14ac:dyDescent="0.25">
      <c r="A439" s="70"/>
      <c r="B439" s="16">
        <v>2</v>
      </c>
      <c r="C439" s="16" t="s">
        <v>28</v>
      </c>
      <c r="D439" s="17">
        <v>26</v>
      </c>
      <c r="E439" s="18">
        <f ca="1">IFERROR(__xludf.DUMMYFUNCTION("COUNT(IMPORTRANGE(""https://docs.google.com/spreadsheets/d/1tJCeYclgeJZ4Dc78t_SkhVjtacKW-5-VGim8X1rzUzk/edit"",""17!d2:d34""))"),24)</f>
        <v>24</v>
      </c>
      <c r="F439" s="19">
        <f ca="1">IFERROR(__xludf.DUMMYFUNCTION("SUM(IMPORTRANGE(""https://docs.google.com/spreadsheets/d/1tJCeYclgeJZ4Dc78t_SkhVjtacKW-5-VGim8X1rzUzk/edit"",""17!Q2:Q34""))"),4427.83699999999)</f>
        <v>4427.8369999999904</v>
      </c>
      <c r="G439" s="18">
        <f ca="1">IFERROR(__xludf.DUMMYFUNCTION("IMPORTRANGE(""https://docs.google.com/spreadsheets/d/1tJCeYclgeJZ4Dc78t_SkhVjtacKW-5-VGim8X1rzUzk/edit"",""17!e41"")"),1497)</f>
        <v>1497</v>
      </c>
      <c r="H439" s="18">
        <f ca="1">IFERROR(__xludf.DUMMYFUNCTION("IMPORTRANGE(""https://docs.google.com/spreadsheets/d/1tJCeYclgeJZ4Dc78t_SkhVjtacKW-5-VGim8X1rzUzk/edit"",""17!e42"")"),29)</f>
        <v>29</v>
      </c>
      <c r="I439" s="18">
        <f t="shared" ca="1" si="1212"/>
        <v>1526</v>
      </c>
      <c r="J439" s="18">
        <f ca="1">IFERROR(__xludf.DUMMYFUNCTION("IMPORTRANGE(""https://docs.google.com/spreadsheets/d/1tJCeYclgeJZ4Dc78t_SkhVjtacKW-5-VGim8X1rzUzk/edit"",""17!e45"")"),1161)</f>
        <v>1161</v>
      </c>
      <c r="K439" s="18">
        <f ca="1">IFERROR(__xludf.DUMMYFUNCTION("IMPORTRANGE(""https://docs.google.com/spreadsheets/d/1tJCeYclgeJZ4Dc78t_SkhVjtacKW-5-VGim8X1rzUzk/edit"",""17!e46"")"),192)</f>
        <v>192</v>
      </c>
      <c r="L439" s="18">
        <f t="shared" ca="1" si="1213"/>
        <v>1353</v>
      </c>
      <c r="M439" s="18">
        <f t="shared" ca="1" si="1214"/>
        <v>2879</v>
      </c>
      <c r="N439" s="19">
        <f t="shared" ca="1" si="1215"/>
        <v>184.49320833333294</v>
      </c>
      <c r="O439" s="16">
        <v>7315</v>
      </c>
      <c r="P439" s="20">
        <f t="shared" ca="1" si="1216"/>
        <v>0.39357484620642513</v>
      </c>
      <c r="Q439" s="21">
        <v>1.5</v>
      </c>
      <c r="R439" s="20">
        <f t="shared" ca="1" si="1217"/>
        <v>0.43346973552399004</v>
      </c>
      <c r="S439" s="22">
        <f t="shared" ca="1" si="1218"/>
        <v>0.65020460328598506</v>
      </c>
      <c r="T439" s="21">
        <f ca="1">F439/30.897</f>
        <v>143.3096093471855</v>
      </c>
      <c r="U439" s="21">
        <f t="shared" ca="1" si="1219"/>
        <v>5.9712337227993961</v>
      </c>
      <c r="V439" s="18">
        <f t="shared" ca="1" si="1220"/>
        <v>119.95833333333333</v>
      </c>
      <c r="W439" s="76"/>
      <c r="X439" s="8">
        <v>5</v>
      </c>
      <c r="Y439" s="8" t="s">
        <v>29</v>
      </c>
      <c r="Z439" s="8">
        <f t="shared" ref="Z439:AI439" si="1223">SUM(D454)</f>
        <v>24</v>
      </c>
      <c r="AA439" s="9">
        <f t="shared" ca="1" si="1223"/>
        <v>19</v>
      </c>
      <c r="AB439" s="10">
        <f t="shared" ca="1" si="1223"/>
        <v>1006.65799999999</v>
      </c>
      <c r="AC439" s="9">
        <f t="shared" ca="1" si="1223"/>
        <v>526</v>
      </c>
      <c r="AD439" s="9">
        <f t="shared" ca="1" si="1223"/>
        <v>0</v>
      </c>
      <c r="AE439" s="9">
        <f t="shared" ca="1" si="1223"/>
        <v>526</v>
      </c>
      <c r="AF439" s="9">
        <f t="shared" ca="1" si="1223"/>
        <v>0</v>
      </c>
      <c r="AG439" s="9">
        <f t="shared" ca="1" si="1223"/>
        <v>0</v>
      </c>
      <c r="AH439" s="9">
        <f t="shared" ca="1" si="1223"/>
        <v>0</v>
      </c>
      <c r="AI439" s="9">
        <f t="shared" ca="1" si="1223"/>
        <v>526</v>
      </c>
      <c r="AJ439" s="11">
        <f t="shared" ref="AJ439:AJ441" ca="1" si="1224">AB439/AA439</f>
        <v>52.981999999999474</v>
      </c>
      <c r="AK439" s="8">
        <f t="shared" ref="AK439:AK440" si="1225">SUM(O454)</f>
        <v>9201</v>
      </c>
      <c r="AL439" s="12">
        <f t="shared" ca="1" si="1202"/>
        <v>5.7167699163134439E-2</v>
      </c>
      <c r="AM439" s="13">
        <f t="shared" ref="AM439:AM440" si="1226">SUM(Q454)</f>
        <v>1.5</v>
      </c>
      <c r="AN439" s="12">
        <f t="shared" ca="1" si="1204"/>
        <v>0.34834736987802223</v>
      </c>
      <c r="AO439" s="14">
        <f t="shared" ca="1" si="1205"/>
        <v>0.52252105481703337</v>
      </c>
      <c r="AP439" s="13">
        <f t="shared" ref="AP439:AQ439" ca="1" si="1227">SUM(T454)</f>
        <v>37.999999999999623</v>
      </c>
      <c r="AQ439" s="13">
        <f t="shared" ca="1" si="1227"/>
        <v>1.9999999999999802</v>
      </c>
      <c r="AR439" s="9">
        <f t="shared" ca="1" si="1207"/>
        <v>27.684210526315791</v>
      </c>
      <c r="AS439" s="76"/>
      <c r="AT439" s="76"/>
    </row>
    <row r="440" spans="1:46" ht="15.75" customHeight="1" x14ac:dyDescent="0.25">
      <c r="A440" s="70"/>
      <c r="B440" s="16">
        <v>3</v>
      </c>
      <c r="C440" s="16" t="s">
        <v>30</v>
      </c>
      <c r="D440" s="17">
        <v>48</v>
      </c>
      <c r="E440" s="18">
        <f ca="1">IFERROR(__xludf.DUMMYFUNCTION("COUNT(IMPORTRANGE(""https://docs.google.com/spreadsheets/d/130gLEONC13J8KkQ6dk06x3bLRy_jCrAw2hXatQf2W50/edit"",""17!d2:d61""))"),2)</f>
        <v>2</v>
      </c>
      <c r="F440" s="23">
        <f ca="1">IFERROR(__xludf.DUMMYFUNCTION("SUM(IMPORTRANGE(""https://docs.google.com/spreadsheets/d/130gLEONC13J8KkQ6dk06x3bLRy_jCrAw2hXatQf2W50/edit"",""17!Q2:Q61""))"),29.603)</f>
        <v>29.603000000000002</v>
      </c>
      <c r="G440" s="18">
        <f ca="1">IFERROR(__xludf.DUMMYFUNCTION("IMPORTRANGE(""https://docs.google.com/spreadsheets/d/130gLEONC13J8KkQ6dk06x3bLRy_jCrAw2hXatQf2W50/edit"",""17!e68"")"),13)</f>
        <v>13</v>
      </c>
      <c r="H440" s="18">
        <f ca="1">IFERROR(__xludf.DUMMYFUNCTION("IMPORTRANGE(""https://docs.google.com/spreadsheets/d/130gLEONC13J8KkQ6dk06x3bLRy_jCrAw2hXatQf2W50/edit"",""17!e69"")"),0)</f>
        <v>0</v>
      </c>
      <c r="I440" s="18">
        <f t="shared" ca="1" si="1212"/>
        <v>13</v>
      </c>
      <c r="J440" s="18">
        <f ca="1">IFERROR(__xludf.DUMMYFUNCTION("IMPORTRANGE(""https://docs.google.com/spreadsheets/d/130gLEONC13J8KkQ6dk06x3bLRy_jCrAw2hXatQf2W50/edit"",""17!e72"")"),0)</f>
        <v>0</v>
      </c>
      <c r="K440" s="18">
        <f ca="1">IFERROR(__xludf.DUMMYFUNCTION("IMPORTRANGE(""https://docs.google.com/spreadsheets/d/130gLEONC13J8KkQ6dk06x3bLRy_jCrAw2hXatQf2W50/edit"",""17!e73"")"),0)</f>
        <v>0</v>
      </c>
      <c r="L440" s="18">
        <f t="shared" ca="1" si="1213"/>
        <v>0</v>
      </c>
      <c r="M440" s="18">
        <f t="shared" ca="1" si="1214"/>
        <v>13</v>
      </c>
      <c r="N440" s="19">
        <f t="shared" ca="1" si="1215"/>
        <v>14.801500000000001</v>
      </c>
      <c r="O440" s="16">
        <v>11164</v>
      </c>
      <c r="P440" s="20">
        <f t="shared" ca="1" si="1216"/>
        <v>1.1644571838050877E-3</v>
      </c>
      <c r="Q440" s="21">
        <v>1.5</v>
      </c>
      <c r="R440" s="20">
        <f t="shared" ca="1" si="1217"/>
        <v>0.29276312085486828</v>
      </c>
      <c r="S440" s="22">
        <f t="shared" ca="1" si="1218"/>
        <v>0.43914468128230244</v>
      </c>
      <c r="T440" s="21">
        <f ca="1">F440/29.603</f>
        <v>1</v>
      </c>
      <c r="U440" s="21">
        <f t="shared" ca="1" si="1219"/>
        <v>0.5</v>
      </c>
      <c r="V440" s="18">
        <f t="shared" ca="1" si="1220"/>
        <v>6.5</v>
      </c>
      <c r="W440" s="76"/>
      <c r="X440" s="8">
        <v>6</v>
      </c>
      <c r="Y440" s="8" t="s">
        <v>31</v>
      </c>
      <c r="Z440" s="8">
        <f t="shared" ref="Z440:AI440" si="1228">SUM(D455)</f>
        <v>12</v>
      </c>
      <c r="AA440" s="9">
        <f t="shared" ca="1" si="1228"/>
        <v>11</v>
      </c>
      <c r="AB440" s="11">
        <f t="shared" ca="1" si="1228"/>
        <v>2216.7150000000001</v>
      </c>
      <c r="AC440" s="9">
        <f t="shared" ca="1" si="1228"/>
        <v>299</v>
      </c>
      <c r="AD440" s="9">
        <f t="shared" ca="1" si="1228"/>
        <v>0</v>
      </c>
      <c r="AE440" s="9">
        <f t="shared" ca="1" si="1228"/>
        <v>299</v>
      </c>
      <c r="AF440" s="9">
        <f t="shared" ca="1" si="1228"/>
        <v>582</v>
      </c>
      <c r="AG440" s="9">
        <f t="shared" ca="1" si="1228"/>
        <v>0</v>
      </c>
      <c r="AH440" s="9">
        <f t="shared" ca="1" si="1228"/>
        <v>582</v>
      </c>
      <c r="AI440" s="9">
        <f t="shared" ca="1" si="1228"/>
        <v>881</v>
      </c>
      <c r="AJ440" s="11">
        <f t="shared" ca="1" si="1224"/>
        <v>201.51954545454547</v>
      </c>
      <c r="AK440" s="8">
        <f t="shared" si="1225"/>
        <v>2717</v>
      </c>
      <c r="AL440" s="12">
        <f t="shared" ca="1" si="1202"/>
        <v>0.3242546926757453</v>
      </c>
      <c r="AM440" s="13">
        <f t="shared" si="1226"/>
        <v>1.5</v>
      </c>
      <c r="AN440" s="12">
        <f t="shared" ca="1" si="1204"/>
        <v>0.26495662876523746</v>
      </c>
      <c r="AO440" s="14">
        <f t="shared" ca="1" si="1205"/>
        <v>0.39743494314785616</v>
      </c>
      <c r="AP440" s="13">
        <f t="shared" ref="AP440:AQ440" ca="1" si="1229">SUM(T455)</f>
        <v>51</v>
      </c>
      <c r="AQ440" s="13">
        <f t="shared" ca="1" si="1229"/>
        <v>4.6363636363636367</v>
      </c>
      <c r="AR440" s="9">
        <f t="shared" ca="1" si="1207"/>
        <v>80.090909090909093</v>
      </c>
      <c r="AS440" s="76"/>
      <c r="AT440" s="76"/>
    </row>
    <row r="441" spans="1:46" ht="15.75" customHeight="1" x14ac:dyDescent="0.25">
      <c r="A441" s="70"/>
      <c r="B441" s="16">
        <v>4</v>
      </c>
      <c r="C441" s="16" t="s">
        <v>32</v>
      </c>
      <c r="D441" s="17">
        <v>33</v>
      </c>
      <c r="E441" s="18">
        <f ca="1">IFERROR(__xludf.DUMMYFUNCTION("COUNT(IMPORTRANGE(""https://docs.google.com/spreadsheets/d/1gYHli7FuKQLm2Q-5LMR0UtkD-gRRA_p8s-phLPLDLgc/edit"",""17!d2:d43""))"),31)</f>
        <v>31</v>
      </c>
      <c r="F441" s="23">
        <f ca="1">IFERROR(__xludf.DUMMYFUNCTION("SUM(IMPORTRANGE(""https://docs.google.com/spreadsheets/d/1gYHli7FuKQLm2Q-5LMR0UtkD-gRRA_p8s-phLPLDLgc/edit"",""17!Q2:Q43""))"),6185.51299999999)</f>
        <v>6185.5129999999899</v>
      </c>
      <c r="G441" s="16">
        <f ca="1">IFERROR(__xludf.DUMMYFUNCTION("IMPORTRANGE(""https://docs.google.com/spreadsheets/d/1gYHli7FuKQLm2Q-5LMR0UtkD-gRRA_p8s-phLPLDLgc/edit"",""17!e50"")"),2571)</f>
        <v>2571</v>
      </c>
      <c r="H441" s="16">
        <f ca="1">IFERROR(__xludf.DUMMYFUNCTION("IMPORTRANGE(""https://docs.google.com/spreadsheets/d/1gYHli7FuKQLm2Q-5LMR0UtkD-gRRA_p8s-phLPLDLgc/edit"",""17!e51"")"),0)</f>
        <v>0</v>
      </c>
      <c r="I441" s="18">
        <f t="shared" ca="1" si="1212"/>
        <v>2571</v>
      </c>
      <c r="J441" s="16">
        <f ca="1">IFERROR(__xludf.DUMMYFUNCTION("IMPORTRANGE(""https://docs.google.com/spreadsheets/d/1gYHli7FuKQLm2Q-5LMR0UtkD-gRRA_p8s-phLPLDLgc/edit"",""17!e54"")"),3195)</f>
        <v>3195</v>
      </c>
      <c r="K441" s="16">
        <f ca="1">IFERROR(__xludf.DUMMYFUNCTION("IMPORTRANGE(""https://docs.google.com/spreadsheets/d/1gYHli7FuKQLm2Q-5LMR0UtkD-gRRA_p8s-phLPLDLgc/edit"",""17!e55"")"),0)</f>
        <v>0</v>
      </c>
      <c r="L441" s="18">
        <f t="shared" ca="1" si="1213"/>
        <v>3195</v>
      </c>
      <c r="M441" s="18">
        <f t="shared" ca="1" si="1214"/>
        <v>5766</v>
      </c>
      <c r="N441" s="19">
        <f t="shared" ca="1" si="1215"/>
        <v>199.53267741935451</v>
      </c>
      <c r="O441" s="16">
        <v>13817</v>
      </c>
      <c r="P441" s="20">
        <f t="shared" ca="1" si="1216"/>
        <v>0.41731200694796267</v>
      </c>
      <c r="Q441" s="21">
        <v>1.5</v>
      </c>
      <c r="R441" s="20">
        <f t="shared" ca="1" si="1217"/>
        <v>0.6214520929791929</v>
      </c>
      <c r="S441" s="22">
        <f t="shared" ca="1" si="1218"/>
        <v>0.93217813946878936</v>
      </c>
      <c r="T441" s="21">
        <f ca="1">F441/25.089</f>
        <v>246.54282753397865</v>
      </c>
      <c r="U441" s="21">
        <f t="shared" ca="1" si="1219"/>
        <v>7.9529944365799565</v>
      </c>
      <c r="V441" s="18">
        <f t="shared" ca="1" si="1220"/>
        <v>186</v>
      </c>
      <c r="W441" s="76"/>
      <c r="X441" s="24" t="s">
        <v>33</v>
      </c>
      <c r="Y441" s="24">
        <v>6</v>
      </c>
      <c r="Z441" s="24">
        <f t="shared" ref="Z441:AI441" si="1230">SUM(Z435:Z440)</f>
        <v>152</v>
      </c>
      <c r="AA441" s="25">
        <f t="shared" ca="1" si="1230"/>
        <v>119</v>
      </c>
      <c r="AB441" s="26">
        <f t="shared" ca="1" si="1230"/>
        <v>20885.514999999967</v>
      </c>
      <c r="AC441" s="25">
        <f t="shared" ca="1" si="1230"/>
        <v>3961</v>
      </c>
      <c r="AD441" s="25">
        <f t="shared" ca="1" si="1230"/>
        <v>12</v>
      </c>
      <c r="AE441" s="25">
        <f t="shared" ca="1" si="1230"/>
        <v>3973</v>
      </c>
      <c r="AF441" s="25">
        <f t="shared" ca="1" si="1230"/>
        <v>4713</v>
      </c>
      <c r="AG441" s="25">
        <f t="shared" ca="1" si="1230"/>
        <v>10</v>
      </c>
      <c r="AH441" s="25">
        <f t="shared" ca="1" si="1230"/>
        <v>4723</v>
      </c>
      <c r="AI441" s="25">
        <f t="shared" ca="1" si="1230"/>
        <v>8696</v>
      </c>
      <c r="AJ441" s="27">
        <f t="shared" ca="1" si="1224"/>
        <v>175.50852941176441</v>
      </c>
      <c r="AK441" s="24">
        <f>SUM(AK435:AK440)</f>
        <v>35074</v>
      </c>
      <c r="AL441" s="28">
        <f t="shared" ca="1" si="1202"/>
        <v>0.24793294178023606</v>
      </c>
      <c r="AM441" s="29">
        <v>1.5</v>
      </c>
      <c r="AN441" s="28">
        <f t="shared" ca="1" si="1204"/>
        <v>0.27757674796783044</v>
      </c>
      <c r="AO441" s="30">
        <f t="shared" ca="1" si="1205"/>
        <v>0.41636512195174569</v>
      </c>
      <c r="AP441" s="29">
        <f ca="1">SUM(AP435:AP440)</f>
        <v>766.41634311911787</v>
      </c>
      <c r="AQ441" s="29">
        <f ca="1">AP441/AA441</f>
        <v>6.4404734715892262</v>
      </c>
      <c r="AR441" s="25">
        <f t="shared" ca="1" si="1207"/>
        <v>73.075630252100837</v>
      </c>
      <c r="AS441" s="76"/>
      <c r="AT441" s="76"/>
    </row>
    <row r="442" spans="1:46" ht="15.75" customHeight="1" x14ac:dyDescent="0.25">
      <c r="A442" s="70"/>
      <c r="B442" s="16">
        <v>5</v>
      </c>
      <c r="C442" s="16" t="s">
        <v>34</v>
      </c>
      <c r="D442" s="17">
        <v>32</v>
      </c>
      <c r="E442" s="18">
        <f ca="1">IFERROR(__xludf.DUMMYFUNCTION("COUNT(IMPORTRANGE(""https://docs.google.com/spreadsheets/d/1ptS0qWBCKWkc9h2aXWT_YgMhN7yIv5WgAHRbF8l9Zpo/edit"",""17!d2:d41""))"),32)</f>
        <v>32</v>
      </c>
      <c r="F442" s="23">
        <f ca="1">IFERROR(__xludf.DUMMYFUNCTION("SUM(IMPORTRANGE(""https://docs.google.com/spreadsheets/d/1ptS0qWBCKWkc9h2aXWT_YgMhN7yIv5WgAHRbF8l9Zpo/edit"",""17!Q2:Q41""))"),6193.116)</f>
        <v>6193.116</v>
      </c>
      <c r="G442" s="18">
        <f ca="1">IFERROR(__xludf.DUMMYFUNCTION("IMPORTRANGE(""https://docs.google.com/spreadsheets/d/1ptS0qWBCKWkc9h2aXWT_YgMhN7yIv5WgAHRbF8l9Zpo/edit"",""17!e48"")"),2071)</f>
        <v>2071</v>
      </c>
      <c r="H442" s="18">
        <f ca="1">IFERROR(__xludf.DUMMYFUNCTION("IMPORTRANGE(""https://docs.google.com/spreadsheets/d/1ptS0qWBCKWkc9h2aXWT_YgMhN7yIv5WgAHRbF8l9Zpo/edit"",""17!e49"")"),0)</f>
        <v>0</v>
      </c>
      <c r="I442" s="18">
        <f t="shared" ca="1" si="1212"/>
        <v>2071</v>
      </c>
      <c r="J442" s="18">
        <f ca="1">IFERROR(__xludf.DUMMYFUNCTION("IMPORTRANGE(""https://docs.google.com/spreadsheets/d/1ptS0qWBCKWkc9h2aXWT_YgMhN7yIv5WgAHRbF8l9Zpo/edit"",""17!e52"")"),1888)</f>
        <v>1888</v>
      </c>
      <c r="K442" s="18">
        <f ca="1">IFERROR(__xludf.DUMMYFUNCTION("IMPORTRANGE(""https://docs.google.com/spreadsheets/d/1ptS0qWBCKWkc9h2aXWT_YgMhN7yIv5WgAHRbF8l9Zpo/edit"",""17!e53"")"),0)</f>
        <v>0</v>
      </c>
      <c r="L442" s="18">
        <f t="shared" ca="1" si="1213"/>
        <v>1888</v>
      </c>
      <c r="M442" s="18">
        <f t="shared" ca="1" si="1214"/>
        <v>3959</v>
      </c>
      <c r="N442" s="19">
        <f t="shared" ca="1" si="1215"/>
        <v>193.534875</v>
      </c>
      <c r="O442" s="16">
        <v>9354</v>
      </c>
      <c r="P442" s="20">
        <f t="shared" ca="1" si="1216"/>
        <v>0.42324139405601879</v>
      </c>
      <c r="Q442" s="21">
        <v>1.5</v>
      </c>
      <c r="R442" s="20">
        <f t="shared" ca="1" si="1217"/>
        <v>0.42617211325176751</v>
      </c>
      <c r="S442" s="22">
        <f t="shared" ca="1" si="1218"/>
        <v>0.63925816987765127</v>
      </c>
      <c r="T442" s="21">
        <f ca="1">F442/30.713</f>
        <v>201.64477582782536</v>
      </c>
      <c r="U442" s="21">
        <f t="shared" ca="1" si="1219"/>
        <v>6.3013992446195424</v>
      </c>
      <c r="V442" s="18">
        <f t="shared" ca="1" si="1220"/>
        <v>123.71875</v>
      </c>
      <c r="W442" s="76"/>
      <c r="X442" s="100" t="s">
        <v>35</v>
      </c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9"/>
      <c r="AS442" s="76"/>
      <c r="AT442" s="76"/>
    </row>
    <row r="443" spans="1:46" ht="15.75" customHeight="1" x14ac:dyDescent="0.25">
      <c r="A443" s="70"/>
      <c r="B443" s="16">
        <v>6</v>
      </c>
      <c r="C443" s="16" t="s">
        <v>23</v>
      </c>
      <c r="D443" s="17">
        <v>28</v>
      </c>
      <c r="E443" s="18">
        <f ca="1">IFERROR(__xludf.DUMMYFUNCTION("COUNT(IMPORTRANGE(""https://docs.google.com/spreadsheets/d/1829CoYW82aTBBUgqkPnJa94KlBWI-DowAnP4ENQCmaQ/edit"",""17!d2:d36""))"),28)</f>
        <v>28</v>
      </c>
      <c r="F443" s="23">
        <f ca="1">IFERROR(__xludf.DUMMYFUNCTION("SUM(IMPORTRANGE(""https://docs.google.com/spreadsheets/d/1829CoYW82aTBBUgqkPnJa94KlBWI-DowAnP4ENQCmaQ/edit"",""17!Q2:Q36""))"),5533.35999999999)</f>
        <v>5533.3599999999897</v>
      </c>
      <c r="G443" s="18">
        <f ca="1">IFERROR(__xludf.DUMMYFUNCTION("IMPORTRANGE(""https://docs.google.com/spreadsheets/d/1829CoYW82aTBBUgqkPnJa94KlBWI-DowAnP4ENQCmaQ/edit"",""17!e43"")"),1011)</f>
        <v>1011</v>
      </c>
      <c r="H443" s="18">
        <f ca="1">IFERROR(__xludf.DUMMYFUNCTION("IMPORTRANGE(""https://docs.google.com/spreadsheets/d/1829CoYW82aTBBUgqkPnJa94KlBWI-DowAnP4ENQCmaQ/edit"",""17!e44"")"),0)</f>
        <v>0</v>
      </c>
      <c r="I443" s="18">
        <f t="shared" ca="1" si="1212"/>
        <v>1011</v>
      </c>
      <c r="J443" s="18">
        <f ca="1">IFERROR(__xludf.DUMMYFUNCTION("IMPORTRANGE(""https://docs.google.com/spreadsheets/d/1829CoYW82aTBBUgqkPnJa94KlBWI-DowAnP4ENQCmaQ/edit"",""17!e47"")"),1634)</f>
        <v>1634</v>
      </c>
      <c r="K443" s="18">
        <f ca="1">IFERROR(__xludf.DUMMYFUNCTION("IMPORTRANGE(""https://docs.google.com/spreadsheets/d/1829CoYW82aTBBUgqkPnJa94KlBWI-DowAnP4ENQCmaQ/edit"",""17!e48"")"),0)</f>
        <v>0</v>
      </c>
      <c r="L443" s="18">
        <f t="shared" ca="1" si="1213"/>
        <v>1634</v>
      </c>
      <c r="M443" s="18">
        <f t="shared" ca="1" si="1214"/>
        <v>2645</v>
      </c>
      <c r="N443" s="19">
        <f t="shared" ca="1" si="1215"/>
        <v>197.61999999999964</v>
      </c>
      <c r="O443" s="16">
        <v>6853</v>
      </c>
      <c r="P443" s="20">
        <f t="shared" ca="1" si="1216"/>
        <v>0.38596235225448711</v>
      </c>
      <c r="Q443" s="21">
        <v>1.5</v>
      </c>
      <c r="R443" s="20">
        <f t="shared" ca="1" si="1217"/>
        <v>0.31867316302090171</v>
      </c>
      <c r="S443" s="22">
        <f t="shared" ca="1" si="1218"/>
        <v>0.47800974453135253</v>
      </c>
      <c r="T443" s="21">
        <f ca="1">F443/33.74</f>
        <v>163.99999999999969</v>
      </c>
      <c r="U443" s="21">
        <f t="shared" ca="1" si="1219"/>
        <v>5.8571428571428461</v>
      </c>
      <c r="V443" s="18">
        <f t="shared" ca="1" si="1220"/>
        <v>94.464285714285708</v>
      </c>
      <c r="W443" s="76"/>
      <c r="X443" s="1" t="s">
        <v>2</v>
      </c>
      <c r="Y443" s="1" t="s">
        <v>3</v>
      </c>
      <c r="Z443" s="1" t="s">
        <v>4</v>
      </c>
      <c r="AA443" s="1" t="s">
        <v>5</v>
      </c>
      <c r="AB443" s="2" t="s">
        <v>6</v>
      </c>
      <c r="AC443" s="1" t="s">
        <v>7</v>
      </c>
      <c r="AD443" s="1" t="s">
        <v>8</v>
      </c>
      <c r="AE443" s="1" t="s">
        <v>9</v>
      </c>
      <c r="AF443" s="1" t="s">
        <v>10</v>
      </c>
      <c r="AG443" s="1" t="s">
        <v>11</v>
      </c>
      <c r="AH443" s="1" t="s">
        <v>12</v>
      </c>
      <c r="AI443" s="1" t="s">
        <v>13</v>
      </c>
      <c r="AJ443" s="2" t="s">
        <v>14</v>
      </c>
      <c r="AK443" s="1" t="s">
        <v>15</v>
      </c>
      <c r="AL443" s="1" t="s">
        <v>16</v>
      </c>
      <c r="AM443" s="3" t="s">
        <v>17</v>
      </c>
      <c r="AN443" s="4" t="s">
        <v>18</v>
      </c>
      <c r="AO443" s="5" t="s">
        <v>19</v>
      </c>
      <c r="AP443" s="6" t="s">
        <v>20</v>
      </c>
      <c r="AQ443" s="6" t="s">
        <v>21</v>
      </c>
      <c r="AR443" s="7" t="s">
        <v>22</v>
      </c>
      <c r="AS443" s="76"/>
      <c r="AT443" s="76"/>
    </row>
    <row r="444" spans="1:46" ht="15.75" customHeight="1" x14ac:dyDescent="0.25">
      <c r="A444" s="70"/>
      <c r="B444" s="16">
        <v>7</v>
      </c>
      <c r="C444" s="16" t="s">
        <v>24</v>
      </c>
      <c r="D444" s="17">
        <v>37</v>
      </c>
      <c r="E444" s="31">
        <f ca="1">IFERROR(__xludf.DUMMYFUNCTION("COUNT(IMPORTRANGE(""https://docs.google.com/spreadsheets/d/1E2x4oDZxEIsuC5nl-5Z0--MoN8b1dt9SbpRcCfNP84Q/edit"",""17!d2:d45""))"),37)</f>
        <v>37</v>
      </c>
      <c r="F444" s="32">
        <f ca="1">IFERROR(__xludf.DUMMYFUNCTION("SUM(IMPORTRANGE(""https://docs.google.com/spreadsheets/d/1E2x4oDZxEIsuC5nl-5Z0--MoN8b1dt9SbpRcCfNP84Q/edit"",""17!Q2:Q45""))"),7342.51199999999)</f>
        <v>7342.5119999999897</v>
      </c>
      <c r="G444" s="31">
        <f ca="1">IFERROR(__xludf.DUMMYFUNCTION("IMPORTRANGE(""https://docs.google.com/spreadsheets/d/1E2x4oDZxEIsuC5nl-5Z0--MoN8b1dt9SbpRcCfNP84Q/edit"",""17!e53"")"),495)</f>
        <v>495</v>
      </c>
      <c r="H444" s="31">
        <f ca="1">IFERROR(__xludf.DUMMYFUNCTION("IMPORTRANGE(""https://docs.google.com/spreadsheets/d/1E2x4oDZxEIsuC5nl-5Z0--MoN8b1dt9SbpRcCfNP84Q/edit"",""17!e54"")"),12)</f>
        <v>12</v>
      </c>
      <c r="I444" s="31">
        <f t="shared" ca="1" si="1212"/>
        <v>507</v>
      </c>
      <c r="J444" s="31">
        <f ca="1">IFERROR(__xludf.DUMMYFUNCTION("IMPORTRANGE(""https://docs.google.com/spreadsheets/d/1E2x4oDZxEIsuC5nl-5Z0--MoN8b1dt9SbpRcCfNP84Q/edit"",""17!e57"")"),586)</f>
        <v>586</v>
      </c>
      <c r="K444" s="31">
        <f ca="1">IFERROR(__xludf.DUMMYFUNCTION("IMPORTRANGE(""https://docs.google.com/spreadsheets/d/1E2x4oDZxEIsuC5nl-5Z0--MoN8b1dt9SbpRcCfNP84Q/edit"",""17!e58"")"),10)</f>
        <v>10</v>
      </c>
      <c r="L444" s="18">
        <f t="shared" ca="1" si="1213"/>
        <v>596</v>
      </c>
      <c r="M444" s="18">
        <f t="shared" ca="1" si="1214"/>
        <v>1103</v>
      </c>
      <c r="N444" s="19">
        <f t="shared" ca="1" si="1215"/>
        <v>198.44627027026999</v>
      </c>
      <c r="O444" s="16">
        <v>1580</v>
      </c>
      <c r="P444" s="20">
        <f t="shared" ca="1" si="1216"/>
        <v>0.69810126582278476</v>
      </c>
      <c r="Q444" s="21">
        <v>1.5</v>
      </c>
      <c r="R444" s="20">
        <f t="shared" ca="1" si="1217"/>
        <v>0.10014737917123383</v>
      </c>
      <c r="S444" s="22">
        <f t="shared" ca="1" si="1218"/>
        <v>0.15022106875685073</v>
      </c>
      <c r="T444" s="21">
        <f ca="1">F444/26.805</f>
        <v>273.92322327923858</v>
      </c>
      <c r="U444" s="21">
        <f t="shared" ca="1" si="1219"/>
        <v>7.4033303588983399</v>
      </c>
      <c r="V444" s="18">
        <f t="shared" ca="1" si="1220"/>
        <v>29.810810810810811</v>
      </c>
      <c r="W444" s="76"/>
      <c r="X444" s="8">
        <v>1</v>
      </c>
      <c r="Y444" s="8" t="s">
        <v>28</v>
      </c>
      <c r="Z444" s="8">
        <f t="shared" ref="Z444:AI444" si="1231">SUM(D439)</f>
        <v>26</v>
      </c>
      <c r="AA444" s="9">
        <f t="shared" ca="1" si="1231"/>
        <v>24</v>
      </c>
      <c r="AB444" s="11">
        <f t="shared" ca="1" si="1231"/>
        <v>4427.8369999999904</v>
      </c>
      <c r="AC444" s="9">
        <f t="shared" ca="1" si="1231"/>
        <v>1497</v>
      </c>
      <c r="AD444" s="9">
        <f t="shared" ca="1" si="1231"/>
        <v>29</v>
      </c>
      <c r="AE444" s="9">
        <f t="shared" ca="1" si="1231"/>
        <v>1526</v>
      </c>
      <c r="AF444" s="9">
        <f t="shared" ca="1" si="1231"/>
        <v>1161</v>
      </c>
      <c r="AG444" s="9">
        <f t="shared" ca="1" si="1231"/>
        <v>192</v>
      </c>
      <c r="AH444" s="9">
        <f t="shared" ca="1" si="1231"/>
        <v>1353</v>
      </c>
      <c r="AI444" s="9">
        <f t="shared" ca="1" si="1231"/>
        <v>2879</v>
      </c>
      <c r="AJ444" s="11">
        <f t="shared" ref="AJ444:AJ450" ca="1" si="1232">AB444/AA444</f>
        <v>184.49320833333294</v>
      </c>
      <c r="AK444" s="8">
        <f t="shared" ref="AK444:AK445" si="1233">SUM(O439)</f>
        <v>7315</v>
      </c>
      <c r="AL444" s="12">
        <f t="shared" ref="AL444:AL450" ca="1" si="1234">AI444/AK444</f>
        <v>0.39357484620642513</v>
      </c>
      <c r="AM444" s="13">
        <f t="shared" ref="AM444:AM445" si="1235">SUM(Q439)</f>
        <v>1.5</v>
      </c>
      <c r="AN444" s="12">
        <f t="shared" ref="AN444:AN450" ca="1" si="1236">AO444/AM444</f>
        <v>0.43346973552399004</v>
      </c>
      <c r="AO444" s="14">
        <f t="shared" ref="AO444:AO450" ca="1" si="1237">AI444/AB444</f>
        <v>0.65020460328598506</v>
      </c>
      <c r="AP444" s="13">
        <f t="shared" ref="AP444:AQ444" ca="1" si="1238">SUM(T439)</f>
        <v>143.3096093471855</v>
      </c>
      <c r="AQ444" s="13">
        <f t="shared" ca="1" si="1238"/>
        <v>5.9712337227993961</v>
      </c>
      <c r="AR444" s="9">
        <f t="shared" ref="AR444:AR450" ca="1" si="1239">AI444/AA444</f>
        <v>119.95833333333333</v>
      </c>
      <c r="AS444" s="76"/>
      <c r="AT444" s="76"/>
    </row>
    <row r="445" spans="1:46" ht="15.75" customHeight="1" x14ac:dyDescent="0.25">
      <c r="A445" s="70"/>
      <c r="B445" s="36">
        <v>8</v>
      </c>
      <c r="C445" s="36" t="s">
        <v>25</v>
      </c>
      <c r="D445" s="42">
        <v>27</v>
      </c>
      <c r="E445" s="38">
        <f ca="1">IFERROR(__xludf.DUMMYFUNCTION("COUNT(IMPORTRANGE(""https://docs.google.com/spreadsheets/d/1KbRFOEYB0B44J_NSh1MwYQ1sLDlZXUHI-wuMLcZDn5k/edit"",""17!d2:D33""))"),0)</f>
        <v>0</v>
      </c>
      <c r="F445" s="43">
        <f ca="1">IFERROR(__xludf.DUMMYFUNCTION("SUM(IMPORTRANGE(""https://docs.google.com/spreadsheets/d/1KbRFOEYB0B44J_NSh1MwYQ1sLDlZXUHI-wuMLcZDn5k/edit"",""17!Q2:Q33""))"),0)</f>
        <v>0</v>
      </c>
      <c r="G445" s="38">
        <f ca="1">IFERROR(__xludf.DUMMYFUNCTION("IMPORTRANGE(""https://docs.google.com/spreadsheets/d/1KbRFOEYB0B44J_NSh1MwYQ1sLDlZXUHI-wuMLcZDn5k/edit"",""17!e40"")"),0)</f>
        <v>0</v>
      </c>
      <c r="H445" s="38">
        <f ca="1">IFERROR(__xludf.DUMMYFUNCTION("IMPORTRANGE(""https://docs.google.com/spreadsheets/d/1KbRFOEYB0B44J_NSh1MwYQ1sLDlZXUHI-wuMLcZDn5k/edit"",""17!e41"")"),0)</f>
        <v>0</v>
      </c>
      <c r="I445" s="38">
        <f t="shared" ca="1" si="1212"/>
        <v>0</v>
      </c>
      <c r="J445" s="38">
        <f ca="1">IFERROR(__xludf.DUMMYFUNCTION("IMPORTRANGE(""https://docs.google.com/spreadsheets/d/1KbRFOEYB0B44J_NSh1MwYQ1sLDlZXUHI-wuMLcZDn5k/edit"",""17!e44"")"),0)</f>
        <v>0</v>
      </c>
      <c r="K445" s="38">
        <f ca="1">IFERROR(__xludf.DUMMYFUNCTION("IMPORTRANGE(""https://docs.google.com/spreadsheets/d/1KbRFOEYB0B44J_NSh1MwYQ1sLDlZXUHI-wuMLcZDn5k/edit"",""17!e45"")"),0)</f>
        <v>0</v>
      </c>
      <c r="L445" s="38">
        <f ca="1">J445+K445</f>
        <v>0</v>
      </c>
      <c r="M445" s="38">
        <f t="shared" ca="1" si="1214"/>
        <v>0</v>
      </c>
      <c r="N445" s="39" t="e">
        <f t="shared" ca="1" si="1215"/>
        <v>#DIV/0!</v>
      </c>
      <c r="O445" s="36">
        <v>6622</v>
      </c>
      <c r="P445" s="20">
        <f t="shared" ca="1" si="1216"/>
        <v>0</v>
      </c>
      <c r="Q445" s="40">
        <v>1.5</v>
      </c>
      <c r="R445" s="20" t="e">
        <f t="shared" ca="1" si="1217"/>
        <v>#DIV/0!</v>
      </c>
      <c r="S445" s="41" t="e">
        <f t="shared" ca="1" si="1218"/>
        <v>#DIV/0!</v>
      </c>
      <c r="T445" s="40">
        <f ca="1">F445/23.84</f>
        <v>0</v>
      </c>
      <c r="U445" s="40" t="e">
        <f t="shared" ca="1" si="1219"/>
        <v>#DIV/0!</v>
      </c>
      <c r="V445" s="38" t="e">
        <f t="shared" ca="1" si="1220"/>
        <v>#DIV/0!</v>
      </c>
      <c r="W445" s="76"/>
      <c r="X445" s="8">
        <v>2</v>
      </c>
      <c r="Y445" s="8" t="s">
        <v>30</v>
      </c>
      <c r="Z445" s="8">
        <f t="shared" ref="Z445:AI445" si="1240">SUM(D440)</f>
        <v>48</v>
      </c>
      <c r="AA445" s="9">
        <f t="shared" ca="1" si="1240"/>
        <v>2</v>
      </c>
      <c r="AB445" s="10">
        <f t="shared" ca="1" si="1240"/>
        <v>29.603000000000002</v>
      </c>
      <c r="AC445" s="9">
        <f t="shared" ca="1" si="1240"/>
        <v>13</v>
      </c>
      <c r="AD445" s="9">
        <f t="shared" ca="1" si="1240"/>
        <v>0</v>
      </c>
      <c r="AE445" s="9">
        <f t="shared" ca="1" si="1240"/>
        <v>13</v>
      </c>
      <c r="AF445" s="9">
        <f t="shared" ca="1" si="1240"/>
        <v>0</v>
      </c>
      <c r="AG445" s="9">
        <f t="shared" ca="1" si="1240"/>
        <v>0</v>
      </c>
      <c r="AH445" s="9">
        <f t="shared" ca="1" si="1240"/>
        <v>0</v>
      </c>
      <c r="AI445" s="9">
        <f t="shared" ca="1" si="1240"/>
        <v>13</v>
      </c>
      <c r="AJ445" s="11">
        <f t="shared" ca="1" si="1232"/>
        <v>14.801500000000001</v>
      </c>
      <c r="AK445" s="8">
        <f t="shared" si="1233"/>
        <v>11164</v>
      </c>
      <c r="AL445" s="12">
        <f t="shared" ca="1" si="1234"/>
        <v>1.1644571838050877E-3</v>
      </c>
      <c r="AM445" s="13">
        <f t="shared" si="1235"/>
        <v>1.5</v>
      </c>
      <c r="AN445" s="12">
        <f t="shared" ca="1" si="1236"/>
        <v>0.29276312085486828</v>
      </c>
      <c r="AO445" s="14">
        <f t="shared" ca="1" si="1237"/>
        <v>0.43914468128230244</v>
      </c>
      <c r="AP445" s="13">
        <f t="shared" ref="AP445:AQ445" ca="1" si="1241">SUM(T440)</f>
        <v>1</v>
      </c>
      <c r="AQ445" s="13">
        <f t="shared" ca="1" si="1241"/>
        <v>0.5</v>
      </c>
      <c r="AR445" s="9">
        <f t="shared" ca="1" si="1239"/>
        <v>6.5</v>
      </c>
      <c r="AS445" s="76"/>
      <c r="AT445" s="76"/>
    </row>
    <row r="446" spans="1:46" ht="15.75" customHeight="1" x14ac:dyDescent="0.25">
      <c r="A446" s="70"/>
      <c r="B446" s="16">
        <v>9</v>
      </c>
      <c r="C446" s="16" t="s">
        <v>36</v>
      </c>
      <c r="D446" s="34">
        <v>23</v>
      </c>
      <c r="E446" s="18">
        <f ca="1">IFERROR(__xludf.DUMMYFUNCTION("COUNT(IMPORTRANGE(""https://docs.google.com/spreadsheets/d/1VqqqRGfmmkT0JC4ILJva2p8P11jjV0FX-TSKAaqOigw/edit"",""17!d2:d31""))"),23)</f>
        <v>23</v>
      </c>
      <c r="F446" s="23">
        <f ca="1">IFERROR(__xludf.DUMMYFUNCTION("SUM(IMPORTRANGE(""https://docs.google.com/spreadsheets/d/1VqqqRGfmmkT0JC4ILJva2p8P11jjV0FX-TSKAaqOigw/edit"",""17!Q2:Q31""))"),4595.538)</f>
        <v>4595.5379999999996</v>
      </c>
      <c r="G446" s="18">
        <f ca="1">IFERROR(__xludf.DUMMYFUNCTION("IMPORTRANGE(""https://docs.google.com/spreadsheets/d/1VqqqRGfmmkT0JC4ILJva2p8P11jjV0FX-TSKAaqOigw/edit"",""17!e38"")"),870)</f>
        <v>870</v>
      </c>
      <c r="H446" s="18">
        <f ca="1">IFERROR(__xludf.DUMMYFUNCTION("IMPORTRANGE(""https://docs.google.com/spreadsheets/d/1VqqqRGfmmkT0JC4ILJva2p8P11jjV0FX-TSKAaqOigw/edit"",""17!e39"")"),0)</f>
        <v>0</v>
      </c>
      <c r="I446" s="18">
        <f t="shared" ca="1" si="1212"/>
        <v>870</v>
      </c>
      <c r="J446" s="18">
        <f ca="1">IFERROR(__xludf.DUMMYFUNCTION("IMPORTRANGE(""https://docs.google.com/spreadsheets/d/1VqqqRGfmmkT0JC4ILJva2p8P11jjV0FX-TSKAaqOigw/edit"",""17!e42"")"),1295)</f>
        <v>1295</v>
      </c>
      <c r="K446" s="18">
        <f ca="1">IFERROR(__xludf.DUMMYFUNCTION("IMPORTRANGE(""https://docs.google.com/spreadsheets/d/1VqqqRGfmmkT0JC4ILJva2p8P11jjV0FX-TSKAaqOigw/edit"",""17!e43"")"),0)</f>
        <v>0</v>
      </c>
      <c r="L446" s="18">
        <f t="shared" ref="L446:L455" ca="1" si="1242">SUM(J446:K446)</f>
        <v>1295</v>
      </c>
      <c r="M446" s="18">
        <f t="shared" ca="1" si="1214"/>
        <v>2165</v>
      </c>
      <c r="N446" s="19">
        <f t="shared" ca="1" si="1215"/>
        <v>199.80599999999998</v>
      </c>
      <c r="O446" s="16">
        <v>4796</v>
      </c>
      <c r="P446" s="20">
        <f t="shared" ca="1" si="1216"/>
        <v>0.45141784820683906</v>
      </c>
      <c r="Q446" s="21">
        <v>1.5</v>
      </c>
      <c r="R446" s="20">
        <f t="shared" ca="1" si="1217"/>
        <v>0.31407276652555882</v>
      </c>
      <c r="S446" s="22">
        <f t="shared" ca="1" si="1218"/>
        <v>0.47110914978833823</v>
      </c>
      <c r="T446" s="21">
        <f ca="1">F446/37.414</f>
        <v>122.82936868551877</v>
      </c>
      <c r="U446" s="21">
        <f t="shared" ca="1" si="1219"/>
        <v>5.3404073341529905</v>
      </c>
      <c r="V446" s="18">
        <f t="shared" ca="1" si="1220"/>
        <v>94.130434782608702</v>
      </c>
      <c r="W446" s="76"/>
      <c r="X446" s="8">
        <v>3</v>
      </c>
      <c r="Y446" s="8" t="s">
        <v>34</v>
      </c>
      <c r="Z446" s="8">
        <f t="shared" ref="Z446:AI446" si="1243">SUM(D442)</f>
        <v>32</v>
      </c>
      <c r="AA446" s="9">
        <f t="shared" ca="1" si="1243"/>
        <v>32</v>
      </c>
      <c r="AB446" s="10">
        <f t="shared" ca="1" si="1243"/>
        <v>6193.116</v>
      </c>
      <c r="AC446" s="9">
        <f t="shared" ca="1" si="1243"/>
        <v>2071</v>
      </c>
      <c r="AD446" s="9">
        <f t="shared" ca="1" si="1243"/>
        <v>0</v>
      </c>
      <c r="AE446" s="9">
        <f t="shared" ca="1" si="1243"/>
        <v>2071</v>
      </c>
      <c r="AF446" s="9">
        <f t="shared" ca="1" si="1243"/>
        <v>1888</v>
      </c>
      <c r="AG446" s="9">
        <f t="shared" ca="1" si="1243"/>
        <v>0</v>
      </c>
      <c r="AH446" s="9">
        <f t="shared" ca="1" si="1243"/>
        <v>1888</v>
      </c>
      <c r="AI446" s="9">
        <f t="shared" ca="1" si="1243"/>
        <v>3959</v>
      </c>
      <c r="AJ446" s="11">
        <f t="shared" ca="1" si="1232"/>
        <v>193.534875</v>
      </c>
      <c r="AK446" s="8">
        <f>SUM(O442)</f>
        <v>9354</v>
      </c>
      <c r="AL446" s="12">
        <f t="shared" ca="1" si="1234"/>
        <v>0.42324139405601879</v>
      </c>
      <c r="AM446" s="13">
        <f>SUM(Q442)</f>
        <v>1.5</v>
      </c>
      <c r="AN446" s="12">
        <f t="shared" ca="1" si="1236"/>
        <v>0.42617211325176751</v>
      </c>
      <c r="AO446" s="14">
        <f t="shared" ca="1" si="1237"/>
        <v>0.63925816987765127</v>
      </c>
      <c r="AP446" s="13">
        <f t="shared" ref="AP446:AQ446" ca="1" si="1244">SUM(T442)</f>
        <v>201.64477582782536</v>
      </c>
      <c r="AQ446" s="13">
        <f t="shared" ca="1" si="1244"/>
        <v>6.3013992446195424</v>
      </c>
      <c r="AR446" s="9">
        <f t="shared" ca="1" si="1239"/>
        <v>123.71875</v>
      </c>
      <c r="AS446" s="76"/>
      <c r="AT446" s="76"/>
    </row>
    <row r="447" spans="1:46" ht="15.75" customHeight="1" x14ac:dyDescent="0.25">
      <c r="A447" s="70"/>
      <c r="B447" s="16">
        <v>10</v>
      </c>
      <c r="C447" s="16" t="s">
        <v>37</v>
      </c>
      <c r="D447" s="17">
        <v>24</v>
      </c>
      <c r="E447" s="18">
        <f ca="1">IFERROR(__xludf.DUMMYFUNCTION("COUNT(IMPORTRANGE(""https://docs.google.com/spreadsheets/d/1IYeRjQd_D6MRqoBKNaky3aSEUloYCJc5XDnPAbdyetk/edit"",""17!d2:d31""))"),1)</f>
        <v>1</v>
      </c>
      <c r="F447" s="23">
        <f ca="1">IFERROR(__xludf.DUMMYFUNCTION("SUM(IMPORTRANGE(""https://docs.google.com/spreadsheets/d/1IYeRjQd_D6MRqoBKNaky3aSEUloYCJc5XDnPAbdyetk/edit"",""17!Q2:Q31""))"),13.482)</f>
        <v>13.481999999999999</v>
      </c>
      <c r="G447" s="18">
        <f ca="1">IFERROR(__xludf.DUMMYFUNCTION("(IMPORTRANGE(""https://docs.google.com/spreadsheets/d/1IYeRjQd_D6MRqoBKNaky3aSEUloYCJc5XDnPAbdyetk/edit"",""17!e38""))"),14)</f>
        <v>14</v>
      </c>
      <c r="H447" s="18">
        <f ca="1">IFERROR(__xludf.DUMMYFUNCTION("(IMPORTRANGE(""https://docs.google.com/spreadsheets/d/1IYeRjQd_D6MRqoBKNaky3aSEUloYCJc5XDnPAbdyetk/edit"",""17!e39""))"),0)</f>
        <v>0</v>
      </c>
      <c r="I447" s="18">
        <f t="shared" ca="1" si="1212"/>
        <v>14</v>
      </c>
      <c r="J447" s="18">
        <f ca="1">IFERROR(__xludf.DUMMYFUNCTION("(IMPORTRANGE(""https://docs.google.com/spreadsheets/d/1IYeRjQd_D6MRqoBKNaky3aSEUloYCJc5XDnPAbdyetk/edit"",""17!e42""))"),0)</f>
        <v>0</v>
      </c>
      <c r="K447" s="18">
        <f ca="1">IFERROR(__xludf.DUMMYFUNCTION("(IMPORTRANGE(""https://docs.google.com/spreadsheets/d/1IYeRjQd_D6MRqoBKNaky3aSEUloYCJc5XDnPAbdyetk/edit"",""17!e43""))"),0)</f>
        <v>0</v>
      </c>
      <c r="L447" s="18">
        <f t="shared" ca="1" si="1242"/>
        <v>0</v>
      </c>
      <c r="M447" s="18">
        <f t="shared" ca="1" si="1214"/>
        <v>14</v>
      </c>
      <c r="N447" s="19">
        <f t="shared" ca="1" si="1215"/>
        <v>13.481999999999999</v>
      </c>
      <c r="O447" s="16">
        <v>5887</v>
      </c>
      <c r="P447" s="20">
        <f t="shared" ca="1" si="1216"/>
        <v>2.3781212841854932E-3</v>
      </c>
      <c r="Q447" s="21">
        <v>1.5</v>
      </c>
      <c r="R447" s="20">
        <f t="shared" ca="1" si="1217"/>
        <v>0.69228106611284179</v>
      </c>
      <c r="S447" s="22">
        <f t="shared" ca="1" si="1218"/>
        <v>1.0384215991692627</v>
      </c>
      <c r="T447" s="21">
        <f ca="1">F447/24.792</f>
        <v>0.54380445304937075</v>
      </c>
      <c r="U447" s="21">
        <f t="shared" ca="1" si="1219"/>
        <v>0.54380445304937075</v>
      </c>
      <c r="V447" s="18">
        <f t="shared" ca="1" si="1220"/>
        <v>14</v>
      </c>
      <c r="W447" s="76"/>
      <c r="X447" s="8">
        <v>4</v>
      </c>
      <c r="Y447" s="8" t="s">
        <v>38</v>
      </c>
      <c r="Z447" s="8">
        <f t="shared" ref="Z447:AI447" si="1245">SUM(D450)</f>
        <v>24</v>
      </c>
      <c r="AA447" s="9">
        <f t="shared" ca="1" si="1245"/>
        <v>24</v>
      </c>
      <c r="AB447" s="10">
        <f t="shared" ca="1" si="1245"/>
        <v>4779.78</v>
      </c>
      <c r="AC447" s="9">
        <f t="shared" ca="1" si="1245"/>
        <v>1751</v>
      </c>
      <c r="AD447" s="9">
        <f t="shared" ca="1" si="1245"/>
        <v>0</v>
      </c>
      <c r="AE447" s="9">
        <f t="shared" ca="1" si="1245"/>
        <v>1751</v>
      </c>
      <c r="AF447" s="9">
        <f t="shared" ca="1" si="1245"/>
        <v>1545</v>
      </c>
      <c r="AG447" s="9">
        <f t="shared" ca="1" si="1245"/>
        <v>0</v>
      </c>
      <c r="AH447" s="9">
        <f t="shared" ca="1" si="1245"/>
        <v>1545</v>
      </c>
      <c r="AI447" s="9">
        <f t="shared" ca="1" si="1245"/>
        <v>3296</v>
      </c>
      <c r="AJ447" s="11">
        <f t="shared" ca="1" si="1232"/>
        <v>199.1575</v>
      </c>
      <c r="AK447" s="8">
        <v>7324</v>
      </c>
      <c r="AL447" s="12">
        <f t="shared" ca="1" si="1234"/>
        <v>0.45002730748225012</v>
      </c>
      <c r="AM447" s="13">
        <f>SUM(Q450)</f>
        <v>1.5</v>
      </c>
      <c r="AN447" s="12">
        <f t="shared" ca="1" si="1236"/>
        <v>0.45971432436918297</v>
      </c>
      <c r="AO447" s="14">
        <f t="shared" ca="1" si="1237"/>
        <v>0.68957148655377443</v>
      </c>
      <c r="AP447" s="13">
        <f t="shared" ref="AP447:AQ447" ca="1" si="1246">SUM(T450)</f>
        <v>116</v>
      </c>
      <c r="AQ447" s="13">
        <f t="shared" ca="1" si="1246"/>
        <v>4.833333333333333</v>
      </c>
      <c r="AR447" s="9">
        <f t="shared" ca="1" si="1239"/>
        <v>137.33333333333334</v>
      </c>
      <c r="AS447" s="76"/>
      <c r="AT447" s="76"/>
    </row>
    <row r="448" spans="1:46" ht="15.75" customHeight="1" x14ac:dyDescent="0.25">
      <c r="A448" s="70"/>
      <c r="B448" s="16">
        <v>12</v>
      </c>
      <c r="C448" s="16" t="s">
        <v>39</v>
      </c>
      <c r="D448" s="17">
        <v>22</v>
      </c>
      <c r="E448" s="18">
        <f ca="1">IFERROR(__xludf.DUMMYFUNCTION("COUNT(IMPORTRANGE(""https://docs.google.com/spreadsheets/d/1TAY2D35yAzyl8a_p5CuZehQvmatfj0b0Q8ICl8GtJBY/edit"",""17!d2:d29""))"),21)</f>
        <v>21</v>
      </c>
      <c r="F448" s="23">
        <f ca="1">IFERROR(__xludf.DUMMYFUNCTION("SUM(IMPORTRANGE(""https://docs.google.com/spreadsheets/d/1TAY2D35yAzyl8a_p5CuZehQvmatfj0b0Q8ICl8GtJBY/edit"",""17!Q2:Q29""))"),4028.85999999999)</f>
        <v>4028.8599999999901</v>
      </c>
      <c r="G448" s="18">
        <f ca="1">IFERROR(__xludf.DUMMYFUNCTION("IMPORTRANGE(""https://docs.google.com/spreadsheets/d/1TAY2D35yAzyl8a_p5CuZehQvmatfj0b0Q8ICl8GtJBY/edit"",""17!e36"")"),817)</f>
        <v>817</v>
      </c>
      <c r="H448" s="18">
        <f ca="1">IFERROR(__xludf.DUMMYFUNCTION("(IMPORTRANGE(""https://docs.google.com/spreadsheets/d/1TAY2D35yAzyl8a_p5CuZehQvmatfj0b0Q8ICl8GtJBY/edit"",""17!e37""))"),0)</f>
        <v>0</v>
      </c>
      <c r="I448" s="18">
        <f t="shared" ca="1" si="1212"/>
        <v>817</v>
      </c>
      <c r="J448" s="18">
        <f ca="1">IFERROR(__xludf.DUMMYFUNCTION("IMPORTRANGE(""https://docs.google.com/spreadsheets/d/1TAY2D35yAzyl8a_p5CuZehQvmatfj0b0Q8ICl8GtJBY/edit"",""17!e40"")"),1434)</f>
        <v>1434</v>
      </c>
      <c r="K448" s="18">
        <f ca="1">IFERROR(__xludf.DUMMYFUNCTION("IMPORTRANGE(""https://docs.google.com/spreadsheets/d/1TAY2D35yAzyl8a_p5CuZehQvmatfj0b0Q8ICl8GtJBY/edit"",""17!e41"")"),0)</f>
        <v>0</v>
      </c>
      <c r="L448" s="18">
        <f t="shared" ca="1" si="1242"/>
        <v>1434</v>
      </c>
      <c r="M448" s="18">
        <f t="shared" ca="1" si="1214"/>
        <v>2251</v>
      </c>
      <c r="N448" s="19">
        <f t="shared" ca="1" si="1215"/>
        <v>191.85047619047572</v>
      </c>
      <c r="O448" s="16">
        <v>3569</v>
      </c>
      <c r="P448" s="20">
        <f t="shared" ca="1" si="1216"/>
        <v>0.63070888203978703</v>
      </c>
      <c r="Q448" s="21">
        <v>1.5</v>
      </c>
      <c r="R448" s="20">
        <f t="shared" ca="1" si="1217"/>
        <v>0.37247922902922176</v>
      </c>
      <c r="S448" s="22">
        <f t="shared" ca="1" si="1218"/>
        <v>0.55871884354383261</v>
      </c>
      <c r="T448" s="21">
        <f ca="1">F448/21.463</f>
        <v>187.71187625215441</v>
      </c>
      <c r="U448" s="21">
        <f t="shared" ca="1" si="1219"/>
        <v>8.9386607739121153</v>
      </c>
      <c r="V448" s="18">
        <f t="shared" ca="1" si="1220"/>
        <v>107.19047619047619</v>
      </c>
      <c r="W448" s="76"/>
      <c r="X448" s="8">
        <v>5</v>
      </c>
      <c r="Y448" s="8" t="s">
        <v>40</v>
      </c>
      <c r="Z448" s="8">
        <f t="shared" ref="Z448:AI448" si="1247">SUM(D452)</f>
        <v>24</v>
      </c>
      <c r="AA448" s="9">
        <f t="shared" ca="1" si="1247"/>
        <v>15</v>
      </c>
      <c r="AB448" s="10">
        <f t="shared" ca="1" si="1247"/>
        <v>754.40599999999904</v>
      </c>
      <c r="AC448" s="9">
        <f t="shared" ca="1" si="1247"/>
        <v>870</v>
      </c>
      <c r="AD448" s="9">
        <f t="shared" ca="1" si="1247"/>
        <v>0</v>
      </c>
      <c r="AE448" s="9">
        <f t="shared" ca="1" si="1247"/>
        <v>870</v>
      </c>
      <c r="AF448" s="9">
        <f t="shared" ca="1" si="1247"/>
        <v>0</v>
      </c>
      <c r="AG448" s="9">
        <f t="shared" ca="1" si="1247"/>
        <v>0</v>
      </c>
      <c r="AH448" s="9">
        <f t="shared" ca="1" si="1247"/>
        <v>0</v>
      </c>
      <c r="AI448" s="9">
        <f t="shared" ca="1" si="1247"/>
        <v>870</v>
      </c>
      <c r="AJ448" s="11">
        <f t="shared" ca="1" si="1232"/>
        <v>50.293733333333272</v>
      </c>
      <c r="AK448" s="8">
        <f t="shared" ref="AK448:AK449" si="1248">SUM(O452)</f>
        <v>8239</v>
      </c>
      <c r="AL448" s="12">
        <f t="shared" ca="1" si="1234"/>
        <v>0.10559533924019905</v>
      </c>
      <c r="AM448" s="13">
        <f t="shared" ref="AM448:AM449" si="1249">SUM(Q452)</f>
        <v>1.5</v>
      </c>
      <c r="AN448" s="12">
        <f t="shared" ca="1" si="1236"/>
        <v>0.76881679095871558</v>
      </c>
      <c r="AO448" s="14">
        <f t="shared" ca="1" si="1237"/>
        <v>1.1532251864380734</v>
      </c>
      <c r="AP448" s="13">
        <f t="shared" ref="AP448:AQ448" ca="1" si="1250">SUM(T452)</f>
        <v>26.523432830573391</v>
      </c>
      <c r="AQ448" s="13">
        <f t="shared" ca="1" si="1250"/>
        <v>1.7682288553715595</v>
      </c>
      <c r="AR448" s="9">
        <f t="shared" ca="1" si="1239"/>
        <v>58</v>
      </c>
      <c r="AS448" s="76"/>
      <c r="AT448" s="76"/>
    </row>
    <row r="449" spans="1:46" ht="15.75" customHeight="1" x14ac:dyDescent="0.25">
      <c r="A449" s="70"/>
      <c r="B449" s="16">
        <v>12</v>
      </c>
      <c r="C449" s="16" t="s">
        <v>41</v>
      </c>
      <c r="D449" s="17">
        <v>20</v>
      </c>
      <c r="E449" s="18">
        <f ca="1">IFERROR(__xludf.DUMMYFUNCTION("COUNT(IMPORTRANGE(""https://docs.google.com/spreadsheets/d/1VAsUtLQHi7oV9NsI9EIHPnO1bcPJHeRgSbMoxSvPBME/edit"",""17!d2:d25""))"),20)</f>
        <v>20</v>
      </c>
      <c r="F449" s="23">
        <f ca="1">IFERROR(__xludf.DUMMYFUNCTION("SUM(IMPORTRANGE(""https://docs.google.com/spreadsheets/d/1VAsUtLQHi7oV9NsI9EIHPnO1bcPJHeRgSbMoxSvPBME/edit"",""17!Q2:Q25""))"),3815.428)</f>
        <v>3815.4279999999999</v>
      </c>
      <c r="G449" s="18">
        <f ca="1">IFERROR(__xludf.DUMMYFUNCTION("IMPORTRANGE(""https://docs.google.com/spreadsheets/d/1VAsUtLQHi7oV9NsI9EIHPnO1bcPJHeRgSbMoxSvPBME/edit"",""17!e32"")"),699)</f>
        <v>699</v>
      </c>
      <c r="H449" s="18">
        <f ca="1">IFERROR(__xludf.DUMMYFUNCTION("IMPORTRANGE(""https://docs.google.com/spreadsheets/d/1VAsUtLQHi7oV9NsI9EIHPnO1bcPJHeRgSbMoxSvPBME/edit"",""17!e33"")"),0)</f>
        <v>0</v>
      </c>
      <c r="I449" s="18">
        <f t="shared" ca="1" si="1212"/>
        <v>699</v>
      </c>
      <c r="J449" s="18">
        <f ca="1">IFERROR(__xludf.DUMMYFUNCTION("IMPORTRANGE(""https://docs.google.com/spreadsheets/d/1VAsUtLQHi7oV9NsI9EIHPnO1bcPJHeRgSbMoxSvPBME/edit"",""17!e36"")"),894)</f>
        <v>894</v>
      </c>
      <c r="K449" s="18">
        <f ca="1">IFERROR(__xludf.DUMMYFUNCTION("IMPORTRANGE(""https://docs.google.com/spreadsheets/d/1VAsUtLQHi7oV9NsI9EIHPnO1bcPJHeRgSbMoxSvPBME/edit"",""17!e37"")"),0)</f>
        <v>0</v>
      </c>
      <c r="L449" s="18">
        <f t="shared" ca="1" si="1242"/>
        <v>894</v>
      </c>
      <c r="M449" s="18">
        <f t="shared" ca="1" si="1214"/>
        <v>1593</v>
      </c>
      <c r="N449" s="19">
        <f t="shared" ca="1" si="1215"/>
        <v>190.7714</v>
      </c>
      <c r="O449" s="16">
        <v>3801</v>
      </c>
      <c r="P449" s="20">
        <f t="shared" ca="1" si="1216"/>
        <v>0.4191002367797948</v>
      </c>
      <c r="Q449" s="21">
        <v>1.5</v>
      </c>
      <c r="R449" s="20">
        <f t="shared" ca="1" si="1217"/>
        <v>0.27834360915734752</v>
      </c>
      <c r="S449" s="22">
        <f t="shared" ca="1" si="1218"/>
        <v>0.41751541373602125</v>
      </c>
      <c r="T449" s="21">
        <f ca="1">F449/29.628</f>
        <v>128.77777777777777</v>
      </c>
      <c r="U449" s="21">
        <f t="shared" ca="1" si="1219"/>
        <v>6.4388888888888882</v>
      </c>
      <c r="V449" s="18">
        <f t="shared" ca="1" si="1220"/>
        <v>79.650000000000006</v>
      </c>
      <c r="W449" s="76"/>
      <c r="X449" s="8">
        <v>6</v>
      </c>
      <c r="Y449" s="8" t="s">
        <v>42</v>
      </c>
      <c r="Z449" s="8">
        <f t="shared" ref="Z449:AI449" si="1251">SUM(D453)</f>
        <v>26</v>
      </c>
      <c r="AA449" s="9">
        <f t="shared" ca="1" si="1251"/>
        <v>0</v>
      </c>
      <c r="AB449" s="10">
        <f t="shared" ca="1" si="1251"/>
        <v>0</v>
      </c>
      <c r="AC449" s="9">
        <f t="shared" ca="1" si="1251"/>
        <v>0</v>
      </c>
      <c r="AD449" s="9">
        <f t="shared" ca="1" si="1251"/>
        <v>0</v>
      </c>
      <c r="AE449" s="9">
        <f t="shared" ca="1" si="1251"/>
        <v>0</v>
      </c>
      <c r="AF449" s="9">
        <f t="shared" ca="1" si="1251"/>
        <v>0</v>
      </c>
      <c r="AG449" s="9">
        <f t="shared" ca="1" si="1251"/>
        <v>0</v>
      </c>
      <c r="AH449" s="9">
        <f t="shared" ca="1" si="1251"/>
        <v>0</v>
      </c>
      <c r="AI449" s="9">
        <f t="shared" ca="1" si="1251"/>
        <v>0</v>
      </c>
      <c r="AJ449" s="11" t="e">
        <f t="shared" ca="1" si="1232"/>
        <v>#DIV/0!</v>
      </c>
      <c r="AK449" s="8">
        <f t="shared" si="1248"/>
        <v>9877</v>
      </c>
      <c r="AL449" s="12">
        <f t="shared" ca="1" si="1234"/>
        <v>0</v>
      </c>
      <c r="AM449" s="13">
        <f t="shared" si="1249"/>
        <v>1.5</v>
      </c>
      <c r="AN449" s="12" t="e">
        <f t="shared" ca="1" si="1236"/>
        <v>#DIV/0!</v>
      </c>
      <c r="AO449" s="14" t="e">
        <f t="shared" ca="1" si="1237"/>
        <v>#DIV/0!</v>
      </c>
      <c r="AP449" s="13">
        <f t="shared" ref="AP449:AQ449" ca="1" si="1252">SUM(T453)</f>
        <v>0</v>
      </c>
      <c r="AQ449" s="13" t="e">
        <f t="shared" ca="1" si="1252"/>
        <v>#DIV/0!</v>
      </c>
      <c r="AR449" s="9" t="e">
        <f t="shared" ca="1" si="1239"/>
        <v>#DIV/0!</v>
      </c>
      <c r="AS449" s="76"/>
      <c r="AT449" s="76"/>
    </row>
    <row r="450" spans="1:46" ht="15.75" customHeight="1" x14ac:dyDescent="0.25">
      <c r="A450" s="70"/>
      <c r="B450" s="16">
        <v>13</v>
      </c>
      <c r="C450" s="16" t="s">
        <v>43</v>
      </c>
      <c r="D450" s="17">
        <v>24</v>
      </c>
      <c r="E450" s="18">
        <f ca="1">IFERROR(__xludf.DUMMYFUNCTION("COUNT(IMPORTRANGE(""https://docs.google.com/spreadsheets/d/1p9Y_DGk7-TpRBFth-ljZceOIGCjQ0ylUeUq6xqnsZ-Q/edit"",""17!d2:d31""))"),24)</f>
        <v>24</v>
      </c>
      <c r="F450" s="23">
        <f ca="1">IFERROR(__xludf.DUMMYFUNCTION("SUM(IMPORTRANGE(""https://docs.google.com/spreadsheets/d/1p9Y_DGk7-TpRBFth-ljZceOIGCjQ0ylUeUq6xqnsZ-Q/edit"",""17!Q2:Q31""))"),4779.78)</f>
        <v>4779.78</v>
      </c>
      <c r="G450" s="18">
        <f ca="1">IFERROR(__xludf.DUMMYFUNCTION("IMPORTRANGE(""https://docs.google.com/spreadsheets/d/1p9Y_DGk7-TpRBFth-ljZceOIGCjQ0ylUeUq6xqnsZ-Q/edit"",""17!e38"")"),1751)</f>
        <v>1751</v>
      </c>
      <c r="H450" s="18">
        <f ca="1">IFERROR(__xludf.DUMMYFUNCTION("IMPORTRANGE(""https://docs.google.com/spreadsheets/d/1p9Y_DGk7-TpRBFth-ljZceOIGCjQ0ylUeUq6xqnsZ-Q/edit"",""17!e39"")"),0)</f>
        <v>0</v>
      </c>
      <c r="I450" s="18">
        <f t="shared" ca="1" si="1212"/>
        <v>1751</v>
      </c>
      <c r="J450" s="18">
        <f ca="1">IFERROR(__xludf.DUMMYFUNCTION("IMPORTRANGE(""https://docs.google.com/spreadsheets/d/1p9Y_DGk7-TpRBFth-ljZceOIGCjQ0ylUeUq6xqnsZ-Q/edit"",""17!e42"")"),1545)</f>
        <v>1545</v>
      </c>
      <c r="K450" s="18">
        <f ca="1">IFERROR(__xludf.DUMMYFUNCTION("IMPORTRANGE(""https://docs.google.com/spreadsheets/d/1p9Y_DGk7-TpRBFth-ljZceOIGCjQ0ylUeUq6xqnsZ-Q/edit"",""17!e43"")"),0)</f>
        <v>0</v>
      </c>
      <c r="L450" s="18">
        <f t="shared" ca="1" si="1242"/>
        <v>1545</v>
      </c>
      <c r="M450" s="18">
        <f t="shared" ca="1" si="1214"/>
        <v>3296</v>
      </c>
      <c r="N450" s="19">
        <f t="shared" ca="1" si="1215"/>
        <v>199.1575</v>
      </c>
      <c r="O450" s="16">
        <v>8345</v>
      </c>
      <c r="P450" s="20">
        <f t="shared" ca="1" si="1216"/>
        <v>0.39496704613541045</v>
      </c>
      <c r="Q450" s="21">
        <v>1.5</v>
      </c>
      <c r="R450" s="20">
        <f t="shared" ca="1" si="1217"/>
        <v>0.45971432436918297</v>
      </c>
      <c r="S450" s="22">
        <f t="shared" ca="1" si="1218"/>
        <v>0.68957148655377443</v>
      </c>
      <c r="T450" s="21">
        <f ca="1">F450/41.205</f>
        <v>116</v>
      </c>
      <c r="U450" s="21">
        <f t="shared" ca="1" si="1219"/>
        <v>4.833333333333333</v>
      </c>
      <c r="V450" s="18">
        <f t="shared" ca="1" si="1220"/>
        <v>137.33333333333334</v>
      </c>
      <c r="W450" s="76"/>
      <c r="X450" s="24" t="s">
        <v>33</v>
      </c>
      <c r="Y450" s="24">
        <v>6</v>
      </c>
      <c r="Z450" s="24">
        <f t="shared" ref="Z450:AI450" si="1253">SUM(Z444:Z449)</f>
        <v>180</v>
      </c>
      <c r="AA450" s="25">
        <f t="shared" ca="1" si="1253"/>
        <v>97</v>
      </c>
      <c r="AB450" s="27">
        <f t="shared" ca="1" si="1253"/>
        <v>16184.741999999987</v>
      </c>
      <c r="AC450" s="25">
        <f t="shared" ca="1" si="1253"/>
        <v>6202</v>
      </c>
      <c r="AD450" s="25">
        <f t="shared" ca="1" si="1253"/>
        <v>29</v>
      </c>
      <c r="AE450" s="25">
        <f t="shared" ca="1" si="1253"/>
        <v>6231</v>
      </c>
      <c r="AF450" s="25">
        <f t="shared" ca="1" si="1253"/>
        <v>4594</v>
      </c>
      <c r="AG450" s="25">
        <f t="shared" ca="1" si="1253"/>
        <v>192</v>
      </c>
      <c r="AH450" s="25">
        <f t="shared" ca="1" si="1253"/>
        <v>4786</v>
      </c>
      <c r="AI450" s="25">
        <f t="shared" ca="1" si="1253"/>
        <v>11017</v>
      </c>
      <c r="AJ450" s="27">
        <f t="shared" ca="1" si="1232"/>
        <v>166.85301030927823</v>
      </c>
      <c r="AK450" s="24">
        <f>SUM(AK444:AK449)</f>
        <v>53273</v>
      </c>
      <c r="AL450" s="28">
        <f t="shared" ca="1" si="1234"/>
        <v>0.20680269554934019</v>
      </c>
      <c r="AM450" s="29">
        <v>1.5</v>
      </c>
      <c r="AN450" s="28">
        <f t="shared" ca="1" si="1236"/>
        <v>0.45380189975636759</v>
      </c>
      <c r="AO450" s="30">
        <f t="shared" ca="1" si="1237"/>
        <v>0.68070284963455141</v>
      </c>
      <c r="AP450" s="29">
        <f ca="1">SUM(AP444:AP449)</f>
        <v>488.47781800558425</v>
      </c>
      <c r="AQ450" s="29">
        <f ca="1">AP450/AA450</f>
        <v>5.0358537938720023</v>
      </c>
      <c r="AR450" s="25">
        <f t="shared" ca="1" si="1239"/>
        <v>113.57731958762886</v>
      </c>
      <c r="AS450" s="76"/>
      <c r="AT450" s="76"/>
    </row>
    <row r="451" spans="1:46" ht="15.75" customHeight="1" x14ac:dyDescent="0.25">
      <c r="A451" s="70"/>
      <c r="B451" s="16">
        <v>14</v>
      </c>
      <c r="C451" s="16" t="s">
        <v>27</v>
      </c>
      <c r="D451" s="17">
        <v>24</v>
      </c>
      <c r="E451" s="18">
        <f ca="1">IFERROR(__xludf.DUMMYFUNCTION("COUNT(IMPORTRANGE(""https://docs.google.com/spreadsheets/d/1zJUDEKztv_fercXA0LYNw155qdzS7TJGhWLhquaW5IY/edit"",""17!d2:d31""))"),24)</f>
        <v>24</v>
      </c>
      <c r="F451" s="23">
        <f ca="1">IFERROR(__xludf.DUMMYFUNCTION("SUM(IMPORTRANGE(""https://docs.google.com/spreadsheets/d/1zJUDEKztv_fercXA0LYNw155qdzS7TJGhWLhquaW5IY/edit"",""17!Q2:Q31""))"),4786.27)</f>
        <v>4786.2700000000004</v>
      </c>
      <c r="G451" s="18">
        <f ca="1">IFERROR(__xludf.DUMMYFUNCTION("IMPORTRANGE(""https://docs.google.com/spreadsheets/d/1zJUDEKztv_fercXA0LYNw155qdzS7TJGhWLhquaW5IY/edit"",""17!e38"")"),1630)</f>
        <v>1630</v>
      </c>
      <c r="H451" s="18">
        <f ca="1">IFERROR(__xludf.DUMMYFUNCTION("IMPORTRANGE(""https://docs.google.com/spreadsheets/d/1zJUDEKztv_fercXA0LYNw155qdzS7TJGhWLhquaW5IY/edit"",""17!e39"")"),0)</f>
        <v>0</v>
      </c>
      <c r="I451" s="18">
        <f t="shared" ca="1" si="1212"/>
        <v>1630</v>
      </c>
      <c r="J451" s="18">
        <f ca="1">IFERROR(__xludf.DUMMYFUNCTION("IMPORTRANGE(""https://docs.google.com/spreadsheets/d/1zJUDEKztv_fercXA0LYNw155qdzS7TJGhWLhquaW5IY/edit"",""17!e42"")"),1911)</f>
        <v>1911</v>
      </c>
      <c r="K451" s="18">
        <f ca="1">IFERROR(__xludf.DUMMYFUNCTION("IMPORTRANGE(""https://docs.google.com/spreadsheets/d/1zJUDEKztv_fercXA0LYNw155qdzS7TJGhWLhquaW5IY/edit"",""17!e43"")"),0)</f>
        <v>0</v>
      </c>
      <c r="L451" s="18">
        <f t="shared" ca="1" si="1242"/>
        <v>1911</v>
      </c>
      <c r="M451" s="18">
        <f t="shared" ca="1" si="1214"/>
        <v>3541</v>
      </c>
      <c r="N451" s="19">
        <f t="shared" ca="1" si="1215"/>
        <v>199.42791666666668</v>
      </c>
      <c r="O451" s="16">
        <v>8101</v>
      </c>
      <c r="P451" s="20">
        <f t="shared" ca="1" si="1216"/>
        <v>0.43710653005801753</v>
      </c>
      <c r="Q451" s="21">
        <v>1.5</v>
      </c>
      <c r="R451" s="20">
        <f t="shared" ca="1" si="1217"/>
        <v>0.49321635985154755</v>
      </c>
      <c r="S451" s="22">
        <f t="shared" ca="1" si="1218"/>
        <v>0.73982453977732132</v>
      </c>
      <c r="T451" s="21">
        <f ca="1">F451/19.985</f>
        <v>239.49311983987994</v>
      </c>
      <c r="U451" s="21">
        <f t="shared" ca="1" si="1219"/>
        <v>9.9788799933283308</v>
      </c>
      <c r="V451" s="18">
        <f t="shared" ca="1" si="1220"/>
        <v>147.54166666666666</v>
      </c>
      <c r="W451" s="76"/>
      <c r="X451" s="97" t="s">
        <v>44</v>
      </c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9"/>
      <c r="AS451" s="76"/>
      <c r="AT451" s="76"/>
    </row>
    <row r="452" spans="1:46" ht="15.75" customHeight="1" x14ac:dyDescent="0.25">
      <c r="A452" s="70"/>
      <c r="B452" s="16">
        <v>15</v>
      </c>
      <c r="C452" s="16" t="s">
        <v>40</v>
      </c>
      <c r="D452" s="17">
        <v>24</v>
      </c>
      <c r="E452" s="18">
        <f ca="1">IFERROR(__xludf.DUMMYFUNCTION("COUNT(IMPORTRANGE(""https://docs.google.com/spreadsheets/d/15GJA66Ucb-8RQ5vWVpq5HYaWoZZFX82SCeHChBujbrI/edit"",""17!d2:d31""))"),15)</f>
        <v>15</v>
      </c>
      <c r="F452" s="23">
        <f ca="1">IFERROR(__xludf.DUMMYFUNCTION("SUM(IMPORTRANGE(""https://docs.google.com/spreadsheets/d/15GJA66Ucb-8RQ5vWVpq5HYaWoZZFX82SCeHChBujbrI/edit"",""17!Q2:Q31""))"),754.405999999999)</f>
        <v>754.40599999999904</v>
      </c>
      <c r="G452" s="18">
        <f ca="1">IFERROR(__xludf.DUMMYFUNCTION("IMPORTRANGE(""https://docs.google.com/spreadsheets/d/15GJA66Ucb-8RQ5vWVpq5HYaWoZZFX82SCeHChBujbrI/edit"",""17!e38"")"),870)</f>
        <v>870</v>
      </c>
      <c r="H452" s="18">
        <f ca="1">IFERROR(__xludf.DUMMYFUNCTION("IMPORTRANGE(""https://docs.google.com/spreadsheets/d/15GJA66Ucb-8RQ5vWVpq5HYaWoZZFX82SCeHChBujbrI/edit"",""17!e39"")"),0)</f>
        <v>0</v>
      </c>
      <c r="I452" s="18">
        <f t="shared" ca="1" si="1212"/>
        <v>870</v>
      </c>
      <c r="J452" s="18">
        <f ca="1">IFERROR(__xludf.DUMMYFUNCTION("IMPORTRANGE(""https://docs.google.com/spreadsheets/d/15GJA66Ucb-8RQ5vWVpq5HYaWoZZFX82SCeHChBujbrI/edit"",""17!e42"")"),0)</f>
        <v>0</v>
      </c>
      <c r="K452" s="18">
        <f ca="1">IFERROR(__xludf.DUMMYFUNCTION("IMPORTRANGE(""https://docs.google.com/spreadsheets/d/15GJA66Ucb-8RQ5vWVpq5HYaWoZZFX82SCeHChBujbrI/edit"",""17!e43"")"),0)</f>
        <v>0</v>
      </c>
      <c r="L452" s="18">
        <f t="shared" ca="1" si="1242"/>
        <v>0</v>
      </c>
      <c r="M452" s="18">
        <f t="shared" ca="1" si="1214"/>
        <v>870</v>
      </c>
      <c r="N452" s="19">
        <f t="shared" ca="1" si="1215"/>
        <v>50.293733333333272</v>
      </c>
      <c r="O452" s="16">
        <v>8239</v>
      </c>
      <c r="P452" s="20">
        <f t="shared" ca="1" si="1216"/>
        <v>0.10559533924019905</v>
      </c>
      <c r="Q452" s="21">
        <v>1.5</v>
      </c>
      <c r="R452" s="20">
        <f t="shared" ca="1" si="1217"/>
        <v>0.76881679095871558</v>
      </c>
      <c r="S452" s="22">
        <f t="shared" ca="1" si="1218"/>
        <v>1.1532251864380734</v>
      </c>
      <c r="T452" s="21">
        <f ca="1">F452/28.443</f>
        <v>26.523432830573391</v>
      </c>
      <c r="U452" s="21">
        <f t="shared" ca="1" si="1219"/>
        <v>1.7682288553715595</v>
      </c>
      <c r="V452" s="18">
        <f t="shared" ca="1" si="1220"/>
        <v>58</v>
      </c>
      <c r="W452" s="76"/>
      <c r="X452" s="1" t="s">
        <v>2</v>
      </c>
      <c r="Y452" s="1" t="s">
        <v>3</v>
      </c>
      <c r="Z452" s="1" t="s">
        <v>4</v>
      </c>
      <c r="AA452" s="1" t="s">
        <v>5</v>
      </c>
      <c r="AB452" s="2" t="s">
        <v>6</v>
      </c>
      <c r="AC452" s="1" t="s">
        <v>7</v>
      </c>
      <c r="AD452" s="1" t="s">
        <v>8</v>
      </c>
      <c r="AE452" s="1" t="s">
        <v>9</v>
      </c>
      <c r="AF452" s="1" t="s">
        <v>10</v>
      </c>
      <c r="AG452" s="1" t="s">
        <v>11</v>
      </c>
      <c r="AH452" s="1" t="s">
        <v>12</v>
      </c>
      <c r="AI452" s="1" t="s">
        <v>13</v>
      </c>
      <c r="AJ452" s="2" t="s">
        <v>14</v>
      </c>
      <c r="AK452" s="1" t="s">
        <v>15</v>
      </c>
      <c r="AL452" s="1" t="s">
        <v>16</v>
      </c>
      <c r="AM452" s="3" t="s">
        <v>17</v>
      </c>
      <c r="AN452" s="4" t="s">
        <v>18</v>
      </c>
      <c r="AO452" s="5" t="s">
        <v>19</v>
      </c>
      <c r="AP452" s="6" t="s">
        <v>20</v>
      </c>
      <c r="AQ452" s="6" t="s">
        <v>21</v>
      </c>
      <c r="AR452" s="7" t="s">
        <v>22</v>
      </c>
      <c r="AS452" s="76"/>
      <c r="AT452" s="76"/>
    </row>
    <row r="453" spans="1:46" ht="15.75" customHeight="1" x14ac:dyDescent="0.25">
      <c r="A453" s="70"/>
      <c r="B453" s="36">
        <v>16</v>
      </c>
      <c r="C453" s="36" t="s">
        <v>42</v>
      </c>
      <c r="D453" s="37">
        <v>26</v>
      </c>
      <c r="E453" s="38">
        <f ca="1">IFERROR(__xludf.DUMMYFUNCTION("COUNT(IMPORTRANGE(""https://docs.google.com/spreadsheets/d/14Tu_jFPEdrIQ6DHYu6vRvJKQsbXr-48NY1tKy4-8JKI/edit"",""17!d2:d34""))"),0)</f>
        <v>0</v>
      </c>
      <c r="F453" s="43">
        <f ca="1">IFERROR(__xludf.DUMMYFUNCTION("SUM(IMPORTRANGE(""https://docs.google.com/spreadsheets/d/14Tu_jFPEdrIQ6DHYu6vRvJKQsbXr-48NY1tKy4-8JKI/edit"",""17!Q2:Q34""))"),0)</f>
        <v>0</v>
      </c>
      <c r="G453" s="38">
        <f ca="1">IFERROR(__xludf.DUMMYFUNCTION("IMPORTRANGE(""https://docs.google.com/spreadsheets/d/14Tu_jFPEdrIQ6DHYu6vRvJKQsbXr-48NY1tKy4-8JKI/edit"",""17!e41"")"),0)</f>
        <v>0</v>
      </c>
      <c r="H453" s="38">
        <f ca="1">IFERROR(__xludf.DUMMYFUNCTION("IMPORTRANGE(""https://docs.google.com/spreadsheets/d/14Tu_jFPEdrIQ6DHYu6vRvJKQsbXr-48NY1tKy4-8JKI/edit"",""17!e42"")"),0)</f>
        <v>0</v>
      </c>
      <c r="I453" s="38">
        <f t="shared" ca="1" si="1212"/>
        <v>0</v>
      </c>
      <c r="J453" s="38">
        <f ca="1">IFERROR(__xludf.DUMMYFUNCTION("IMPORTRANGE(""https://docs.google.com/spreadsheets/d/14Tu_jFPEdrIQ6DHYu6vRvJKQsbXr-48NY1tKy4-8JKI/edit"",""17!e45"")"),0)</f>
        <v>0</v>
      </c>
      <c r="K453" s="38">
        <f ca="1">IFERROR(__xludf.DUMMYFUNCTION("IMPORTRANGE(""https://docs.google.com/spreadsheets/d/14Tu_jFPEdrIQ6DHYu6vRvJKQsbXr-48NY1tKy4-8JKI/edit"",""17!e46"")"),0)</f>
        <v>0</v>
      </c>
      <c r="L453" s="38">
        <f t="shared" ca="1" si="1242"/>
        <v>0</v>
      </c>
      <c r="M453" s="38">
        <f t="shared" ca="1" si="1214"/>
        <v>0</v>
      </c>
      <c r="N453" s="39" t="e">
        <f t="shared" ca="1" si="1215"/>
        <v>#DIV/0!</v>
      </c>
      <c r="O453" s="36">
        <v>9877</v>
      </c>
      <c r="P453" s="20">
        <f t="shared" ca="1" si="1216"/>
        <v>0</v>
      </c>
      <c r="Q453" s="40">
        <v>1.5</v>
      </c>
      <c r="R453" s="20" t="e">
        <f t="shared" ca="1" si="1217"/>
        <v>#DIV/0!</v>
      </c>
      <c r="S453" s="41" t="e">
        <f t="shared" ca="1" si="1218"/>
        <v>#DIV/0!</v>
      </c>
      <c r="T453" s="40">
        <f ca="1">F453/26.155</f>
        <v>0</v>
      </c>
      <c r="U453" s="40" t="e">
        <f t="shared" ca="1" si="1219"/>
        <v>#DIV/0!</v>
      </c>
      <c r="V453" s="38" t="e">
        <f t="shared" ca="1" si="1220"/>
        <v>#DIV/0!</v>
      </c>
      <c r="W453" s="76"/>
      <c r="X453" s="8">
        <v>1</v>
      </c>
      <c r="Y453" s="8" t="s">
        <v>26</v>
      </c>
      <c r="Z453" s="8">
        <f t="shared" ref="Z453:AI453" si="1254">SUM(D438)</f>
        <v>16</v>
      </c>
      <c r="AA453" s="9">
        <f t="shared" ca="1" si="1254"/>
        <v>0</v>
      </c>
      <c r="AB453" s="11">
        <f t="shared" ca="1" si="1254"/>
        <v>0</v>
      </c>
      <c r="AC453" s="9">
        <f t="shared" ca="1" si="1254"/>
        <v>0</v>
      </c>
      <c r="AD453" s="9">
        <f t="shared" ca="1" si="1254"/>
        <v>0</v>
      </c>
      <c r="AE453" s="9">
        <f t="shared" ca="1" si="1254"/>
        <v>0</v>
      </c>
      <c r="AF453" s="9">
        <f t="shared" ca="1" si="1254"/>
        <v>0</v>
      </c>
      <c r="AG453" s="9">
        <f t="shared" ca="1" si="1254"/>
        <v>0</v>
      </c>
      <c r="AH453" s="9">
        <f t="shared" ca="1" si="1254"/>
        <v>0</v>
      </c>
      <c r="AI453" s="9">
        <f t="shared" ca="1" si="1254"/>
        <v>0</v>
      </c>
      <c r="AJ453" s="11" t="e">
        <f t="shared" ref="AJ453:AJ459" ca="1" si="1255">AB453/AA453</f>
        <v>#DIV/0!</v>
      </c>
      <c r="AK453" s="8">
        <f>SUM(O438)</f>
        <v>5161</v>
      </c>
      <c r="AL453" s="12">
        <f t="shared" ref="AL453:AL459" ca="1" si="1256">AI453/AK453</f>
        <v>0</v>
      </c>
      <c r="AM453" s="13">
        <f>SUM(Q438)</f>
        <v>1.5</v>
      </c>
      <c r="AN453" s="12" t="e">
        <f t="shared" ref="AN453:AN459" ca="1" si="1257">AO453/AM453</f>
        <v>#DIV/0!</v>
      </c>
      <c r="AO453" s="14" t="e">
        <f t="shared" ref="AO453:AO459" ca="1" si="1258">AI453/AB453</f>
        <v>#DIV/0!</v>
      </c>
      <c r="AP453" s="13">
        <f t="shared" ref="AP453:AQ453" ca="1" si="1259">SUM(T438)</f>
        <v>0</v>
      </c>
      <c r="AQ453" s="13" t="e">
        <f t="shared" ca="1" si="1259"/>
        <v>#DIV/0!</v>
      </c>
      <c r="AR453" s="9" t="e">
        <f t="shared" ref="AR453:AR459" ca="1" si="1260">AI453/AA453</f>
        <v>#DIV/0!</v>
      </c>
      <c r="AS453" s="76"/>
      <c r="AT453" s="76"/>
    </row>
    <row r="454" spans="1:46" ht="15.75" customHeight="1" x14ac:dyDescent="0.25">
      <c r="A454" s="70"/>
      <c r="B454" s="16">
        <v>17</v>
      </c>
      <c r="C454" s="16" t="s">
        <v>29</v>
      </c>
      <c r="D454" s="17">
        <v>24</v>
      </c>
      <c r="E454" s="18">
        <f ca="1">IFERROR(__xludf.DUMMYFUNCTION("COUNT(IMPORTRANGE(""https://docs.google.com/spreadsheets/d/1ja_RQYsP0p5wRrACHojay4CW1wLx0QdS5tSwp-vYQ-s/edit"",""17!d2:d31""))"),19)</f>
        <v>19</v>
      </c>
      <c r="F454" s="23">
        <f ca="1">IFERROR(__xludf.DUMMYFUNCTION("SUM(IMPORTRANGE(""https://docs.google.com/spreadsheets/d/1ja_RQYsP0p5wRrACHojay4CW1wLx0QdS5tSwp-vYQ-s/edit"",""17!Q2:Q31""))"),1006.65799999999)</f>
        <v>1006.65799999999</v>
      </c>
      <c r="G454" s="18">
        <f ca="1">IFERROR(__xludf.DUMMYFUNCTION("IMPORTRANGE(""https://docs.google.com/spreadsheets/d/1ja_RQYsP0p5wRrACHojay4CW1wLx0QdS5tSwp-vYQ-s/edit"",""17!e38"")"),526)</f>
        <v>526</v>
      </c>
      <c r="H454" s="18">
        <f ca="1">IFERROR(__xludf.DUMMYFUNCTION("IMPORTRANGE(""https://docs.google.com/spreadsheets/d/1ja_RQYsP0p5wRrACHojay4CW1wLx0QdS5tSwp-vYQ-s/edit"",""17!e39"")"),0)</f>
        <v>0</v>
      </c>
      <c r="I454" s="18">
        <f t="shared" ca="1" si="1212"/>
        <v>526</v>
      </c>
      <c r="J454" s="18">
        <f ca="1">IFERROR(__xludf.DUMMYFUNCTION("IMPORTRANGE(""https://docs.google.com/spreadsheets/d/1ja_RQYsP0p5wRrACHojay4CW1wLx0QdS5tSwp-vYQ-s/edit"",""17!e42"")"),0)</f>
        <v>0</v>
      </c>
      <c r="K454" s="18">
        <f ca="1">IFERROR(__xludf.DUMMYFUNCTION("IMPORTRANGE(""https://docs.google.com/spreadsheets/d/1ja_RQYsP0p5wRrACHojay4CW1wLx0QdS5tSwp-vYQ-s/edit"",""17!e43"")"),0)</f>
        <v>0</v>
      </c>
      <c r="L454" s="18">
        <f t="shared" ca="1" si="1242"/>
        <v>0</v>
      </c>
      <c r="M454" s="18">
        <f t="shared" ca="1" si="1214"/>
        <v>526</v>
      </c>
      <c r="N454" s="19">
        <f t="shared" ca="1" si="1215"/>
        <v>52.981999999999474</v>
      </c>
      <c r="O454" s="16">
        <v>9201</v>
      </c>
      <c r="P454" s="20">
        <f t="shared" ca="1" si="1216"/>
        <v>5.7167699163134439E-2</v>
      </c>
      <c r="Q454" s="21">
        <v>1.5</v>
      </c>
      <c r="R454" s="20">
        <f t="shared" ca="1" si="1217"/>
        <v>0.34834736987802223</v>
      </c>
      <c r="S454" s="22">
        <f t="shared" ca="1" si="1218"/>
        <v>0.52252105481703337</v>
      </c>
      <c r="T454" s="21">
        <f ca="1">F454/26.491</f>
        <v>37.999999999999623</v>
      </c>
      <c r="U454" s="21">
        <f t="shared" ca="1" si="1219"/>
        <v>1.9999999999999802</v>
      </c>
      <c r="V454" s="18">
        <f t="shared" ca="1" si="1220"/>
        <v>27.684210526315791</v>
      </c>
      <c r="W454" s="76"/>
      <c r="X454" s="8">
        <v>2</v>
      </c>
      <c r="Y454" s="8" t="s">
        <v>32</v>
      </c>
      <c r="Z454" s="8">
        <f t="shared" ref="Z454:AI454" si="1261">SUM(D441)</f>
        <v>33</v>
      </c>
      <c r="AA454" s="9">
        <f t="shared" ca="1" si="1261"/>
        <v>31</v>
      </c>
      <c r="AB454" s="10">
        <f t="shared" ca="1" si="1261"/>
        <v>6185.5129999999899</v>
      </c>
      <c r="AC454" s="8">
        <f t="shared" ca="1" si="1261"/>
        <v>2571</v>
      </c>
      <c r="AD454" s="8">
        <f t="shared" ca="1" si="1261"/>
        <v>0</v>
      </c>
      <c r="AE454" s="9">
        <f t="shared" ca="1" si="1261"/>
        <v>2571</v>
      </c>
      <c r="AF454" s="8">
        <f t="shared" ca="1" si="1261"/>
        <v>3195</v>
      </c>
      <c r="AG454" s="8">
        <f t="shared" ca="1" si="1261"/>
        <v>0</v>
      </c>
      <c r="AH454" s="9">
        <f t="shared" ca="1" si="1261"/>
        <v>3195</v>
      </c>
      <c r="AI454" s="9">
        <f t="shared" ca="1" si="1261"/>
        <v>5766</v>
      </c>
      <c r="AJ454" s="11">
        <f t="shared" ca="1" si="1255"/>
        <v>199.53267741935451</v>
      </c>
      <c r="AK454" s="8">
        <f>SUM(O441)</f>
        <v>13817</v>
      </c>
      <c r="AL454" s="12">
        <f t="shared" ca="1" si="1256"/>
        <v>0.41731200694796267</v>
      </c>
      <c r="AM454" s="13">
        <f>SUM(Q441)</f>
        <v>1.5</v>
      </c>
      <c r="AN454" s="12">
        <f t="shared" ca="1" si="1257"/>
        <v>0.6214520929791929</v>
      </c>
      <c r="AO454" s="14">
        <f t="shared" ca="1" si="1258"/>
        <v>0.93217813946878936</v>
      </c>
      <c r="AP454" s="13">
        <f t="shared" ref="AP454:AQ454" ca="1" si="1262">SUM(T441)</f>
        <v>246.54282753397865</v>
      </c>
      <c r="AQ454" s="13">
        <f t="shared" ca="1" si="1262"/>
        <v>7.9529944365799565</v>
      </c>
      <c r="AR454" s="9">
        <f t="shared" ca="1" si="1260"/>
        <v>186</v>
      </c>
      <c r="AS454" s="76"/>
      <c r="AT454" s="76"/>
    </row>
    <row r="455" spans="1:46" ht="15.75" customHeight="1" x14ac:dyDescent="0.25">
      <c r="A455" s="70"/>
      <c r="B455" s="16">
        <v>18</v>
      </c>
      <c r="C455" s="16" t="s">
        <v>31</v>
      </c>
      <c r="D455" s="17">
        <v>12</v>
      </c>
      <c r="E455" s="18">
        <f ca="1">IFERROR(__xludf.DUMMYFUNCTION("COUNT(IMPORTRANGE(""https://docs.google.com/spreadsheets/d/1ObnK1oSznTOmyW9Zcd2kxExl7TOnO2MNq_0giEKc_mE/edit"",""17!d2:d16""))"),11)</f>
        <v>11</v>
      </c>
      <c r="F455" s="19">
        <f ca="1">IFERROR(__xludf.DUMMYFUNCTION("SUM(IMPORTRANGE(""https://docs.google.com/spreadsheets/d/1ObnK1oSznTOmyW9Zcd2kxExl7TOnO2MNq_0giEKc_mE/edit"",""17!Q2:Q16""))"),2216.715)</f>
        <v>2216.7150000000001</v>
      </c>
      <c r="G455" s="18">
        <f ca="1">IFERROR(__xludf.DUMMYFUNCTION("IMPORTRANGE(""https://docs.google.com/spreadsheets/d/1ObnK1oSznTOmyW9Zcd2kxExl7TOnO2MNq_0giEKc_mE/edit"",""17!e23"")"),299)</f>
        <v>299</v>
      </c>
      <c r="H455" s="18">
        <f ca="1">IFERROR(__xludf.DUMMYFUNCTION("IMPORTRANGE(""https://docs.google.com/spreadsheets/d/1ObnK1oSznTOmyW9Zcd2kxExl7TOnO2MNq_0giEKc_mE/edit"",""17!e24"")"),0)</f>
        <v>0</v>
      </c>
      <c r="I455" s="18">
        <f t="shared" ca="1" si="1212"/>
        <v>299</v>
      </c>
      <c r="J455" s="18">
        <f ca="1">IFERROR(__xludf.DUMMYFUNCTION("IMPORTRANGE(""https://docs.google.com/spreadsheets/d/1ObnK1oSznTOmyW9Zcd2kxExl7TOnO2MNq_0giEKc_mE/edit"",""17!e27"")"),582)</f>
        <v>582</v>
      </c>
      <c r="K455" s="18">
        <f ca="1">IFERROR(__xludf.DUMMYFUNCTION("IMPORTRANGE(""https://docs.google.com/spreadsheets/d/1ObnK1oSznTOmyW9Zcd2kxExl7TOnO2MNq_0giEKc_mE/edit"",""17!e28"")"),0)</f>
        <v>0</v>
      </c>
      <c r="L455" s="18">
        <f t="shared" ca="1" si="1242"/>
        <v>582</v>
      </c>
      <c r="M455" s="18">
        <f t="shared" ca="1" si="1214"/>
        <v>881</v>
      </c>
      <c r="N455" s="19">
        <f t="shared" ca="1" si="1215"/>
        <v>201.51954545454547</v>
      </c>
      <c r="O455" s="16">
        <v>2717</v>
      </c>
      <c r="P455" s="20">
        <f t="shared" ca="1" si="1216"/>
        <v>0.3242546926757453</v>
      </c>
      <c r="Q455" s="21">
        <v>1.5</v>
      </c>
      <c r="R455" s="20">
        <f t="shared" ca="1" si="1217"/>
        <v>0.26495662876523746</v>
      </c>
      <c r="S455" s="22">
        <f t="shared" ca="1" si="1218"/>
        <v>0.39743494314785616</v>
      </c>
      <c r="T455" s="21">
        <f ca="1">F455/43.465</f>
        <v>51</v>
      </c>
      <c r="U455" s="21">
        <f t="shared" ca="1" si="1219"/>
        <v>4.6363636363636367</v>
      </c>
      <c r="V455" s="18">
        <f t="shared" ca="1" si="1220"/>
        <v>80.090909090909093</v>
      </c>
      <c r="W455" s="76"/>
      <c r="X455" s="8">
        <v>3</v>
      </c>
      <c r="Y455" s="8" t="s">
        <v>36</v>
      </c>
      <c r="Z455" s="8">
        <f t="shared" ref="Z455:AI455" si="1263">SUM(D446)</f>
        <v>23</v>
      </c>
      <c r="AA455" s="9">
        <f t="shared" ca="1" si="1263"/>
        <v>23</v>
      </c>
      <c r="AB455" s="10">
        <f t="shared" ca="1" si="1263"/>
        <v>4595.5379999999996</v>
      </c>
      <c r="AC455" s="9">
        <f t="shared" ca="1" si="1263"/>
        <v>870</v>
      </c>
      <c r="AD455" s="9">
        <f t="shared" ca="1" si="1263"/>
        <v>0</v>
      </c>
      <c r="AE455" s="9">
        <f t="shared" ca="1" si="1263"/>
        <v>870</v>
      </c>
      <c r="AF455" s="9">
        <f t="shared" ca="1" si="1263"/>
        <v>1295</v>
      </c>
      <c r="AG455" s="9">
        <f t="shared" ca="1" si="1263"/>
        <v>0</v>
      </c>
      <c r="AH455" s="9">
        <f t="shared" ca="1" si="1263"/>
        <v>1295</v>
      </c>
      <c r="AI455" s="9">
        <f t="shared" ca="1" si="1263"/>
        <v>2165</v>
      </c>
      <c r="AJ455" s="11">
        <f t="shared" ca="1" si="1255"/>
        <v>199.80599999999998</v>
      </c>
      <c r="AK455" s="8">
        <f t="shared" ref="AK455:AK458" si="1264">SUM(O446)</f>
        <v>4796</v>
      </c>
      <c r="AL455" s="12">
        <f t="shared" ca="1" si="1256"/>
        <v>0.45141784820683906</v>
      </c>
      <c r="AM455" s="13">
        <f t="shared" ref="AM455:AM458" si="1265">SUM(Q446)</f>
        <v>1.5</v>
      </c>
      <c r="AN455" s="12">
        <f t="shared" ca="1" si="1257"/>
        <v>0.31407276652555882</v>
      </c>
      <c r="AO455" s="14">
        <f t="shared" ca="1" si="1258"/>
        <v>0.47110914978833823</v>
      </c>
      <c r="AP455" s="13">
        <f t="shared" ref="AP455:AQ455" ca="1" si="1266">SUM(T446)</f>
        <v>122.82936868551877</v>
      </c>
      <c r="AQ455" s="13">
        <f t="shared" ca="1" si="1266"/>
        <v>5.3404073341529905</v>
      </c>
      <c r="AR455" s="9">
        <f t="shared" ca="1" si="1260"/>
        <v>94.130434782608702</v>
      </c>
      <c r="AS455" s="76"/>
      <c r="AT455" s="76"/>
    </row>
    <row r="456" spans="1:46" ht="15.75" customHeight="1" x14ac:dyDescent="0.2">
      <c r="A456" s="70"/>
      <c r="B456" s="98" t="s">
        <v>33</v>
      </c>
      <c r="C456" s="98">
        <v>18</v>
      </c>
      <c r="D456" s="98">
        <f t="shared" ref="D456:M456" si="1267">SUM(D438:D455)</f>
        <v>470</v>
      </c>
      <c r="E456" s="74">
        <f t="shared" ca="1" si="1267"/>
        <v>312</v>
      </c>
      <c r="F456" s="99">
        <f t="shared" ca="1" si="1267"/>
        <v>55709.07799999995</v>
      </c>
      <c r="G456" s="74">
        <f t="shared" ca="1" si="1267"/>
        <v>15134</v>
      </c>
      <c r="H456" s="74">
        <f t="shared" ca="1" si="1267"/>
        <v>41</v>
      </c>
      <c r="I456" s="74">
        <f t="shared" ca="1" si="1267"/>
        <v>15175</v>
      </c>
      <c r="J456" s="74">
        <f t="shared" ca="1" si="1267"/>
        <v>16125</v>
      </c>
      <c r="K456" s="74">
        <f t="shared" ca="1" si="1267"/>
        <v>202</v>
      </c>
      <c r="L456" s="74">
        <f t="shared" ca="1" si="1267"/>
        <v>16327</v>
      </c>
      <c r="M456" s="74">
        <f t="shared" ca="1" si="1267"/>
        <v>31502</v>
      </c>
      <c r="N456" s="99">
        <f t="shared" ca="1" si="1215"/>
        <v>178.55473717948703</v>
      </c>
      <c r="O456" s="98">
        <f>SUM(O438:O455)</f>
        <v>126399</v>
      </c>
      <c r="P456" s="69">
        <f t="shared" ca="1" si="1216"/>
        <v>0.24922665527417148</v>
      </c>
      <c r="Q456" s="72">
        <v>1.5</v>
      </c>
      <c r="R456" s="69">
        <f t="shared" ca="1" si="1217"/>
        <v>0.37698224575415429</v>
      </c>
      <c r="S456" s="73">
        <f t="shared" ca="1" si="1218"/>
        <v>0.56547336863123143</v>
      </c>
      <c r="T456" s="72">
        <f ca="1">SUM(T438:T455)</f>
        <v>1941.2998158271814</v>
      </c>
      <c r="U456" s="72">
        <f t="shared" ca="1" si="1219"/>
        <v>6.2221147943178892</v>
      </c>
      <c r="V456" s="74">
        <f t="shared" ca="1" si="1220"/>
        <v>100.96794871794872</v>
      </c>
      <c r="W456" s="76"/>
      <c r="X456" s="8">
        <v>4</v>
      </c>
      <c r="Y456" s="8" t="s">
        <v>37</v>
      </c>
      <c r="Z456" s="8">
        <f t="shared" ref="Z456:AI456" si="1268">SUM(D447)</f>
        <v>24</v>
      </c>
      <c r="AA456" s="9">
        <f t="shared" ca="1" si="1268"/>
        <v>1</v>
      </c>
      <c r="AB456" s="10">
        <f t="shared" ca="1" si="1268"/>
        <v>13.481999999999999</v>
      </c>
      <c r="AC456" s="9">
        <f t="shared" ca="1" si="1268"/>
        <v>14</v>
      </c>
      <c r="AD456" s="9">
        <f t="shared" ca="1" si="1268"/>
        <v>0</v>
      </c>
      <c r="AE456" s="9">
        <f t="shared" ca="1" si="1268"/>
        <v>14</v>
      </c>
      <c r="AF456" s="9">
        <f t="shared" ca="1" si="1268"/>
        <v>0</v>
      </c>
      <c r="AG456" s="9">
        <f t="shared" ca="1" si="1268"/>
        <v>0</v>
      </c>
      <c r="AH456" s="9">
        <f t="shared" ca="1" si="1268"/>
        <v>0</v>
      </c>
      <c r="AI456" s="9">
        <f t="shared" ca="1" si="1268"/>
        <v>14</v>
      </c>
      <c r="AJ456" s="11">
        <f t="shared" ca="1" si="1255"/>
        <v>13.481999999999999</v>
      </c>
      <c r="AK456" s="8">
        <f t="shared" si="1264"/>
        <v>5887</v>
      </c>
      <c r="AL456" s="12">
        <f t="shared" ca="1" si="1256"/>
        <v>2.3781212841854932E-3</v>
      </c>
      <c r="AM456" s="13">
        <f t="shared" si="1265"/>
        <v>1.5</v>
      </c>
      <c r="AN456" s="12">
        <f t="shared" ca="1" si="1257"/>
        <v>0.69228106611284179</v>
      </c>
      <c r="AO456" s="14">
        <f t="shared" ca="1" si="1258"/>
        <v>1.0384215991692627</v>
      </c>
      <c r="AP456" s="13">
        <f t="shared" ref="AP456:AQ456" ca="1" si="1269">SUM(T447)</f>
        <v>0.54380445304937075</v>
      </c>
      <c r="AQ456" s="13">
        <f t="shared" ca="1" si="1269"/>
        <v>0.54380445304937075</v>
      </c>
      <c r="AR456" s="9">
        <f t="shared" ca="1" si="1260"/>
        <v>14</v>
      </c>
      <c r="AS456" s="76"/>
      <c r="AT456" s="76"/>
    </row>
    <row r="457" spans="1:46" ht="15.75" customHeight="1" x14ac:dyDescent="0.2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6"/>
      <c r="X457" s="8">
        <v>5</v>
      </c>
      <c r="Y457" s="8" t="s">
        <v>39</v>
      </c>
      <c r="Z457" s="8">
        <f t="shared" ref="Z457:AI457" si="1270">SUM(D448)</f>
        <v>22</v>
      </c>
      <c r="AA457" s="9">
        <f t="shared" ca="1" si="1270"/>
        <v>21</v>
      </c>
      <c r="AB457" s="10">
        <f t="shared" ca="1" si="1270"/>
        <v>4028.8599999999901</v>
      </c>
      <c r="AC457" s="9">
        <f t="shared" ca="1" si="1270"/>
        <v>817</v>
      </c>
      <c r="AD457" s="9">
        <f t="shared" ca="1" si="1270"/>
        <v>0</v>
      </c>
      <c r="AE457" s="9">
        <f t="shared" ca="1" si="1270"/>
        <v>817</v>
      </c>
      <c r="AF457" s="9">
        <f t="shared" ca="1" si="1270"/>
        <v>1434</v>
      </c>
      <c r="AG457" s="9">
        <f t="shared" ca="1" si="1270"/>
        <v>0</v>
      </c>
      <c r="AH457" s="9">
        <f t="shared" ca="1" si="1270"/>
        <v>1434</v>
      </c>
      <c r="AI457" s="9">
        <f t="shared" ca="1" si="1270"/>
        <v>2251</v>
      </c>
      <c r="AJ457" s="11">
        <f t="shared" ca="1" si="1255"/>
        <v>191.85047619047572</v>
      </c>
      <c r="AK457" s="8">
        <f t="shared" si="1264"/>
        <v>3569</v>
      </c>
      <c r="AL457" s="12">
        <f t="shared" ca="1" si="1256"/>
        <v>0.63070888203978703</v>
      </c>
      <c r="AM457" s="13">
        <f t="shared" si="1265"/>
        <v>1.5</v>
      </c>
      <c r="AN457" s="12">
        <f t="shared" ca="1" si="1257"/>
        <v>0.37247922902922176</v>
      </c>
      <c r="AO457" s="14">
        <f t="shared" ca="1" si="1258"/>
        <v>0.55871884354383261</v>
      </c>
      <c r="AP457" s="13">
        <f t="shared" ref="AP457:AQ457" ca="1" si="1271">SUM(T448)</f>
        <v>187.71187625215441</v>
      </c>
      <c r="AQ457" s="13">
        <f t="shared" ca="1" si="1271"/>
        <v>8.9386607739121153</v>
      </c>
      <c r="AR457" s="9">
        <f t="shared" ca="1" si="1260"/>
        <v>107.19047619047619</v>
      </c>
      <c r="AS457" s="76"/>
      <c r="AT457" s="76"/>
    </row>
    <row r="458" spans="1:46" ht="15.75" customHeight="1" x14ac:dyDescent="0.2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6"/>
      <c r="X458" s="8">
        <v>6</v>
      </c>
      <c r="Y458" s="8" t="s">
        <v>41</v>
      </c>
      <c r="Z458" s="8">
        <f t="shared" ref="Z458:AI458" si="1272">SUM(D449)</f>
        <v>20</v>
      </c>
      <c r="AA458" s="9">
        <f t="shared" ca="1" si="1272"/>
        <v>20</v>
      </c>
      <c r="AB458" s="10">
        <f t="shared" ca="1" si="1272"/>
        <v>3815.4279999999999</v>
      </c>
      <c r="AC458" s="9">
        <f t="shared" ca="1" si="1272"/>
        <v>699</v>
      </c>
      <c r="AD458" s="9">
        <f t="shared" ca="1" si="1272"/>
        <v>0</v>
      </c>
      <c r="AE458" s="9">
        <f t="shared" ca="1" si="1272"/>
        <v>699</v>
      </c>
      <c r="AF458" s="9">
        <f t="shared" ca="1" si="1272"/>
        <v>894</v>
      </c>
      <c r="AG458" s="9">
        <f t="shared" ca="1" si="1272"/>
        <v>0</v>
      </c>
      <c r="AH458" s="9">
        <f t="shared" ca="1" si="1272"/>
        <v>894</v>
      </c>
      <c r="AI458" s="9">
        <f t="shared" ca="1" si="1272"/>
        <v>1593</v>
      </c>
      <c r="AJ458" s="11">
        <f t="shared" ca="1" si="1255"/>
        <v>190.7714</v>
      </c>
      <c r="AK458" s="8">
        <f t="shared" si="1264"/>
        <v>3801</v>
      </c>
      <c r="AL458" s="12">
        <f t="shared" ca="1" si="1256"/>
        <v>0.4191002367797948</v>
      </c>
      <c r="AM458" s="13">
        <f t="shared" si="1265"/>
        <v>1.5</v>
      </c>
      <c r="AN458" s="12">
        <f t="shared" ca="1" si="1257"/>
        <v>0.27834360915734752</v>
      </c>
      <c r="AO458" s="14">
        <f t="shared" ca="1" si="1258"/>
        <v>0.41751541373602125</v>
      </c>
      <c r="AP458" s="13">
        <f t="shared" ref="AP458:AQ458" ca="1" si="1273">SUM(T449)</f>
        <v>128.77777777777777</v>
      </c>
      <c r="AQ458" s="13">
        <f t="shared" ca="1" si="1273"/>
        <v>6.4388888888888882</v>
      </c>
      <c r="AR458" s="9">
        <f t="shared" ca="1" si="1260"/>
        <v>79.650000000000006</v>
      </c>
      <c r="AS458" s="76"/>
      <c r="AT458" s="76"/>
    </row>
    <row r="459" spans="1:46" ht="15.75" customHeight="1" x14ac:dyDescent="0.25">
      <c r="A459" s="110" t="s">
        <v>45</v>
      </c>
      <c r="B459" s="76"/>
      <c r="C459" s="76"/>
      <c r="D459" s="75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24" t="s">
        <v>33</v>
      </c>
      <c r="Y459" s="24">
        <v>6</v>
      </c>
      <c r="Z459" s="24">
        <f t="shared" ref="Z459:AI459" si="1274">SUM(Z453:Z458)</f>
        <v>138</v>
      </c>
      <c r="AA459" s="25">
        <f t="shared" ca="1" si="1274"/>
        <v>96</v>
      </c>
      <c r="AB459" s="27">
        <f t="shared" ca="1" si="1274"/>
        <v>18638.820999999978</v>
      </c>
      <c r="AC459" s="25">
        <f t="shared" ca="1" si="1274"/>
        <v>4971</v>
      </c>
      <c r="AD459" s="25">
        <f t="shared" ca="1" si="1274"/>
        <v>0</v>
      </c>
      <c r="AE459" s="25">
        <f t="shared" ca="1" si="1274"/>
        <v>4971</v>
      </c>
      <c r="AF459" s="25">
        <f t="shared" ca="1" si="1274"/>
        <v>6818</v>
      </c>
      <c r="AG459" s="25">
        <f t="shared" ca="1" si="1274"/>
        <v>0</v>
      </c>
      <c r="AH459" s="25">
        <f t="shared" ca="1" si="1274"/>
        <v>6818</v>
      </c>
      <c r="AI459" s="25">
        <f t="shared" ca="1" si="1274"/>
        <v>11789</v>
      </c>
      <c r="AJ459" s="27">
        <f t="shared" ca="1" si="1255"/>
        <v>194.15438541666643</v>
      </c>
      <c r="AK459" s="24">
        <f>SUM(AK453:AK458)</f>
        <v>37031</v>
      </c>
      <c r="AL459" s="28">
        <f t="shared" ca="1" si="1256"/>
        <v>0.31835489184737115</v>
      </c>
      <c r="AM459" s="29">
        <v>1.5</v>
      </c>
      <c r="AN459" s="28">
        <f t="shared" ca="1" si="1257"/>
        <v>0.4216647251096699</v>
      </c>
      <c r="AO459" s="30">
        <f t="shared" ca="1" si="1258"/>
        <v>0.63249708766450485</v>
      </c>
      <c r="AP459" s="29">
        <f ca="1">SUM(AP453:AP458)</f>
        <v>686.40565470247907</v>
      </c>
      <c r="AQ459" s="29">
        <f ca="1">AP459/AA459</f>
        <v>7.1500589031508239</v>
      </c>
      <c r="AR459" s="25">
        <f t="shared" ca="1" si="1260"/>
        <v>122.80208333333333</v>
      </c>
      <c r="AS459" s="76"/>
      <c r="AT459" s="76"/>
    </row>
    <row r="460" spans="1:46" ht="15.75" customHeight="1" x14ac:dyDescent="0.2">
      <c r="A460" s="110" t="s">
        <v>45</v>
      </c>
      <c r="B460" s="76"/>
      <c r="C460" s="76"/>
      <c r="D460" s="75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7" t="s">
        <v>1</v>
      </c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9"/>
      <c r="AS460" s="76"/>
      <c r="AT460" s="76"/>
    </row>
    <row r="461" spans="1:46" ht="15.75" customHeight="1" x14ac:dyDescent="0.2">
      <c r="A461" s="109">
        <v>46252</v>
      </c>
      <c r="B461" s="80" t="s">
        <v>2</v>
      </c>
      <c r="C461" s="80" t="s">
        <v>3</v>
      </c>
      <c r="D461" s="80" t="s">
        <v>4</v>
      </c>
      <c r="E461" s="80" t="s">
        <v>5</v>
      </c>
      <c r="F461" s="81" t="s">
        <v>6</v>
      </c>
      <c r="G461" s="80" t="s">
        <v>7</v>
      </c>
      <c r="H461" s="80" t="s">
        <v>8</v>
      </c>
      <c r="I461" s="80" t="s">
        <v>9</v>
      </c>
      <c r="J461" s="80" t="s">
        <v>10</v>
      </c>
      <c r="K461" s="80" t="s">
        <v>11</v>
      </c>
      <c r="L461" s="80" t="s">
        <v>12</v>
      </c>
      <c r="M461" s="80" t="s">
        <v>13</v>
      </c>
      <c r="N461" s="81" t="s">
        <v>14</v>
      </c>
      <c r="O461" s="80" t="s">
        <v>15</v>
      </c>
      <c r="P461" s="80" t="s">
        <v>16</v>
      </c>
      <c r="Q461" s="80" t="s">
        <v>17</v>
      </c>
      <c r="R461" s="80" t="s">
        <v>18</v>
      </c>
      <c r="S461" s="106" t="s">
        <v>19</v>
      </c>
      <c r="T461" s="107" t="s">
        <v>20</v>
      </c>
      <c r="U461" s="107" t="s">
        <v>21</v>
      </c>
      <c r="V461" s="105" t="s">
        <v>22</v>
      </c>
      <c r="W461" s="76"/>
      <c r="X461" s="1" t="s">
        <v>2</v>
      </c>
      <c r="Y461" s="1" t="s">
        <v>3</v>
      </c>
      <c r="Z461" s="1" t="s">
        <v>4</v>
      </c>
      <c r="AA461" s="1" t="s">
        <v>5</v>
      </c>
      <c r="AB461" s="2" t="s">
        <v>6</v>
      </c>
      <c r="AC461" s="1" t="s">
        <v>7</v>
      </c>
      <c r="AD461" s="1" t="s">
        <v>8</v>
      </c>
      <c r="AE461" s="1" t="s">
        <v>9</v>
      </c>
      <c r="AF461" s="1" t="s">
        <v>10</v>
      </c>
      <c r="AG461" s="1" t="s">
        <v>11</v>
      </c>
      <c r="AH461" s="1" t="s">
        <v>12</v>
      </c>
      <c r="AI461" s="1" t="s">
        <v>13</v>
      </c>
      <c r="AJ461" s="2" t="s">
        <v>14</v>
      </c>
      <c r="AK461" s="1" t="s">
        <v>15</v>
      </c>
      <c r="AL461" s="1" t="s">
        <v>16</v>
      </c>
      <c r="AM461" s="3" t="s">
        <v>17</v>
      </c>
      <c r="AN461" s="4" t="s">
        <v>18</v>
      </c>
      <c r="AO461" s="5" t="s">
        <v>19</v>
      </c>
      <c r="AP461" s="6" t="s">
        <v>20</v>
      </c>
      <c r="AQ461" s="6" t="s">
        <v>21</v>
      </c>
      <c r="AR461" s="7" t="s">
        <v>22</v>
      </c>
      <c r="AS461" s="76"/>
      <c r="AT461" s="76"/>
    </row>
    <row r="462" spans="1:46" ht="15.75" customHeight="1" x14ac:dyDescent="0.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6"/>
      <c r="X462" s="8">
        <v>1</v>
      </c>
      <c r="Y462" s="8" t="s">
        <v>23</v>
      </c>
      <c r="Z462" s="8">
        <f t="shared" ref="Z462:AI462" si="1275">SUM(D470)</f>
        <v>35</v>
      </c>
      <c r="AA462" s="9">
        <f t="shared" ca="1" si="1275"/>
        <v>32</v>
      </c>
      <c r="AB462" s="10">
        <f t="shared" ca="1" si="1275"/>
        <v>6275.6399999999903</v>
      </c>
      <c r="AC462" s="9">
        <f t="shared" ca="1" si="1275"/>
        <v>1898</v>
      </c>
      <c r="AD462" s="9">
        <f t="shared" ca="1" si="1275"/>
        <v>0</v>
      </c>
      <c r="AE462" s="9">
        <f t="shared" ca="1" si="1275"/>
        <v>1898</v>
      </c>
      <c r="AF462" s="9">
        <f t="shared" ca="1" si="1275"/>
        <v>2915</v>
      </c>
      <c r="AG462" s="9">
        <f t="shared" ca="1" si="1275"/>
        <v>0</v>
      </c>
      <c r="AH462" s="9">
        <f t="shared" ca="1" si="1275"/>
        <v>2915</v>
      </c>
      <c r="AI462" s="9">
        <f t="shared" ca="1" si="1275"/>
        <v>4813</v>
      </c>
      <c r="AJ462" s="11">
        <f t="shared" ref="AJ462:AJ464" ca="1" si="1276">AB462/AA462</f>
        <v>196.1137499999997</v>
      </c>
      <c r="AK462" s="8">
        <f>SUM(O470)</f>
        <v>6853</v>
      </c>
      <c r="AL462" s="12">
        <f t="shared" ref="AL462:AL468" ca="1" si="1277">AI462/AK462</f>
        <v>0.70232015175835405</v>
      </c>
      <c r="AM462" s="13">
        <f t="shared" ref="AM462:AM464" si="1278">SUM(Q470)</f>
        <v>1.5</v>
      </c>
      <c r="AN462" s="12">
        <f t="shared" ref="AN462:AN468" ca="1" si="1279">AO462/AM462</f>
        <v>0.51128915404112918</v>
      </c>
      <c r="AO462" s="14">
        <f t="shared" ref="AO462:AO468" ca="1" si="1280">AI462/AB462</f>
        <v>0.76693373106169371</v>
      </c>
      <c r="AP462" s="13">
        <f t="shared" ref="AP462:AQ462" ca="1" si="1281">SUM(T470)</f>
        <v>185.99999999999972</v>
      </c>
      <c r="AQ462" s="13">
        <f t="shared" ca="1" si="1281"/>
        <v>5.8124999999999911</v>
      </c>
      <c r="AR462" s="9">
        <f t="shared" ref="AR462:AR468" ca="1" si="1282">AI462/AA462</f>
        <v>150.40625</v>
      </c>
      <c r="AS462" s="76"/>
      <c r="AT462" s="76"/>
    </row>
    <row r="463" spans="1:46" ht="15.75" customHeight="1" x14ac:dyDescent="0.2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6"/>
      <c r="X463" s="8">
        <v>2</v>
      </c>
      <c r="Y463" s="8" t="s">
        <v>24</v>
      </c>
      <c r="Z463" s="8">
        <f t="shared" ref="Z463:AI463" si="1283">SUM(D471)</f>
        <v>44</v>
      </c>
      <c r="AA463" s="9">
        <f t="shared" ca="1" si="1283"/>
        <v>43</v>
      </c>
      <c r="AB463" s="10">
        <f t="shared" ca="1" si="1283"/>
        <v>8175.1679999999897</v>
      </c>
      <c r="AC463" s="9">
        <f t="shared" ca="1" si="1283"/>
        <v>1057</v>
      </c>
      <c r="AD463" s="9">
        <f t="shared" ca="1" si="1283"/>
        <v>0</v>
      </c>
      <c r="AE463" s="9">
        <f t="shared" ca="1" si="1283"/>
        <v>1057</v>
      </c>
      <c r="AF463" s="9">
        <f t="shared" ca="1" si="1283"/>
        <v>1503</v>
      </c>
      <c r="AG463" s="9">
        <f t="shared" ca="1" si="1283"/>
        <v>0</v>
      </c>
      <c r="AH463" s="9">
        <f t="shared" ca="1" si="1283"/>
        <v>1503</v>
      </c>
      <c r="AI463" s="9">
        <f t="shared" ca="1" si="1283"/>
        <v>2560</v>
      </c>
      <c r="AJ463" s="11">
        <f t="shared" ca="1" si="1276"/>
        <v>190.12018604651138</v>
      </c>
      <c r="AK463" s="8">
        <v>1580</v>
      </c>
      <c r="AL463" s="15">
        <f t="shared" ca="1" si="1277"/>
        <v>1.620253164556962</v>
      </c>
      <c r="AM463" s="13">
        <f t="shared" si="1278"/>
        <v>1.5</v>
      </c>
      <c r="AN463" s="12">
        <f t="shared" ca="1" si="1279"/>
        <v>0.20876227456936283</v>
      </c>
      <c r="AO463" s="14">
        <f t="shared" ca="1" si="1280"/>
        <v>0.31314341185404426</v>
      </c>
      <c r="AP463" s="13">
        <f t="shared" ref="AP463:AQ463" ca="1" si="1284">SUM(T471)</f>
        <v>304.98668158925534</v>
      </c>
      <c r="AQ463" s="13">
        <f t="shared" ca="1" si="1284"/>
        <v>7.0927135253315194</v>
      </c>
      <c r="AR463" s="9">
        <f t="shared" ca="1" si="1282"/>
        <v>59.534883720930232</v>
      </c>
      <c r="AS463" s="76"/>
      <c r="AT463" s="76"/>
    </row>
    <row r="464" spans="1:46" ht="15.75" customHeight="1" x14ac:dyDescent="0.2">
      <c r="A464" s="70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6"/>
      <c r="X464" s="8">
        <v>3</v>
      </c>
      <c r="Y464" s="8" t="s">
        <v>25</v>
      </c>
      <c r="Z464" s="8">
        <f t="shared" ref="Z464:AI464" si="1285">SUM(D472)</f>
        <v>32</v>
      </c>
      <c r="AA464" s="9">
        <f t="shared" ca="1" si="1285"/>
        <v>29</v>
      </c>
      <c r="AB464" s="10">
        <f t="shared" ca="1" si="1285"/>
        <v>5138.4040000000005</v>
      </c>
      <c r="AC464" s="9">
        <f t="shared" ca="1" si="1285"/>
        <v>2082</v>
      </c>
      <c r="AD464" s="9">
        <f t="shared" ca="1" si="1285"/>
        <v>187</v>
      </c>
      <c r="AE464" s="9">
        <f t="shared" ca="1" si="1285"/>
        <v>2269</v>
      </c>
      <c r="AF464" s="9">
        <f t="shared" ca="1" si="1285"/>
        <v>2494</v>
      </c>
      <c r="AG464" s="9">
        <f t="shared" ca="1" si="1285"/>
        <v>431</v>
      </c>
      <c r="AH464" s="9">
        <f t="shared" ca="1" si="1285"/>
        <v>2925</v>
      </c>
      <c r="AI464" s="9">
        <f t="shared" ca="1" si="1285"/>
        <v>5194</v>
      </c>
      <c r="AJ464" s="11">
        <f t="shared" ca="1" si="1276"/>
        <v>177.18634482758623</v>
      </c>
      <c r="AK464" s="8">
        <f>SUM(O472)</f>
        <v>6622</v>
      </c>
      <c r="AL464" s="12">
        <f t="shared" ca="1" si="1277"/>
        <v>0.78435517970401691</v>
      </c>
      <c r="AM464" s="13">
        <f t="shared" si="1278"/>
        <v>1.5</v>
      </c>
      <c r="AN464" s="12">
        <f t="shared" ca="1" si="1279"/>
        <v>0.67387980132871339</v>
      </c>
      <c r="AO464" s="14">
        <f t="shared" ca="1" si="1280"/>
        <v>1.01081970199307</v>
      </c>
      <c r="AP464" s="13">
        <f t="shared" ref="AP464:AQ464" ca="1" si="1286">SUM(T472)</f>
        <v>215.53708053691278</v>
      </c>
      <c r="AQ464" s="13">
        <f t="shared" ca="1" si="1286"/>
        <v>7.43231312196251</v>
      </c>
      <c r="AR464" s="9">
        <f t="shared" ca="1" si="1282"/>
        <v>179.10344827586206</v>
      </c>
      <c r="AS464" s="76"/>
      <c r="AT464" s="76"/>
    </row>
    <row r="465" spans="1:46" ht="15.75" customHeight="1" x14ac:dyDescent="0.25">
      <c r="A465" s="70"/>
      <c r="B465" s="16">
        <v>1</v>
      </c>
      <c r="C465" s="16" t="s">
        <v>26</v>
      </c>
      <c r="D465" s="17">
        <v>20</v>
      </c>
      <c r="E465" s="18">
        <f ca="1">IFERROR(__xludf.DUMMYFUNCTION("COUNT(IMPORTRANGE(""https://docs.google.com/spreadsheets/d/1iVFEBQOAONhqDIMRa2hQ7WkCQv0dJWSAmc0AzfvSCMg/edit"",""18!d2:d21""))"),20)</f>
        <v>20</v>
      </c>
      <c r="F465" s="19">
        <f ca="1">IFERROR(__xludf.DUMMYFUNCTION("SUM(IMPORTRANGE(""https://docs.google.com/spreadsheets/d/1iVFEBQOAONhqDIMRa2hQ7WkCQv0dJWSAmc0AzfvSCMg/edit"",""18!Q2:Q21""))"),3892.662)</f>
        <v>3892.6619999999998</v>
      </c>
      <c r="G465" s="18">
        <f ca="1">IFERROR(__xludf.DUMMYFUNCTION("IMPORTRANGE(""https://docs.google.com/spreadsheets/d/1iVFEBQOAONhqDIMRa2hQ7WkCQv0dJWSAmc0AzfvSCMg/edit"",""18!e28"")"),1684)</f>
        <v>1684</v>
      </c>
      <c r="H465" s="18">
        <f ca="1">IFERROR(__xludf.DUMMYFUNCTION("IMPORTRANGE(""https://docs.google.com/spreadsheets/d/1iVFEBQOAONhqDIMRa2hQ7WkCQv0dJWSAmc0AzfvSCMg/edit"",""18!e29"")"),0)</f>
        <v>0</v>
      </c>
      <c r="I465" s="18">
        <f t="shared" ref="I465:I482" ca="1" si="1287">SUM(G465:H465)</f>
        <v>1684</v>
      </c>
      <c r="J465" s="18">
        <f ca="1">IFERROR(__xludf.DUMMYFUNCTION("IMPORTRANGE(""https://docs.google.com/spreadsheets/d/1iVFEBQOAONhqDIMRa2hQ7WkCQv0dJWSAmc0AzfvSCMg/edit"",""18!e32"")"),2489)</f>
        <v>2489</v>
      </c>
      <c r="K465" s="18">
        <f ca="1">IFERROR(__xludf.DUMMYFUNCTION("IMPORTRANGE(""https://docs.google.com/spreadsheets/d/1iVFEBQOAONhqDIMRa2hQ7WkCQv0dJWSAmc0AzfvSCMg/edit"",""18!e33"")"),0)</f>
        <v>0</v>
      </c>
      <c r="L465" s="18">
        <f t="shared" ref="L465:L471" ca="1" si="1288">SUM(J465:K465)</f>
        <v>2489</v>
      </c>
      <c r="M465" s="18">
        <f t="shared" ref="M465:M482" ca="1" si="1289">SUM(I465+L465)</f>
        <v>4173</v>
      </c>
      <c r="N465" s="19">
        <f t="shared" ref="N465:N483" ca="1" si="1290">F465/E465</f>
        <v>194.63309999999998</v>
      </c>
      <c r="O465" s="16">
        <v>5161</v>
      </c>
      <c r="P465" s="20">
        <f t="shared" ref="P465:P483" ca="1" si="1291">M465/O465</f>
        <v>0.80856423173803527</v>
      </c>
      <c r="Q465" s="21">
        <v>1.5</v>
      </c>
      <c r="R465" s="20">
        <f t="shared" ref="R465:R483" ca="1" si="1292">S465/Q465</f>
        <v>0.71467802752974707</v>
      </c>
      <c r="S465" s="22">
        <f t="shared" ref="S465:S483" ca="1" si="1293">M465/F465</f>
        <v>1.0720170412946206</v>
      </c>
      <c r="T465" s="21">
        <f ca="1">F465/14.415</f>
        <v>270.04245577523415</v>
      </c>
      <c r="U465" s="21">
        <f t="shared" ref="U465:U483" ca="1" si="1294">T465/E465</f>
        <v>13.502122788761707</v>
      </c>
      <c r="V465" s="18">
        <f t="shared" ref="V465:V483" ca="1" si="1295">M465/E465</f>
        <v>208.65</v>
      </c>
      <c r="W465" s="76"/>
      <c r="X465" s="8">
        <v>4</v>
      </c>
      <c r="Y465" s="8" t="s">
        <v>27</v>
      </c>
      <c r="Z465" s="8">
        <f t="shared" ref="Z465:AK465" si="1296">SUM(D478)</f>
        <v>30</v>
      </c>
      <c r="AA465" s="9">
        <f t="shared" ca="1" si="1296"/>
        <v>30</v>
      </c>
      <c r="AB465" s="10">
        <f t="shared" ca="1" si="1296"/>
        <v>5645.625</v>
      </c>
      <c r="AC465" s="9">
        <f t="shared" ca="1" si="1296"/>
        <v>2424</v>
      </c>
      <c r="AD465" s="9">
        <f t="shared" ca="1" si="1296"/>
        <v>0</v>
      </c>
      <c r="AE465" s="9">
        <f t="shared" ca="1" si="1296"/>
        <v>2424</v>
      </c>
      <c r="AF465" s="9">
        <f t="shared" ca="1" si="1296"/>
        <v>2656</v>
      </c>
      <c r="AG465" s="9">
        <f t="shared" ca="1" si="1296"/>
        <v>0</v>
      </c>
      <c r="AH465" s="9">
        <f t="shared" ca="1" si="1296"/>
        <v>2656</v>
      </c>
      <c r="AI465" s="9">
        <f t="shared" ca="1" si="1296"/>
        <v>5080</v>
      </c>
      <c r="AJ465" s="11">
        <f t="shared" ca="1" si="1296"/>
        <v>188.1875</v>
      </c>
      <c r="AK465" s="8">
        <f t="shared" si="1296"/>
        <v>8101</v>
      </c>
      <c r="AL465" s="12">
        <f t="shared" ca="1" si="1277"/>
        <v>0.62708307616343661</v>
      </c>
      <c r="AM465" s="13">
        <f>SUM(Q478)</f>
        <v>1.5</v>
      </c>
      <c r="AN465" s="12">
        <f t="shared" ca="1" si="1279"/>
        <v>0.59987453411565006</v>
      </c>
      <c r="AO465" s="14">
        <f t="shared" ca="1" si="1280"/>
        <v>0.89981180117347503</v>
      </c>
      <c r="AP465" s="13">
        <f t="shared" ref="AP465:AQ465" ca="1" si="1297">SUM(T478)</f>
        <v>282.49311983987991</v>
      </c>
      <c r="AQ465" s="13">
        <f t="shared" ca="1" si="1297"/>
        <v>9.4164373279959968</v>
      </c>
      <c r="AR465" s="9">
        <f t="shared" ca="1" si="1282"/>
        <v>169.33333333333334</v>
      </c>
      <c r="AS465" s="76"/>
      <c r="AT465" s="76"/>
    </row>
    <row r="466" spans="1:46" ht="15.75" customHeight="1" x14ac:dyDescent="0.25">
      <c r="A466" s="70"/>
      <c r="B466" s="16">
        <v>2</v>
      </c>
      <c r="C466" s="16" t="s">
        <v>28</v>
      </c>
      <c r="D466" s="17">
        <v>33</v>
      </c>
      <c r="E466" s="18">
        <f ca="1">IFERROR(__xludf.DUMMYFUNCTION("COUNT(IMPORTRANGE(""https://docs.google.com/spreadsheets/d/1tJCeYclgeJZ4Dc78t_SkhVjtacKW-5-VGim8X1rzUzk/edit"",""18!d2:d34""))"),33)</f>
        <v>33</v>
      </c>
      <c r="F466" s="19">
        <f ca="1">IFERROR(__xludf.DUMMYFUNCTION("SUM(IMPORTRANGE(""https://docs.google.com/spreadsheets/d/1tJCeYclgeJZ4Dc78t_SkhVjtacKW-5-VGim8X1rzUzk/edit"",""18!Q2:Q34""))"),6467.03899999999)</f>
        <v>6467.0389999999898</v>
      </c>
      <c r="G466" s="18">
        <f ca="1">IFERROR(__xludf.DUMMYFUNCTION("IMPORTRANGE(""https://docs.google.com/spreadsheets/d/1tJCeYclgeJZ4Dc78t_SkhVjtacKW-5-VGim8X1rzUzk/edit"",""18!e41"")"),2563)</f>
        <v>2563</v>
      </c>
      <c r="H466" s="18">
        <f ca="1">IFERROR(__xludf.DUMMYFUNCTION("IMPORTRANGE(""https://docs.google.com/spreadsheets/d/1tJCeYclgeJZ4Dc78t_SkhVjtacKW-5-VGim8X1rzUzk/edit"",""18!e42"")"),120)</f>
        <v>120</v>
      </c>
      <c r="I466" s="18">
        <f t="shared" ca="1" si="1287"/>
        <v>2683</v>
      </c>
      <c r="J466" s="18">
        <f ca="1">IFERROR(__xludf.DUMMYFUNCTION("IMPORTRANGE(""https://docs.google.com/spreadsheets/d/1tJCeYclgeJZ4Dc78t_SkhVjtacKW-5-VGim8X1rzUzk/edit"",""18!e45"")"),2512)</f>
        <v>2512</v>
      </c>
      <c r="K466" s="18">
        <f ca="1">IFERROR(__xludf.DUMMYFUNCTION("IMPORTRANGE(""https://docs.google.com/spreadsheets/d/1tJCeYclgeJZ4Dc78t_SkhVjtacKW-5-VGim8X1rzUzk/edit"",""18!e46"")"),276)</f>
        <v>276</v>
      </c>
      <c r="L466" s="18">
        <f t="shared" ca="1" si="1288"/>
        <v>2788</v>
      </c>
      <c r="M466" s="18">
        <f t="shared" ca="1" si="1289"/>
        <v>5471</v>
      </c>
      <c r="N466" s="19">
        <f t="shared" ca="1" si="1290"/>
        <v>195.97087878787849</v>
      </c>
      <c r="O466" s="16">
        <v>7315</v>
      </c>
      <c r="P466" s="20">
        <f t="shared" ca="1" si="1291"/>
        <v>0.74791524265208476</v>
      </c>
      <c r="Q466" s="21">
        <v>1.5</v>
      </c>
      <c r="R466" s="20">
        <f t="shared" ca="1" si="1292"/>
        <v>0.56398814563099731</v>
      </c>
      <c r="S466" s="22">
        <f t="shared" ca="1" si="1293"/>
        <v>0.8459822184464959</v>
      </c>
      <c r="T466" s="21">
        <f ca="1">F466/30.897</f>
        <v>209.3096093471855</v>
      </c>
      <c r="U466" s="21">
        <f t="shared" ca="1" si="1294"/>
        <v>6.3427154347631971</v>
      </c>
      <c r="V466" s="18">
        <f t="shared" ca="1" si="1295"/>
        <v>165.78787878787878</v>
      </c>
      <c r="W466" s="76"/>
      <c r="X466" s="8">
        <v>5</v>
      </c>
      <c r="Y466" s="8" t="s">
        <v>29</v>
      </c>
      <c r="Z466" s="8">
        <f t="shared" ref="Z466:AI466" si="1298">SUM(D481)</f>
        <v>30</v>
      </c>
      <c r="AA466" s="9">
        <f t="shared" ca="1" si="1298"/>
        <v>30</v>
      </c>
      <c r="AB466" s="10">
        <f t="shared" ca="1" si="1298"/>
        <v>6039.9479999999903</v>
      </c>
      <c r="AC466" s="9">
        <f t="shared" ca="1" si="1298"/>
        <v>2561</v>
      </c>
      <c r="AD466" s="9">
        <f t="shared" ca="1" si="1298"/>
        <v>0</v>
      </c>
      <c r="AE466" s="9">
        <f t="shared" ca="1" si="1298"/>
        <v>2561</v>
      </c>
      <c r="AF466" s="9">
        <f t="shared" ca="1" si="1298"/>
        <v>3727</v>
      </c>
      <c r="AG466" s="9">
        <f t="shared" ca="1" si="1298"/>
        <v>0</v>
      </c>
      <c r="AH466" s="9">
        <f t="shared" ca="1" si="1298"/>
        <v>3727</v>
      </c>
      <c r="AI466" s="9">
        <f t="shared" ca="1" si="1298"/>
        <v>6288</v>
      </c>
      <c r="AJ466" s="11">
        <f t="shared" ref="AJ466:AJ468" ca="1" si="1299">AB466/AA466</f>
        <v>201.33159999999967</v>
      </c>
      <c r="AK466" s="8">
        <f t="shared" ref="AK466:AK467" si="1300">SUM(O481)</f>
        <v>9201</v>
      </c>
      <c r="AL466" s="12">
        <f t="shared" ca="1" si="1277"/>
        <v>0.68340397782849693</v>
      </c>
      <c r="AM466" s="13">
        <f t="shared" ref="AM466:AM467" si="1301">SUM(Q481)</f>
        <v>1.5</v>
      </c>
      <c r="AN466" s="12">
        <f t="shared" ca="1" si="1279"/>
        <v>0.69404571032730855</v>
      </c>
      <c r="AO466" s="14">
        <f t="shared" ca="1" si="1280"/>
        <v>1.0410685654909628</v>
      </c>
      <c r="AP466" s="13">
        <f t="shared" ref="AP466:AQ466" ca="1" si="1302">SUM(T481)</f>
        <v>227.99999999999963</v>
      </c>
      <c r="AQ466" s="13">
        <f t="shared" ca="1" si="1302"/>
        <v>7.5999999999999881</v>
      </c>
      <c r="AR466" s="9">
        <f t="shared" ca="1" si="1282"/>
        <v>209.6</v>
      </c>
      <c r="AS466" s="76"/>
      <c r="AT466" s="76"/>
    </row>
    <row r="467" spans="1:46" ht="15.75" customHeight="1" x14ac:dyDescent="0.25">
      <c r="A467" s="70"/>
      <c r="B467" s="16">
        <v>3</v>
      </c>
      <c r="C467" s="16" t="s">
        <v>30</v>
      </c>
      <c r="D467" s="17">
        <v>60</v>
      </c>
      <c r="E467" s="18">
        <f ca="1">IFERROR(__xludf.DUMMYFUNCTION("COUNT(IMPORTRANGE(""https://docs.google.com/spreadsheets/d/130gLEONC13J8KkQ6dk06x3bLRy_jCrAw2hXatQf2W50/edit"",""18!d2:d61""))"),59)</f>
        <v>59</v>
      </c>
      <c r="F467" s="23">
        <f ca="1">IFERROR(__xludf.DUMMYFUNCTION("SUM(IMPORTRANGE(""https://docs.google.com/spreadsheets/d/130gLEONC13J8KkQ6dk06x3bLRy_jCrAw2hXatQf2W50/edit"",""18!Q2:Q61""))"),11650.8829999999)</f>
        <v>11650.8829999999</v>
      </c>
      <c r="G467" s="18">
        <f ca="1">IFERROR(__xludf.DUMMYFUNCTION("IMPORTRANGE(""https://docs.google.com/spreadsheets/d/130gLEONC13J8KkQ6dk06x3bLRy_jCrAw2hXatQf2W50/edit"",""18!e68"")"),2923)</f>
        <v>2923</v>
      </c>
      <c r="H467" s="18">
        <f ca="1">IFERROR(__xludf.DUMMYFUNCTION("IMPORTRANGE(""https://docs.google.com/spreadsheets/d/130gLEONC13J8KkQ6dk06x3bLRy_jCrAw2hXatQf2W50/edit"",""18!e69"")"),197)</f>
        <v>197</v>
      </c>
      <c r="I467" s="18">
        <f t="shared" ca="1" si="1287"/>
        <v>3120</v>
      </c>
      <c r="J467" s="18">
        <f ca="1">IFERROR(__xludf.DUMMYFUNCTION("IMPORTRANGE(""https://docs.google.com/spreadsheets/d/130gLEONC13J8KkQ6dk06x3bLRy_jCrAw2hXatQf2W50/edit"",""18!e72"")"),5131)</f>
        <v>5131</v>
      </c>
      <c r="K467" s="18">
        <f ca="1">IFERROR(__xludf.DUMMYFUNCTION("IMPORTRANGE(""https://docs.google.com/spreadsheets/d/130gLEONC13J8KkQ6dk06x3bLRy_jCrAw2hXatQf2W50/edit"",""18!e73"")"),29)</f>
        <v>29</v>
      </c>
      <c r="L467" s="18">
        <f t="shared" ca="1" si="1288"/>
        <v>5160</v>
      </c>
      <c r="M467" s="18">
        <f t="shared" ca="1" si="1289"/>
        <v>8280</v>
      </c>
      <c r="N467" s="19">
        <f t="shared" ca="1" si="1290"/>
        <v>197.47259322033727</v>
      </c>
      <c r="O467" s="16">
        <v>11164</v>
      </c>
      <c r="P467" s="20">
        <f t="shared" ca="1" si="1291"/>
        <v>0.74166965245431749</v>
      </c>
      <c r="Q467" s="21">
        <v>1.5</v>
      </c>
      <c r="R467" s="20">
        <f t="shared" ca="1" si="1292"/>
        <v>0.47378383252153911</v>
      </c>
      <c r="S467" s="22">
        <f t="shared" ca="1" si="1293"/>
        <v>0.71067574878230866</v>
      </c>
      <c r="T467" s="21">
        <f ca="1">F467/29.603</f>
        <v>393.57102320710396</v>
      </c>
      <c r="U467" s="21">
        <f t="shared" ca="1" si="1294"/>
        <v>6.6706953085949827</v>
      </c>
      <c r="V467" s="18">
        <f t="shared" ca="1" si="1295"/>
        <v>140.33898305084745</v>
      </c>
      <c r="W467" s="76"/>
      <c r="X467" s="8">
        <v>6</v>
      </c>
      <c r="Y467" s="8" t="s">
        <v>31</v>
      </c>
      <c r="Z467" s="8">
        <f t="shared" ref="Z467:AI467" si="1303">SUM(D482)</f>
        <v>15</v>
      </c>
      <c r="AA467" s="9">
        <f t="shared" ca="1" si="1303"/>
        <v>12</v>
      </c>
      <c r="AB467" s="11">
        <f t="shared" ca="1" si="1303"/>
        <v>2434.04</v>
      </c>
      <c r="AC467" s="9">
        <f t="shared" ca="1" si="1303"/>
        <v>745</v>
      </c>
      <c r="AD467" s="9">
        <f t="shared" ca="1" si="1303"/>
        <v>15</v>
      </c>
      <c r="AE467" s="9">
        <f t="shared" ca="1" si="1303"/>
        <v>760</v>
      </c>
      <c r="AF467" s="9">
        <f t="shared" ca="1" si="1303"/>
        <v>992</v>
      </c>
      <c r="AG467" s="9">
        <f t="shared" ca="1" si="1303"/>
        <v>0</v>
      </c>
      <c r="AH467" s="9">
        <f t="shared" ca="1" si="1303"/>
        <v>992</v>
      </c>
      <c r="AI467" s="9">
        <f t="shared" ca="1" si="1303"/>
        <v>1752</v>
      </c>
      <c r="AJ467" s="11">
        <f t="shared" ca="1" si="1299"/>
        <v>202.83666666666667</v>
      </c>
      <c r="AK467" s="8">
        <f t="shared" si="1300"/>
        <v>2717</v>
      </c>
      <c r="AL467" s="12">
        <f t="shared" ca="1" si="1277"/>
        <v>0.64482885535517109</v>
      </c>
      <c r="AM467" s="13">
        <f t="shared" si="1301"/>
        <v>1.5</v>
      </c>
      <c r="AN467" s="12">
        <f t="shared" ca="1" si="1279"/>
        <v>0.4798606432104649</v>
      </c>
      <c r="AO467" s="14">
        <f t="shared" ca="1" si="1280"/>
        <v>0.71979096481569738</v>
      </c>
      <c r="AP467" s="13">
        <f t="shared" ref="AP467:AQ467" ca="1" si="1304">SUM(T482)</f>
        <v>55.999999999999993</v>
      </c>
      <c r="AQ467" s="13">
        <f t="shared" ca="1" si="1304"/>
        <v>4.6666666666666661</v>
      </c>
      <c r="AR467" s="9">
        <f t="shared" ca="1" si="1282"/>
        <v>146</v>
      </c>
      <c r="AS467" s="76"/>
      <c r="AT467" s="76"/>
    </row>
    <row r="468" spans="1:46" ht="15.75" customHeight="1" x14ac:dyDescent="0.25">
      <c r="A468" s="70"/>
      <c r="B468" s="16">
        <v>4</v>
      </c>
      <c r="C468" s="16" t="s">
        <v>32</v>
      </c>
      <c r="D468" s="17">
        <v>42</v>
      </c>
      <c r="E468" s="18">
        <f ca="1">IFERROR(__xludf.DUMMYFUNCTION("COUNT(IMPORTRANGE(""https://docs.google.com/spreadsheets/d/1gYHli7FuKQLm2Q-5LMR0UtkD-gRRA_p8s-phLPLDLgc/edit"",""18!d2:d43""))"),40)</f>
        <v>40</v>
      </c>
      <c r="F468" s="23">
        <f ca="1">IFERROR(__xludf.DUMMYFUNCTION("SUM(IMPORTRANGE(""https://docs.google.com/spreadsheets/d/1gYHli7FuKQLm2Q-5LMR0UtkD-gRRA_p8s-phLPLDLgc/edit"",""18!Q2:Q43""))"),7914.50499999999)</f>
        <v>7914.5049999999901</v>
      </c>
      <c r="G468" s="16">
        <f ca="1">IFERROR(__xludf.DUMMYFUNCTION("IMPORTRANGE(""https://docs.google.com/spreadsheets/d/1gYHli7FuKQLm2Q-5LMR0UtkD-gRRA_p8s-phLPLDLgc/edit"",""18!e50"")"),4273)</f>
        <v>4273</v>
      </c>
      <c r="H468" s="16">
        <f ca="1">IFERROR(__xludf.DUMMYFUNCTION("IMPORTRANGE(""https://docs.google.com/spreadsheets/d/1gYHli7FuKQLm2Q-5LMR0UtkD-gRRA_p8s-phLPLDLgc/edit"",""18!e51"")"),0)</f>
        <v>0</v>
      </c>
      <c r="I468" s="18">
        <f t="shared" ca="1" si="1287"/>
        <v>4273</v>
      </c>
      <c r="J468" s="16">
        <f ca="1">IFERROR(__xludf.DUMMYFUNCTION("IMPORTRANGE(""https://docs.google.com/spreadsheets/d/1gYHli7FuKQLm2Q-5LMR0UtkD-gRRA_p8s-phLPLDLgc/edit"",""18!e54"")"),4673)</f>
        <v>4673</v>
      </c>
      <c r="K468" s="16">
        <f ca="1">IFERROR(__xludf.DUMMYFUNCTION("IMPORTRANGE(""https://docs.google.com/spreadsheets/d/1gYHli7FuKQLm2Q-5LMR0UtkD-gRRA_p8s-phLPLDLgc/edit"",""18!e55"")"),58)</f>
        <v>58</v>
      </c>
      <c r="L468" s="18">
        <f t="shared" ca="1" si="1288"/>
        <v>4731</v>
      </c>
      <c r="M468" s="18">
        <f t="shared" ca="1" si="1289"/>
        <v>9004</v>
      </c>
      <c r="N468" s="19">
        <f t="shared" ca="1" si="1290"/>
        <v>197.86262499999975</v>
      </c>
      <c r="O468" s="16">
        <v>13817</v>
      </c>
      <c r="P468" s="20">
        <f t="shared" ca="1" si="1291"/>
        <v>0.65166099732213945</v>
      </c>
      <c r="Q468" s="21">
        <v>1.5</v>
      </c>
      <c r="R468" s="20">
        <f t="shared" ca="1" si="1292"/>
        <v>0.75843867262282016</v>
      </c>
      <c r="S468" s="22">
        <f t="shared" ca="1" si="1293"/>
        <v>1.1376580089342303</v>
      </c>
      <c r="T468" s="21">
        <f ca="1">F468/25.089</f>
        <v>315.45717246602061</v>
      </c>
      <c r="U468" s="21">
        <f t="shared" ca="1" si="1294"/>
        <v>7.8864293116505149</v>
      </c>
      <c r="V468" s="18">
        <f t="shared" ca="1" si="1295"/>
        <v>225.1</v>
      </c>
      <c r="W468" s="76"/>
      <c r="X468" s="24" t="s">
        <v>33</v>
      </c>
      <c r="Y468" s="24">
        <v>6</v>
      </c>
      <c r="Z468" s="24">
        <f t="shared" ref="Z468:AI468" si="1305">SUM(Z462:Z467)</f>
        <v>186</v>
      </c>
      <c r="AA468" s="25">
        <f t="shared" ca="1" si="1305"/>
        <v>176</v>
      </c>
      <c r="AB468" s="26">
        <f t="shared" ca="1" si="1305"/>
        <v>33708.824999999968</v>
      </c>
      <c r="AC468" s="25">
        <f t="shared" ca="1" si="1305"/>
        <v>10767</v>
      </c>
      <c r="AD468" s="25">
        <f t="shared" ca="1" si="1305"/>
        <v>202</v>
      </c>
      <c r="AE468" s="25">
        <f t="shared" ca="1" si="1305"/>
        <v>10969</v>
      </c>
      <c r="AF468" s="25">
        <f t="shared" ca="1" si="1305"/>
        <v>14287</v>
      </c>
      <c r="AG468" s="25">
        <f t="shared" ca="1" si="1305"/>
        <v>431</v>
      </c>
      <c r="AH468" s="25">
        <f t="shared" ca="1" si="1305"/>
        <v>14718</v>
      </c>
      <c r="AI468" s="25">
        <f t="shared" ca="1" si="1305"/>
        <v>25687</v>
      </c>
      <c r="AJ468" s="27">
        <f t="shared" ca="1" si="1299"/>
        <v>191.5274147727271</v>
      </c>
      <c r="AK468" s="24">
        <f>SUM(AK462:AK467)</f>
        <v>35074</v>
      </c>
      <c r="AL468" s="28">
        <f t="shared" ca="1" si="1277"/>
        <v>0.73236585504932428</v>
      </c>
      <c r="AM468" s="29">
        <v>1.5</v>
      </c>
      <c r="AN468" s="28">
        <f t="shared" ca="1" si="1279"/>
        <v>0.50801731198481948</v>
      </c>
      <c r="AO468" s="30">
        <f t="shared" ca="1" si="1280"/>
        <v>0.76202596797722921</v>
      </c>
      <c r="AP468" s="29">
        <f ca="1">SUM(AP462:AP467)</f>
        <v>1273.0168819660473</v>
      </c>
      <c r="AQ468" s="29">
        <f ca="1">AP468/AA468</f>
        <v>7.233050465716178</v>
      </c>
      <c r="AR468" s="25">
        <f t="shared" ca="1" si="1282"/>
        <v>145.94886363636363</v>
      </c>
      <c r="AS468" s="76"/>
      <c r="AT468" s="76"/>
    </row>
    <row r="469" spans="1:46" ht="15.75" customHeight="1" x14ac:dyDescent="0.25">
      <c r="A469" s="70"/>
      <c r="B469" s="16">
        <v>5</v>
      </c>
      <c r="C469" s="16" t="s">
        <v>34</v>
      </c>
      <c r="D469" s="17">
        <v>40</v>
      </c>
      <c r="E469" s="18">
        <f ca="1">IFERROR(__xludf.DUMMYFUNCTION("COUNT(IMPORTRANGE(""https://docs.google.com/spreadsheets/d/1ptS0qWBCKWkc9h2aXWT_YgMhN7yIv5WgAHRbF8l9Zpo/edit"",""18!d2:d41""))"),39)</f>
        <v>39</v>
      </c>
      <c r="F469" s="23">
        <f ca="1">IFERROR(__xludf.DUMMYFUNCTION("SUM(IMPORTRANGE(""https://docs.google.com/spreadsheets/d/1ptS0qWBCKWkc9h2aXWT_YgMhN7yIv5WgAHRbF8l9Zpo/edit"",""18!Q2:Q41""))"),7710.384)</f>
        <v>7710.384</v>
      </c>
      <c r="G469" s="18">
        <f ca="1">IFERROR(__xludf.DUMMYFUNCTION("IMPORTRANGE(""https://docs.google.com/spreadsheets/d/1ptS0qWBCKWkc9h2aXWT_YgMhN7yIv5WgAHRbF8l9Zpo/edit"",""18!e48"")"),2172)</f>
        <v>2172</v>
      </c>
      <c r="H469" s="18">
        <f ca="1">IFERROR(__xludf.DUMMYFUNCTION("IMPORTRANGE(""https://docs.google.com/spreadsheets/d/1ptS0qWBCKWkc9h2aXWT_YgMhN7yIv5WgAHRbF8l9Zpo/edit"",""18!e49"")"),0)</f>
        <v>0</v>
      </c>
      <c r="I469" s="18">
        <f t="shared" ca="1" si="1287"/>
        <v>2172</v>
      </c>
      <c r="J469" s="18">
        <f ca="1">IFERROR(__xludf.DUMMYFUNCTION("IMPORTRANGE(""https://docs.google.com/spreadsheets/d/1ptS0qWBCKWkc9h2aXWT_YgMhN7yIv5WgAHRbF8l9Zpo/edit"",""18!e52"")"),3434)</f>
        <v>3434</v>
      </c>
      <c r="K469" s="18">
        <f ca="1">IFERROR(__xludf.DUMMYFUNCTION("IMPORTRANGE(""https://docs.google.com/spreadsheets/d/1ptS0qWBCKWkc9h2aXWT_YgMhN7yIv5WgAHRbF8l9Zpo/edit"",""18!e53"")"),0)</f>
        <v>0</v>
      </c>
      <c r="L469" s="18">
        <f t="shared" ca="1" si="1288"/>
        <v>3434</v>
      </c>
      <c r="M469" s="18">
        <f t="shared" ca="1" si="1289"/>
        <v>5606</v>
      </c>
      <c r="N469" s="19">
        <f t="shared" ca="1" si="1290"/>
        <v>197.70215384615383</v>
      </c>
      <c r="O469" s="16">
        <v>9354</v>
      </c>
      <c r="P469" s="20">
        <f t="shared" ca="1" si="1291"/>
        <v>0.59931580072696178</v>
      </c>
      <c r="Q469" s="21">
        <v>1.5</v>
      </c>
      <c r="R469" s="20">
        <f t="shared" ca="1" si="1292"/>
        <v>0.48471429352070317</v>
      </c>
      <c r="S469" s="22">
        <f t="shared" ca="1" si="1293"/>
        <v>0.72707144028105475</v>
      </c>
      <c r="T469" s="21">
        <f ca="1">F469/30.713</f>
        <v>251.04626705303943</v>
      </c>
      <c r="U469" s="21">
        <f t="shared" ca="1" si="1294"/>
        <v>6.4370837705907542</v>
      </c>
      <c r="V469" s="18">
        <f t="shared" ca="1" si="1295"/>
        <v>143.74358974358975</v>
      </c>
      <c r="W469" s="76"/>
      <c r="X469" s="100" t="s">
        <v>35</v>
      </c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9"/>
      <c r="AS469" s="76"/>
      <c r="AT469" s="76"/>
    </row>
    <row r="470" spans="1:46" ht="15.75" customHeight="1" x14ac:dyDescent="0.25">
      <c r="A470" s="70"/>
      <c r="B470" s="16">
        <v>6</v>
      </c>
      <c r="C470" s="16" t="s">
        <v>23</v>
      </c>
      <c r="D470" s="17">
        <v>35</v>
      </c>
      <c r="E470" s="18">
        <f ca="1">IFERROR(__xludf.DUMMYFUNCTION("COUNT(IMPORTRANGE(""https://docs.google.com/spreadsheets/d/1829CoYW82aTBBUgqkPnJa94KlBWI-DowAnP4ENQCmaQ/edit"",""18!d2:d36""))"),32)</f>
        <v>32</v>
      </c>
      <c r="F470" s="23">
        <f ca="1">IFERROR(__xludf.DUMMYFUNCTION("SUM(IMPORTRANGE(""https://docs.google.com/spreadsheets/d/1829CoYW82aTBBUgqkPnJa94KlBWI-DowAnP4ENQCmaQ/edit"",""18!Q2:Q36""))"),6275.63999999999)</f>
        <v>6275.6399999999903</v>
      </c>
      <c r="G470" s="18">
        <f ca="1">IFERROR(__xludf.DUMMYFUNCTION("IMPORTRANGE(""https://docs.google.com/spreadsheets/d/1829CoYW82aTBBUgqkPnJa94KlBWI-DowAnP4ENQCmaQ/edit"",""18!e43"")"),1898)</f>
        <v>1898</v>
      </c>
      <c r="H470" s="18">
        <f ca="1">IFERROR(__xludf.DUMMYFUNCTION("IMPORTRANGE(""https://docs.google.com/spreadsheets/d/1829CoYW82aTBBUgqkPnJa94KlBWI-DowAnP4ENQCmaQ/edit"",""18!e44"")"),0)</f>
        <v>0</v>
      </c>
      <c r="I470" s="18">
        <f t="shared" ca="1" si="1287"/>
        <v>1898</v>
      </c>
      <c r="J470" s="18">
        <f ca="1">IFERROR(__xludf.DUMMYFUNCTION("IMPORTRANGE(""https://docs.google.com/spreadsheets/d/1829CoYW82aTBBUgqkPnJa94KlBWI-DowAnP4ENQCmaQ/edit"",""18!e47"")"),2915)</f>
        <v>2915</v>
      </c>
      <c r="K470" s="18">
        <f ca="1">IFERROR(__xludf.DUMMYFUNCTION("IMPORTRANGE(""https://docs.google.com/spreadsheets/d/1829CoYW82aTBBUgqkPnJa94KlBWI-DowAnP4ENQCmaQ/edit"",""18!e48"")"),0)</f>
        <v>0</v>
      </c>
      <c r="L470" s="18">
        <f t="shared" ca="1" si="1288"/>
        <v>2915</v>
      </c>
      <c r="M470" s="18">
        <f t="shared" ca="1" si="1289"/>
        <v>4813</v>
      </c>
      <c r="N470" s="19">
        <f t="shared" ca="1" si="1290"/>
        <v>196.1137499999997</v>
      </c>
      <c r="O470" s="16">
        <v>6853</v>
      </c>
      <c r="P470" s="20">
        <f t="shared" ca="1" si="1291"/>
        <v>0.70232015175835405</v>
      </c>
      <c r="Q470" s="21">
        <v>1.5</v>
      </c>
      <c r="R470" s="20">
        <f t="shared" ca="1" si="1292"/>
        <v>0.51128915404112918</v>
      </c>
      <c r="S470" s="22">
        <f t="shared" ca="1" si="1293"/>
        <v>0.76693373106169371</v>
      </c>
      <c r="T470" s="21">
        <f ca="1">F470/33.74</f>
        <v>185.99999999999972</v>
      </c>
      <c r="U470" s="21">
        <f t="shared" ca="1" si="1294"/>
        <v>5.8124999999999911</v>
      </c>
      <c r="V470" s="18">
        <f t="shared" ca="1" si="1295"/>
        <v>150.40625</v>
      </c>
      <c r="W470" s="76"/>
      <c r="X470" s="1" t="s">
        <v>2</v>
      </c>
      <c r="Y470" s="1" t="s">
        <v>3</v>
      </c>
      <c r="Z470" s="1" t="s">
        <v>4</v>
      </c>
      <c r="AA470" s="1" t="s">
        <v>5</v>
      </c>
      <c r="AB470" s="2" t="s">
        <v>6</v>
      </c>
      <c r="AC470" s="1" t="s">
        <v>7</v>
      </c>
      <c r="AD470" s="1" t="s">
        <v>8</v>
      </c>
      <c r="AE470" s="1" t="s">
        <v>9</v>
      </c>
      <c r="AF470" s="1" t="s">
        <v>10</v>
      </c>
      <c r="AG470" s="1" t="s">
        <v>11</v>
      </c>
      <c r="AH470" s="1" t="s">
        <v>12</v>
      </c>
      <c r="AI470" s="1" t="s">
        <v>13</v>
      </c>
      <c r="AJ470" s="2" t="s">
        <v>14</v>
      </c>
      <c r="AK470" s="1" t="s">
        <v>15</v>
      </c>
      <c r="AL470" s="1" t="s">
        <v>16</v>
      </c>
      <c r="AM470" s="3" t="s">
        <v>17</v>
      </c>
      <c r="AN470" s="4" t="s">
        <v>18</v>
      </c>
      <c r="AO470" s="5" t="s">
        <v>19</v>
      </c>
      <c r="AP470" s="6" t="s">
        <v>20</v>
      </c>
      <c r="AQ470" s="6" t="s">
        <v>21</v>
      </c>
      <c r="AR470" s="7" t="s">
        <v>22</v>
      </c>
      <c r="AS470" s="76"/>
      <c r="AT470" s="76"/>
    </row>
    <row r="471" spans="1:46" ht="15.75" customHeight="1" x14ac:dyDescent="0.25">
      <c r="A471" s="70"/>
      <c r="B471" s="16">
        <v>7</v>
      </c>
      <c r="C471" s="16" t="s">
        <v>24</v>
      </c>
      <c r="D471" s="17">
        <v>44</v>
      </c>
      <c r="E471" s="31">
        <f ca="1">IFERROR(__xludf.DUMMYFUNCTION("COUNT(IMPORTRANGE(""https://docs.google.com/spreadsheets/d/1E2x4oDZxEIsuC5nl-5Z0--MoN8b1dt9SbpRcCfNP84Q/edit"",""18!d2:d45""))"),43)</f>
        <v>43</v>
      </c>
      <c r="F471" s="32">
        <f ca="1">IFERROR(__xludf.DUMMYFUNCTION("SUM(IMPORTRANGE(""https://docs.google.com/spreadsheets/d/1E2x4oDZxEIsuC5nl-5Z0--MoN8b1dt9SbpRcCfNP84Q/edit"",""18!Q2:Q45""))"),8175.16799999999)</f>
        <v>8175.1679999999897</v>
      </c>
      <c r="G471" s="31">
        <f ca="1">IFERROR(__xludf.DUMMYFUNCTION("IMPORTRANGE(""https://docs.google.com/spreadsheets/d/1E2x4oDZxEIsuC5nl-5Z0--MoN8b1dt9SbpRcCfNP84Q/edit"",""18!e53"")"),1057)</f>
        <v>1057</v>
      </c>
      <c r="H471" s="31">
        <f ca="1">IFERROR(__xludf.DUMMYFUNCTION("IMPORTRANGE(""https://docs.google.com/spreadsheets/d/1E2x4oDZxEIsuC5nl-5Z0--MoN8b1dt9SbpRcCfNP84Q/edit"",""18!e54"")"),0)</f>
        <v>0</v>
      </c>
      <c r="I471" s="31">
        <f t="shared" ca="1" si="1287"/>
        <v>1057</v>
      </c>
      <c r="J471" s="31">
        <f ca="1">IFERROR(__xludf.DUMMYFUNCTION("IMPORTRANGE(""https://docs.google.com/spreadsheets/d/1E2x4oDZxEIsuC5nl-5Z0--MoN8b1dt9SbpRcCfNP84Q/edit"",""18!e57"")"),1503)</f>
        <v>1503</v>
      </c>
      <c r="K471" s="31">
        <f ca="1">IFERROR(__xludf.DUMMYFUNCTION("IMPORTRANGE(""https://docs.google.com/spreadsheets/d/1E2x4oDZxEIsuC5nl-5Z0--MoN8b1dt9SbpRcCfNP84Q/edit"",""18!e58"")"),0)</f>
        <v>0</v>
      </c>
      <c r="L471" s="18">
        <f t="shared" ca="1" si="1288"/>
        <v>1503</v>
      </c>
      <c r="M471" s="18">
        <f t="shared" ca="1" si="1289"/>
        <v>2560</v>
      </c>
      <c r="N471" s="19">
        <f t="shared" ca="1" si="1290"/>
        <v>190.12018604651138</v>
      </c>
      <c r="O471" s="16">
        <v>1580</v>
      </c>
      <c r="P471" s="33">
        <f t="shared" ca="1" si="1291"/>
        <v>1.620253164556962</v>
      </c>
      <c r="Q471" s="21">
        <v>1.5</v>
      </c>
      <c r="R471" s="20">
        <f t="shared" ca="1" si="1292"/>
        <v>0.20876227456936283</v>
      </c>
      <c r="S471" s="22">
        <f t="shared" ca="1" si="1293"/>
        <v>0.31314341185404426</v>
      </c>
      <c r="T471" s="21">
        <f ca="1">F471/26.805</f>
        <v>304.98668158925534</v>
      </c>
      <c r="U471" s="21">
        <f t="shared" ca="1" si="1294"/>
        <v>7.0927135253315194</v>
      </c>
      <c r="V471" s="18">
        <f t="shared" ca="1" si="1295"/>
        <v>59.534883720930232</v>
      </c>
      <c r="W471" s="76"/>
      <c r="X471" s="8">
        <v>1</v>
      </c>
      <c r="Y471" s="8" t="s">
        <v>28</v>
      </c>
      <c r="Z471" s="8">
        <f t="shared" ref="Z471:AI471" si="1306">SUM(D466)</f>
        <v>33</v>
      </c>
      <c r="AA471" s="9">
        <f t="shared" ca="1" si="1306"/>
        <v>33</v>
      </c>
      <c r="AB471" s="11">
        <f t="shared" ca="1" si="1306"/>
        <v>6467.0389999999898</v>
      </c>
      <c r="AC471" s="9">
        <f t="shared" ca="1" si="1306"/>
        <v>2563</v>
      </c>
      <c r="AD471" s="9">
        <f t="shared" ca="1" si="1306"/>
        <v>120</v>
      </c>
      <c r="AE471" s="9">
        <f t="shared" ca="1" si="1306"/>
        <v>2683</v>
      </c>
      <c r="AF471" s="9">
        <f t="shared" ca="1" si="1306"/>
        <v>2512</v>
      </c>
      <c r="AG471" s="9">
        <f t="shared" ca="1" si="1306"/>
        <v>276</v>
      </c>
      <c r="AH471" s="9">
        <f t="shared" ca="1" si="1306"/>
        <v>2788</v>
      </c>
      <c r="AI471" s="9">
        <f t="shared" ca="1" si="1306"/>
        <v>5471</v>
      </c>
      <c r="AJ471" s="11">
        <f t="shared" ref="AJ471:AJ477" ca="1" si="1307">AB471/AA471</f>
        <v>195.97087878787849</v>
      </c>
      <c r="AK471" s="8">
        <f t="shared" ref="AK471:AK472" si="1308">SUM(O466)</f>
        <v>7315</v>
      </c>
      <c r="AL471" s="12">
        <f t="shared" ref="AL471:AL477" ca="1" si="1309">AI471/AK471</f>
        <v>0.74791524265208476</v>
      </c>
      <c r="AM471" s="13">
        <f t="shared" ref="AM471:AM472" si="1310">SUM(Q466)</f>
        <v>1.5</v>
      </c>
      <c r="AN471" s="12">
        <f t="shared" ref="AN471:AN477" ca="1" si="1311">AO471/AM471</f>
        <v>0.56398814563099731</v>
      </c>
      <c r="AO471" s="14">
        <f t="shared" ref="AO471:AO477" ca="1" si="1312">AI471/AB471</f>
        <v>0.8459822184464959</v>
      </c>
      <c r="AP471" s="13">
        <f t="shared" ref="AP471:AQ471" ca="1" si="1313">SUM(T466)</f>
        <v>209.3096093471855</v>
      </c>
      <c r="AQ471" s="13">
        <f t="shared" ca="1" si="1313"/>
        <v>6.3427154347631971</v>
      </c>
      <c r="AR471" s="9">
        <f t="shared" ref="AR471:AR477" ca="1" si="1314">AI471/AA471</f>
        <v>165.78787878787878</v>
      </c>
      <c r="AS471" s="76"/>
      <c r="AT471" s="76"/>
    </row>
    <row r="472" spans="1:46" ht="15.75" customHeight="1" x14ac:dyDescent="0.25">
      <c r="A472" s="70"/>
      <c r="B472" s="16">
        <v>8</v>
      </c>
      <c r="C472" s="16" t="s">
        <v>25</v>
      </c>
      <c r="D472" s="34">
        <v>32</v>
      </c>
      <c r="E472" s="18">
        <f ca="1">IFERROR(__xludf.DUMMYFUNCTION("COUNT(IMPORTRANGE(""https://docs.google.com/spreadsheets/d/1KbRFOEYB0B44J_NSh1MwYQ1sLDlZXUHI-wuMLcZDn5k/edit"",""18!d2:D33""))"),29)</f>
        <v>29</v>
      </c>
      <c r="F472" s="23">
        <f ca="1">IFERROR(__xludf.DUMMYFUNCTION("SUM(IMPORTRANGE(""https://docs.google.com/spreadsheets/d/1KbRFOEYB0B44J_NSh1MwYQ1sLDlZXUHI-wuMLcZDn5k/edit"",""18!Q2:Q33""))"),5138.404)</f>
        <v>5138.4040000000005</v>
      </c>
      <c r="G472" s="18">
        <f ca="1">IFERROR(__xludf.DUMMYFUNCTION("IMPORTRANGE(""https://docs.google.com/spreadsheets/d/1KbRFOEYB0B44J_NSh1MwYQ1sLDlZXUHI-wuMLcZDn5k/edit"",""18!e40"")"),2082)</f>
        <v>2082</v>
      </c>
      <c r="H472" s="18">
        <f ca="1">IFERROR(__xludf.DUMMYFUNCTION("IMPORTRANGE(""https://docs.google.com/spreadsheets/d/1KbRFOEYB0B44J_NSh1MwYQ1sLDlZXUHI-wuMLcZDn5k/edit"",""18!e41"")"),187)</f>
        <v>187</v>
      </c>
      <c r="I472" s="18">
        <f t="shared" ca="1" si="1287"/>
        <v>2269</v>
      </c>
      <c r="J472" s="18">
        <f ca="1">IFERROR(__xludf.DUMMYFUNCTION("IMPORTRANGE(""https://docs.google.com/spreadsheets/d/1KbRFOEYB0B44J_NSh1MwYQ1sLDlZXUHI-wuMLcZDn5k/edit"",""18!e44"")"),2494)</f>
        <v>2494</v>
      </c>
      <c r="K472" s="18">
        <f ca="1">IFERROR(__xludf.DUMMYFUNCTION("IMPORTRANGE(""https://docs.google.com/spreadsheets/d/1KbRFOEYB0B44J_NSh1MwYQ1sLDlZXUHI-wuMLcZDn5k/edit"",""18!e45"")"),431)</f>
        <v>431</v>
      </c>
      <c r="L472" s="18">
        <f ca="1">J472+K472</f>
        <v>2925</v>
      </c>
      <c r="M472" s="18">
        <f t="shared" ca="1" si="1289"/>
        <v>5194</v>
      </c>
      <c r="N472" s="19">
        <f t="shared" ca="1" si="1290"/>
        <v>177.18634482758623</v>
      </c>
      <c r="O472" s="16">
        <v>6622</v>
      </c>
      <c r="P472" s="20">
        <f t="shared" ca="1" si="1291"/>
        <v>0.78435517970401691</v>
      </c>
      <c r="Q472" s="21">
        <v>1.5</v>
      </c>
      <c r="R472" s="20">
        <f t="shared" ca="1" si="1292"/>
        <v>0.67387980132871339</v>
      </c>
      <c r="S472" s="22">
        <f t="shared" ca="1" si="1293"/>
        <v>1.01081970199307</v>
      </c>
      <c r="T472" s="21">
        <f ca="1">F472/23.84</f>
        <v>215.53708053691278</v>
      </c>
      <c r="U472" s="21">
        <f t="shared" ca="1" si="1294"/>
        <v>7.43231312196251</v>
      </c>
      <c r="V472" s="18">
        <f t="shared" ca="1" si="1295"/>
        <v>179.10344827586206</v>
      </c>
      <c r="W472" s="76"/>
      <c r="X472" s="8">
        <v>2</v>
      </c>
      <c r="Y472" s="8" t="s">
        <v>30</v>
      </c>
      <c r="Z472" s="8">
        <f t="shared" ref="Z472:AI472" si="1315">SUM(D467)</f>
        <v>60</v>
      </c>
      <c r="AA472" s="9">
        <f t="shared" ca="1" si="1315"/>
        <v>59</v>
      </c>
      <c r="AB472" s="10">
        <f t="shared" ca="1" si="1315"/>
        <v>11650.8829999999</v>
      </c>
      <c r="AC472" s="9">
        <f t="shared" ca="1" si="1315"/>
        <v>2923</v>
      </c>
      <c r="AD472" s="9">
        <f t="shared" ca="1" si="1315"/>
        <v>197</v>
      </c>
      <c r="AE472" s="9">
        <f t="shared" ca="1" si="1315"/>
        <v>3120</v>
      </c>
      <c r="AF472" s="9">
        <f t="shared" ca="1" si="1315"/>
        <v>5131</v>
      </c>
      <c r="AG472" s="9">
        <f t="shared" ca="1" si="1315"/>
        <v>29</v>
      </c>
      <c r="AH472" s="9">
        <f t="shared" ca="1" si="1315"/>
        <v>5160</v>
      </c>
      <c r="AI472" s="9">
        <f t="shared" ca="1" si="1315"/>
        <v>8280</v>
      </c>
      <c r="AJ472" s="11">
        <f t="shared" ca="1" si="1307"/>
        <v>197.47259322033727</v>
      </c>
      <c r="AK472" s="8">
        <f t="shared" si="1308"/>
        <v>11164</v>
      </c>
      <c r="AL472" s="12">
        <f t="shared" ca="1" si="1309"/>
        <v>0.74166965245431749</v>
      </c>
      <c r="AM472" s="13">
        <f t="shared" si="1310"/>
        <v>1.5</v>
      </c>
      <c r="AN472" s="12">
        <f t="shared" ca="1" si="1311"/>
        <v>0.47378383252153911</v>
      </c>
      <c r="AO472" s="14">
        <f t="shared" ca="1" si="1312"/>
        <v>0.71067574878230866</v>
      </c>
      <c r="AP472" s="13">
        <f t="shared" ref="AP472:AQ472" ca="1" si="1316">SUM(T467)</f>
        <v>393.57102320710396</v>
      </c>
      <c r="AQ472" s="13">
        <f t="shared" ca="1" si="1316"/>
        <v>6.6706953085949827</v>
      </c>
      <c r="AR472" s="9">
        <f t="shared" ca="1" si="1314"/>
        <v>140.33898305084745</v>
      </c>
      <c r="AS472" s="76"/>
      <c r="AT472" s="76"/>
    </row>
    <row r="473" spans="1:46" ht="15.75" customHeight="1" x14ac:dyDescent="0.25">
      <c r="A473" s="70"/>
      <c r="B473" s="16">
        <v>9</v>
      </c>
      <c r="C473" s="16" t="s">
        <v>36</v>
      </c>
      <c r="D473" s="34">
        <v>29</v>
      </c>
      <c r="E473" s="18">
        <f ca="1">IFERROR(__xludf.DUMMYFUNCTION("COUNT(IMPORTRANGE(""https://docs.google.com/spreadsheets/d/1VqqqRGfmmkT0JC4ILJva2p8P11jjV0FX-TSKAaqOigw/edit"",""18!d2:d31""))"),29)</f>
        <v>29</v>
      </c>
      <c r="F473" s="23">
        <f ca="1">IFERROR(__xludf.DUMMYFUNCTION("SUM(IMPORTRANGE(""https://docs.google.com/spreadsheets/d/1VqqqRGfmmkT0JC4ILJva2p8P11jjV0FX-TSKAaqOigw/edit"",""18!Q2:Q31""))"),5791.18999999999)</f>
        <v>5791.1899999999896</v>
      </c>
      <c r="G473" s="18">
        <f ca="1">IFERROR(__xludf.DUMMYFUNCTION("IMPORTRANGE(""https://docs.google.com/spreadsheets/d/1VqqqRGfmmkT0JC4ILJva2p8P11jjV0FX-TSKAaqOigw/edit"",""18!e38"")"),1509)</f>
        <v>1509</v>
      </c>
      <c r="H473" s="18">
        <f ca="1">IFERROR(__xludf.DUMMYFUNCTION("IMPORTRANGE(""https://docs.google.com/spreadsheets/d/1VqqqRGfmmkT0JC4ILJva2p8P11jjV0FX-TSKAaqOigw/edit"",""18!e39"")"),0)</f>
        <v>0</v>
      </c>
      <c r="I473" s="18">
        <f t="shared" ca="1" si="1287"/>
        <v>1509</v>
      </c>
      <c r="J473" s="18">
        <f ca="1">IFERROR(__xludf.DUMMYFUNCTION("IMPORTRANGE(""https://docs.google.com/spreadsheets/d/1VqqqRGfmmkT0JC4ILJva2p8P11jjV0FX-TSKAaqOigw/edit"",""18!e42"")"),2462)</f>
        <v>2462</v>
      </c>
      <c r="K473" s="18">
        <f ca="1">IFERROR(__xludf.DUMMYFUNCTION("IMPORTRANGE(""https://docs.google.com/spreadsheets/d/1VqqqRGfmmkT0JC4ILJva2p8P11jjV0FX-TSKAaqOigw/edit"",""18!e43"")"),0)</f>
        <v>0</v>
      </c>
      <c r="L473" s="18">
        <f t="shared" ref="L473:L482" ca="1" si="1317">SUM(J473:K473)</f>
        <v>2462</v>
      </c>
      <c r="M473" s="18">
        <f t="shared" ca="1" si="1289"/>
        <v>3971</v>
      </c>
      <c r="N473" s="19">
        <f t="shared" ca="1" si="1290"/>
        <v>199.69620689655136</v>
      </c>
      <c r="O473" s="16">
        <v>4796</v>
      </c>
      <c r="P473" s="20">
        <f t="shared" ca="1" si="1291"/>
        <v>0.82798165137614677</v>
      </c>
      <c r="Q473" s="21">
        <v>1.5</v>
      </c>
      <c r="R473" s="20">
        <f t="shared" ca="1" si="1292"/>
        <v>0.45713114805995625</v>
      </c>
      <c r="S473" s="22">
        <f t="shared" ca="1" si="1293"/>
        <v>0.68569672208993437</v>
      </c>
      <c r="T473" s="21">
        <f ca="1">F473/37.414</f>
        <v>154.7867108568982</v>
      </c>
      <c r="U473" s="21">
        <f t="shared" ca="1" si="1294"/>
        <v>5.3374727881689035</v>
      </c>
      <c r="V473" s="18">
        <f t="shared" ca="1" si="1295"/>
        <v>136.93103448275863</v>
      </c>
      <c r="W473" s="76"/>
      <c r="X473" s="8">
        <v>3</v>
      </c>
      <c r="Y473" s="8" t="s">
        <v>34</v>
      </c>
      <c r="Z473" s="8">
        <f t="shared" ref="Z473:AI473" si="1318">SUM(D469)</f>
        <v>40</v>
      </c>
      <c r="AA473" s="9">
        <f t="shared" ca="1" si="1318"/>
        <v>39</v>
      </c>
      <c r="AB473" s="10">
        <f t="shared" ca="1" si="1318"/>
        <v>7710.384</v>
      </c>
      <c r="AC473" s="9">
        <f t="shared" ca="1" si="1318"/>
        <v>2172</v>
      </c>
      <c r="AD473" s="9">
        <f t="shared" ca="1" si="1318"/>
        <v>0</v>
      </c>
      <c r="AE473" s="9">
        <f t="shared" ca="1" si="1318"/>
        <v>2172</v>
      </c>
      <c r="AF473" s="9">
        <f t="shared" ca="1" si="1318"/>
        <v>3434</v>
      </c>
      <c r="AG473" s="9">
        <f t="shared" ca="1" si="1318"/>
        <v>0</v>
      </c>
      <c r="AH473" s="9">
        <f t="shared" ca="1" si="1318"/>
        <v>3434</v>
      </c>
      <c r="AI473" s="9">
        <f t="shared" ca="1" si="1318"/>
        <v>5606</v>
      </c>
      <c r="AJ473" s="11">
        <f t="shared" ca="1" si="1307"/>
        <v>197.70215384615383</v>
      </c>
      <c r="AK473" s="8">
        <f>SUM(O469)</f>
        <v>9354</v>
      </c>
      <c r="AL473" s="12">
        <f t="shared" ca="1" si="1309"/>
        <v>0.59931580072696178</v>
      </c>
      <c r="AM473" s="13">
        <f>SUM(Q469)</f>
        <v>1.5</v>
      </c>
      <c r="AN473" s="12">
        <f t="shared" ca="1" si="1311"/>
        <v>0.48471429352070317</v>
      </c>
      <c r="AO473" s="14">
        <f t="shared" ca="1" si="1312"/>
        <v>0.72707144028105475</v>
      </c>
      <c r="AP473" s="13">
        <f t="shared" ref="AP473:AQ473" ca="1" si="1319">SUM(T469)</f>
        <v>251.04626705303943</v>
      </c>
      <c r="AQ473" s="13">
        <f t="shared" ca="1" si="1319"/>
        <v>6.4370837705907542</v>
      </c>
      <c r="AR473" s="9">
        <f t="shared" ca="1" si="1314"/>
        <v>143.74358974358975</v>
      </c>
      <c r="AS473" s="76"/>
      <c r="AT473" s="76"/>
    </row>
    <row r="474" spans="1:46" ht="15.75" customHeight="1" x14ac:dyDescent="0.25">
      <c r="A474" s="70"/>
      <c r="B474" s="16">
        <v>10</v>
      </c>
      <c r="C474" s="16" t="s">
        <v>37</v>
      </c>
      <c r="D474" s="17">
        <v>30</v>
      </c>
      <c r="E474" s="18">
        <f ca="1">IFERROR(__xludf.DUMMYFUNCTION("COUNT(IMPORTRANGE(""https://docs.google.com/spreadsheets/d/1IYeRjQd_D6MRqoBKNaky3aSEUloYCJc5XDnPAbdyetk/edit"",""18!d2:d31""))"),30)</f>
        <v>30</v>
      </c>
      <c r="F474" s="23">
        <f ca="1">IFERROR(__xludf.DUMMYFUNCTION("SUM(IMPORTRANGE(""https://docs.google.com/spreadsheets/d/1IYeRjQd_D6MRqoBKNaky3aSEUloYCJc5XDnPAbdyetk/edit"",""18!Q2:Q31""))"),5985.732)</f>
        <v>5985.732</v>
      </c>
      <c r="G474" s="18">
        <f ca="1">IFERROR(__xludf.DUMMYFUNCTION("(IMPORTRANGE(""https://docs.google.com/spreadsheets/d/1IYeRjQd_D6MRqoBKNaky3aSEUloYCJc5XDnPAbdyetk/edit"",""18!e38""))"),2105)</f>
        <v>2105</v>
      </c>
      <c r="H474" s="18">
        <f ca="1">IFERROR(__xludf.DUMMYFUNCTION("(IMPORTRANGE(""https://docs.google.com/spreadsheets/d/1IYeRjQd_D6MRqoBKNaky3aSEUloYCJc5XDnPAbdyetk/edit"",""18!e39""))"),0)</f>
        <v>0</v>
      </c>
      <c r="I474" s="18">
        <f t="shared" ca="1" si="1287"/>
        <v>2105</v>
      </c>
      <c r="J474" s="18">
        <f ca="1">IFERROR(__xludf.DUMMYFUNCTION("(IMPORTRANGE(""https://docs.google.com/spreadsheets/d/1IYeRjQd_D6MRqoBKNaky3aSEUloYCJc5XDnPAbdyetk/edit"",""18!e42""))"),2715)</f>
        <v>2715</v>
      </c>
      <c r="K474" s="18">
        <f ca="1">IFERROR(__xludf.DUMMYFUNCTION("(IMPORTRANGE(""https://docs.google.com/spreadsheets/d/1IYeRjQd_D6MRqoBKNaky3aSEUloYCJc5XDnPAbdyetk/edit"",""18!e43""))"),0)</f>
        <v>0</v>
      </c>
      <c r="L474" s="18">
        <f t="shared" ca="1" si="1317"/>
        <v>2715</v>
      </c>
      <c r="M474" s="18">
        <f t="shared" ca="1" si="1289"/>
        <v>4820</v>
      </c>
      <c r="N474" s="19">
        <f t="shared" ca="1" si="1290"/>
        <v>199.52439999999999</v>
      </c>
      <c r="O474" s="16">
        <v>5887</v>
      </c>
      <c r="P474" s="20">
        <f t="shared" ca="1" si="1291"/>
        <v>0.81875318498386274</v>
      </c>
      <c r="Q474" s="21">
        <v>1.5</v>
      </c>
      <c r="R474" s="20">
        <f t="shared" ca="1" si="1292"/>
        <v>0.53683214239015931</v>
      </c>
      <c r="S474" s="22">
        <f t="shared" ca="1" si="1293"/>
        <v>0.80524821358523901</v>
      </c>
      <c r="T474" s="21">
        <f ca="1">F474/24.792</f>
        <v>241.4380445304937</v>
      </c>
      <c r="U474" s="21">
        <f t="shared" ca="1" si="1294"/>
        <v>8.0479348176831227</v>
      </c>
      <c r="V474" s="18">
        <f t="shared" ca="1" si="1295"/>
        <v>160.66666666666666</v>
      </c>
      <c r="W474" s="76"/>
      <c r="X474" s="8">
        <v>4</v>
      </c>
      <c r="Y474" s="8" t="s">
        <v>38</v>
      </c>
      <c r="Z474" s="8">
        <f t="shared" ref="Z474:AI474" si="1320">SUM(D477)</f>
        <v>30</v>
      </c>
      <c r="AA474" s="9">
        <f t="shared" ca="1" si="1320"/>
        <v>30</v>
      </c>
      <c r="AB474" s="10">
        <f t="shared" ca="1" si="1320"/>
        <v>6470.2160000000003</v>
      </c>
      <c r="AC474" s="9">
        <f t="shared" ca="1" si="1320"/>
        <v>1983</v>
      </c>
      <c r="AD474" s="9">
        <f t="shared" ca="1" si="1320"/>
        <v>0</v>
      </c>
      <c r="AE474" s="9">
        <f t="shared" ca="1" si="1320"/>
        <v>1983</v>
      </c>
      <c r="AF474" s="9">
        <f t="shared" ca="1" si="1320"/>
        <v>2180</v>
      </c>
      <c r="AG474" s="9">
        <f t="shared" ca="1" si="1320"/>
        <v>0</v>
      </c>
      <c r="AH474" s="9">
        <f t="shared" ca="1" si="1320"/>
        <v>2180</v>
      </c>
      <c r="AI474" s="9">
        <f t="shared" ca="1" si="1320"/>
        <v>4163</v>
      </c>
      <c r="AJ474" s="11">
        <f t="shared" ca="1" si="1307"/>
        <v>215.67386666666667</v>
      </c>
      <c r="AK474" s="8">
        <v>7324</v>
      </c>
      <c r="AL474" s="12">
        <f t="shared" ca="1" si="1309"/>
        <v>0.56840524303659201</v>
      </c>
      <c r="AM474" s="13">
        <f>SUM(Q477)</f>
        <v>1.5</v>
      </c>
      <c r="AN474" s="12">
        <f t="shared" ca="1" si="1311"/>
        <v>0.42893982725357754</v>
      </c>
      <c r="AO474" s="14">
        <f t="shared" ca="1" si="1312"/>
        <v>0.64340974088036629</v>
      </c>
      <c r="AP474" s="13">
        <f t="shared" ref="AP474:AQ474" ca="1" si="1321">SUM(T477)</f>
        <v>157.025021235287</v>
      </c>
      <c r="AQ474" s="13">
        <f t="shared" ca="1" si="1321"/>
        <v>5.2341673745095667</v>
      </c>
      <c r="AR474" s="9">
        <f t="shared" ca="1" si="1314"/>
        <v>138.76666666666668</v>
      </c>
      <c r="AS474" s="76"/>
      <c r="AT474" s="76"/>
    </row>
    <row r="475" spans="1:46" ht="15.75" customHeight="1" x14ac:dyDescent="0.25">
      <c r="A475" s="70"/>
      <c r="B475" s="16">
        <v>12</v>
      </c>
      <c r="C475" s="16" t="s">
        <v>39</v>
      </c>
      <c r="D475" s="17">
        <v>28</v>
      </c>
      <c r="E475" s="18">
        <f ca="1">IFERROR(__xludf.DUMMYFUNCTION("COUNT(IMPORTRANGE(""https://docs.google.com/spreadsheets/d/1TAY2D35yAzyl8a_p5CuZehQvmatfj0b0Q8ICl8GtJBY/edit"",""18!d2:d29""))"),28)</f>
        <v>28</v>
      </c>
      <c r="F475" s="23">
        <f ca="1">IFERROR(__xludf.DUMMYFUNCTION("SUM(IMPORTRANGE(""https://docs.google.com/spreadsheets/d/1TAY2D35yAzyl8a_p5CuZehQvmatfj0b0Q8ICl8GtJBY/edit"",""18!Q2:Q29""))"),5072.544)</f>
        <v>5072.5439999999999</v>
      </c>
      <c r="G475" s="18">
        <f ca="1">IFERROR(__xludf.DUMMYFUNCTION("IMPORTRANGE(""https://docs.google.com/spreadsheets/d/1TAY2D35yAzyl8a_p5CuZehQvmatfj0b0Q8ICl8GtJBY/edit"",""18!e36"")"),1246)</f>
        <v>1246</v>
      </c>
      <c r="H475" s="18">
        <f ca="1">IFERROR(__xludf.DUMMYFUNCTION("(IMPORTRANGE(""https://docs.google.com/spreadsheets/d/1TAY2D35yAzyl8a_p5CuZehQvmatfj0b0Q8ICl8GtJBY/edit"",""18!e37""))"),0)</f>
        <v>0</v>
      </c>
      <c r="I475" s="18">
        <f t="shared" ca="1" si="1287"/>
        <v>1246</v>
      </c>
      <c r="J475" s="18">
        <f ca="1">IFERROR(__xludf.DUMMYFUNCTION("IMPORTRANGE(""https://docs.google.com/spreadsheets/d/1TAY2D35yAzyl8a_p5CuZehQvmatfj0b0Q8ICl8GtJBY/edit"",""18!e40"")"),1860)</f>
        <v>1860</v>
      </c>
      <c r="K475" s="18">
        <f ca="1">IFERROR(__xludf.DUMMYFUNCTION("IMPORTRANGE(""https://docs.google.com/spreadsheets/d/1TAY2D35yAzyl8a_p5CuZehQvmatfj0b0Q8ICl8GtJBY/edit"",""18!e41"")"),0)</f>
        <v>0</v>
      </c>
      <c r="L475" s="18">
        <f t="shared" ca="1" si="1317"/>
        <v>1860</v>
      </c>
      <c r="M475" s="18">
        <f t="shared" ca="1" si="1289"/>
        <v>3106</v>
      </c>
      <c r="N475" s="19">
        <f t="shared" ca="1" si="1290"/>
        <v>181.1622857142857</v>
      </c>
      <c r="O475" s="16">
        <v>3569</v>
      </c>
      <c r="P475" s="20">
        <f t="shared" ca="1" si="1291"/>
        <v>0.87027178481367329</v>
      </c>
      <c r="Q475" s="21">
        <v>1.5</v>
      </c>
      <c r="R475" s="20">
        <f t="shared" ca="1" si="1292"/>
        <v>0.40821068613040451</v>
      </c>
      <c r="S475" s="22">
        <f t="shared" ca="1" si="1293"/>
        <v>0.61231602919560679</v>
      </c>
      <c r="T475" s="21">
        <f ca="1">F475/21.463</f>
        <v>236.33900200344777</v>
      </c>
      <c r="U475" s="21">
        <f t="shared" ca="1" si="1294"/>
        <v>8.4406786429802771</v>
      </c>
      <c r="V475" s="18">
        <f t="shared" ca="1" si="1295"/>
        <v>110.92857142857143</v>
      </c>
      <c r="W475" s="76"/>
      <c r="X475" s="8">
        <v>5</v>
      </c>
      <c r="Y475" s="8" t="s">
        <v>40</v>
      </c>
      <c r="Z475" s="8">
        <f t="shared" ref="Z475:AI475" si="1322">SUM(D479)</f>
        <v>30</v>
      </c>
      <c r="AA475" s="9">
        <f t="shared" ca="1" si="1322"/>
        <v>30</v>
      </c>
      <c r="AB475" s="10">
        <f t="shared" ca="1" si="1322"/>
        <v>5973.0299999999897</v>
      </c>
      <c r="AC475" s="9">
        <f t="shared" ca="1" si="1322"/>
        <v>3163</v>
      </c>
      <c r="AD475" s="9">
        <f t="shared" ca="1" si="1322"/>
        <v>8</v>
      </c>
      <c r="AE475" s="9">
        <f t="shared" ca="1" si="1322"/>
        <v>3171</v>
      </c>
      <c r="AF475" s="9">
        <f t="shared" ca="1" si="1322"/>
        <v>3758</v>
      </c>
      <c r="AG475" s="9">
        <f t="shared" ca="1" si="1322"/>
        <v>28</v>
      </c>
      <c r="AH475" s="9">
        <f t="shared" ca="1" si="1322"/>
        <v>3786</v>
      </c>
      <c r="AI475" s="9">
        <f t="shared" ca="1" si="1322"/>
        <v>6957</v>
      </c>
      <c r="AJ475" s="11">
        <f t="shared" ca="1" si="1307"/>
        <v>199.10099999999966</v>
      </c>
      <c r="AK475" s="8">
        <f t="shared" ref="AK475:AK476" si="1323">SUM(O479)</f>
        <v>8239</v>
      </c>
      <c r="AL475" s="12">
        <f t="shared" ca="1" si="1309"/>
        <v>0.84439859206214352</v>
      </c>
      <c r="AM475" s="13">
        <f t="shared" ref="AM475:AM476" si="1324">SUM(Q479)</f>
        <v>1.5</v>
      </c>
      <c r="AN475" s="12">
        <f t="shared" ca="1" si="1311"/>
        <v>0.77649032400641016</v>
      </c>
      <c r="AO475" s="14">
        <f t="shared" ca="1" si="1312"/>
        <v>1.1647354860096153</v>
      </c>
      <c r="AP475" s="13">
        <f t="shared" ref="AP475:AQ475" ca="1" si="1325">SUM(T479)</f>
        <v>209.99999999999963</v>
      </c>
      <c r="AQ475" s="13">
        <f t="shared" ca="1" si="1325"/>
        <v>6.9999999999999876</v>
      </c>
      <c r="AR475" s="9">
        <f t="shared" ca="1" si="1314"/>
        <v>231.9</v>
      </c>
      <c r="AS475" s="76"/>
      <c r="AT475" s="76"/>
    </row>
    <row r="476" spans="1:46" ht="15.75" customHeight="1" x14ac:dyDescent="0.25">
      <c r="A476" s="70"/>
      <c r="B476" s="16">
        <v>12</v>
      </c>
      <c r="C476" s="16" t="s">
        <v>41</v>
      </c>
      <c r="D476" s="17">
        <v>24</v>
      </c>
      <c r="E476" s="18">
        <f ca="1">IFERROR(__xludf.DUMMYFUNCTION("COUNT(IMPORTRANGE(""https://docs.google.com/spreadsheets/d/1VAsUtLQHi7oV9NsI9EIHPnO1bcPJHeRgSbMoxSvPBME/edit"",""18!d2:d25""))"),23)</f>
        <v>23</v>
      </c>
      <c r="F476" s="23">
        <f ca="1">IFERROR(__xludf.DUMMYFUNCTION("SUM(IMPORTRANGE(""https://docs.google.com/spreadsheets/d/1VAsUtLQHi7oV9NsI9EIHPnO1bcPJHeRgSbMoxSvPBME/edit"",""18!Q2:Q25""))"),4526.5)</f>
        <v>4526.5</v>
      </c>
      <c r="G476" s="18">
        <f ca="1">IFERROR(__xludf.DUMMYFUNCTION("IMPORTRANGE(""https://docs.google.com/spreadsheets/d/1VAsUtLQHi7oV9NsI9EIHPnO1bcPJHeRgSbMoxSvPBME/edit"",""18!e32"")"),1182)</f>
        <v>1182</v>
      </c>
      <c r="H476" s="18">
        <f ca="1">IFERROR(__xludf.DUMMYFUNCTION("IMPORTRANGE(""https://docs.google.com/spreadsheets/d/1VAsUtLQHi7oV9NsI9EIHPnO1bcPJHeRgSbMoxSvPBME/edit"",""18!e33"")"),52)</f>
        <v>52</v>
      </c>
      <c r="I476" s="18">
        <f t="shared" ca="1" si="1287"/>
        <v>1234</v>
      </c>
      <c r="J476" s="18">
        <f ca="1">IFERROR(__xludf.DUMMYFUNCTION("IMPORTRANGE(""https://docs.google.com/spreadsheets/d/1VAsUtLQHi7oV9NsI9EIHPnO1bcPJHeRgSbMoxSvPBME/edit"",""18!e36"")"),1724)</f>
        <v>1724</v>
      </c>
      <c r="K476" s="18">
        <f ca="1">IFERROR(__xludf.DUMMYFUNCTION("IMPORTRANGE(""https://docs.google.com/spreadsheets/d/1VAsUtLQHi7oV9NsI9EIHPnO1bcPJHeRgSbMoxSvPBME/edit"",""18!e37"")"),0)</f>
        <v>0</v>
      </c>
      <c r="L476" s="18">
        <f t="shared" ca="1" si="1317"/>
        <v>1724</v>
      </c>
      <c r="M476" s="18">
        <f t="shared" ca="1" si="1289"/>
        <v>2958</v>
      </c>
      <c r="N476" s="19">
        <f t="shared" ca="1" si="1290"/>
        <v>196.80434782608697</v>
      </c>
      <c r="O476" s="16">
        <v>3801</v>
      </c>
      <c r="P476" s="20">
        <f t="shared" ca="1" si="1291"/>
        <v>0.77821625887924228</v>
      </c>
      <c r="Q476" s="21">
        <v>1.5</v>
      </c>
      <c r="R476" s="20">
        <f t="shared" ca="1" si="1292"/>
        <v>0.43565668839058874</v>
      </c>
      <c r="S476" s="22">
        <f t="shared" ca="1" si="1293"/>
        <v>0.65348503258588309</v>
      </c>
      <c r="T476" s="21">
        <f ca="1">F476/29.628</f>
        <v>152.77777777777777</v>
      </c>
      <c r="U476" s="21">
        <f t="shared" ca="1" si="1294"/>
        <v>6.6425120772946853</v>
      </c>
      <c r="V476" s="18">
        <f t="shared" ca="1" si="1295"/>
        <v>128.60869565217391</v>
      </c>
      <c r="W476" s="76"/>
      <c r="X476" s="8">
        <v>6</v>
      </c>
      <c r="Y476" s="8" t="s">
        <v>42</v>
      </c>
      <c r="Z476" s="8">
        <f t="shared" ref="Z476:AI476" si="1326">SUM(D480)</f>
        <v>33</v>
      </c>
      <c r="AA476" s="9">
        <f t="shared" ca="1" si="1326"/>
        <v>33</v>
      </c>
      <c r="AB476" s="10">
        <f t="shared" ca="1" si="1326"/>
        <v>6335.66499999999</v>
      </c>
      <c r="AC476" s="9">
        <f t="shared" ca="1" si="1326"/>
        <v>2718</v>
      </c>
      <c r="AD476" s="9">
        <f t="shared" ca="1" si="1326"/>
        <v>0</v>
      </c>
      <c r="AE476" s="9">
        <f t="shared" ca="1" si="1326"/>
        <v>2718</v>
      </c>
      <c r="AF476" s="9">
        <f t="shared" ca="1" si="1326"/>
        <v>3996</v>
      </c>
      <c r="AG476" s="9">
        <f t="shared" ca="1" si="1326"/>
        <v>0</v>
      </c>
      <c r="AH476" s="9">
        <f t="shared" ca="1" si="1326"/>
        <v>3996</v>
      </c>
      <c r="AI476" s="9">
        <f t="shared" ca="1" si="1326"/>
        <v>6714</v>
      </c>
      <c r="AJ476" s="11">
        <f t="shared" ca="1" si="1307"/>
        <v>191.98984848484818</v>
      </c>
      <c r="AK476" s="8">
        <f t="shared" si="1323"/>
        <v>9877</v>
      </c>
      <c r="AL476" s="12">
        <f t="shared" ca="1" si="1309"/>
        <v>0.67976106105092637</v>
      </c>
      <c r="AM476" s="13">
        <f t="shared" si="1324"/>
        <v>1.5</v>
      </c>
      <c r="AN476" s="12">
        <f t="shared" ca="1" si="1311"/>
        <v>0.7064767471133665</v>
      </c>
      <c r="AO476" s="14">
        <f t="shared" ca="1" si="1312"/>
        <v>1.0597151206700497</v>
      </c>
      <c r="AP476" s="13">
        <f t="shared" ref="AP476:AQ476" ca="1" si="1327">SUM(T480)</f>
        <v>242.23532785318255</v>
      </c>
      <c r="AQ476" s="13">
        <f t="shared" ca="1" si="1327"/>
        <v>7.3404644803994712</v>
      </c>
      <c r="AR476" s="9">
        <f t="shared" ca="1" si="1314"/>
        <v>203.45454545454547</v>
      </c>
      <c r="AS476" s="76"/>
      <c r="AT476" s="76"/>
    </row>
    <row r="477" spans="1:46" ht="15.75" customHeight="1" x14ac:dyDescent="0.25">
      <c r="A477" s="70"/>
      <c r="B477" s="16">
        <v>13</v>
      </c>
      <c r="C477" s="16" t="s">
        <v>43</v>
      </c>
      <c r="D477" s="17">
        <v>30</v>
      </c>
      <c r="E477" s="18">
        <f ca="1">IFERROR(__xludf.DUMMYFUNCTION("COUNT(IMPORTRANGE(""https://docs.google.com/spreadsheets/d/1p9Y_DGk7-TpRBFth-ljZceOIGCjQ0ylUeUq6xqnsZ-Q/edit"",""18!d2:d31""))"),30)</f>
        <v>30</v>
      </c>
      <c r="F477" s="23">
        <f ca="1">IFERROR(__xludf.DUMMYFUNCTION("SUM(IMPORTRANGE(""https://docs.google.com/spreadsheets/d/1p9Y_DGk7-TpRBFth-ljZceOIGCjQ0ylUeUq6xqnsZ-Q/edit"",""18!Q2:Q31""))"),6470.216)</f>
        <v>6470.2160000000003</v>
      </c>
      <c r="G477" s="18">
        <f ca="1">IFERROR(__xludf.DUMMYFUNCTION("IMPORTRANGE(""https://docs.google.com/spreadsheets/d/1p9Y_DGk7-TpRBFth-ljZceOIGCjQ0ylUeUq6xqnsZ-Q/edit"",""18!e38"")"),1983)</f>
        <v>1983</v>
      </c>
      <c r="H477" s="18">
        <f ca="1">IFERROR(__xludf.DUMMYFUNCTION("IMPORTRANGE(""https://docs.google.com/spreadsheets/d/1p9Y_DGk7-TpRBFth-ljZceOIGCjQ0ylUeUq6xqnsZ-Q/edit"",""18!e39"")"),0)</f>
        <v>0</v>
      </c>
      <c r="I477" s="18">
        <f t="shared" ca="1" si="1287"/>
        <v>1983</v>
      </c>
      <c r="J477" s="18">
        <f ca="1">IFERROR(__xludf.DUMMYFUNCTION("IMPORTRANGE(""https://docs.google.com/spreadsheets/d/1p9Y_DGk7-TpRBFth-ljZceOIGCjQ0ylUeUq6xqnsZ-Q/edit"",""18!e42"")"),2180)</f>
        <v>2180</v>
      </c>
      <c r="K477" s="18">
        <f ca="1">IFERROR(__xludf.DUMMYFUNCTION("IMPORTRANGE(""https://docs.google.com/spreadsheets/d/1p9Y_DGk7-TpRBFth-ljZceOIGCjQ0ylUeUq6xqnsZ-Q/edit"",""18!e43"")"),0)</f>
        <v>0</v>
      </c>
      <c r="L477" s="18">
        <f t="shared" ca="1" si="1317"/>
        <v>2180</v>
      </c>
      <c r="M477" s="18">
        <f t="shared" ca="1" si="1289"/>
        <v>4163</v>
      </c>
      <c r="N477" s="19">
        <f t="shared" ca="1" si="1290"/>
        <v>215.67386666666667</v>
      </c>
      <c r="O477" s="16">
        <v>8345</v>
      </c>
      <c r="P477" s="20">
        <f t="shared" ca="1" si="1291"/>
        <v>0.4988615937687238</v>
      </c>
      <c r="Q477" s="21">
        <v>1.5</v>
      </c>
      <c r="R477" s="20">
        <f t="shared" ca="1" si="1292"/>
        <v>0.42893982725357754</v>
      </c>
      <c r="S477" s="22">
        <f t="shared" ca="1" si="1293"/>
        <v>0.64340974088036629</v>
      </c>
      <c r="T477" s="21">
        <f ca="1">F477/41.205</f>
        <v>157.025021235287</v>
      </c>
      <c r="U477" s="21">
        <f t="shared" ca="1" si="1294"/>
        <v>5.2341673745095667</v>
      </c>
      <c r="V477" s="18">
        <f t="shared" ca="1" si="1295"/>
        <v>138.76666666666668</v>
      </c>
      <c r="W477" s="76"/>
      <c r="X477" s="24" t="s">
        <v>33</v>
      </c>
      <c r="Y477" s="24">
        <v>6</v>
      </c>
      <c r="Z477" s="24">
        <f t="shared" ref="Z477:AI477" si="1328">SUM(Z471:Z476)</f>
        <v>226</v>
      </c>
      <c r="AA477" s="25">
        <f t="shared" ca="1" si="1328"/>
        <v>224</v>
      </c>
      <c r="AB477" s="27">
        <f t="shared" ca="1" si="1328"/>
        <v>44607.216999999873</v>
      </c>
      <c r="AC477" s="25">
        <f t="shared" ca="1" si="1328"/>
        <v>15522</v>
      </c>
      <c r="AD477" s="25">
        <f t="shared" ca="1" si="1328"/>
        <v>325</v>
      </c>
      <c r="AE477" s="25">
        <f t="shared" ca="1" si="1328"/>
        <v>15847</v>
      </c>
      <c r="AF477" s="25">
        <f t="shared" ca="1" si="1328"/>
        <v>21011</v>
      </c>
      <c r="AG477" s="25">
        <f t="shared" ca="1" si="1328"/>
        <v>333</v>
      </c>
      <c r="AH477" s="25">
        <f t="shared" ca="1" si="1328"/>
        <v>21344</v>
      </c>
      <c r="AI477" s="25">
        <f t="shared" ca="1" si="1328"/>
        <v>37191</v>
      </c>
      <c r="AJ477" s="27">
        <f t="shared" ca="1" si="1307"/>
        <v>199.13936160714229</v>
      </c>
      <c r="AK477" s="24">
        <f>SUM(AK471:AK476)</f>
        <v>53273</v>
      </c>
      <c r="AL477" s="28">
        <f t="shared" ca="1" si="1309"/>
        <v>0.69812099938054928</v>
      </c>
      <c r="AM477" s="29">
        <v>1.5</v>
      </c>
      <c r="AN477" s="28">
        <f t="shared" ca="1" si="1311"/>
        <v>0.55582934035091391</v>
      </c>
      <c r="AO477" s="30">
        <f t="shared" ca="1" si="1312"/>
        <v>0.83374401052637082</v>
      </c>
      <c r="AP477" s="29">
        <f ca="1">SUM(AP471:AP476)</f>
        <v>1463.187248695798</v>
      </c>
      <c r="AQ477" s="29">
        <f ca="1">AP477/AA477</f>
        <v>6.5320859316776696</v>
      </c>
      <c r="AR477" s="25">
        <f t="shared" ca="1" si="1314"/>
        <v>166.03125</v>
      </c>
      <c r="AS477" s="76"/>
      <c r="AT477" s="76"/>
    </row>
    <row r="478" spans="1:46" ht="15.75" customHeight="1" x14ac:dyDescent="0.25">
      <c r="A478" s="70"/>
      <c r="B478" s="16">
        <v>14</v>
      </c>
      <c r="C478" s="16" t="s">
        <v>27</v>
      </c>
      <c r="D478" s="17">
        <v>30</v>
      </c>
      <c r="E478" s="18">
        <f ca="1">IFERROR(__xludf.DUMMYFUNCTION("COUNT(IMPORTRANGE(""https://docs.google.com/spreadsheets/d/1zJUDEKztv_fercXA0LYNw155qdzS7TJGhWLhquaW5IY/edit"",""18!d2:d31""))"),30)</f>
        <v>30</v>
      </c>
      <c r="F478" s="23">
        <f ca="1">IFERROR(__xludf.DUMMYFUNCTION("SUM(IMPORTRANGE(""https://docs.google.com/spreadsheets/d/1zJUDEKztv_fercXA0LYNw155qdzS7TJGhWLhquaW5IY/edit"",""18!Q2:Q31""))"),5645.625)</f>
        <v>5645.625</v>
      </c>
      <c r="G478" s="18">
        <f ca="1">IFERROR(__xludf.DUMMYFUNCTION("IMPORTRANGE(""https://docs.google.com/spreadsheets/d/1zJUDEKztv_fercXA0LYNw155qdzS7TJGhWLhquaW5IY/edit"",""18!e38"")"),2424)</f>
        <v>2424</v>
      </c>
      <c r="H478" s="18">
        <f ca="1">IFERROR(__xludf.DUMMYFUNCTION("IMPORTRANGE(""https://docs.google.com/spreadsheets/d/1zJUDEKztv_fercXA0LYNw155qdzS7TJGhWLhquaW5IY/edit"",""18!e39"")"),0)</f>
        <v>0</v>
      </c>
      <c r="I478" s="18">
        <f t="shared" ca="1" si="1287"/>
        <v>2424</v>
      </c>
      <c r="J478" s="18">
        <f ca="1">IFERROR(__xludf.DUMMYFUNCTION("IMPORTRANGE(""https://docs.google.com/spreadsheets/d/1zJUDEKztv_fercXA0LYNw155qdzS7TJGhWLhquaW5IY/edit"",""18!e42"")"),2656)</f>
        <v>2656</v>
      </c>
      <c r="K478" s="18">
        <f ca="1">IFERROR(__xludf.DUMMYFUNCTION("IMPORTRANGE(""https://docs.google.com/spreadsheets/d/1zJUDEKztv_fercXA0LYNw155qdzS7TJGhWLhquaW5IY/edit"",""18!e43"")"),0)</f>
        <v>0</v>
      </c>
      <c r="L478" s="18">
        <f t="shared" ca="1" si="1317"/>
        <v>2656</v>
      </c>
      <c r="M478" s="18">
        <f t="shared" ca="1" si="1289"/>
        <v>5080</v>
      </c>
      <c r="N478" s="19">
        <f t="shared" ca="1" si="1290"/>
        <v>188.1875</v>
      </c>
      <c r="O478" s="16">
        <v>8101</v>
      </c>
      <c r="P478" s="20">
        <f t="shared" ca="1" si="1291"/>
        <v>0.62708307616343661</v>
      </c>
      <c r="Q478" s="21">
        <v>1.5</v>
      </c>
      <c r="R478" s="20">
        <f t="shared" ca="1" si="1292"/>
        <v>0.59987453411565006</v>
      </c>
      <c r="S478" s="22">
        <f t="shared" ca="1" si="1293"/>
        <v>0.89981180117347503</v>
      </c>
      <c r="T478" s="21">
        <f ca="1">F478/19.985</f>
        <v>282.49311983987991</v>
      </c>
      <c r="U478" s="21">
        <f t="shared" ca="1" si="1294"/>
        <v>9.4164373279959968</v>
      </c>
      <c r="V478" s="18">
        <f t="shared" ca="1" si="1295"/>
        <v>169.33333333333334</v>
      </c>
      <c r="W478" s="76"/>
      <c r="X478" s="97" t="s">
        <v>44</v>
      </c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9"/>
      <c r="AS478" s="76"/>
      <c r="AT478" s="76"/>
    </row>
    <row r="479" spans="1:46" ht="15.75" customHeight="1" x14ac:dyDescent="0.25">
      <c r="A479" s="70"/>
      <c r="B479" s="16">
        <v>15</v>
      </c>
      <c r="C479" s="16" t="s">
        <v>40</v>
      </c>
      <c r="D479" s="17">
        <v>30</v>
      </c>
      <c r="E479" s="18">
        <f ca="1">IFERROR(__xludf.DUMMYFUNCTION("COUNT(IMPORTRANGE(""https://docs.google.com/spreadsheets/d/15GJA66Ucb-8RQ5vWVpq5HYaWoZZFX82SCeHChBujbrI/edit"",""18!d2:d31""))"),30)</f>
        <v>30</v>
      </c>
      <c r="F479" s="23">
        <f ca="1">IFERROR(__xludf.DUMMYFUNCTION("SUM(IMPORTRANGE(""https://docs.google.com/spreadsheets/d/15GJA66Ucb-8RQ5vWVpq5HYaWoZZFX82SCeHChBujbrI/edit"",""18!Q2:Q31""))"),5973.02999999999)</f>
        <v>5973.0299999999897</v>
      </c>
      <c r="G479" s="18">
        <f ca="1">IFERROR(__xludf.DUMMYFUNCTION("IMPORTRANGE(""https://docs.google.com/spreadsheets/d/15GJA66Ucb-8RQ5vWVpq5HYaWoZZFX82SCeHChBujbrI/edit"",""18!e38"")"),3163)</f>
        <v>3163</v>
      </c>
      <c r="H479" s="18">
        <f ca="1">IFERROR(__xludf.DUMMYFUNCTION("IMPORTRANGE(""https://docs.google.com/spreadsheets/d/15GJA66Ucb-8RQ5vWVpq5HYaWoZZFX82SCeHChBujbrI/edit"",""18!e39"")"),8)</f>
        <v>8</v>
      </c>
      <c r="I479" s="18">
        <f t="shared" ca="1" si="1287"/>
        <v>3171</v>
      </c>
      <c r="J479" s="18">
        <f ca="1">IFERROR(__xludf.DUMMYFUNCTION("IMPORTRANGE(""https://docs.google.com/spreadsheets/d/15GJA66Ucb-8RQ5vWVpq5HYaWoZZFX82SCeHChBujbrI/edit"",""18!e42"")"),3758)</f>
        <v>3758</v>
      </c>
      <c r="K479" s="18">
        <f ca="1">IFERROR(__xludf.DUMMYFUNCTION("IMPORTRANGE(""https://docs.google.com/spreadsheets/d/15GJA66Ucb-8RQ5vWVpq5HYaWoZZFX82SCeHChBujbrI/edit"",""18!e43"")"),28)</f>
        <v>28</v>
      </c>
      <c r="L479" s="18">
        <f t="shared" ca="1" si="1317"/>
        <v>3786</v>
      </c>
      <c r="M479" s="18">
        <f t="shared" ca="1" si="1289"/>
        <v>6957</v>
      </c>
      <c r="N479" s="19">
        <f t="shared" ca="1" si="1290"/>
        <v>199.10099999999966</v>
      </c>
      <c r="O479" s="16">
        <v>8239</v>
      </c>
      <c r="P479" s="20">
        <f t="shared" ca="1" si="1291"/>
        <v>0.84439859206214352</v>
      </c>
      <c r="Q479" s="21">
        <v>1.5</v>
      </c>
      <c r="R479" s="20">
        <f t="shared" ca="1" si="1292"/>
        <v>0.77649032400641016</v>
      </c>
      <c r="S479" s="22">
        <f t="shared" ca="1" si="1293"/>
        <v>1.1647354860096153</v>
      </c>
      <c r="T479" s="21">
        <f ca="1">F479/28.443</f>
        <v>209.99999999999963</v>
      </c>
      <c r="U479" s="21">
        <f t="shared" ca="1" si="1294"/>
        <v>6.9999999999999876</v>
      </c>
      <c r="V479" s="18">
        <f t="shared" ca="1" si="1295"/>
        <v>231.9</v>
      </c>
      <c r="W479" s="76"/>
      <c r="X479" s="1" t="s">
        <v>2</v>
      </c>
      <c r="Y479" s="1" t="s">
        <v>3</v>
      </c>
      <c r="Z479" s="1" t="s">
        <v>4</v>
      </c>
      <c r="AA479" s="1" t="s">
        <v>5</v>
      </c>
      <c r="AB479" s="2" t="s">
        <v>6</v>
      </c>
      <c r="AC479" s="1" t="s">
        <v>7</v>
      </c>
      <c r="AD479" s="1" t="s">
        <v>8</v>
      </c>
      <c r="AE479" s="1" t="s">
        <v>9</v>
      </c>
      <c r="AF479" s="1" t="s">
        <v>10</v>
      </c>
      <c r="AG479" s="1" t="s">
        <v>11</v>
      </c>
      <c r="AH479" s="1" t="s">
        <v>12</v>
      </c>
      <c r="AI479" s="1" t="s">
        <v>13</v>
      </c>
      <c r="AJ479" s="2" t="s">
        <v>14</v>
      </c>
      <c r="AK479" s="1" t="s">
        <v>15</v>
      </c>
      <c r="AL479" s="1" t="s">
        <v>16</v>
      </c>
      <c r="AM479" s="3" t="s">
        <v>17</v>
      </c>
      <c r="AN479" s="4" t="s">
        <v>18</v>
      </c>
      <c r="AO479" s="5" t="s">
        <v>19</v>
      </c>
      <c r="AP479" s="6" t="s">
        <v>20</v>
      </c>
      <c r="AQ479" s="6" t="s">
        <v>21</v>
      </c>
      <c r="AR479" s="7" t="s">
        <v>22</v>
      </c>
      <c r="AS479" s="76"/>
      <c r="AT479" s="76"/>
    </row>
    <row r="480" spans="1:46" ht="15.75" customHeight="1" x14ac:dyDescent="0.25">
      <c r="A480" s="70"/>
      <c r="B480" s="16">
        <v>16</v>
      </c>
      <c r="C480" s="16" t="s">
        <v>42</v>
      </c>
      <c r="D480" s="17">
        <v>33</v>
      </c>
      <c r="E480" s="18">
        <f ca="1">IFERROR(__xludf.DUMMYFUNCTION("COUNT(IMPORTRANGE(""https://docs.google.com/spreadsheets/d/14Tu_jFPEdrIQ6DHYu6vRvJKQsbXr-48NY1tKy4-8JKI/edit"",""18!d2:d34""))"),33)</f>
        <v>33</v>
      </c>
      <c r="F480" s="23">
        <f ca="1">IFERROR(__xludf.DUMMYFUNCTION("SUM(IMPORTRANGE(""https://docs.google.com/spreadsheets/d/14Tu_jFPEdrIQ6DHYu6vRvJKQsbXr-48NY1tKy4-8JKI/edit"",""18!Q2:Q34""))"),6335.66499999999)</f>
        <v>6335.66499999999</v>
      </c>
      <c r="G480" s="18">
        <f ca="1">IFERROR(__xludf.DUMMYFUNCTION("IMPORTRANGE(""https://docs.google.com/spreadsheets/d/14Tu_jFPEdrIQ6DHYu6vRvJKQsbXr-48NY1tKy4-8JKI/edit"",""18!e41"")"),2718)</f>
        <v>2718</v>
      </c>
      <c r="H480" s="18">
        <f ca="1">IFERROR(__xludf.DUMMYFUNCTION("IMPORTRANGE(""https://docs.google.com/spreadsheets/d/14Tu_jFPEdrIQ6DHYu6vRvJKQsbXr-48NY1tKy4-8JKI/edit"",""18!e42"")"),0)</f>
        <v>0</v>
      </c>
      <c r="I480" s="18">
        <f t="shared" ca="1" si="1287"/>
        <v>2718</v>
      </c>
      <c r="J480" s="18">
        <f ca="1">IFERROR(__xludf.DUMMYFUNCTION("IMPORTRANGE(""https://docs.google.com/spreadsheets/d/14Tu_jFPEdrIQ6DHYu6vRvJKQsbXr-48NY1tKy4-8JKI/edit"",""18!e45"")"),3996)</f>
        <v>3996</v>
      </c>
      <c r="K480" s="18">
        <f ca="1">IFERROR(__xludf.DUMMYFUNCTION("IMPORTRANGE(""https://docs.google.com/spreadsheets/d/14Tu_jFPEdrIQ6DHYu6vRvJKQsbXr-48NY1tKy4-8JKI/edit"",""18!e46"")"),0)</f>
        <v>0</v>
      </c>
      <c r="L480" s="18">
        <f t="shared" ca="1" si="1317"/>
        <v>3996</v>
      </c>
      <c r="M480" s="18">
        <f t="shared" ca="1" si="1289"/>
        <v>6714</v>
      </c>
      <c r="N480" s="19">
        <f t="shared" ca="1" si="1290"/>
        <v>191.98984848484818</v>
      </c>
      <c r="O480" s="16">
        <v>9877</v>
      </c>
      <c r="P480" s="20">
        <f t="shared" ca="1" si="1291"/>
        <v>0.67976106105092637</v>
      </c>
      <c r="Q480" s="21">
        <v>1.5</v>
      </c>
      <c r="R480" s="20">
        <f t="shared" ca="1" si="1292"/>
        <v>0.7064767471133665</v>
      </c>
      <c r="S480" s="22">
        <f t="shared" ca="1" si="1293"/>
        <v>1.0597151206700497</v>
      </c>
      <c r="T480" s="21">
        <f ca="1">F480/26.155</f>
        <v>242.23532785318255</v>
      </c>
      <c r="U480" s="21">
        <f t="shared" ca="1" si="1294"/>
        <v>7.3404644803994712</v>
      </c>
      <c r="V480" s="18">
        <f t="shared" ca="1" si="1295"/>
        <v>203.45454545454547</v>
      </c>
      <c r="W480" s="76"/>
      <c r="X480" s="8">
        <v>1</v>
      </c>
      <c r="Y480" s="8" t="s">
        <v>26</v>
      </c>
      <c r="Z480" s="8">
        <f t="shared" ref="Z480:AI480" si="1329">SUM(D465)</f>
        <v>20</v>
      </c>
      <c r="AA480" s="9">
        <f t="shared" ca="1" si="1329"/>
        <v>20</v>
      </c>
      <c r="AB480" s="11">
        <f t="shared" ca="1" si="1329"/>
        <v>3892.6619999999998</v>
      </c>
      <c r="AC480" s="9">
        <f t="shared" ca="1" si="1329"/>
        <v>1684</v>
      </c>
      <c r="AD480" s="9">
        <f t="shared" ca="1" si="1329"/>
        <v>0</v>
      </c>
      <c r="AE480" s="9">
        <f t="shared" ca="1" si="1329"/>
        <v>1684</v>
      </c>
      <c r="AF480" s="9">
        <f t="shared" ca="1" si="1329"/>
        <v>2489</v>
      </c>
      <c r="AG480" s="9">
        <f t="shared" ca="1" si="1329"/>
        <v>0</v>
      </c>
      <c r="AH480" s="9">
        <f t="shared" ca="1" si="1329"/>
        <v>2489</v>
      </c>
      <c r="AI480" s="9">
        <f t="shared" ca="1" si="1329"/>
        <v>4173</v>
      </c>
      <c r="AJ480" s="11">
        <f t="shared" ref="AJ480:AJ486" ca="1" si="1330">AB480/AA480</f>
        <v>194.63309999999998</v>
      </c>
      <c r="AK480" s="8">
        <f>SUM(O465)</f>
        <v>5161</v>
      </c>
      <c r="AL480" s="12">
        <f t="shared" ref="AL480:AL486" ca="1" si="1331">AI480/AK480</f>
        <v>0.80856423173803527</v>
      </c>
      <c r="AM480" s="13">
        <f>SUM(Q465)</f>
        <v>1.5</v>
      </c>
      <c r="AN480" s="12">
        <f t="shared" ref="AN480:AN486" ca="1" si="1332">AO480/AM480</f>
        <v>0.71467802752974707</v>
      </c>
      <c r="AO480" s="14">
        <f t="shared" ref="AO480:AO486" ca="1" si="1333">AI480/AB480</f>
        <v>1.0720170412946206</v>
      </c>
      <c r="AP480" s="13">
        <f t="shared" ref="AP480:AQ480" ca="1" si="1334">SUM(T465)</f>
        <v>270.04245577523415</v>
      </c>
      <c r="AQ480" s="13">
        <f t="shared" ca="1" si="1334"/>
        <v>13.502122788761707</v>
      </c>
      <c r="AR480" s="9">
        <f t="shared" ref="AR480:AR486" ca="1" si="1335">AI480/AA480</f>
        <v>208.65</v>
      </c>
      <c r="AS480" s="76"/>
      <c r="AT480" s="76"/>
    </row>
    <row r="481" spans="1:46" ht="15.75" customHeight="1" x14ac:dyDescent="0.25">
      <c r="A481" s="70"/>
      <c r="B481" s="16">
        <v>17</v>
      </c>
      <c r="C481" s="16" t="s">
        <v>29</v>
      </c>
      <c r="D481" s="17">
        <v>30</v>
      </c>
      <c r="E481" s="18">
        <f ca="1">IFERROR(__xludf.DUMMYFUNCTION("COUNT(IMPORTRANGE(""https://docs.google.com/spreadsheets/d/1ja_RQYsP0p5wRrACHojay4CW1wLx0QdS5tSwp-vYQ-s/edit"",""18!d2:d31""))"),30)</f>
        <v>30</v>
      </c>
      <c r="F481" s="23">
        <f ca="1">IFERROR(__xludf.DUMMYFUNCTION("SUM(IMPORTRANGE(""https://docs.google.com/spreadsheets/d/1ja_RQYsP0p5wRrACHojay4CW1wLx0QdS5tSwp-vYQ-s/edit"",""18!Q2:Q31""))"),6039.94799999999)</f>
        <v>6039.9479999999903</v>
      </c>
      <c r="G481" s="18">
        <f ca="1">IFERROR(__xludf.DUMMYFUNCTION("IMPORTRANGE(""https://docs.google.com/spreadsheets/d/1ja_RQYsP0p5wRrACHojay4CW1wLx0QdS5tSwp-vYQ-s/edit"",""18!e38"")"),2561)</f>
        <v>2561</v>
      </c>
      <c r="H481" s="18">
        <f ca="1">IFERROR(__xludf.DUMMYFUNCTION("IMPORTRANGE(""https://docs.google.com/spreadsheets/d/1ja_RQYsP0p5wRrACHojay4CW1wLx0QdS5tSwp-vYQ-s/edit"",""18!e39"")"),0)</f>
        <v>0</v>
      </c>
      <c r="I481" s="18">
        <f t="shared" ca="1" si="1287"/>
        <v>2561</v>
      </c>
      <c r="J481" s="18">
        <f ca="1">IFERROR(__xludf.DUMMYFUNCTION("IMPORTRANGE(""https://docs.google.com/spreadsheets/d/1ja_RQYsP0p5wRrACHojay4CW1wLx0QdS5tSwp-vYQ-s/edit"",""18!e42"")"),3727)</f>
        <v>3727</v>
      </c>
      <c r="K481" s="18">
        <f ca="1">IFERROR(__xludf.DUMMYFUNCTION("IMPORTRANGE(""https://docs.google.com/spreadsheets/d/1ja_RQYsP0p5wRrACHojay4CW1wLx0QdS5tSwp-vYQ-s/edit"",""18!e43"")"),0)</f>
        <v>0</v>
      </c>
      <c r="L481" s="18">
        <f t="shared" ca="1" si="1317"/>
        <v>3727</v>
      </c>
      <c r="M481" s="18">
        <f t="shared" ca="1" si="1289"/>
        <v>6288</v>
      </c>
      <c r="N481" s="19">
        <f t="shared" ca="1" si="1290"/>
        <v>201.33159999999967</v>
      </c>
      <c r="O481" s="16">
        <v>9201</v>
      </c>
      <c r="P481" s="20">
        <f t="shared" ca="1" si="1291"/>
        <v>0.68340397782849693</v>
      </c>
      <c r="Q481" s="21">
        <v>1.5</v>
      </c>
      <c r="R481" s="20">
        <f t="shared" ca="1" si="1292"/>
        <v>0.69404571032730855</v>
      </c>
      <c r="S481" s="22">
        <f t="shared" ca="1" si="1293"/>
        <v>1.0410685654909628</v>
      </c>
      <c r="T481" s="21">
        <f ca="1">F481/26.491</f>
        <v>227.99999999999963</v>
      </c>
      <c r="U481" s="21">
        <f t="shared" ca="1" si="1294"/>
        <v>7.5999999999999881</v>
      </c>
      <c r="V481" s="18">
        <f t="shared" ca="1" si="1295"/>
        <v>209.6</v>
      </c>
      <c r="W481" s="76"/>
      <c r="X481" s="8">
        <v>2</v>
      </c>
      <c r="Y481" s="8" t="s">
        <v>32</v>
      </c>
      <c r="Z481" s="8">
        <f t="shared" ref="Z481:AI481" si="1336">SUM(D468)</f>
        <v>42</v>
      </c>
      <c r="AA481" s="9">
        <f t="shared" ca="1" si="1336"/>
        <v>40</v>
      </c>
      <c r="AB481" s="10">
        <f t="shared" ca="1" si="1336"/>
        <v>7914.5049999999901</v>
      </c>
      <c r="AC481" s="8">
        <f t="shared" ca="1" si="1336"/>
        <v>4273</v>
      </c>
      <c r="AD481" s="8">
        <f t="shared" ca="1" si="1336"/>
        <v>0</v>
      </c>
      <c r="AE481" s="9">
        <f t="shared" ca="1" si="1336"/>
        <v>4273</v>
      </c>
      <c r="AF481" s="8">
        <f t="shared" ca="1" si="1336"/>
        <v>4673</v>
      </c>
      <c r="AG481" s="8">
        <f t="shared" ca="1" si="1336"/>
        <v>58</v>
      </c>
      <c r="AH481" s="9">
        <f t="shared" ca="1" si="1336"/>
        <v>4731</v>
      </c>
      <c r="AI481" s="9">
        <f t="shared" ca="1" si="1336"/>
        <v>9004</v>
      </c>
      <c r="AJ481" s="11">
        <f t="shared" ca="1" si="1330"/>
        <v>197.86262499999975</v>
      </c>
      <c r="AK481" s="8">
        <f>SUM(O468)</f>
        <v>13817</v>
      </c>
      <c r="AL481" s="12">
        <f t="shared" ca="1" si="1331"/>
        <v>0.65166099732213945</v>
      </c>
      <c r="AM481" s="13">
        <f>SUM(Q468)</f>
        <v>1.5</v>
      </c>
      <c r="AN481" s="12">
        <f t="shared" ca="1" si="1332"/>
        <v>0.75843867262282016</v>
      </c>
      <c r="AO481" s="14">
        <f t="shared" ca="1" si="1333"/>
        <v>1.1376580089342303</v>
      </c>
      <c r="AP481" s="13">
        <f t="shared" ref="AP481:AQ481" ca="1" si="1337">SUM(T468)</f>
        <v>315.45717246602061</v>
      </c>
      <c r="AQ481" s="13">
        <f t="shared" ca="1" si="1337"/>
        <v>7.8864293116505149</v>
      </c>
      <c r="AR481" s="9">
        <f t="shared" ca="1" si="1335"/>
        <v>225.1</v>
      </c>
      <c r="AS481" s="76"/>
      <c r="AT481" s="76"/>
    </row>
    <row r="482" spans="1:46" ht="15.75" customHeight="1" x14ac:dyDescent="0.25">
      <c r="A482" s="70"/>
      <c r="B482" s="16">
        <v>18</v>
      </c>
      <c r="C482" s="16" t="s">
        <v>31</v>
      </c>
      <c r="D482" s="17">
        <v>15</v>
      </c>
      <c r="E482" s="18">
        <f ca="1">IFERROR(__xludf.DUMMYFUNCTION("COUNT(IMPORTRANGE(""https://docs.google.com/spreadsheets/d/1ObnK1oSznTOmyW9Zcd2kxExl7TOnO2MNq_0giEKc_mE/edit"",""18!d2:d16""))"),12)</f>
        <v>12</v>
      </c>
      <c r="F482" s="19">
        <f ca="1">IFERROR(__xludf.DUMMYFUNCTION("SUM(IMPORTRANGE(""https://docs.google.com/spreadsheets/d/1ObnK1oSznTOmyW9Zcd2kxExl7TOnO2MNq_0giEKc_mE/edit"",""18!Q2:Q16""))"),2434.04)</f>
        <v>2434.04</v>
      </c>
      <c r="G482" s="18">
        <f ca="1">IFERROR(__xludf.DUMMYFUNCTION("IMPORTRANGE(""https://docs.google.com/spreadsheets/d/1ObnK1oSznTOmyW9Zcd2kxExl7TOnO2MNq_0giEKc_mE/edit"",""18!e23"")"),745)</f>
        <v>745</v>
      </c>
      <c r="H482" s="18">
        <f ca="1">IFERROR(__xludf.DUMMYFUNCTION("IMPORTRANGE(""https://docs.google.com/spreadsheets/d/1ObnK1oSznTOmyW9Zcd2kxExl7TOnO2MNq_0giEKc_mE/edit"",""18!e24"")"),15)</f>
        <v>15</v>
      </c>
      <c r="I482" s="18">
        <f t="shared" ca="1" si="1287"/>
        <v>760</v>
      </c>
      <c r="J482" s="18">
        <f ca="1">IFERROR(__xludf.DUMMYFUNCTION("IMPORTRANGE(""https://docs.google.com/spreadsheets/d/1ObnK1oSznTOmyW9Zcd2kxExl7TOnO2MNq_0giEKc_mE/edit"",""18!e27"")"),992)</f>
        <v>992</v>
      </c>
      <c r="K482" s="18">
        <f ca="1">IFERROR(__xludf.DUMMYFUNCTION("IMPORTRANGE(""https://docs.google.com/spreadsheets/d/1ObnK1oSznTOmyW9Zcd2kxExl7TOnO2MNq_0giEKc_mE/edit"",""18!e28"")"),0)</f>
        <v>0</v>
      </c>
      <c r="L482" s="18">
        <f t="shared" ca="1" si="1317"/>
        <v>992</v>
      </c>
      <c r="M482" s="18">
        <f t="shared" ca="1" si="1289"/>
        <v>1752</v>
      </c>
      <c r="N482" s="19">
        <f t="shared" ca="1" si="1290"/>
        <v>202.83666666666667</v>
      </c>
      <c r="O482" s="16">
        <v>2717</v>
      </c>
      <c r="P482" s="20">
        <f t="shared" ca="1" si="1291"/>
        <v>0.64482885535517109</v>
      </c>
      <c r="Q482" s="21">
        <v>1.5</v>
      </c>
      <c r="R482" s="20">
        <f t="shared" ca="1" si="1292"/>
        <v>0.4798606432104649</v>
      </c>
      <c r="S482" s="22">
        <f t="shared" ca="1" si="1293"/>
        <v>0.71979096481569738</v>
      </c>
      <c r="T482" s="21">
        <f ca="1">F482/43.465</f>
        <v>55.999999999999993</v>
      </c>
      <c r="U482" s="21">
        <f t="shared" ca="1" si="1294"/>
        <v>4.6666666666666661</v>
      </c>
      <c r="V482" s="18">
        <f t="shared" ca="1" si="1295"/>
        <v>146</v>
      </c>
      <c r="W482" s="76"/>
      <c r="X482" s="8">
        <v>3</v>
      </c>
      <c r="Y482" s="8" t="s">
        <v>36</v>
      </c>
      <c r="Z482" s="8">
        <f t="shared" ref="Z482:AI482" si="1338">SUM(D473)</f>
        <v>29</v>
      </c>
      <c r="AA482" s="9">
        <f t="shared" ca="1" si="1338"/>
        <v>29</v>
      </c>
      <c r="AB482" s="10">
        <f t="shared" ca="1" si="1338"/>
        <v>5791.1899999999896</v>
      </c>
      <c r="AC482" s="9">
        <f t="shared" ca="1" si="1338"/>
        <v>1509</v>
      </c>
      <c r="AD482" s="9">
        <f t="shared" ca="1" si="1338"/>
        <v>0</v>
      </c>
      <c r="AE482" s="9">
        <f t="shared" ca="1" si="1338"/>
        <v>1509</v>
      </c>
      <c r="AF482" s="9">
        <f t="shared" ca="1" si="1338"/>
        <v>2462</v>
      </c>
      <c r="AG482" s="9">
        <f t="shared" ca="1" si="1338"/>
        <v>0</v>
      </c>
      <c r="AH482" s="9">
        <f t="shared" ca="1" si="1338"/>
        <v>2462</v>
      </c>
      <c r="AI482" s="9">
        <f t="shared" ca="1" si="1338"/>
        <v>3971</v>
      </c>
      <c r="AJ482" s="11">
        <f t="shared" ca="1" si="1330"/>
        <v>199.69620689655136</v>
      </c>
      <c r="AK482" s="8">
        <f t="shared" ref="AK482:AK485" si="1339">SUM(O473)</f>
        <v>4796</v>
      </c>
      <c r="AL482" s="12">
        <f t="shared" ca="1" si="1331"/>
        <v>0.82798165137614677</v>
      </c>
      <c r="AM482" s="13">
        <f t="shared" ref="AM482:AM485" si="1340">SUM(Q473)</f>
        <v>1.5</v>
      </c>
      <c r="AN482" s="12">
        <f t="shared" ca="1" si="1332"/>
        <v>0.45713114805995625</v>
      </c>
      <c r="AO482" s="14">
        <f t="shared" ca="1" si="1333"/>
        <v>0.68569672208993437</v>
      </c>
      <c r="AP482" s="13">
        <f t="shared" ref="AP482:AQ482" ca="1" si="1341">SUM(T473)</f>
        <v>154.7867108568982</v>
      </c>
      <c r="AQ482" s="13">
        <f t="shared" ca="1" si="1341"/>
        <v>5.3374727881689035</v>
      </c>
      <c r="AR482" s="9">
        <f t="shared" ca="1" si="1335"/>
        <v>136.93103448275863</v>
      </c>
      <c r="AS482" s="76"/>
      <c r="AT482" s="76"/>
    </row>
    <row r="483" spans="1:46" ht="15.75" customHeight="1" x14ac:dyDescent="0.2">
      <c r="A483" s="70"/>
      <c r="B483" s="98" t="s">
        <v>33</v>
      </c>
      <c r="C483" s="98">
        <v>18</v>
      </c>
      <c r="D483" s="98">
        <f t="shared" ref="D483:M483" si="1342">SUM(D465:D482)</f>
        <v>585</v>
      </c>
      <c r="E483" s="74">
        <f t="shared" ca="1" si="1342"/>
        <v>570</v>
      </c>
      <c r="F483" s="99">
        <f t="shared" ca="1" si="1342"/>
        <v>111499.17499999981</v>
      </c>
      <c r="G483" s="74">
        <f t="shared" ca="1" si="1342"/>
        <v>38288</v>
      </c>
      <c r="H483" s="74">
        <f t="shared" ca="1" si="1342"/>
        <v>579</v>
      </c>
      <c r="I483" s="74">
        <f t="shared" ca="1" si="1342"/>
        <v>38867</v>
      </c>
      <c r="J483" s="74">
        <f t="shared" ca="1" si="1342"/>
        <v>51221</v>
      </c>
      <c r="K483" s="74">
        <f t="shared" ca="1" si="1342"/>
        <v>822</v>
      </c>
      <c r="L483" s="74">
        <f t="shared" ca="1" si="1342"/>
        <v>52043</v>
      </c>
      <c r="M483" s="74">
        <f t="shared" ca="1" si="1342"/>
        <v>90910</v>
      </c>
      <c r="N483" s="99">
        <f t="shared" ca="1" si="1290"/>
        <v>195.61258771929792</v>
      </c>
      <c r="O483" s="98">
        <f>SUM(O465:O482)</f>
        <v>126399</v>
      </c>
      <c r="P483" s="69">
        <f t="shared" ca="1" si="1291"/>
        <v>0.71923037365801945</v>
      </c>
      <c r="Q483" s="72">
        <v>1.5</v>
      </c>
      <c r="R483" s="69">
        <f t="shared" ca="1" si="1292"/>
        <v>0.54356157044809317</v>
      </c>
      <c r="S483" s="73">
        <f t="shared" ca="1" si="1293"/>
        <v>0.81534235567213975</v>
      </c>
      <c r="T483" s="72">
        <f ca="1">SUM(T465:T482)</f>
        <v>4107.0452940717178</v>
      </c>
      <c r="U483" s="72">
        <f t="shared" ca="1" si="1294"/>
        <v>7.2053426211784526</v>
      </c>
      <c r="V483" s="74">
        <f t="shared" ca="1" si="1295"/>
        <v>159.49122807017545</v>
      </c>
      <c r="W483" s="76"/>
      <c r="X483" s="8">
        <v>4</v>
      </c>
      <c r="Y483" s="8" t="s">
        <v>37</v>
      </c>
      <c r="Z483" s="8">
        <f t="shared" ref="Z483:AI483" si="1343">SUM(D474)</f>
        <v>30</v>
      </c>
      <c r="AA483" s="9">
        <f t="shared" ca="1" si="1343"/>
        <v>30</v>
      </c>
      <c r="AB483" s="10">
        <f t="shared" ca="1" si="1343"/>
        <v>5985.732</v>
      </c>
      <c r="AC483" s="9">
        <f t="shared" ca="1" si="1343"/>
        <v>2105</v>
      </c>
      <c r="AD483" s="9">
        <f t="shared" ca="1" si="1343"/>
        <v>0</v>
      </c>
      <c r="AE483" s="9">
        <f t="shared" ca="1" si="1343"/>
        <v>2105</v>
      </c>
      <c r="AF483" s="9">
        <f t="shared" ca="1" si="1343"/>
        <v>2715</v>
      </c>
      <c r="AG483" s="9">
        <f t="shared" ca="1" si="1343"/>
        <v>0</v>
      </c>
      <c r="AH483" s="9">
        <f t="shared" ca="1" si="1343"/>
        <v>2715</v>
      </c>
      <c r="AI483" s="9">
        <f t="shared" ca="1" si="1343"/>
        <v>4820</v>
      </c>
      <c r="AJ483" s="11">
        <f t="shared" ca="1" si="1330"/>
        <v>199.52439999999999</v>
      </c>
      <c r="AK483" s="8">
        <f t="shared" si="1339"/>
        <v>5887</v>
      </c>
      <c r="AL483" s="12">
        <f t="shared" ca="1" si="1331"/>
        <v>0.81875318498386274</v>
      </c>
      <c r="AM483" s="13">
        <f t="shared" si="1340"/>
        <v>1.5</v>
      </c>
      <c r="AN483" s="12">
        <f t="shared" ca="1" si="1332"/>
        <v>0.53683214239015931</v>
      </c>
      <c r="AO483" s="14">
        <f t="shared" ca="1" si="1333"/>
        <v>0.80524821358523901</v>
      </c>
      <c r="AP483" s="13">
        <f t="shared" ref="AP483:AQ483" ca="1" si="1344">SUM(T474)</f>
        <v>241.4380445304937</v>
      </c>
      <c r="AQ483" s="13">
        <f t="shared" ca="1" si="1344"/>
        <v>8.0479348176831227</v>
      </c>
      <c r="AR483" s="9">
        <f t="shared" ca="1" si="1335"/>
        <v>160.66666666666666</v>
      </c>
      <c r="AS483" s="76"/>
      <c r="AT483" s="76"/>
    </row>
    <row r="484" spans="1:46" ht="15.75" customHeight="1" x14ac:dyDescent="0.2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6"/>
      <c r="X484" s="8">
        <v>5</v>
      </c>
      <c r="Y484" s="8" t="s">
        <v>39</v>
      </c>
      <c r="Z484" s="8">
        <f t="shared" ref="Z484:AI484" si="1345">SUM(D475)</f>
        <v>28</v>
      </c>
      <c r="AA484" s="9">
        <f t="shared" ca="1" si="1345"/>
        <v>28</v>
      </c>
      <c r="AB484" s="10">
        <f t="shared" ca="1" si="1345"/>
        <v>5072.5439999999999</v>
      </c>
      <c r="AC484" s="9">
        <f t="shared" ca="1" si="1345"/>
        <v>1246</v>
      </c>
      <c r="AD484" s="9">
        <f t="shared" ca="1" si="1345"/>
        <v>0</v>
      </c>
      <c r="AE484" s="9">
        <f t="shared" ca="1" si="1345"/>
        <v>1246</v>
      </c>
      <c r="AF484" s="9">
        <f t="shared" ca="1" si="1345"/>
        <v>1860</v>
      </c>
      <c r="AG484" s="9">
        <f t="shared" ca="1" si="1345"/>
        <v>0</v>
      </c>
      <c r="AH484" s="9">
        <f t="shared" ca="1" si="1345"/>
        <v>1860</v>
      </c>
      <c r="AI484" s="9">
        <f t="shared" ca="1" si="1345"/>
        <v>3106</v>
      </c>
      <c r="AJ484" s="11">
        <f t="shared" ca="1" si="1330"/>
        <v>181.1622857142857</v>
      </c>
      <c r="AK484" s="8">
        <f t="shared" si="1339"/>
        <v>3569</v>
      </c>
      <c r="AL484" s="12">
        <f t="shared" ca="1" si="1331"/>
        <v>0.87027178481367329</v>
      </c>
      <c r="AM484" s="13">
        <f t="shared" si="1340"/>
        <v>1.5</v>
      </c>
      <c r="AN484" s="12">
        <f t="shared" ca="1" si="1332"/>
        <v>0.40821068613040451</v>
      </c>
      <c r="AO484" s="14">
        <f t="shared" ca="1" si="1333"/>
        <v>0.61231602919560679</v>
      </c>
      <c r="AP484" s="13">
        <f t="shared" ref="AP484:AQ484" ca="1" si="1346">SUM(T475)</f>
        <v>236.33900200344777</v>
      </c>
      <c r="AQ484" s="13">
        <f t="shared" ca="1" si="1346"/>
        <v>8.4406786429802771</v>
      </c>
      <c r="AR484" s="9">
        <f t="shared" ca="1" si="1335"/>
        <v>110.92857142857143</v>
      </c>
      <c r="AS484" s="76"/>
      <c r="AT484" s="76"/>
    </row>
    <row r="485" spans="1:46" ht="15.75" customHeight="1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6"/>
      <c r="X485" s="8">
        <v>6</v>
      </c>
      <c r="Y485" s="8" t="s">
        <v>41</v>
      </c>
      <c r="Z485" s="8">
        <f t="shared" ref="Z485:AI485" si="1347">SUM(D476)</f>
        <v>24</v>
      </c>
      <c r="AA485" s="9">
        <f t="shared" ca="1" si="1347"/>
        <v>23</v>
      </c>
      <c r="AB485" s="10">
        <f t="shared" ca="1" si="1347"/>
        <v>4526.5</v>
      </c>
      <c r="AC485" s="9">
        <f t="shared" ca="1" si="1347"/>
        <v>1182</v>
      </c>
      <c r="AD485" s="9">
        <f t="shared" ca="1" si="1347"/>
        <v>52</v>
      </c>
      <c r="AE485" s="9">
        <f t="shared" ca="1" si="1347"/>
        <v>1234</v>
      </c>
      <c r="AF485" s="9">
        <f t="shared" ca="1" si="1347"/>
        <v>1724</v>
      </c>
      <c r="AG485" s="9">
        <f t="shared" ca="1" si="1347"/>
        <v>0</v>
      </c>
      <c r="AH485" s="9">
        <f t="shared" ca="1" si="1347"/>
        <v>1724</v>
      </c>
      <c r="AI485" s="9">
        <f t="shared" ca="1" si="1347"/>
        <v>2958</v>
      </c>
      <c r="AJ485" s="11">
        <f t="shared" ca="1" si="1330"/>
        <v>196.80434782608697</v>
      </c>
      <c r="AK485" s="8">
        <f t="shared" si="1339"/>
        <v>3801</v>
      </c>
      <c r="AL485" s="12">
        <f t="shared" ca="1" si="1331"/>
        <v>0.77821625887924228</v>
      </c>
      <c r="AM485" s="13">
        <f t="shared" si="1340"/>
        <v>1.5</v>
      </c>
      <c r="AN485" s="12">
        <f t="shared" ca="1" si="1332"/>
        <v>0.43565668839058874</v>
      </c>
      <c r="AO485" s="14">
        <f t="shared" ca="1" si="1333"/>
        <v>0.65348503258588309</v>
      </c>
      <c r="AP485" s="13">
        <f t="shared" ref="AP485:AQ485" ca="1" si="1348">SUM(T476)</f>
        <v>152.77777777777777</v>
      </c>
      <c r="AQ485" s="13">
        <f t="shared" ca="1" si="1348"/>
        <v>6.6425120772946853</v>
      </c>
      <c r="AR485" s="9">
        <f t="shared" ca="1" si="1335"/>
        <v>128.60869565217391</v>
      </c>
      <c r="AS485" s="76"/>
      <c r="AT485" s="76"/>
    </row>
    <row r="486" spans="1:46" ht="15.75" customHeight="1" x14ac:dyDescent="0.25">
      <c r="A486" s="110" t="s">
        <v>45</v>
      </c>
      <c r="B486" s="76"/>
      <c r="C486" s="76"/>
      <c r="D486" s="75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24" t="s">
        <v>33</v>
      </c>
      <c r="Y486" s="24">
        <v>6</v>
      </c>
      <c r="Z486" s="24">
        <f t="shared" ref="Z486:AI486" si="1349">SUM(Z480:Z485)</f>
        <v>173</v>
      </c>
      <c r="AA486" s="25">
        <f t="shared" ca="1" si="1349"/>
        <v>170</v>
      </c>
      <c r="AB486" s="27">
        <f t="shared" ca="1" si="1349"/>
        <v>33183.13299999998</v>
      </c>
      <c r="AC486" s="25">
        <f t="shared" ca="1" si="1349"/>
        <v>11999</v>
      </c>
      <c r="AD486" s="25">
        <f t="shared" ca="1" si="1349"/>
        <v>52</v>
      </c>
      <c r="AE486" s="25">
        <f t="shared" ca="1" si="1349"/>
        <v>12051</v>
      </c>
      <c r="AF486" s="25">
        <f t="shared" ca="1" si="1349"/>
        <v>15923</v>
      </c>
      <c r="AG486" s="25">
        <f t="shared" ca="1" si="1349"/>
        <v>58</v>
      </c>
      <c r="AH486" s="25">
        <f t="shared" ca="1" si="1349"/>
        <v>15981</v>
      </c>
      <c r="AI486" s="25">
        <f t="shared" ca="1" si="1349"/>
        <v>28032</v>
      </c>
      <c r="AJ486" s="27">
        <f t="shared" ca="1" si="1330"/>
        <v>195.19489999999988</v>
      </c>
      <c r="AK486" s="24">
        <f>SUM(AK480:AK485)</f>
        <v>37031</v>
      </c>
      <c r="AL486" s="28">
        <f t="shared" ca="1" si="1331"/>
        <v>0.75698738894439799</v>
      </c>
      <c r="AM486" s="29">
        <v>1.5</v>
      </c>
      <c r="AN486" s="28">
        <f t="shared" ca="1" si="1332"/>
        <v>0.56317768427713</v>
      </c>
      <c r="AO486" s="30">
        <f t="shared" ca="1" si="1333"/>
        <v>0.84476652641569494</v>
      </c>
      <c r="AP486" s="29">
        <f ca="1">SUM(AP480:AP485)</f>
        <v>1370.8411634098723</v>
      </c>
      <c r="AQ486" s="29">
        <f ca="1">AP486/AA486</f>
        <v>8.0637715494698377</v>
      </c>
      <c r="AR486" s="25">
        <f t="shared" ca="1" si="1335"/>
        <v>164.89411764705883</v>
      </c>
      <c r="AS486" s="76"/>
      <c r="AT486" s="76"/>
    </row>
    <row r="487" spans="1:46" ht="15.75" customHeight="1" x14ac:dyDescent="0.2">
      <c r="A487" s="110" t="s">
        <v>45</v>
      </c>
      <c r="B487" s="76"/>
      <c r="C487" s="76"/>
      <c r="D487" s="75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7" t="s">
        <v>1</v>
      </c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9"/>
      <c r="AS487" s="76"/>
      <c r="AT487" s="76"/>
    </row>
    <row r="488" spans="1:46" ht="15.75" customHeight="1" x14ac:dyDescent="0.2">
      <c r="A488" s="109">
        <v>46253</v>
      </c>
      <c r="B488" s="80" t="s">
        <v>2</v>
      </c>
      <c r="C488" s="80" t="s">
        <v>3</v>
      </c>
      <c r="D488" s="80" t="s">
        <v>4</v>
      </c>
      <c r="E488" s="80" t="s">
        <v>5</v>
      </c>
      <c r="F488" s="81" t="s">
        <v>6</v>
      </c>
      <c r="G488" s="80" t="s">
        <v>7</v>
      </c>
      <c r="H488" s="80" t="s">
        <v>8</v>
      </c>
      <c r="I488" s="80" t="s">
        <v>9</v>
      </c>
      <c r="J488" s="80" t="s">
        <v>10</v>
      </c>
      <c r="K488" s="80" t="s">
        <v>11</v>
      </c>
      <c r="L488" s="80" t="s">
        <v>12</v>
      </c>
      <c r="M488" s="80" t="s">
        <v>13</v>
      </c>
      <c r="N488" s="81" t="s">
        <v>14</v>
      </c>
      <c r="O488" s="80" t="s">
        <v>15</v>
      </c>
      <c r="P488" s="80" t="s">
        <v>16</v>
      </c>
      <c r="Q488" s="80" t="s">
        <v>17</v>
      </c>
      <c r="R488" s="80" t="s">
        <v>18</v>
      </c>
      <c r="S488" s="106" t="s">
        <v>19</v>
      </c>
      <c r="T488" s="107" t="s">
        <v>20</v>
      </c>
      <c r="U488" s="107" t="s">
        <v>21</v>
      </c>
      <c r="V488" s="105" t="s">
        <v>22</v>
      </c>
      <c r="W488" s="76"/>
      <c r="X488" s="1" t="s">
        <v>2</v>
      </c>
      <c r="Y488" s="1" t="s">
        <v>3</v>
      </c>
      <c r="Z488" s="1" t="s">
        <v>4</v>
      </c>
      <c r="AA488" s="1" t="s">
        <v>5</v>
      </c>
      <c r="AB488" s="2" t="s">
        <v>6</v>
      </c>
      <c r="AC488" s="1" t="s">
        <v>7</v>
      </c>
      <c r="AD488" s="1" t="s">
        <v>8</v>
      </c>
      <c r="AE488" s="1" t="s">
        <v>9</v>
      </c>
      <c r="AF488" s="1" t="s">
        <v>10</v>
      </c>
      <c r="AG488" s="1" t="s">
        <v>11</v>
      </c>
      <c r="AH488" s="1" t="s">
        <v>12</v>
      </c>
      <c r="AI488" s="1" t="s">
        <v>13</v>
      </c>
      <c r="AJ488" s="2" t="s">
        <v>14</v>
      </c>
      <c r="AK488" s="1" t="s">
        <v>15</v>
      </c>
      <c r="AL488" s="1" t="s">
        <v>16</v>
      </c>
      <c r="AM488" s="3" t="s">
        <v>17</v>
      </c>
      <c r="AN488" s="4" t="s">
        <v>18</v>
      </c>
      <c r="AO488" s="5" t="s">
        <v>19</v>
      </c>
      <c r="AP488" s="6" t="s">
        <v>20</v>
      </c>
      <c r="AQ488" s="6" t="s">
        <v>21</v>
      </c>
      <c r="AR488" s="7" t="s">
        <v>22</v>
      </c>
      <c r="AS488" s="76"/>
      <c r="AT488" s="76"/>
    </row>
    <row r="489" spans="1:46" ht="15.75" customHeight="1" x14ac:dyDescent="0.2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6"/>
      <c r="X489" s="8">
        <v>1</v>
      </c>
      <c r="Y489" s="8" t="s">
        <v>23</v>
      </c>
      <c r="Z489" s="8">
        <f t="shared" ref="Z489:AI489" si="1350">SUM(D497)</f>
        <v>35</v>
      </c>
      <c r="AA489" s="9">
        <f t="shared" ca="1" si="1350"/>
        <v>35</v>
      </c>
      <c r="AB489" s="10">
        <f t="shared" ca="1" si="1350"/>
        <v>6699.1839999999902</v>
      </c>
      <c r="AC489" s="9">
        <f t="shared" ca="1" si="1350"/>
        <v>1906</v>
      </c>
      <c r="AD489" s="9">
        <f t="shared" ca="1" si="1350"/>
        <v>0</v>
      </c>
      <c r="AE489" s="9">
        <f t="shared" ca="1" si="1350"/>
        <v>1906</v>
      </c>
      <c r="AF489" s="9">
        <f t="shared" ca="1" si="1350"/>
        <v>3192</v>
      </c>
      <c r="AG489" s="9">
        <f t="shared" ca="1" si="1350"/>
        <v>0</v>
      </c>
      <c r="AH489" s="9">
        <f t="shared" ca="1" si="1350"/>
        <v>3192</v>
      </c>
      <c r="AI489" s="9">
        <f t="shared" ca="1" si="1350"/>
        <v>5098</v>
      </c>
      <c r="AJ489" s="11">
        <f t="shared" ref="AJ489:AJ491" ca="1" si="1351">AB489/AA489</f>
        <v>191.40525714285687</v>
      </c>
      <c r="AK489" s="8">
        <f>SUM(O497)</f>
        <v>6853</v>
      </c>
      <c r="AL489" s="12">
        <f t="shared" ref="AL489:AL495" ca="1" si="1352">AI489/AK489</f>
        <v>0.74390777761564275</v>
      </c>
      <c r="AM489" s="13">
        <f t="shared" ref="AM489:AM491" si="1353">SUM(Q497)</f>
        <v>1.5</v>
      </c>
      <c r="AN489" s="12">
        <f t="shared" ref="AN489:AN495" ca="1" si="1354">AO489/AM489</f>
        <v>0.5073254692909871</v>
      </c>
      <c r="AO489" s="14">
        <f t="shared" ref="AO489:AO495" ca="1" si="1355">AI489/AB489</f>
        <v>0.76098820393648059</v>
      </c>
      <c r="AP489" s="13">
        <f t="shared" ref="AP489:AQ489" ca="1" si="1356">SUM(T497)</f>
        <v>198.55317131001749</v>
      </c>
      <c r="AQ489" s="13">
        <f t="shared" ca="1" si="1356"/>
        <v>5.6729477517147853</v>
      </c>
      <c r="AR489" s="9">
        <f t="shared" ref="AR489:AR495" ca="1" si="1357">AI489/AA489</f>
        <v>145.65714285714284</v>
      </c>
      <c r="AS489" s="76"/>
      <c r="AT489" s="76"/>
    </row>
    <row r="490" spans="1:46" ht="15.75" customHeight="1" x14ac:dyDescent="0.2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6"/>
      <c r="X490" s="8">
        <v>2</v>
      </c>
      <c r="Y490" s="8" t="s">
        <v>24</v>
      </c>
      <c r="Z490" s="8">
        <f t="shared" ref="Z490:AI490" si="1358">SUM(D498)</f>
        <v>44</v>
      </c>
      <c r="AA490" s="9">
        <f t="shared" ca="1" si="1358"/>
        <v>43</v>
      </c>
      <c r="AB490" s="10">
        <f t="shared" ca="1" si="1358"/>
        <v>8427.4879999999903</v>
      </c>
      <c r="AC490" s="9">
        <f t="shared" ca="1" si="1358"/>
        <v>1060</v>
      </c>
      <c r="AD490" s="9">
        <f t="shared" ca="1" si="1358"/>
        <v>8</v>
      </c>
      <c r="AE490" s="9">
        <f t="shared" ca="1" si="1358"/>
        <v>1068</v>
      </c>
      <c r="AF490" s="9">
        <f t="shared" ca="1" si="1358"/>
        <v>1375</v>
      </c>
      <c r="AG490" s="9">
        <f t="shared" ca="1" si="1358"/>
        <v>0</v>
      </c>
      <c r="AH490" s="9">
        <f t="shared" ca="1" si="1358"/>
        <v>1375</v>
      </c>
      <c r="AI490" s="9">
        <f t="shared" ca="1" si="1358"/>
        <v>2443</v>
      </c>
      <c r="AJ490" s="11">
        <f t="shared" ca="1" si="1351"/>
        <v>195.9880930232556</v>
      </c>
      <c r="AK490" s="8">
        <v>1580</v>
      </c>
      <c r="AL490" s="15">
        <f t="shared" ca="1" si="1352"/>
        <v>1.5462025316455696</v>
      </c>
      <c r="AM490" s="13">
        <f t="shared" si="1353"/>
        <v>1.5</v>
      </c>
      <c r="AN490" s="12">
        <f t="shared" ca="1" si="1354"/>
        <v>0.19325648006460153</v>
      </c>
      <c r="AO490" s="14">
        <f t="shared" ca="1" si="1355"/>
        <v>0.2898847200969023</v>
      </c>
      <c r="AP490" s="13">
        <f t="shared" ref="AP490:AQ490" ca="1" si="1359">SUM(T498)</f>
        <v>314.39985077410893</v>
      </c>
      <c r="AQ490" s="13">
        <f t="shared" ca="1" si="1359"/>
        <v>7.3116244366071843</v>
      </c>
      <c r="AR490" s="9">
        <f t="shared" ca="1" si="1357"/>
        <v>56.813953488372093</v>
      </c>
      <c r="AS490" s="76"/>
      <c r="AT490" s="76"/>
    </row>
    <row r="491" spans="1:46" ht="15.75" customHeight="1" x14ac:dyDescent="0.2">
      <c r="A491" s="70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6"/>
      <c r="X491" s="8">
        <v>3</v>
      </c>
      <c r="Y491" s="8" t="s">
        <v>25</v>
      </c>
      <c r="Z491" s="8">
        <f t="shared" ref="Z491:AI491" si="1360">SUM(D499)</f>
        <v>32</v>
      </c>
      <c r="AA491" s="9">
        <f t="shared" ca="1" si="1360"/>
        <v>31</v>
      </c>
      <c r="AB491" s="10">
        <f t="shared" ca="1" si="1360"/>
        <v>5908.7839999999997</v>
      </c>
      <c r="AC491" s="9">
        <f t="shared" ca="1" si="1360"/>
        <v>2428</v>
      </c>
      <c r="AD491" s="9">
        <f t="shared" ca="1" si="1360"/>
        <v>466</v>
      </c>
      <c r="AE491" s="9">
        <f t="shared" ca="1" si="1360"/>
        <v>2894</v>
      </c>
      <c r="AF491" s="9">
        <f t="shared" ca="1" si="1360"/>
        <v>3131</v>
      </c>
      <c r="AG491" s="9">
        <f t="shared" ca="1" si="1360"/>
        <v>414</v>
      </c>
      <c r="AH491" s="9">
        <f t="shared" ca="1" si="1360"/>
        <v>3545</v>
      </c>
      <c r="AI491" s="9">
        <f t="shared" ca="1" si="1360"/>
        <v>6439</v>
      </c>
      <c r="AJ491" s="11">
        <f t="shared" ca="1" si="1351"/>
        <v>190.60593548387095</v>
      </c>
      <c r="AK491" s="8">
        <f>SUM(O499)</f>
        <v>6622</v>
      </c>
      <c r="AL491" s="12">
        <f t="shared" ca="1" si="1352"/>
        <v>0.97236484445786775</v>
      </c>
      <c r="AM491" s="13">
        <f t="shared" si="1353"/>
        <v>1.5</v>
      </c>
      <c r="AN491" s="12">
        <f t="shared" ca="1" si="1354"/>
        <v>0.72648901477303396</v>
      </c>
      <c r="AO491" s="14">
        <f t="shared" ca="1" si="1355"/>
        <v>1.089733522159551</v>
      </c>
      <c r="AP491" s="13">
        <f t="shared" ref="AP491:AQ491" ca="1" si="1361">SUM(T499)</f>
        <v>247.85167785234898</v>
      </c>
      <c r="AQ491" s="13">
        <f t="shared" ca="1" si="1361"/>
        <v>7.995215414591903</v>
      </c>
      <c r="AR491" s="9">
        <f t="shared" ca="1" si="1357"/>
        <v>207.70967741935485</v>
      </c>
      <c r="AS491" s="76"/>
      <c r="AT491" s="76"/>
    </row>
    <row r="492" spans="1:46" ht="15.75" customHeight="1" x14ac:dyDescent="0.25">
      <c r="A492" s="70"/>
      <c r="B492" s="16">
        <v>1</v>
      </c>
      <c r="C492" s="16" t="s">
        <v>26</v>
      </c>
      <c r="D492" s="17">
        <v>20</v>
      </c>
      <c r="E492" s="18">
        <f ca="1">IFERROR(__xludf.DUMMYFUNCTION("COUNT(IMPORTRANGE(""https://docs.google.com/spreadsheets/d/1iVFEBQOAONhqDIMRa2hQ7WkCQv0dJWSAmc0AzfvSCMg/edit"",""19!d2:d21""))"),20)</f>
        <v>20</v>
      </c>
      <c r="F492" s="19">
        <f ca="1">IFERROR(__xludf.DUMMYFUNCTION("SUM(IMPORTRANGE(""https://docs.google.com/spreadsheets/d/1iVFEBQOAONhqDIMRa2hQ7WkCQv0dJWSAmc0AzfvSCMg/edit"",""19!Q2:Q21""))"),3979.152)</f>
        <v>3979.152</v>
      </c>
      <c r="G492" s="18">
        <f ca="1">IFERROR(__xludf.DUMMYFUNCTION("IMPORTRANGE(""https://docs.google.com/spreadsheets/d/1iVFEBQOAONhqDIMRa2hQ7WkCQv0dJWSAmc0AzfvSCMg/edit"",""19!e28"")"),1999)</f>
        <v>1999</v>
      </c>
      <c r="H492" s="18">
        <f ca="1">IFERROR(__xludf.DUMMYFUNCTION("IMPORTRANGE(""https://docs.google.com/spreadsheets/d/1iVFEBQOAONhqDIMRa2hQ7WkCQv0dJWSAmc0AzfvSCMg/edit"",""19!e29"")"),0)</f>
        <v>0</v>
      </c>
      <c r="I492" s="18">
        <f t="shared" ref="I492:I509" ca="1" si="1362">SUM(G492:H492)</f>
        <v>1999</v>
      </c>
      <c r="J492" s="18">
        <f ca="1">IFERROR(__xludf.DUMMYFUNCTION("IMPORTRANGE(""https://docs.google.com/spreadsheets/d/1iVFEBQOAONhqDIMRa2hQ7WkCQv0dJWSAmc0AzfvSCMg/edit"",""19!e32"")"),3081)</f>
        <v>3081</v>
      </c>
      <c r="K492" s="18">
        <f ca="1">IFERROR(__xludf.DUMMYFUNCTION("IMPORTRANGE(""https://docs.google.com/spreadsheets/d/1iVFEBQOAONhqDIMRa2hQ7WkCQv0dJWSAmc0AzfvSCMg/edit"",""19!e33"")"),0)</f>
        <v>0</v>
      </c>
      <c r="L492" s="18">
        <f t="shared" ref="L492:L498" ca="1" si="1363">SUM(J492:K492)</f>
        <v>3081</v>
      </c>
      <c r="M492" s="18">
        <f t="shared" ref="M492:M509" ca="1" si="1364">SUM(I492+L492)</f>
        <v>5080</v>
      </c>
      <c r="N492" s="19">
        <f t="shared" ref="N492:N510" ca="1" si="1365">F492/E492</f>
        <v>198.95760000000001</v>
      </c>
      <c r="O492" s="16">
        <v>5161</v>
      </c>
      <c r="P492" s="20">
        <f t="shared" ref="P492:P510" ca="1" si="1366">M492/O492</f>
        <v>0.98430536717690376</v>
      </c>
      <c r="Q492" s="21">
        <v>1.5</v>
      </c>
      <c r="R492" s="20">
        <f t="shared" ref="R492:R510" ca="1" si="1367">S492/Q492</f>
        <v>0.85110261348816696</v>
      </c>
      <c r="S492" s="22">
        <f t="shared" ref="S492:S510" ca="1" si="1368">M492/F492</f>
        <v>1.2766539202322504</v>
      </c>
      <c r="T492" s="21">
        <f ca="1">F492/14.415</f>
        <v>276.04245577523415</v>
      </c>
      <c r="U492" s="21">
        <f t="shared" ref="U492:U510" ca="1" si="1369">T492/E492</f>
        <v>13.802122788761707</v>
      </c>
      <c r="V492" s="18">
        <f t="shared" ref="V492:V510" ca="1" si="1370">M492/E492</f>
        <v>254</v>
      </c>
      <c r="W492" s="76"/>
      <c r="X492" s="8">
        <v>4</v>
      </c>
      <c r="Y492" s="8" t="s">
        <v>27</v>
      </c>
      <c r="Z492" s="8">
        <f t="shared" ref="Z492:AK492" si="1371">SUM(D505)</f>
        <v>30</v>
      </c>
      <c r="AA492" s="9">
        <f t="shared" ca="1" si="1371"/>
        <v>30</v>
      </c>
      <c r="AB492" s="10">
        <f t="shared" ca="1" si="1371"/>
        <v>5305.8799999999901</v>
      </c>
      <c r="AC492" s="9">
        <f t="shared" ca="1" si="1371"/>
        <v>2584</v>
      </c>
      <c r="AD492" s="9">
        <f t="shared" ca="1" si="1371"/>
        <v>0</v>
      </c>
      <c r="AE492" s="9">
        <f t="shared" ca="1" si="1371"/>
        <v>2584</v>
      </c>
      <c r="AF492" s="9">
        <f t="shared" ca="1" si="1371"/>
        <v>3147</v>
      </c>
      <c r="AG492" s="9">
        <f t="shared" ca="1" si="1371"/>
        <v>0</v>
      </c>
      <c r="AH492" s="9">
        <f t="shared" ca="1" si="1371"/>
        <v>3147</v>
      </c>
      <c r="AI492" s="9">
        <f t="shared" ca="1" si="1371"/>
        <v>5731</v>
      </c>
      <c r="AJ492" s="11">
        <f t="shared" ca="1" si="1371"/>
        <v>176.86266666666634</v>
      </c>
      <c r="AK492" s="8">
        <f t="shared" si="1371"/>
        <v>8101</v>
      </c>
      <c r="AL492" s="12">
        <f t="shared" ca="1" si="1352"/>
        <v>0.70744352549068013</v>
      </c>
      <c r="AM492" s="13">
        <f>SUM(Q505)</f>
        <v>1.5</v>
      </c>
      <c r="AN492" s="12">
        <f t="shared" ca="1" si="1354"/>
        <v>0.72008162013967025</v>
      </c>
      <c r="AO492" s="14">
        <f t="shared" ca="1" si="1355"/>
        <v>1.0801224302095054</v>
      </c>
      <c r="AP492" s="13">
        <f t="shared" ref="AP492:AQ492" ca="1" si="1372">SUM(T505)</f>
        <v>265.4931198398794</v>
      </c>
      <c r="AQ492" s="13">
        <f t="shared" ca="1" si="1372"/>
        <v>8.8497706613293126</v>
      </c>
      <c r="AR492" s="9">
        <f t="shared" ca="1" si="1357"/>
        <v>191.03333333333333</v>
      </c>
      <c r="AS492" s="76"/>
      <c r="AT492" s="76"/>
    </row>
    <row r="493" spans="1:46" ht="15.75" customHeight="1" x14ac:dyDescent="0.25">
      <c r="A493" s="70"/>
      <c r="B493" s="16">
        <v>2</v>
      </c>
      <c r="C493" s="16" t="s">
        <v>28</v>
      </c>
      <c r="D493" s="17">
        <v>33</v>
      </c>
      <c r="E493" s="18">
        <f ca="1">IFERROR(__xludf.DUMMYFUNCTION("COUNT(IMPORTRANGE(""https://docs.google.com/spreadsheets/d/1tJCeYclgeJZ4Dc78t_SkhVjtacKW-5-VGim8X1rzUzk/edit"",""19!d2:d34""))"),33)</f>
        <v>33</v>
      </c>
      <c r="F493" s="19">
        <f ca="1">IFERROR(__xludf.DUMMYFUNCTION("SUM(IMPORTRANGE(""https://docs.google.com/spreadsheets/d/1tJCeYclgeJZ4Dc78t_SkhVjtacKW-5-VGim8X1rzUzk/edit"",""19!Q2:Q34""))"),6543.105)</f>
        <v>6543.1049999999996</v>
      </c>
      <c r="G493" s="18">
        <f ca="1">IFERROR(__xludf.DUMMYFUNCTION("IMPORTRANGE(""https://docs.google.com/spreadsheets/d/1tJCeYclgeJZ4Dc78t_SkhVjtacKW-5-VGim8X1rzUzk/edit"",""19!e41"")"),2701)</f>
        <v>2701</v>
      </c>
      <c r="H493" s="18">
        <f ca="1">IFERROR(__xludf.DUMMYFUNCTION("IMPORTRANGE(""https://docs.google.com/spreadsheets/d/1tJCeYclgeJZ4Dc78t_SkhVjtacKW-5-VGim8X1rzUzk/edit"",""19!e42"")"),209)</f>
        <v>209</v>
      </c>
      <c r="I493" s="18">
        <f t="shared" ca="1" si="1362"/>
        <v>2910</v>
      </c>
      <c r="J493" s="18">
        <f ca="1">IFERROR(__xludf.DUMMYFUNCTION("IMPORTRANGE(""https://docs.google.com/spreadsheets/d/1tJCeYclgeJZ4Dc78t_SkhVjtacKW-5-VGim8X1rzUzk/edit"",""19!e45"")"),3192)</f>
        <v>3192</v>
      </c>
      <c r="K493" s="18">
        <f ca="1">IFERROR(__xludf.DUMMYFUNCTION("IMPORTRANGE(""https://docs.google.com/spreadsheets/d/1tJCeYclgeJZ4Dc78t_SkhVjtacKW-5-VGim8X1rzUzk/edit"",""19!e46"")"),140)</f>
        <v>140</v>
      </c>
      <c r="L493" s="18">
        <f t="shared" ca="1" si="1363"/>
        <v>3332</v>
      </c>
      <c r="M493" s="18">
        <f t="shared" ca="1" si="1364"/>
        <v>6242</v>
      </c>
      <c r="N493" s="19">
        <f t="shared" ca="1" si="1365"/>
        <v>198.27590909090907</v>
      </c>
      <c r="O493" s="16">
        <v>7315</v>
      </c>
      <c r="P493" s="20">
        <f t="shared" ca="1" si="1366"/>
        <v>0.85331510594668492</v>
      </c>
      <c r="Q493" s="21">
        <v>1.5</v>
      </c>
      <c r="R493" s="20">
        <f t="shared" ca="1" si="1367"/>
        <v>0.63598755229105042</v>
      </c>
      <c r="S493" s="22">
        <f t="shared" ca="1" si="1368"/>
        <v>0.95398132843657568</v>
      </c>
      <c r="T493" s="21">
        <f ca="1">F493/30.897</f>
        <v>211.77153121662298</v>
      </c>
      <c r="U493" s="21">
        <f t="shared" ca="1" si="1369"/>
        <v>6.4173191277764534</v>
      </c>
      <c r="V493" s="18">
        <f t="shared" ca="1" si="1370"/>
        <v>189.15151515151516</v>
      </c>
      <c r="W493" s="76"/>
      <c r="X493" s="8">
        <v>5</v>
      </c>
      <c r="Y493" s="8" t="s">
        <v>29</v>
      </c>
      <c r="Z493" s="8">
        <f t="shared" ref="Z493:AI493" si="1373">SUM(D508)</f>
        <v>30</v>
      </c>
      <c r="AA493" s="9">
        <f t="shared" ca="1" si="1373"/>
        <v>30</v>
      </c>
      <c r="AB493" s="10">
        <f t="shared" ca="1" si="1373"/>
        <v>5881.0019999999904</v>
      </c>
      <c r="AC493" s="9">
        <f t="shared" ca="1" si="1373"/>
        <v>2779</v>
      </c>
      <c r="AD493" s="9">
        <f t="shared" ca="1" si="1373"/>
        <v>0</v>
      </c>
      <c r="AE493" s="9">
        <f t="shared" ca="1" si="1373"/>
        <v>2779</v>
      </c>
      <c r="AF493" s="9">
        <f t="shared" ca="1" si="1373"/>
        <v>4219</v>
      </c>
      <c r="AG493" s="9">
        <f t="shared" ca="1" si="1373"/>
        <v>0</v>
      </c>
      <c r="AH493" s="9">
        <f t="shared" ca="1" si="1373"/>
        <v>4219</v>
      </c>
      <c r="AI493" s="9">
        <f t="shared" ca="1" si="1373"/>
        <v>6998</v>
      </c>
      <c r="AJ493" s="11">
        <f t="shared" ref="AJ493:AJ495" ca="1" si="1374">AB493/AA493</f>
        <v>196.03339999999969</v>
      </c>
      <c r="AK493" s="8">
        <f t="shared" ref="AK493:AK494" si="1375">SUM(O508)</f>
        <v>9201</v>
      </c>
      <c r="AL493" s="12">
        <f t="shared" ca="1" si="1352"/>
        <v>0.76056950331485706</v>
      </c>
      <c r="AM493" s="13">
        <f t="shared" ref="AM493:AM494" si="1376">SUM(Q508)</f>
        <v>1.5</v>
      </c>
      <c r="AN493" s="12">
        <f t="shared" ca="1" si="1354"/>
        <v>0.79328885338473631</v>
      </c>
      <c r="AO493" s="14">
        <f t="shared" ca="1" si="1355"/>
        <v>1.1899332800771045</v>
      </c>
      <c r="AP493" s="13">
        <f t="shared" ref="AP493:AQ493" ca="1" si="1377">SUM(T508)</f>
        <v>221.99999999999963</v>
      </c>
      <c r="AQ493" s="13">
        <f t="shared" ca="1" si="1377"/>
        <v>7.3999999999999879</v>
      </c>
      <c r="AR493" s="9">
        <f t="shared" ca="1" si="1357"/>
        <v>233.26666666666668</v>
      </c>
      <c r="AS493" s="76"/>
      <c r="AT493" s="76"/>
    </row>
    <row r="494" spans="1:46" ht="15.75" customHeight="1" x14ac:dyDescent="0.25">
      <c r="A494" s="70"/>
      <c r="B494" s="16">
        <v>3</v>
      </c>
      <c r="C494" s="16" t="s">
        <v>30</v>
      </c>
      <c r="D494" s="17">
        <v>60</v>
      </c>
      <c r="E494" s="18">
        <f ca="1">IFERROR(__xludf.DUMMYFUNCTION("COUNT(IMPORTRANGE(""https://docs.google.com/spreadsheets/d/130gLEONC13J8KkQ6dk06x3bLRy_jCrAw2hXatQf2W50/edit"",""19!d2:d61""))"),59)</f>
        <v>59</v>
      </c>
      <c r="F494" s="23">
        <f ca="1">IFERROR(__xludf.DUMMYFUNCTION("SUM(IMPORTRANGE(""https://docs.google.com/spreadsheets/d/130gLEONC13J8KkQ6dk06x3bLRy_jCrAw2hXatQf2W50/edit"",""19!Q2:Q61""))"),11726.9929999999)</f>
        <v>11726.9929999999</v>
      </c>
      <c r="G494" s="18">
        <f ca="1">IFERROR(__xludf.DUMMYFUNCTION("IMPORTRANGE(""https://docs.google.com/spreadsheets/d/130gLEONC13J8KkQ6dk06x3bLRy_jCrAw2hXatQf2W50/edit"",""19!e68"")"),3282)</f>
        <v>3282</v>
      </c>
      <c r="H494" s="18">
        <f ca="1">IFERROR(__xludf.DUMMYFUNCTION("IMPORTRANGE(""https://docs.google.com/spreadsheets/d/130gLEONC13J8KkQ6dk06x3bLRy_jCrAw2hXatQf2W50/edit"",""19!e69"")"),0)</f>
        <v>0</v>
      </c>
      <c r="I494" s="18">
        <f t="shared" ca="1" si="1362"/>
        <v>3282</v>
      </c>
      <c r="J494" s="18">
        <f ca="1">IFERROR(__xludf.DUMMYFUNCTION("IMPORTRANGE(""https://docs.google.com/spreadsheets/d/130gLEONC13J8KkQ6dk06x3bLRy_jCrAw2hXatQf2W50/edit"",""19!e72"")"),6082)</f>
        <v>6082</v>
      </c>
      <c r="K494" s="18">
        <f ca="1">IFERROR(__xludf.DUMMYFUNCTION("IMPORTRANGE(""https://docs.google.com/spreadsheets/d/130gLEONC13J8KkQ6dk06x3bLRy_jCrAw2hXatQf2W50/edit"",""19!e73"")"),0)</f>
        <v>0</v>
      </c>
      <c r="L494" s="18">
        <f t="shared" ca="1" si="1363"/>
        <v>6082</v>
      </c>
      <c r="M494" s="18">
        <f t="shared" ca="1" si="1364"/>
        <v>9364</v>
      </c>
      <c r="N494" s="19">
        <f t="shared" ca="1" si="1365"/>
        <v>198.76259322033729</v>
      </c>
      <c r="O494" s="16">
        <v>11164</v>
      </c>
      <c r="P494" s="20">
        <f t="shared" ca="1" si="1366"/>
        <v>0.83876746685775705</v>
      </c>
      <c r="Q494" s="21">
        <v>1.5</v>
      </c>
      <c r="R494" s="20">
        <f t="shared" ca="1" si="1367"/>
        <v>0.53233311102570957</v>
      </c>
      <c r="S494" s="22">
        <f t="shared" ca="1" si="1368"/>
        <v>0.79849966653856441</v>
      </c>
      <c r="T494" s="21">
        <f ca="1">F494/29.603</f>
        <v>396.14204641421139</v>
      </c>
      <c r="U494" s="21">
        <f t="shared" ca="1" si="1369"/>
        <v>6.7142719731222273</v>
      </c>
      <c r="V494" s="18">
        <f t="shared" ca="1" si="1370"/>
        <v>158.71186440677965</v>
      </c>
      <c r="W494" s="76"/>
      <c r="X494" s="8">
        <v>6</v>
      </c>
      <c r="Y494" s="8" t="s">
        <v>31</v>
      </c>
      <c r="Z494" s="8">
        <f t="shared" ref="Z494:AI494" si="1378">SUM(D509)</f>
        <v>15</v>
      </c>
      <c r="AA494" s="9">
        <f t="shared" ca="1" si="1378"/>
        <v>12</v>
      </c>
      <c r="AB494" s="11">
        <f t="shared" ca="1" si="1378"/>
        <v>2434.04</v>
      </c>
      <c r="AC494" s="9">
        <f t="shared" ca="1" si="1378"/>
        <v>845</v>
      </c>
      <c r="AD494" s="9">
        <f t="shared" ca="1" si="1378"/>
        <v>12</v>
      </c>
      <c r="AE494" s="9">
        <f t="shared" ca="1" si="1378"/>
        <v>857</v>
      </c>
      <c r="AF494" s="9">
        <f t="shared" ca="1" si="1378"/>
        <v>1025</v>
      </c>
      <c r="AG494" s="9">
        <f t="shared" ca="1" si="1378"/>
        <v>0</v>
      </c>
      <c r="AH494" s="9">
        <f t="shared" ca="1" si="1378"/>
        <v>1025</v>
      </c>
      <c r="AI494" s="9">
        <f t="shared" ca="1" si="1378"/>
        <v>1882</v>
      </c>
      <c r="AJ494" s="11">
        <f t="shared" ca="1" si="1374"/>
        <v>202.83666666666667</v>
      </c>
      <c r="AK494" s="8">
        <f t="shared" si="1375"/>
        <v>2717</v>
      </c>
      <c r="AL494" s="12">
        <f t="shared" ca="1" si="1352"/>
        <v>0.69267574530732423</v>
      </c>
      <c r="AM494" s="13">
        <f t="shared" si="1376"/>
        <v>1.5</v>
      </c>
      <c r="AN494" s="12">
        <f t="shared" ca="1" si="1354"/>
        <v>0.51546674116557933</v>
      </c>
      <c r="AO494" s="14">
        <f t="shared" ca="1" si="1355"/>
        <v>0.773200111748369</v>
      </c>
      <c r="AP494" s="13">
        <f t="shared" ref="AP494:AQ494" ca="1" si="1379">SUM(T509)</f>
        <v>55.999999999999993</v>
      </c>
      <c r="AQ494" s="13">
        <f t="shared" ca="1" si="1379"/>
        <v>4.6666666666666661</v>
      </c>
      <c r="AR494" s="9">
        <f t="shared" ca="1" si="1357"/>
        <v>156.83333333333334</v>
      </c>
      <c r="AS494" s="76"/>
      <c r="AT494" s="76"/>
    </row>
    <row r="495" spans="1:46" ht="15.75" customHeight="1" x14ac:dyDescent="0.25">
      <c r="A495" s="70"/>
      <c r="B495" s="16">
        <v>4</v>
      </c>
      <c r="C495" s="16" t="s">
        <v>32</v>
      </c>
      <c r="D495" s="17">
        <v>42</v>
      </c>
      <c r="E495" s="18">
        <f ca="1">IFERROR(__xludf.DUMMYFUNCTION("COUNT(IMPORTRANGE(""https://docs.google.com/spreadsheets/d/1gYHli7FuKQLm2Q-5LMR0UtkD-gRRA_p8s-phLPLDLgc/edit"",""19!d2:d43""))"),39)</f>
        <v>39</v>
      </c>
      <c r="F495" s="23">
        <f ca="1">IFERROR(__xludf.DUMMYFUNCTION("SUM(IMPORTRANGE(""https://docs.google.com/spreadsheets/d/1gYHli7FuKQLm2Q-5LMR0UtkD-gRRA_p8s-phLPLDLgc/edit"",""19!Q2:Q43""))"),7601.96699999999)</f>
        <v>7601.9669999999896</v>
      </c>
      <c r="G495" s="16">
        <f ca="1">IFERROR(__xludf.DUMMYFUNCTION("IMPORTRANGE(""https://docs.google.com/spreadsheets/d/1gYHli7FuKQLm2Q-5LMR0UtkD-gRRA_p8s-phLPLDLgc/edit"",""19!e50"")"),4350)</f>
        <v>4350</v>
      </c>
      <c r="H495" s="16">
        <f ca="1">IFERROR(__xludf.DUMMYFUNCTION("IMPORTRANGE(""https://docs.google.com/spreadsheets/d/1gYHli7FuKQLm2Q-5LMR0UtkD-gRRA_p8s-phLPLDLgc/edit"",""19!e51"")"),0)</f>
        <v>0</v>
      </c>
      <c r="I495" s="18">
        <f t="shared" ca="1" si="1362"/>
        <v>4350</v>
      </c>
      <c r="J495" s="16">
        <f ca="1">IFERROR(__xludf.DUMMYFUNCTION("IMPORTRANGE(""https://docs.google.com/spreadsheets/d/1gYHli7FuKQLm2Q-5LMR0UtkD-gRRA_p8s-phLPLDLgc/edit"",""19!e54"")"),5777)</f>
        <v>5777</v>
      </c>
      <c r="K495" s="16">
        <f ca="1">IFERROR(__xludf.DUMMYFUNCTION("IMPORTRANGE(""https://docs.google.com/spreadsheets/d/1gYHli7FuKQLm2Q-5LMR0UtkD-gRRA_p8s-phLPLDLgc/edit"",""19!e55"")"),103)</f>
        <v>103</v>
      </c>
      <c r="L495" s="18">
        <f t="shared" ca="1" si="1363"/>
        <v>5880</v>
      </c>
      <c r="M495" s="18">
        <f t="shared" ca="1" si="1364"/>
        <v>10230</v>
      </c>
      <c r="N495" s="19">
        <f t="shared" ca="1" si="1365"/>
        <v>194.92223076923051</v>
      </c>
      <c r="O495" s="16">
        <v>13817</v>
      </c>
      <c r="P495" s="20">
        <f t="shared" ca="1" si="1366"/>
        <v>0.74039227039154665</v>
      </c>
      <c r="Q495" s="21">
        <v>1.5</v>
      </c>
      <c r="R495" s="20">
        <f t="shared" ca="1" si="1367"/>
        <v>0.89713622803150939</v>
      </c>
      <c r="S495" s="22">
        <f t="shared" ca="1" si="1368"/>
        <v>1.3457043420472641</v>
      </c>
      <c r="T495" s="21">
        <f ca="1">F495/25.089</f>
        <v>302.9999999999996</v>
      </c>
      <c r="U495" s="21">
        <f t="shared" ca="1" si="1369"/>
        <v>7.7692307692307594</v>
      </c>
      <c r="V495" s="18">
        <f t="shared" ca="1" si="1370"/>
        <v>262.30769230769232</v>
      </c>
      <c r="W495" s="76"/>
      <c r="X495" s="24" t="s">
        <v>33</v>
      </c>
      <c r="Y495" s="24">
        <v>6</v>
      </c>
      <c r="Z495" s="24">
        <f t="shared" ref="Z495:AI495" si="1380">SUM(Z489:Z494)</f>
        <v>186</v>
      </c>
      <c r="AA495" s="25">
        <f t="shared" ca="1" si="1380"/>
        <v>181</v>
      </c>
      <c r="AB495" s="26">
        <f t="shared" ca="1" si="1380"/>
        <v>34656.377999999961</v>
      </c>
      <c r="AC495" s="25">
        <f t="shared" ca="1" si="1380"/>
        <v>11602</v>
      </c>
      <c r="AD495" s="25">
        <f t="shared" ca="1" si="1380"/>
        <v>486</v>
      </c>
      <c r="AE495" s="25">
        <f t="shared" ca="1" si="1380"/>
        <v>12088</v>
      </c>
      <c r="AF495" s="25">
        <f t="shared" ca="1" si="1380"/>
        <v>16089</v>
      </c>
      <c r="AG495" s="25">
        <f t="shared" ca="1" si="1380"/>
        <v>414</v>
      </c>
      <c r="AH495" s="25">
        <f t="shared" ca="1" si="1380"/>
        <v>16503</v>
      </c>
      <c r="AI495" s="25">
        <f t="shared" ca="1" si="1380"/>
        <v>28591</v>
      </c>
      <c r="AJ495" s="27">
        <f t="shared" ca="1" si="1374"/>
        <v>191.47170165745834</v>
      </c>
      <c r="AK495" s="24">
        <f>SUM(AK489:AK494)</f>
        <v>35074</v>
      </c>
      <c r="AL495" s="28">
        <f t="shared" ca="1" si="1352"/>
        <v>0.81516222843131669</v>
      </c>
      <c r="AM495" s="29">
        <v>1.5</v>
      </c>
      <c r="AN495" s="28">
        <f t="shared" ca="1" si="1354"/>
        <v>0.54999015380853378</v>
      </c>
      <c r="AO495" s="30">
        <f t="shared" ca="1" si="1355"/>
        <v>0.82498523071280072</v>
      </c>
      <c r="AP495" s="29">
        <f ca="1">SUM(AP489:AP494)</f>
        <v>1304.2978197763543</v>
      </c>
      <c r="AQ495" s="29">
        <f ca="1">AP495/AA495</f>
        <v>7.2060653026317922</v>
      </c>
      <c r="AR495" s="25">
        <f t="shared" ca="1" si="1357"/>
        <v>157.96132596685084</v>
      </c>
      <c r="AS495" s="76"/>
      <c r="AT495" s="76"/>
    </row>
    <row r="496" spans="1:46" ht="15.75" customHeight="1" x14ac:dyDescent="0.25">
      <c r="A496" s="70"/>
      <c r="B496" s="16">
        <v>5</v>
      </c>
      <c r="C496" s="16" t="s">
        <v>34</v>
      </c>
      <c r="D496" s="17">
        <v>40</v>
      </c>
      <c r="E496" s="18">
        <f ca="1">IFERROR(__xludf.DUMMYFUNCTION("COUNT(IMPORTRANGE(""https://docs.google.com/spreadsheets/d/1ptS0qWBCKWkc9h2aXWT_YgMhN7yIv5WgAHRbF8l9Zpo/edit"",""19!d2:d41""))"),39)</f>
        <v>39</v>
      </c>
      <c r="F496" s="23">
        <f ca="1">IFERROR(__xludf.DUMMYFUNCTION("SUM(IMPORTRANGE(""https://docs.google.com/spreadsheets/d/1ptS0qWBCKWkc9h2aXWT_YgMhN7yIv5WgAHRbF8l9Zpo/edit"",""19!Q2:Q41""))"),7626.75)</f>
        <v>7626.75</v>
      </c>
      <c r="G496" s="18">
        <f ca="1">IFERROR(__xludf.DUMMYFUNCTION("IMPORTRANGE(""https://docs.google.com/spreadsheets/d/1ptS0qWBCKWkc9h2aXWT_YgMhN7yIv5WgAHRbF8l9Zpo/edit"",""19!e48"")"),2894)</f>
        <v>2894</v>
      </c>
      <c r="H496" s="18">
        <f ca="1">IFERROR(__xludf.DUMMYFUNCTION("IMPORTRANGE(""https://docs.google.com/spreadsheets/d/1ptS0qWBCKWkc9h2aXWT_YgMhN7yIv5WgAHRbF8l9Zpo/edit"",""19!e49"")"),0)</f>
        <v>0</v>
      </c>
      <c r="I496" s="18">
        <f t="shared" ca="1" si="1362"/>
        <v>2894</v>
      </c>
      <c r="J496" s="18">
        <f ca="1">IFERROR(__xludf.DUMMYFUNCTION("IMPORTRANGE(""https://docs.google.com/spreadsheets/d/1ptS0qWBCKWkc9h2aXWT_YgMhN7yIv5WgAHRbF8l9Zpo/edit"",""19!e52"")"),3898)</f>
        <v>3898</v>
      </c>
      <c r="K496" s="18">
        <f ca="1">IFERROR(__xludf.DUMMYFUNCTION("IMPORTRANGE(""https://docs.google.com/spreadsheets/d/1ptS0qWBCKWkc9h2aXWT_YgMhN7yIv5WgAHRbF8l9Zpo/edit"",""19!e53"")"),0)</f>
        <v>0</v>
      </c>
      <c r="L496" s="18">
        <f t="shared" ca="1" si="1363"/>
        <v>3898</v>
      </c>
      <c r="M496" s="18">
        <f t="shared" ca="1" si="1364"/>
        <v>6792</v>
      </c>
      <c r="N496" s="19">
        <f t="shared" ca="1" si="1365"/>
        <v>195.55769230769232</v>
      </c>
      <c r="O496" s="16">
        <v>9354</v>
      </c>
      <c r="P496" s="20">
        <f t="shared" ca="1" si="1366"/>
        <v>0.7261064785118666</v>
      </c>
      <c r="Q496" s="21">
        <v>1.5</v>
      </c>
      <c r="R496" s="20">
        <f t="shared" ca="1" si="1367"/>
        <v>0.59369980660176347</v>
      </c>
      <c r="S496" s="22">
        <f t="shared" ca="1" si="1368"/>
        <v>0.89054970990264526</v>
      </c>
      <c r="T496" s="21">
        <f ca="1">F496/30.713</f>
        <v>248.3231856217237</v>
      </c>
      <c r="U496" s="21">
        <f t="shared" ca="1" si="1369"/>
        <v>6.3672611697877874</v>
      </c>
      <c r="V496" s="18">
        <f t="shared" ca="1" si="1370"/>
        <v>174.15384615384616</v>
      </c>
      <c r="W496" s="76"/>
      <c r="X496" s="100" t="s">
        <v>35</v>
      </c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9"/>
      <c r="AS496" s="76"/>
      <c r="AT496" s="76"/>
    </row>
    <row r="497" spans="1:46" ht="15.75" customHeight="1" x14ac:dyDescent="0.25">
      <c r="A497" s="70"/>
      <c r="B497" s="16">
        <v>6</v>
      </c>
      <c r="C497" s="16" t="s">
        <v>23</v>
      </c>
      <c r="D497" s="17">
        <v>35</v>
      </c>
      <c r="E497" s="18">
        <f ca="1">IFERROR(__xludf.DUMMYFUNCTION("COUNT(IMPORTRANGE(""https://docs.google.com/spreadsheets/d/1829CoYW82aTBBUgqkPnJa94KlBWI-DowAnP4ENQCmaQ/edit"",""19!d2:d36""))"),35)</f>
        <v>35</v>
      </c>
      <c r="F497" s="23">
        <f ca="1">IFERROR(__xludf.DUMMYFUNCTION("SUM(IMPORTRANGE(""https://docs.google.com/spreadsheets/d/1829CoYW82aTBBUgqkPnJa94KlBWI-DowAnP4ENQCmaQ/edit"",""19!Q2:Q36""))"),6699.18399999999)</f>
        <v>6699.1839999999902</v>
      </c>
      <c r="G497" s="18">
        <f ca="1">IFERROR(__xludf.DUMMYFUNCTION("IMPORTRANGE(""https://docs.google.com/spreadsheets/d/1829CoYW82aTBBUgqkPnJa94KlBWI-DowAnP4ENQCmaQ/edit"",""19!e43"")"),1906)</f>
        <v>1906</v>
      </c>
      <c r="H497" s="18">
        <f ca="1">IFERROR(__xludf.DUMMYFUNCTION("IMPORTRANGE(""https://docs.google.com/spreadsheets/d/1829CoYW82aTBBUgqkPnJa94KlBWI-DowAnP4ENQCmaQ/edit"",""19!e44"")"),0)</f>
        <v>0</v>
      </c>
      <c r="I497" s="18">
        <f t="shared" ca="1" si="1362"/>
        <v>1906</v>
      </c>
      <c r="J497" s="18">
        <f ca="1">IFERROR(__xludf.DUMMYFUNCTION("IMPORTRANGE(""https://docs.google.com/spreadsheets/d/1829CoYW82aTBBUgqkPnJa94KlBWI-DowAnP4ENQCmaQ/edit"",""19!e47"")"),3192)</f>
        <v>3192</v>
      </c>
      <c r="K497" s="18">
        <f ca="1">IFERROR(__xludf.DUMMYFUNCTION("IMPORTRANGE(""https://docs.google.com/spreadsheets/d/1829CoYW82aTBBUgqkPnJa94KlBWI-DowAnP4ENQCmaQ/edit"",""19!e48"")"),0)</f>
        <v>0</v>
      </c>
      <c r="L497" s="18">
        <f t="shared" ca="1" si="1363"/>
        <v>3192</v>
      </c>
      <c r="M497" s="18">
        <f t="shared" ca="1" si="1364"/>
        <v>5098</v>
      </c>
      <c r="N497" s="19">
        <f t="shared" ca="1" si="1365"/>
        <v>191.40525714285687</v>
      </c>
      <c r="O497" s="16">
        <v>6853</v>
      </c>
      <c r="P497" s="20">
        <f t="shared" ca="1" si="1366"/>
        <v>0.74390777761564275</v>
      </c>
      <c r="Q497" s="21">
        <v>1.5</v>
      </c>
      <c r="R497" s="20">
        <f t="shared" ca="1" si="1367"/>
        <v>0.5073254692909871</v>
      </c>
      <c r="S497" s="22">
        <f t="shared" ca="1" si="1368"/>
        <v>0.76098820393648059</v>
      </c>
      <c r="T497" s="21">
        <f ca="1">F497/33.74</f>
        <v>198.55317131001749</v>
      </c>
      <c r="U497" s="21">
        <f t="shared" ca="1" si="1369"/>
        <v>5.6729477517147853</v>
      </c>
      <c r="V497" s="18">
        <f t="shared" ca="1" si="1370"/>
        <v>145.65714285714284</v>
      </c>
      <c r="W497" s="76"/>
      <c r="X497" s="1" t="s">
        <v>2</v>
      </c>
      <c r="Y497" s="1" t="s">
        <v>3</v>
      </c>
      <c r="Z497" s="1" t="s">
        <v>4</v>
      </c>
      <c r="AA497" s="1" t="s">
        <v>5</v>
      </c>
      <c r="AB497" s="2" t="s">
        <v>6</v>
      </c>
      <c r="AC497" s="1" t="s">
        <v>7</v>
      </c>
      <c r="AD497" s="1" t="s">
        <v>8</v>
      </c>
      <c r="AE497" s="1" t="s">
        <v>9</v>
      </c>
      <c r="AF497" s="1" t="s">
        <v>10</v>
      </c>
      <c r="AG497" s="1" t="s">
        <v>11</v>
      </c>
      <c r="AH497" s="1" t="s">
        <v>12</v>
      </c>
      <c r="AI497" s="1" t="s">
        <v>13</v>
      </c>
      <c r="AJ497" s="2" t="s">
        <v>14</v>
      </c>
      <c r="AK497" s="1" t="s">
        <v>15</v>
      </c>
      <c r="AL497" s="1" t="s">
        <v>16</v>
      </c>
      <c r="AM497" s="3" t="s">
        <v>17</v>
      </c>
      <c r="AN497" s="4" t="s">
        <v>18</v>
      </c>
      <c r="AO497" s="5" t="s">
        <v>19</v>
      </c>
      <c r="AP497" s="6" t="s">
        <v>20</v>
      </c>
      <c r="AQ497" s="6" t="s">
        <v>21</v>
      </c>
      <c r="AR497" s="7" t="s">
        <v>22</v>
      </c>
      <c r="AS497" s="76"/>
      <c r="AT497" s="76"/>
    </row>
    <row r="498" spans="1:46" ht="15.75" customHeight="1" x14ac:dyDescent="0.25">
      <c r="A498" s="70"/>
      <c r="B498" s="16">
        <v>7</v>
      </c>
      <c r="C498" s="16" t="s">
        <v>24</v>
      </c>
      <c r="D498" s="17">
        <v>44</v>
      </c>
      <c r="E498" s="31">
        <f ca="1">IFERROR(__xludf.DUMMYFUNCTION("COUNT(IMPORTRANGE(""https://docs.google.com/spreadsheets/d/1E2x4oDZxEIsuC5nl-5Z0--MoN8b1dt9SbpRcCfNP84Q/edit"",""19!d2:d45""))"),43)</f>
        <v>43</v>
      </c>
      <c r="F498" s="32">
        <f ca="1">IFERROR(__xludf.DUMMYFUNCTION("SUM(IMPORTRANGE(""https://docs.google.com/spreadsheets/d/1E2x4oDZxEIsuC5nl-5Z0--MoN8b1dt9SbpRcCfNP84Q/edit"",""19!Q2:Q45""))"),8427.48799999999)</f>
        <v>8427.4879999999903</v>
      </c>
      <c r="G498" s="31">
        <f ca="1">IFERROR(__xludf.DUMMYFUNCTION("IMPORTRANGE(""https://docs.google.com/spreadsheets/d/1E2x4oDZxEIsuC5nl-5Z0--MoN8b1dt9SbpRcCfNP84Q/edit"",""19!e53"")"),1060)</f>
        <v>1060</v>
      </c>
      <c r="H498" s="31">
        <f ca="1">IFERROR(__xludf.DUMMYFUNCTION("IMPORTRANGE(""https://docs.google.com/spreadsheets/d/1E2x4oDZxEIsuC5nl-5Z0--MoN8b1dt9SbpRcCfNP84Q/edit"",""19!e54"")"),8)</f>
        <v>8</v>
      </c>
      <c r="I498" s="31">
        <f t="shared" ca="1" si="1362"/>
        <v>1068</v>
      </c>
      <c r="J498" s="31">
        <f ca="1">IFERROR(__xludf.DUMMYFUNCTION("IMPORTRANGE(""https://docs.google.com/spreadsheets/d/1E2x4oDZxEIsuC5nl-5Z0--MoN8b1dt9SbpRcCfNP84Q/edit"",""19!e57"")"),1375)</f>
        <v>1375</v>
      </c>
      <c r="K498" s="31">
        <f ca="1">IFERROR(__xludf.DUMMYFUNCTION("IMPORTRANGE(""https://docs.google.com/spreadsheets/d/1E2x4oDZxEIsuC5nl-5Z0--MoN8b1dt9SbpRcCfNP84Q/edit"",""19!e58"")"),0)</f>
        <v>0</v>
      </c>
      <c r="L498" s="18">
        <f t="shared" ca="1" si="1363"/>
        <v>1375</v>
      </c>
      <c r="M498" s="18">
        <f t="shared" ca="1" si="1364"/>
        <v>2443</v>
      </c>
      <c r="N498" s="19">
        <f t="shared" ca="1" si="1365"/>
        <v>195.9880930232556</v>
      </c>
      <c r="O498" s="16">
        <v>1580</v>
      </c>
      <c r="P498" s="33">
        <f t="shared" ca="1" si="1366"/>
        <v>1.5462025316455696</v>
      </c>
      <c r="Q498" s="21">
        <v>1.5</v>
      </c>
      <c r="R498" s="20">
        <f t="shared" ca="1" si="1367"/>
        <v>0.19325648006460153</v>
      </c>
      <c r="S498" s="22">
        <f t="shared" ca="1" si="1368"/>
        <v>0.2898847200969023</v>
      </c>
      <c r="T498" s="21">
        <f ca="1">F498/26.805</f>
        <v>314.39985077410893</v>
      </c>
      <c r="U498" s="21">
        <f t="shared" ca="1" si="1369"/>
        <v>7.3116244366071843</v>
      </c>
      <c r="V498" s="18">
        <f t="shared" ca="1" si="1370"/>
        <v>56.813953488372093</v>
      </c>
      <c r="W498" s="76"/>
      <c r="X498" s="8">
        <v>1</v>
      </c>
      <c r="Y498" s="8" t="s">
        <v>28</v>
      </c>
      <c r="Z498" s="8">
        <f t="shared" ref="Z498:AI498" si="1381">SUM(D493)</f>
        <v>33</v>
      </c>
      <c r="AA498" s="9">
        <f t="shared" ca="1" si="1381"/>
        <v>33</v>
      </c>
      <c r="AB498" s="11">
        <f t="shared" ca="1" si="1381"/>
        <v>6543.1049999999996</v>
      </c>
      <c r="AC498" s="9">
        <f t="shared" ca="1" si="1381"/>
        <v>2701</v>
      </c>
      <c r="AD498" s="9">
        <f t="shared" ca="1" si="1381"/>
        <v>209</v>
      </c>
      <c r="AE498" s="9">
        <f t="shared" ca="1" si="1381"/>
        <v>2910</v>
      </c>
      <c r="AF498" s="9">
        <f t="shared" ca="1" si="1381"/>
        <v>3192</v>
      </c>
      <c r="AG498" s="9">
        <f t="shared" ca="1" si="1381"/>
        <v>140</v>
      </c>
      <c r="AH498" s="9">
        <f t="shared" ca="1" si="1381"/>
        <v>3332</v>
      </c>
      <c r="AI498" s="9">
        <f t="shared" ca="1" si="1381"/>
        <v>6242</v>
      </c>
      <c r="AJ498" s="11">
        <f t="shared" ref="AJ498:AJ504" ca="1" si="1382">AB498/AA498</f>
        <v>198.27590909090907</v>
      </c>
      <c r="AK498" s="8">
        <f t="shared" ref="AK498:AK499" si="1383">SUM(O493)</f>
        <v>7315</v>
      </c>
      <c r="AL498" s="12">
        <f t="shared" ref="AL498:AL504" ca="1" si="1384">AI498/AK498</f>
        <v>0.85331510594668492</v>
      </c>
      <c r="AM498" s="13">
        <f t="shared" ref="AM498:AM499" si="1385">SUM(Q493)</f>
        <v>1.5</v>
      </c>
      <c r="AN498" s="12">
        <f t="shared" ref="AN498:AN504" ca="1" si="1386">AO498/AM498</f>
        <v>0.63598755229105042</v>
      </c>
      <c r="AO498" s="14">
        <f t="shared" ref="AO498:AO504" ca="1" si="1387">AI498/AB498</f>
        <v>0.95398132843657568</v>
      </c>
      <c r="AP498" s="13">
        <f t="shared" ref="AP498:AQ498" ca="1" si="1388">SUM(T493)</f>
        <v>211.77153121662298</v>
      </c>
      <c r="AQ498" s="13">
        <f t="shared" ca="1" si="1388"/>
        <v>6.4173191277764534</v>
      </c>
      <c r="AR498" s="9">
        <f t="shared" ref="AR498:AR504" ca="1" si="1389">AI498/AA498</f>
        <v>189.15151515151516</v>
      </c>
      <c r="AS498" s="76"/>
      <c r="AT498" s="76"/>
    </row>
    <row r="499" spans="1:46" ht="15.75" customHeight="1" x14ac:dyDescent="0.25">
      <c r="A499" s="70"/>
      <c r="B499" s="16">
        <v>8</v>
      </c>
      <c r="C499" s="16" t="s">
        <v>25</v>
      </c>
      <c r="D499" s="34">
        <v>32</v>
      </c>
      <c r="E499" s="18">
        <f ca="1">IFERROR(__xludf.DUMMYFUNCTION("COUNT(IMPORTRANGE(""https://docs.google.com/spreadsheets/d/1KbRFOEYB0B44J_NSh1MwYQ1sLDlZXUHI-wuMLcZDn5k/edit"",""19!d2:D33""))"),31)</f>
        <v>31</v>
      </c>
      <c r="F499" s="23">
        <f ca="1">IFERROR(__xludf.DUMMYFUNCTION("SUM(IMPORTRANGE(""https://docs.google.com/spreadsheets/d/1KbRFOEYB0B44J_NSh1MwYQ1sLDlZXUHI-wuMLcZDn5k/edit"",""19!Q2:Q33""))"),5908.784)</f>
        <v>5908.7839999999997</v>
      </c>
      <c r="G499" s="18">
        <f ca="1">IFERROR(__xludf.DUMMYFUNCTION("IMPORTRANGE(""https://docs.google.com/spreadsheets/d/1KbRFOEYB0B44J_NSh1MwYQ1sLDlZXUHI-wuMLcZDn5k/edit"",""19!e40"")"),2428)</f>
        <v>2428</v>
      </c>
      <c r="H499" s="18">
        <f ca="1">IFERROR(__xludf.DUMMYFUNCTION("IMPORTRANGE(""https://docs.google.com/spreadsheets/d/1KbRFOEYB0B44J_NSh1MwYQ1sLDlZXUHI-wuMLcZDn5k/edit"",""19!e41"")"),466)</f>
        <v>466</v>
      </c>
      <c r="I499" s="18">
        <f t="shared" ca="1" si="1362"/>
        <v>2894</v>
      </c>
      <c r="J499" s="18">
        <f ca="1">IFERROR(__xludf.DUMMYFUNCTION("IMPORTRANGE(""https://docs.google.com/spreadsheets/d/1KbRFOEYB0B44J_NSh1MwYQ1sLDlZXUHI-wuMLcZDn5k/edit"",""19!e44"")"),3131)</f>
        <v>3131</v>
      </c>
      <c r="K499" s="18">
        <f ca="1">IFERROR(__xludf.DUMMYFUNCTION("IMPORTRANGE(""https://docs.google.com/spreadsheets/d/1KbRFOEYB0B44J_NSh1MwYQ1sLDlZXUHI-wuMLcZDn5k/edit"",""19!e45"")"),414)</f>
        <v>414</v>
      </c>
      <c r="L499" s="18">
        <f ca="1">J499+K499</f>
        <v>3545</v>
      </c>
      <c r="M499" s="18">
        <f t="shared" ca="1" si="1364"/>
        <v>6439</v>
      </c>
      <c r="N499" s="19">
        <f t="shared" ca="1" si="1365"/>
        <v>190.60593548387095</v>
      </c>
      <c r="O499" s="16">
        <v>6622</v>
      </c>
      <c r="P499" s="20">
        <f t="shared" ca="1" si="1366"/>
        <v>0.97236484445786775</v>
      </c>
      <c r="Q499" s="21">
        <v>1.5</v>
      </c>
      <c r="R499" s="20">
        <f t="shared" ca="1" si="1367"/>
        <v>0.72648901477303396</v>
      </c>
      <c r="S499" s="22">
        <f t="shared" ca="1" si="1368"/>
        <v>1.089733522159551</v>
      </c>
      <c r="T499" s="21">
        <f ca="1">F499/23.84</f>
        <v>247.85167785234898</v>
      </c>
      <c r="U499" s="21">
        <f t="shared" ca="1" si="1369"/>
        <v>7.995215414591903</v>
      </c>
      <c r="V499" s="18">
        <f t="shared" ca="1" si="1370"/>
        <v>207.70967741935485</v>
      </c>
      <c r="W499" s="76"/>
      <c r="X499" s="8">
        <v>2</v>
      </c>
      <c r="Y499" s="8" t="s">
        <v>30</v>
      </c>
      <c r="Z499" s="8">
        <f t="shared" ref="Z499:AI499" si="1390">SUM(D494)</f>
        <v>60</v>
      </c>
      <c r="AA499" s="9">
        <f t="shared" ca="1" si="1390"/>
        <v>59</v>
      </c>
      <c r="AB499" s="10">
        <f t="shared" ca="1" si="1390"/>
        <v>11726.9929999999</v>
      </c>
      <c r="AC499" s="9">
        <f t="shared" ca="1" si="1390"/>
        <v>3282</v>
      </c>
      <c r="AD499" s="9">
        <f t="shared" ca="1" si="1390"/>
        <v>0</v>
      </c>
      <c r="AE499" s="9">
        <f t="shared" ca="1" si="1390"/>
        <v>3282</v>
      </c>
      <c r="AF499" s="9">
        <f t="shared" ca="1" si="1390"/>
        <v>6082</v>
      </c>
      <c r="AG499" s="9">
        <f t="shared" ca="1" si="1390"/>
        <v>0</v>
      </c>
      <c r="AH499" s="9">
        <f t="shared" ca="1" si="1390"/>
        <v>6082</v>
      </c>
      <c r="AI499" s="9">
        <f t="shared" ca="1" si="1390"/>
        <v>9364</v>
      </c>
      <c r="AJ499" s="11">
        <f t="shared" ca="1" si="1382"/>
        <v>198.76259322033729</v>
      </c>
      <c r="AK499" s="8">
        <f t="shared" si="1383"/>
        <v>11164</v>
      </c>
      <c r="AL499" s="12">
        <f t="shared" ca="1" si="1384"/>
        <v>0.83876746685775705</v>
      </c>
      <c r="AM499" s="13">
        <f t="shared" si="1385"/>
        <v>1.5</v>
      </c>
      <c r="AN499" s="12">
        <f t="shared" ca="1" si="1386"/>
        <v>0.53233311102570957</v>
      </c>
      <c r="AO499" s="14">
        <f t="shared" ca="1" si="1387"/>
        <v>0.79849966653856441</v>
      </c>
      <c r="AP499" s="13">
        <f t="shared" ref="AP499:AQ499" ca="1" si="1391">SUM(T494)</f>
        <v>396.14204641421139</v>
      </c>
      <c r="AQ499" s="13">
        <f t="shared" ca="1" si="1391"/>
        <v>6.7142719731222273</v>
      </c>
      <c r="AR499" s="9">
        <f t="shared" ca="1" si="1389"/>
        <v>158.71186440677965</v>
      </c>
      <c r="AS499" s="76"/>
      <c r="AT499" s="76"/>
    </row>
    <row r="500" spans="1:46" ht="15.75" customHeight="1" x14ac:dyDescent="0.25">
      <c r="A500" s="70"/>
      <c r="B500" s="16">
        <v>9</v>
      </c>
      <c r="C500" s="16" t="s">
        <v>36</v>
      </c>
      <c r="D500" s="34">
        <v>29</v>
      </c>
      <c r="E500" s="18">
        <f ca="1">IFERROR(__xludf.DUMMYFUNCTION("COUNT(IMPORTRANGE(""https://docs.google.com/spreadsheets/d/1VqqqRGfmmkT0JC4ILJva2p8P11jjV0FX-TSKAaqOigw/edit"",""19!d2:d31""))"),29)</f>
        <v>29</v>
      </c>
      <c r="F500" s="23">
        <f ca="1">IFERROR(__xludf.DUMMYFUNCTION("SUM(IMPORTRANGE(""https://docs.google.com/spreadsheets/d/1VqqqRGfmmkT0JC4ILJva2p8P11jjV0FX-TSKAaqOigw/edit"",""19!Q2:Q31""))"),5753.77599999999)</f>
        <v>5753.7759999999898</v>
      </c>
      <c r="G500" s="18">
        <f ca="1">IFERROR(__xludf.DUMMYFUNCTION("IMPORTRANGE(""https://docs.google.com/spreadsheets/d/1VqqqRGfmmkT0JC4ILJva2p8P11jjV0FX-TSKAaqOigw/edit"",""19!e38"")"),1575)</f>
        <v>1575</v>
      </c>
      <c r="H500" s="18">
        <f ca="1">IFERROR(__xludf.DUMMYFUNCTION("IMPORTRANGE(""https://docs.google.com/spreadsheets/d/1VqqqRGfmmkT0JC4ILJva2p8P11jjV0FX-TSKAaqOigw/edit"",""19!e39"")"),0)</f>
        <v>0</v>
      </c>
      <c r="I500" s="18">
        <f t="shared" ca="1" si="1362"/>
        <v>1575</v>
      </c>
      <c r="J500" s="18">
        <f ca="1">IFERROR(__xludf.DUMMYFUNCTION("IMPORTRANGE(""https://docs.google.com/spreadsheets/d/1VqqqRGfmmkT0JC4ILJva2p8P11jjV0FX-TSKAaqOigw/edit"",""19!e42"")"),2366)</f>
        <v>2366</v>
      </c>
      <c r="K500" s="18">
        <f ca="1">IFERROR(__xludf.DUMMYFUNCTION("IMPORTRANGE(""https://docs.google.com/spreadsheets/d/1VqqqRGfmmkT0JC4ILJva2p8P11jjV0FX-TSKAaqOigw/edit"",""19!e43"")"),23)</f>
        <v>23</v>
      </c>
      <c r="L500" s="18">
        <f t="shared" ref="L500:L509" ca="1" si="1392">SUM(J500:K500)</f>
        <v>2389</v>
      </c>
      <c r="M500" s="18">
        <f t="shared" ca="1" si="1364"/>
        <v>3964</v>
      </c>
      <c r="N500" s="19">
        <f t="shared" ca="1" si="1365"/>
        <v>198.40606896551688</v>
      </c>
      <c r="O500" s="16">
        <v>4796</v>
      </c>
      <c r="P500" s="20">
        <f t="shared" ca="1" si="1366"/>
        <v>0.82652210175145957</v>
      </c>
      <c r="Q500" s="21">
        <v>1.5</v>
      </c>
      <c r="R500" s="20">
        <f t="shared" ca="1" si="1367"/>
        <v>0.45929258745329521</v>
      </c>
      <c r="S500" s="22">
        <f t="shared" ca="1" si="1368"/>
        <v>0.68893888117994284</v>
      </c>
      <c r="T500" s="21">
        <f ca="1">F500/37.414</f>
        <v>153.7867108568982</v>
      </c>
      <c r="U500" s="21">
        <f t="shared" ca="1" si="1369"/>
        <v>5.302990029548214</v>
      </c>
      <c r="V500" s="18">
        <f t="shared" ca="1" si="1370"/>
        <v>136.68965517241378</v>
      </c>
      <c r="W500" s="76"/>
      <c r="X500" s="8">
        <v>3</v>
      </c>
      <c r="Y500" s="8" t="s">
        <v>34</v>
      </c>
      <c r="Z500" s="8">
        <f t="shared" ref="Z500:AI500" si="1393">SUM(D496)</f>
        <v>40</v>
      </c>
      <c r="AA500" s="9">
        <f t="shared" ca="1" si="1393"/>
        <v>39</v>
      </c>
      <c r="AB500" s="10">
        <f t="shared" ca="1" si="1393"/>
        <v>7626.75</v>
      </c>
      <c r="AC500" s="9">
        <f t="shared" ca="1" si="1393"/>
        <v>2894</v>
      </c>
      <c r="AD500" s="9">
        <f t="shared" ca="1" si="1393"/>
        <v>0</v>
      </c>
      <c r="AE500" s="9">
        <f t="shared" ca="1" si="1393"/>
        <v>2894</v>
      </c>
      <c r="AF500" s="9">
        <f t="shared" ca="1" si="1393"/>
        <v>3898</v>
      </c>
      <c r="AG500" s="9">
        <f t="shared" ca="1" si="1393"/>
        <v>0</v>
      </c>
      <c r="AH500" s="9">
        <f t="shared" ca="1" si="1393"/>
        <v>3898</v>
      </c>
      <c r="AI500" s="9">
        <f t="shared" ca="1" si="1393"/>
        <v>6792</v>
      </c>
      <c r="AJ500" s="11">
        <f t="shared" ca="1" si="1382"/>
        <v>195.55769230769232</v>
      </c>
      <c r="AK500" s="8">
        <f>SUM(O496)</f>
        <v>9354</v>
      </c>
      <c r="AL500" s="12">
        <f t="shared" ca="1" si="1384"/>
        <v>0.7261064785118666</v>
      </c>
      <c r="AM500" s="13">
        <f>SUM(Q496)</f>
        <v>1.5</v>
      </c>
      <c r="AN500" s="12">
        <f t="shared" ca="1" si="1386"/>
        <v>0.59369980660176347</v>
      </c>
      <c r="AO500" s="14">
        <f t="shared" ca="1" si="1387"/>
        <v>0.89054970990264526</v>
      </c>
      <c r="AP500" s="13">
        <f t="shared" ref="AP500:AQ500" ca="1" si="1394">SUM(T496)</f>
        <v>248.3231856217237</v>
      </c>
      <c r="AQ500" s="13">
        <f t="shared" ca="1" si="1394"/>
        <v>6.3672611697877874</v>
      </c>
      <c r="AR500" s="9">
        <f t="shared" ca="1" si="1389"/>
        <v>174.15384615384616</v>
      </c>
      <c r="AS500" s="76"/>
      <c r="AT500" s="76"/>
    </row>
    <row r="501" spans="1:46" ht="15.75" customHeight="1" x14ac:dyDescent="0.25">
      <c r="A501" s="70"/>
      <c r="B501" s="16">
        <v>10</v>
      </c>
      <c r="C501" s="16" t="s">
        <v>37</v>
      </c>
      <c r="D501" s="17">
        <v>30</v>
      </c>
      <c r="E501" s="18">
        <f ca="1">IFERROR(__xludf.DUMMYFUNCTION("COUNT(IMPORTRANGE(""https://docs.google.com/spreadsheets/d/1IYeRjQd_D6MRqoBKNaky3aSEUloYCJc5XDnPAbdyetk/edit"",""19!d2:d31""))"),30)</f>
        <v>30</v>
      </c>
      <c r="F501" s="23">
        <f ca="1">IFERROR(__xludf.DUMMYFUNCTION("SUM(IMPORTRANGE(""https://docs.google.com/spreadsheets/d/1IYeRjQd_D6MRqoBKNaky3aSEUloYCJc5XDnPAbdyetk/edit"",""19!Q2:Q31""))"),5787.396)</f>
        <v>5787.3959999999997</v>
      </c>
      <c r="G501" s="18">
        <f ca="1">IFERROR(__xludf.DUMMYFUNCTION("(IMPORTRANGE(""https://docs.google.com/spreadsheets/d/1IYeRjQd_D6MRqoBKNaky3aSEUloYCJc5XDnPAbdyetk/edit"",""19!e38""))"),2215)</f>
        <v>2215</v>
      </c>
      <c r="H501" s="18">
        <f ca="1">IFERROR(__xludf.DUMMYFUNCTION("(IMPORTRANGE(""https://docs.google.com/spreadsheets/d/1IYeRjQd_D6MRqoBKNaky3aSEUloYCJc5XDnPAbdyetk/edit"",""19!e39""))"),0)</f>
        <v>0</v>
      </c>
      <c r="I501" s="18">
        <f t="shared" ca="1" si="1362"/>
        <v>2215</v>
      </c>
      <c r="J501" s="18">
        <f ca="1">IFERROR(__xludf.DUMMYFUNCTION("(IMPORTRANGE(""https://docs.google.com/spreadsheets/d/1IYeRjQd_D6MRqoBKNaky3aSEUloYCJc5XDnPAbdyetk/edit"",""19!e42""))"),3235)</f>
        <v>3235</v>
      </c>
      <c r="K501" s="18">
        <f ca="1">IFERROR(__xludf.DUMMYFUNCTION("(IMPORTRANGE(""https://docs.google.com/spreadsheets/d/1IYeRjQd_D6MRqoBKNaky3aSEUloYCJc5XDnPAbdyetk/edit"",""19!e43""))"),0)</f>
        <v>0</v>
      </c>
      <c r="L501" s="18">
        <f t="shared" ca="1" si="1392"/>
        <v>3235</v>
      </c>
      <c r="M501" s="18">
        <f t="shared" ca="1" si="1364"/>
        <v>5450</v>
      </c>
      <c r="N501" s="19">
        <f t="shared" ca="1" si="1365"/>
        <v>192.91319999999999</v>
      </c>
      <c r="O501" s="16">
        <v>5887</v>
      </c>
      <c r="P501" s="20">
        <f t="shared" ca="1" si="1366"/>
        <v>0.92576864277220994</v>
      </c>
      <c r="Q501" s="21">
        <v>1.5</v>
      </c>
      <c r="R501" s="20">
        <f t="shared" ca="1" si="1367"/>
        <v>0.62780105825371779</v>
      </c>
      <c r="S501" s="22">
        <f t="shared" ca="1" si="1368"/>
        <v>0.94170158738057674</v>
      </c>
      <c r="T501" s="21">
        <f ca="1">F501/24.792</f>
        <v>233.43804453049367</v>
      </c>
      <c r="U501" s="21">
        <f t="shared" ca="1" si="1369"/>
        <v>7.7812681510164561</v>
      </c>
      <c r="V501" s="18">
        <f t="shared" ca="1" si="1370"/>
        <v>181.66666666666666</v>
      </c>
      <c r="W501" s="76"/>
      <c r="X501" s="8">
        <v>4</v>
      </c>
      <c r="Y501" s="8" t="s">
        <v>38</v>
      </c>
      <c r="Z501" s="8">
        <f t="shared" ref="Z501:AI501" si="1395">SUM(D504)</f>
        <v>30</v>
      </c>
      <c r="AA501" s="9">
        <f t="shared" ca="1" si="1395"/>
        <v>30</v>
      </c>
      <c r="AB501" s="10">
        <f t="shared" ca="1" si="1395"/>
        <v>6345.57</v>
      </c>
      <c r="AC501" s="9">
        <f t="shared" ca="1" si="1395"/>
        <v>2352</v>
      </c>
      <c r="AD501" s="9">
        <f t="shared" ca="1" si="1395"/>
        <v>15</v>
      </c>
      <c r="AE501" s="9">
        <f t="shared" ca="1" si="1395"/>
        <v>2367</v>
      </c>
      <c r="AF501" s="9">
        <f t="shared" ca="1" si="1395"/>
        <v>2863</v>
      </c>
      <c r="AG501" s="9">
        <f t="shared" ca="1" si="1395"/>
        <v>205</v>
      </c>
      <c r="AH501" s="9">
        <f t="shared" ca="1" si="1395"/>
        <v>3068</v>
      </c>
      <c r="AI501" s="9">
        <f t="shared" ca="1" si="1395"/>
        <v>5435</v>
      </c>
      <c r="AJ501" s="11">
        <f t="shared" ca="1" si="1382"/>
        <v>211.51899999999998</v>
      </c>
      <c r="AK501" s="8">
        <v>7324</v>
      </c>
      <c r="AL501" s="12">
        <f t="shared" ca="1" si="1384"/>
        <v>0.7420808301474604</v>
      </c>
      <c r="AM501" s="13">
        <f>SUM(Q504)</f>
        <v>1.5</v>
      </c>
      <c r="AN501" s="12">
        <f t="shared" ca="1" si="1386"/>
        <v>0.57100202713599146</v>
      </c>
      <c r="AO501" s="14">
        <f t="shared" ca="1" si="1387"/>
        <v>0.8565030407039872</v>
      </c>
      <c r="AP501" s="13">
        <f t="shared" ref="AP501:AQ501" ca="1" si="1396">SUM(T504)</f>
        <v>154</v>
      </c>
      <c r="AQ501" s="13">
        <f t="shared" ca="1" si="1396"/>
        <v>5.1333333333333337</v>
      </c>
      <c r="AR501" s="9">
        <f t="shared" ca="1" si="1389"/>
        <v>181.16666666666666</v>
      </c>
      <c r="AS501" s="76"/>
      <c r="AT501" s="76"/>
    </row>
    <row r="502" spans="1:46" ht="15.75" customHeight="1" x14ac:dyDescent="0.25">
      <c r="A502" s="70"/>
      <c r="B502" s="16">
        <v>12</v>
      </c>
      <c r="C502" s="16" t="s">
        <v>39</v>
      </c>
      <c r="D502" s="17">
        <v>28</v>
      </c>
      <c r="E502" s="18">
        <f ca="1">IFERROR(__xludf.DUMMYFUNCTION("COUNT(IMPORTRANGE(""https://docs.google.com/spreadsheets/d/1TAY2D35yAzyl8a_p5CuZehQvmatfj0b0Q8ICl8GtJBY/edit"",""19!d2:d29""))"),27)</f>
        <v>27</v>
      </c>
      <c r="F502" s="23">
        <f ca="1">IFERROR(__xludf.DUMMYFUNCTION("SUM(IMPORTRANGE(""https://docs.google.com/spreadsheets/d/1TAY2D35yAzyl8a_p5CuZehQvmatfj0b0Q8ICl8GtJBY/edit"",""19!Q2:Q29""))"),5008.155)</f>
        <v>5008.1549999999997</v>
      </c>
      <c r="G502" s="18">
        <f ca="1">IFERROR(__xludf.DUMMYFUNCTION("IMPORTRANGE(""https://docs.google.com/spreadsheets/d/1TAY2D35yAzyl8a_p5CuZehQvmatfj0b0Q8ICl8GtJBY/edit"",""19!e36"")"),1148)</f>
        <v>1148</v>
      </c>
      <c r="H502" s="18">
        <f ca="1">IFERROR(__xludf.DUMMYFUNCTION("(IMPORTRANGE(""https://docs.google.com/spreadsheets/d/1TAY2D35yAzyl8a_p5CuZehQvmatfj0b0Q8ICl8GtJBY/edit"",""19!e37""))"),90)</f>
        <v>90</v>
      </c>
      <c r="I502" s="18">
        <f t="shared" ca="1" si="1362"/>
        <v>1238</v>
      </c>
      <c r="J502" s="18">
        <f ca="1">IFERROR(__xludf.DUMMYFUNCTION("IMPORTRANGE(""https://docs.google.com/spreadsheets/d/1TAY2D35yAzyl8a_p5CuZehQvmatfj0b0Q8ICl8GtJBY/edit"",""19!e40"")"),1928)</f>
        <v>1928</v>
      </c>
      <c r="K502" s="18">
        <f ca="1">IFERROR(__xludf.DUMMYFUNCTION("IMPORTRANGE(""https://docs.google.com/spreadsheets/d/1TAY2D35yAzyl8a_p5CuZehQvmatfj0b0Q8ICl8GtJBY/edit"",""19!e41"")"),19)</f>
        <v>19</v>
      </c>
      <c r="L502" s="18">
        <f t="shared" ca="1" si="1392"/>
        <v>1947</v>
      </c>
      <c r="M502" s="18">
        <f t="shared" ca="1" si="1364"/>
        <v>3185</v>
      </c>
      <c r="N502" s="19">
        <f t="shared" ca="1" si="1365"/>
        <v>185.48722222222221</v>
      </c>
      <c r="O502" s="16">
        <v>3569</v>
      </c>
      <c r="P502" s="20">
        <f t="shared" ca="1" si="1366"/>
        <v>0.89240683664892129</v>
      </c>
      <c r="Q502" s="21">
        <v>1.5</v>
      </c>
      <c r="R502" s="20">
        <f t="shared" ca="1" si="1367"/>
        <v>0.42397516317552736</v>
      </c>
      <c r="S502" s="22">
        <f t="shared" ca="1" si="1368"/>
        <v>0.63596274476329107</v>
      </c>
      <c r="T502" s="21">
        <f ca="1">F502/21.463</f>
        <v>233.33900200344777</v>
      </c>
      <c r="U502" s="21">
        <f t="shared" ca="1" si="1369"/>
        <v>8.6421852593869541</v>
      </c>
      <c r="V502" s="18">
        <f t="shared" ca="1" si="1370"/>
        <v>117.96296296296296</v>
      </c>
      <c r="W502" s="76"/>
      <c r="X502" s="8">
        <v>5</v>
      </c>
      <c r="Y502" s="8" t="s">
        <v>40</v>
      </c>
      <c r="Z502" s="8">
        <f t="shared" ref="Z502:AI502" si="1397">SUM(D506)</f>
        <v>30</v>
      </c>
      <c r="AA502" s="9">
        <f t="shared" ca="1" si="1397"/>
        <v>30</v>
      </c>
      <c r="AB502" s="10">
        <f t="shared" ca="1" si="1397"/>
        <v>5944.5869999999904</v>
      </c>
      <c r="AC502" s="9">
        <f t="shared" ca="1" si="1397"/>
        <v>3457</v>
      </c>
      <c r="AD502" s="9">
        <f t="shared" ca="1" si="1397"/>
        <v>0</v>
      </c>
      <c r="AE502" s="9">
        <f t="shared" ca="1" si="1397"/>
        <v>3457</v>
      </c>
      <c r="AF502" s="9">
        <f t="shared" ca="1" si="1397"/>
        <v>3848</v>
      </c>
      <c r="AG502" s="9">
        <f t="shared" ca="1" si="1397"/>
        <v>0</v>
      </c>
      <c r="AH502" s="9">
        <f t="shared" ca="1" si="1397"/>
        <v>3848</v>
      </c>
      <c r="AI502" s="9">
        <f t="shared" ca="1" si="1397"/>
        <v>7305</v>
      </c>
      <c r="AJ502" s="11">
        <f t="shared" ca="1" si="1382"/>
        <v>198.15289999999968</v>
      </c>
      <c r="AK502" s="8">
        <f t="shared" ref="AK502:AK503" si="1398">SUM(O506)</f>
        <v>8239</v>
      </c>
      <c r="AL502" s="12">
        <f t="shared" ca="1" si="1384"/>
        <v>0.88663672775822311</v>
      </c>
      <c r="AM502" s="13">
        <f t="shared" ref="AM502:AM503" si="1399">SUM(Q506)</f>
        <v>1.5</v>
      </c>
      <c r="AN502" s="12">
        <f t="shared" ca="1" si="1386"/>
        <v>0.81923269017679579</v>
      </c>
      <c r="AO502" s="14">
        <f t="shared" ca="1" si="1387"/>
        <v>1.2288490352651937</v>
      </c>
      <c r="AP502" s="13">
        <f t="shared" ref="AP502:AQ502" ca="1" si="1400">SUM(T506)</f>
        <v>208.99999999999966</v>
      </c>
      <c r="AQ502" s="13">
        <f t="shared" ca="1" si="1400"/>
        <v>6.9666666666666552</v>
      </c>
      <c r="AR502" s="9">
        <f t="shared" ca="1" si="1389"/>
        <v>243.5</v>
      </c>
      <c r="AS502" s="76"/>
      <c r="AT502" s="76"/>
    </row>
    <row r="503" spans="1:46" ht="15.75" customHeight="1" x14ac:dyDescent="0.25">
      <c r="A503" s="70"/>
      <c r="B503" s="16">
        <v>12</v>
      </c>
      <c r="C503" s="16" t="s">
        <v>41</v>
      </c>
      <c r="D503" s="17">
        <v>24</v>
      </c>
      <c r="E503" s="18">
        <f ca="1">IFERROR(__xludf.DUMMYFUNCTION("COUNT(IMPORTRANGE(""https://docs.google.com/spreadsheets/d/1VAsUtLQHi7oV9NsI9EIHPnO1bcPJHeRgSbMoxSvPBME/edit"",""19!d2:d25""))"),24)</f>
        <v>24</v>
      </c>
      <c r="F503" s="23">
        <f ca="1">IFERROR(__xludf.DUMMYFUNCTION("SUM(IMPORTRANGE(""https://docs.google.com/spreadsheets/d/1VAsUtLQHi7oV9NsI9EIHPnO1bcPJHeRgSbMoxSvPBME/edit"",""19!Q2:Q25""))"),4793.152)</f>
        <v>4793.152</v>
      </c>
      <c r="G503" s="18">
        <f ca="1">IFERROR(__xludf.DUMMYFUNCTION("IMPORTRANGE(""https://docs.google.com/spreadsheets/d/1VAsUtLQHi7oV9NsI9EIHPnO1bcPJHeRgSbMoxSvPBME/edit"",""19!e32"")"),1112)</f>
        <v>1112</v>
      </c>
      <c r="H503" s="18">
        <f ca="1">IFERROR(__xludf.DUMMYFUNCTION("IMPORTRANGE(""https://docs.google.com/spreadsheets/d/1VAsUtLQHi7oV9NsI9EIHPnO1bcPJHeRgSbMoxSvPBME/edit"",""19!e33"")"),120)</f>
        <v>120</v>
      </c>
      <c r="I503" s="18">
        <f t="shared" ca="1" si="1362"/>
        <v>1232</v>
      </c>
      <c r="J503" s="18">
        <f ca="1">IFERROR(__xludf.DUMMYFUNCTION("IMPORTRANGE(""https://docs.google.com/spreadsheets/d/1VAsUtLQHi7oV9NsI9EIHPnO1bcPJHeRgSbMoxSvPBME/edit"",""19!e36"")"),1953)</f>
        <v>1953</v>
      </c>
      <c r="K503" s="18">
        <f ca="1">IFERROR(__xludf.DUMMYFUNCTION("IMPORTRANGE(""https://docs.google.com/spreadsheets/d/1VAsUtLQHi7oV9NsI9EIHPnO1bcPJHeRgSbMoxSvPBME/edit"",""19!e37"")"),59)</f>
        <v>59</v>
      </c>
      <c r="L503" s="18">
        <f t="shared" ca="1" si="1392"/>
        <v>2012</v>
      </c>
      <c r="M503" s="18">
        <f t="shared" ca="1" si="1364"/>
        <v>3244</v>
      </c>
      <c r="N503" s="19">
        <f t="shared" ca="1" si="1365"/>
        <v>199.71466666666666</v>
      </c>
      <c r="O503" s="16">
        <v>3801</v>
      </c>
      <c r="P503" s="20">
        <f t="shared" ca="1" si="1366"/>
        <v>0.85345961589055508</v>
      </c>
      <c r="Q503" s="21">
        <v>1.5</v>
      </c>
      <c r="R503" s="20">
        <f t="shared" ca="1" si="1367"/>
        <v>0.45119926650910852</v>
      </c>
      <c r="S503" s="22">
        <f t="shared" ca="1" si="1368"/>
        <v>0.67679889976366281</v>
      </c>
      <c r="T503" s="21">
        <f ca="1">F503/29.628</f>
        <v>161.77777777777777</v>
      </c>
      <c r="U503" s="21">
        <f t="shared" ca="1" si="1369"/>
        <v>6.7407407407407405</v>
      </c>
      <c r="V503" s="18">
        <f t="shared" ca="1" si="1370"/>
        <v>135.16666666666666</v>
      </c>
      <c r="W503" s="76"/>
      <c r="X503" s="8">
        <v>6</v>
      </c>
      <c r="Y503" s="8" t="s">
        <v>42</v>
      </c>
      <c r="Z503" s="8">
        <f t="shared" ref="Z503:AI503" si="1401">SUM(D507)</f>
        <v>33</v>
      </c>
      <c r="AA503" s="9">
        <f t="shared" ca="1" si="1401"/>
        <v>33</v>
      </c>
      <c r="AB503" s="10">
        <f t="shared" ca="1" si="1401"/>
        <v>6309.5099999999902</v>
      </c>
      <c r="AC503" s="9">
        <f t="shared" ca="1" si="1401"/>
        <v>2559</v>
      </c>
      <c r="AD503" s="9">
        <f t="shared" ca="1" si="1401"/>
        <v>103</v>
      </c>
      <c r="AE503" s="9">
        <f t="shared" ca="1" si="1401"/>
        <v>2662</v>
      </c>
      <c r="AF503" s="9">
        <f t="shared" ca="1" si="1401"/>
        <v>4935</v>
      </c>
      <c r="AG503" s="9">
        <f t="shared" ca="1" si="1401"/>
        <v>0</v>
      </c>
      <c r="AH503" s="9">
        <f t="shared" ca="1" si="1401"/>
        <v>4935</v>
      </c>
      <c r="AI503" s="9">
        <f t="shared" ca="1" si="1401"/>
        <v>7597</v>
      </c>
      <c r="AJ503" s="11">
        <f t="shared" ca="1" si="1382"/>
        <v>191.19727272727243</v>
      </c>
      <c r="AK503" s="8">
        <f t="shared" si="1398"/>
        <v>9877</v>
      </c>
      <c r="AL503" s="12">
        <f t="shared" ca="1" si="1384"/>
        <v>0.7691606763187202</v>
      </c>
      <c r="AM503" s="13">
        <f t="shared" si="1399"/>
        <v>1.5</v>
      </c>
      <c r="AN503" s="12">
        <f t="shared" ca="1" si="1386"/>
        <v>0.80270364365325897</v>
      </c>
      <c r="AO503" s="14">
        <f t="shared" ca="1" si="1387"/>
        <v>1.2040554654798885</v>
      </c>
      <c r="AP503" s="13">
        <f t="shared" ref="AP503:AQ503" ca="1" si="1402">SUM(T507)</f>
        <v>241.23532785318255</v>
      </c>
      <c r="AQ503" s="13">
        <f t="shared" ca="1" si="1402"/>
        <v>7.3101614500964409</v>
      </c>
      <c r="AR503" s="9">
        <f t="shared" ca="1" si="1389"/>
        <v>230.21212121212122</v>
      </c>
      <c r="AS503" s="76"/>
      <c r="AT503" s="76"/>
    </row>
    <row r="504" spans="1:46" ht="15.75" customHeight="1" x14ac:dyDescent="0.25">
      <c r="A504" s="70"/>
      <c r="B504" s="16">
        <v>13</v>
      </c>
      <c r="C504" s="16" t="s">
        <v>43</v>
      </c>
      <c r="D504" s="17">
        <v>30</v>
      </c>
      <c r="E504" s="18">
        <f ca="1">IFERROR(__xludf.DUMMYFUNCTION("COUNT(IMPORTRANGE(""https://docs.google.com/spreadsheets/d/1p9Y_DGk7-TpRBFth-ljZceOIGCjQ0ylUeUq6xqnsZ-Q/edit"",""19!d2:d31""))"),30)</f>
        <v>30</v>
      </c>
      <c r="F504" s="23">
        <f ca="1">IFERROR(__xludf.DUMMYFUNCTION("SUM(IMPORTRANGE(""https://docs.google.com/spreadsheets/d/1p9Y_DGk7-TpRBFth-ljZceOIGCjQ0ylUeUq6xqnsZ-Q/edit"",""19!Q2:Q31""))"),6345.57)</f>
        <v>6345.57</v>
      </c>
      <c r="G504" s="18">
        <f ca="1">IFERROR(__xludf.DUMMYFUNCTION("IMPORTRANGE(""https://docs.google.com/spreadsheets/d/1p9Y_DGk7-TpRBFth-ljZceOIGCjQ0ylUeUq6xqnsZ-Q/edit"",""19!e38"")"),2352)</f>
        <v>2352</v>
      </c>
      <c r="H504" s="18">
        <f ca="1">IFERROR(__xludf.DUMMYFUNCTION("IMPORTRANGE(""https://docs.google.com/spreadsheets/d/1p9Y_DGk7-TpRBFth-ljZceOIGCjQ0ylUeUq6xqnsZ-Q/edit"",""19!e39"")"),15)</f>
        <v>15</v>
      </c>
      <c r="I504" s="18">
        <f t="shared" ca="1" si="1362"/>
        <v>2367</v>
      </c>
      <c r="J504" s="18">
        <f ca="1">IFERROR(__xludf.DUMMYFUNCTION("IMPORTRANGE(""https://docs.google.com/spreadsheets/d/1p9Y_DGk7-TpRBFth-ljZceOIGCjQ0ylUeUq6xqnsZ-Q/edit"",""19!e42"")"),2863)</f>
        <v>2863</v>
      </c>
      <c r="K504" s="18">
        <f ca="1">IFERROR(__xludf.DUMMYFUNCTION("IMPORTRANGE(""https://docs.google.com/spreadsheets/d/1p9Y_DGk7-TpRBFth-ljZceOIGCjQ0ylUeUq6xqnsZ-Q/edit"",""19!e43"")"),205)</f>
        <v>205</v>
      </c>
      <c r="L504" s="18">
        <f t="shared" ca="1" si="1392"/>
        <v>3068</v>
      </c>
      <c r="M504" s="18">
        <f t="shared" ca="1" si="1364"/>
        <v>5435</v>
      </c>
      <c r="N504" s="19">
        <f t="shared" ca="1" si="1365"/>
        <v>211.51899999999998</v>
      </c>
      <c r="O504" s="16">
        <v>8345</v>
      </c>
      <c r="P504" s="20">
        <f t="shared" ca="1" si="1366"/>
        <v>0.65128819652486514</v>
      </c>
      <c r="Q504" s="21">
        <v>1.5</v>
      </c>
      <c r="R504" s="20">
        <f t="shared" ca="1" si="1367"/>
        <v>0.57100202713599146</v>
      </c>
      <c r="S504" s="22">
        <f t="shared" ca="1" si="1368"/>
        <v>0.8565030407039872</v>
      </c>
      <c r="T504" s="21">
        <f ca="1">F504/41.205</f>
        <v>154</v>
      </c>
      <c r="U504" s="21">
        <f t="shared" ca="1" si="1369"/>
        <v>5.1333333333333337</v>
      </c>
      <c r="V504" s="18">
        <f t="shared" ca="1" si="1370"/>
        <v>181.16666666666666</v>
      </c>
      <c r="W504" s="76"/>
      <c r="X504" s="24" t="s">
        <v>33</v>
      </c>
      <c r="Y504" s="24">
        <v>6</v>
      </c>
      <c r="Z504" s="24">
        <f t="shared" ref="Z504:AI504" si="1403">SUM(Z498:Z503)</f>
        <v>226</v>
      </c>
      <c r="AA504" s="25">
        <f t="shared" ca="1" si="1403"/>
        <v>224</v>
      </c>
      <c r="AB504" s="27">
        <f t="shared" ca="1" si="1403"/>
        <v>44496.514999999876</v>
      </c>
      <c r="AC504" s="25">
        <f t="shared" ca="1" si="1403"/>
        <v>17245</v>
      </c>
      <c r="AD504" s="25">
        <f t="shared" ca="1" si="1403"/>
        <v>327</v>
      </c>
      <c r="AE504" s="25">
        <f t="shared" ca="1" si="1403"/>
        <v>17572</v>
      </c>
      <c r="AF504" s="25">
        <f t="shared" ca="1" si="1403"/>
        <v>24818</v>
      </c>
      <c r="AG504" s="25">
        <f t="shared" ca="1" si="1403"/>
        <v>345</v>
      </c>
      <c r="AH504" s="25">
        <f t="shared" ca="1" si="1403"/>
        <v>25163</v>
      </c>
      <c r="AI504" s="25">
        <f t="shared" ca="1" si="1403"/>
        <v>42735</v>
      </c>
      <c r="AJ504" s="27">
        <f t="shared" ca="1" si="1382"/>
        <v>198.64515624999945</v>
      </c>
      <c r="AK504" s="24">
        <f>SUM(AK498:AK503)</f>
        <v>53273</v>
      </c>
      <c r="AL504" s="28">
        <f t="shared" ca="1" si="1384"/>
        <v>0.80218872599628332</v>
      </c>
      <c r="AM504" s="29">
        <v>1.5</v>
      </c>
      <c r="AN504" s="28">
        <f t="shared" ca="1" si="1386"/>
        <v>0.64027486197514749</v>
      </c>
      <c r="AO504" s="30">
        <f t="shared" ca="1" si="1387"/>
        <v>0.96041229296272124</v>
      </c>
      <c r="AP504" s="29">
        <f ca="1">SUM(AP498:AP503)</f>
        <v>1460.4720911057404</v>
      </c>
      <c r="AQ504" s="29">
        <f ca="1">AP504/AA504</f>
        <v>6.519964692436341</v>
      </c>
      <c r="AR504" s="25">
        <f t="shared" ca="1" si="1389"/>
        <v>190.78125</v>
      </c>
      <c r="AS504" s="76"/>
      <c r="AT504" s="76"/>
    </row>
    <row r="505" spans="1:46" ht="15.75" customHeight="1" x14ac:dyDescent="0.25">
      <c r="A505" s="70"/>
      <c r="B505" s="16">
        <v>14</v>
      </c>
      <c r="C505" s="16" t="s">
        <v>27</v>
      </c>
      <c r="D505" s="17">
        <v>30</v>
      </c>
      <c r="E505" s="18">
        <f ca="1">IFERROR(__xludf.DUMMYFUNCTION("COUNT(IMPORTRANGE(""https://docs.google.com/spreadsheets/d/1zJUDEKztv_fercXA0LYNw155qdzS7TJGhWLhquaW5IY/edit"",""19!d2:d31""))"),30)</f>
        <v>30</v>
      </c>
      <c r="F505" s="23">
        <f ca="1">IFERROR(__xludf.DUMMYFUNCTION("SUM(IMPORTRANGE(""https://docs.google.com/spreadsheets/d/1zJUDEKztv_fercXA0LYNw155qdzS7TJGhWLhquaW5IY/edit"",""19!Q2:Q31""))"),5305.87999999999)</f>
        <v>5305.8799999999901</v>
      </c>
      <c r="G505" s="18">
        <f ca="1">IFERROR(__xludf.DUMMYFUNCTION("IMPORTRANGE(""https://docs.google.com/spreadsheets/d/1zJUDEKztv_fercXA0LYNw155qdzS7TJGhWLhquaW5IY/edit"",""19!e38"")"),2584)</f>
        <v>2584</v>
      </c>
      <c r="H505" s="18">
        <f ca="1">IFERROR(__xludf.DUMMYFUNCTION("IMPORTRANGE(""https://docs.google.com/spreadsheets/d/1zJUDEKztv_fercXA0LYNw155qdzS7TJGhWLhquaW5IY/edit"",""19!e39"")"),0)</f>
        <v>0</v>
      </c>
      <c r="I505" s="18">
        <f t="shared" ca="1" si="1362"/>
        <v>2584</v>
      </c>
      <c r="J505" s="18">
        <f ca="1">IFERROR(__xludf.DUMMYFUNCTION("IMPORTRANGE(""https://docs.google.com/spreadsheets/d/1zJUDEKztv_fercXA0LYNw155qdzS7TJGhWLhquaW5IY/edit"",""19!e42"")"),3147)</f>
        <v>3147</v>
      </c>
      <c r="K505" s="18">
        <f ca="1">IFERROR(__xludf.DUMMYFUNCTION("IMPORTRANGE(""https://docs.google.com/spreadsheets/d/1zJUDEKztv_fercXA0LYNw155qdzS7TJGhWLhquaW5IY/edit"",""19!e43"")"),0)</f>
        <v>0</v>
      </c>
      <c r="L505" s="18">
        <f t="shared" ca="1" si="1392"/>
        <v>3147</v>
      </c>
      <c r="M505" s="18">
        <f t="shared" ca="1" si="1364"/>
        <v>5731</v>
      </c>
      <c r="N505" s="19">
        <f t="shared" ca="1" si="1365"/>
        <v>176.86266666666634</v>
      </c>
      <c r="O505" s="16">
        <v>8101</v>
      </c>
      <c r="P505" s="20">
        <f t="shared" ca="1" si="1366"/>
        <v>0.70744352549068013</v>
      </c>
      <c r="Q505" s="21">
        <v>1.5</v>
      </c>
      <c r="R505" s="20">
        <f t="shared" ca="1" si="1367"/>
        <v>0.72008162013967025</v>
      </c>
      <c r="S505" s="22">
        <f t="shared" ca="1" si="1368"/>
        <v>1.0801224302095054</v>
      </c>
      <c r="T505" s="21">
        <f ca="1">F505/19.985</f>
        <v>265.4931198398794</v>
      </c>
      <c r="U505" s="21">
        <f t="shared" ca="1" si="1369"/>
        <v>8.8497706613293126</v>
      </c>
      <c r="V505" s="18">
        <f t="shared" ca="1" si="1370"/>
        <v>191.03333333333333</v>
      </c>
      <c r="W505" s="76"/>
      <c r="X505" s="97" t="s">
        <v>44</v>
      </c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9"/>
      <c r="AS505" s="76"/>
      <c r="AT505" s="76"/>
    </row>
    <row r="506" spans="1:46" ht="15.75" customHeight="1" x14ac:dyDescent="0.25">
      <c r="A506" s="70"/>
      <c r="B506" s="16">
        <v>15</v>
      </c>
      <c r="C506" s="16" t="s">
        <v>40</v>
      </c>
      <c r="D506" s="17">
        <v>30</v>
      </c>
      <c r="E506" s="18">
        <f ca="1">IFERROR(__xludf.DUMMYFUNCTION("COUNT(IMPORTRANGE(""https://docs.google.com/spreadsheets/d/15GJA66Ucb-8RQ5vWVpq5HYaWoZZFX82SCeHChBujbrI/edit"",""19!d2:d31""))"),30)</f>
        <v>30</v>
      </c>
      <c r="F506" s="23">
        <f ca="1">IFERROR(__xludf.DUMMYFUNCTION("SUM(IMPORTRANGE(""https://docs.google.com/spreadsheets/d/15GJA66Ucb-8RQ5vWVpq5HYaWoZZFX82SCeHChBujbrI/edit"",""19!Q2:Q31""))"),5944.58699999999)</f>
        <v>5944.5869999999904</v>
      </c>
      <c r="G506" s="18">
        <f ca="1">IFERROR(__xludf.DUMMYFUNCTION("IMPORTRANGE(""https://docs.google.com/spreadsheets/d/15GJA66Ucb-8RQ5vWVpq5HYaWoZZFX82SCeHChBujbrI/edit"",""19!e38"")"),3457)</f>
        <v>3457</v>
      </c>
      <c r="H506" s="18">
        <f ca="1">IFERROR(__xludf.DUMMYFUNCTION("IMPORTRANGE(""https://docs.google.com/spreadsheets/d/15GJA66Ucb-8RQ5vWVpq5HYaWoZZFX82SCeHChBujbrI/edit"",""19!e39"")"),0)</f>
        <v>0</v>
      </c>
      <c r="I506" s="18">
        <f t="shared" ca="1" si="1362"/>
        <v>3457</v>
      </c>
      <c r="J506" s="18">
        <f ca="1">IFERROR(__xludf.DUMMYFUNCTION("IMPORTRANGE(""https://docs.google.com/spreadsheets/d/15GJA66Ucb-8RQ5vWVpq5HYaWoZZFX82SCeHChBujbrI/edit"",""19!e42"")"),3848)</f>
        <v>3848</v>
      </c>
      <c r="K506" s="18">
        <f ca="1">IFERROR(__xludf.DUMMYFUNCTION("IMPORTRANGE(""https://docs.google.com/spreadsheets/d/15GJA66Ucb-8RQ5vWVpq5HYaWoZZFX82SCeHChBujbrI/edit"",""19!e43"")"),0)</f>
        <v>0</v>
      </c>
      <c r="L506" s="18">
        <f t="shared" ca="1" si="1392"/>
        <v>3848</v>
      </c>
      <c r="M506" s="18">
        <f t="shared" ca="1" si="1364"/>
        <v>7305</v>
      </c>
      <c r="N506" s="19">
        <f t="shared" ca="1" si="1365"/>
        <v>198.15289999999968</v>
      </c>
      <c r="O506" s="16">
        <v>8239</v>
      </c>
      <c r="P506" s="20">
        <f t="shared" ca="1" si="1366"/>
        <v>0.88663672775822311</v>
      </c>
      <c r="Q506" s="21">
        <v>1.5</v>
      </c>
      <c r="R506" s="20">
        <f t="shared" ca="1" si="1367"/>
        <v>0.81923269017679579</v>
      </c>
      <c r="S506" s="22">
        <f t="shared" ca="1" si="1368"/>
        <v>1.2288490352651937</v>
      </c>
      <c r="T506" s="21">
        <f ca="1">F506/28.443</f>
        <v>208.99999999999966</v>
      </c>
      <c r="U506" s="21">
        <f t="shared" ca="1" si="1369"/>
        <v>6.9666666666666552</v>
      </c>
      <c r="V506" s="18">
        <f t="shared" ca="1" si="1370"/>
        <v>243.5</v>
      </c>
      <c r="W506" s="76"/>
      <c r="X506" s="1" t="s">
        <v>2</v>
      </c>
      <c r="Y506" s="1" t="s">
        <v>3</v>
      </c>
      <c r="Z506" s="1" t="s">
        <v>4</v>
      </c>
      <c r="AA506" s="1" t="s">
        <v>5</v>
      </c>
      <c r="AB506" s="2" t="s">
        <v>6</v>
      </c>
      <c r="AC506" s="1" t="s">
        <v>7</v>
      </c>
      <c r="AD506" s="1" t="s">
        <v>8</v>
      </c>
      <c r="AE506" s="1" t="s">
        <v>9</v>
      </c>
      <c r="AF506" s="1" t="s">
        <v>10</v>
      </c>
      <c r="AG506" s="1" t="s">
        <v>11</v>
      </c>
      <c r="AH506" s="1" t="s">
        <v>12</v>
      </c>
      <c r="AI506" s="1" t="s">
        <v>13</v>
      </c>
      <c r="AJ506" s="2" t="s">
        <v>14</v>
      </c>
      <c r="AK506" s="1" t="s">
        <v>15</v>
      </c>
      <c r="AL506" s="1" t="s">
        <v>16</v>
      </c>
      <c r="AM506" s="3" t="s">
        <v>17</v>
      </c>
      <c r="AN506" s="4" t="s">
        <v>18</v>
      </c>
      <c r="AO506" s="5" t="s">
        <v>19</v>
      </c>
      <c r="AP506" s="6" t="s">
        <v>20</v>
      </c>
      <c r="AQ506" s="6" t="s">
        <v>21</v>
      </c>
      <c r="AR506" s="7" t="s">
        <v>22</v>
      </c>
      <c r="AS506" s="76"/>
      <c r="AT506" s="76"/>
    </row>
    <row r="507" spans="1:46" ht="15.75" customHeight="1" x14ac:dyDescent="0.25">
      <c r="A507" s="70"/>
      <c r="B507" s="16">
        <v>16</v>
      </c>
      <c r="C507" s="16" t="s">
        <v>42</v>
      </c>
      <c r="D507" s="17">
        <v>33</v>
      </c>
      <c r="E507" s="18">
        <f ca="1">IFERROR(__xludf.DUMMYFUNCTION("COUNT(IMPORTRANGE(""https://docs.google.com/spreadsheets/d/14Tu_jFPEdrIQ6DHYu6vRvJKQsbXr-48NY1tKy4-8JKI/edit"",""19!d2:d34""))"),33)</f>
        <v>33</v>
      </c>
      <c r="F507" s="23">
        <f ca="1">IFERROR(__xludf.DUMMYFUNCTION("SUM(IMPORTRANGE(""https://docs.google.com/spreadsheets/d/14Tu_jFPEdrIQ6DHYu6vRvJKQsbXr-48NY1tKy4-8JKI/edit"",""19!Q2:Q34""))"),6309.50999999999)</f>
        <v>6309.5099999999902</v>
      </c>
      <c r="G507" s="18">
        <f ca="1">IFERROR(__xludf.DUMMYFUNCTION("IMPORTRANGE(""https://docs.google.com/spreadsheets/d/14Tu_jFPEdrIQ6DHYu6vRvJKQsbXr-48NY1tKy4-8JKI/edit"",""19!e41"")"),2559)</f>
        <v>2559</v>
      </c>
      <c r="H507" s="18">
        <f ca="1">IFERROR(__xludf.DUMMYFUNCTION("IMPORTRANGE(""https://docs.google.com/spreadsheets/d/14Tu_jFPEdrIQ6DHYu6vRvJKQsbXr-48NY1tKy4-8JKI/edit"",""19!e42"")"),103)</f>
        <v>103</v>
      </c>
      <c r="I507" s="18">
        <f t="shared" ca="1" si="1362"/>
        <v>2662</v>
      </c>
      <c r="J507" s="18">
        <f ca="1">IFERROR(__xludf.DUMMYFUNCTION("IMPORTRANGE(""https://docs.google.com/spreadsheets/d/14Tu_jFPEdrIQ6DHYu6vRvJKQsbXr-48NY1tKy4-8JKI/edit"",""19!e45"")"),4935)</f>
        <v>4935</v>
      </c>
      <c r="K507" s="18">
        <f ca="1">IFERROR(__xludf.DUMMYFUNCTION("IMPORTRANGE(""https://docs.google.com/spreadsheets/d/14Tu_jFPEdrIQ6DHYu6vRvJKQsbXr-48NY1tKy4-8JKI/edit"",""19!e46"")"),0)</f>
        <v>0</v>
      </c>
      <c r="L507" s="18">
        <f t="shared" ca="1" si="1392"/>
        <v>4935</v>
      </c>
      <c r="M507" s="18">
        <f t="shared" ca="1" si="1364"/>
        <v>7597</v>
      </c>
      <c r="N507" s="19">
        <f t="shared" ca="1" si="1365"/>
        <v>191.19727272727243</v>
      </c>
      <c r="O507" s="16">
        <v>9877</v>
      </c>
      <c r="P507" s="20">
        <f t="shared" ca="1" si="1366"/>
        <v>0.7691606763187202</v>
      </c>
      <c r="Q507" s="21">
        <v>1.5</v>
      </c>
      <c r="R507" s="20">
        <f t="shared" ca="1" si="1367"/>
        <v>0.80270364365325897</v>
      </c>
      <c r="S507" s="22">
        <f t="shared" ca="1" si="1368"/>
        <v>1.2040554654798885</v>
      </c>
      <c r="T507" s="21">
        <f ca="1">F507/26.155</f>
        <v>241.23532785318255</v>
      </c>
      <c r="U507" s="21">
        <f t="shared" ca="1" si="1369"/>
        <v>7.3101614500964409</v>
      </c>
      <c r="V507" s="18">
        <f t="shared" ca="1" si="1370"/>
        <v>230.21212121212122</v>
      </c>
      <c r="W507" s="76"/>
      <c r="X507" s="8">
        <v>1</v>
      </c>
      <c r="Y507" s="8" t="s">
        <v>26</v>
      </c>
      <c r="Z507" s="8">
        <f t="shared" ref="Z507:AI507" si="1404">SUM(D492)</f>
        <v>20</v>
      </c>
      <c r="AA507" s="9">
        <f t="shared" ca="1" si="1404"/>
        <v>20</v>
      </c>
      <c r="AB507" s="11">
        <f t="shared" ca="1" si="1404"/>
        <v>3979.152</v>
      </c>
      <c r="AC507" s="9">
        <f t="shared" ca="1" si="1404"/>
        <v>1999</v>
      </c>
      <c r="AD507" s="9">
        <f t="shared" ca="1" si="1404"/>
        <v>0</v>
      </c>
      <c r="AE507" s="9">
        <f t="shared" ca="1" si="1404"/>
        <v>1999</v>
      </c>
      <c r="AF507" s="9">
        <f t="shared" ca="1" si="1404"/>
        <v>3081</v>
      </c>
      <c r="AG507" s="9">
        <f t="shared" ca="1" si="1404"/>
        <v>0</v>
      </c>
      <c r="AH507" s="9">
        <f t="shared" ca="1" si="1404"/>
        <v>3081</v>
      </c>
      <c r="AI507" s="9">
        <f t="shared" ca="1" si="1404"/>
        <v>5080</v>
      </c>
      <c r="AJ507" s="11">
        <f t="shared" ref="AJ507:AJ513" ca="1" si="1405">AB507/AA507</f>
        <v>198.95760000000001</v>
      </c>
      <c r="AK507" s="8">
        <f>SUM(O492)</f>
        <v>5161</v>
      </c>
      <c r="AL507" s="12">
        <f t="shared" ref="AL507:AL513" ca="1" si="1406">AI507/AK507</f>
        <v>0.98430536717690376</v>
      </c>
      <c r="AM507" s="13">
        <f>SUM(Q492)</f>
        <v>1.5</v>
      </c>
      <c r="AN507" s="12">
        <f t="shared" ref="AN507:AN513" ca="1" si="1407">AO507/AM507</f>
        <v>0.85110261348816696</v>
      </c>
      <c r="AO507" s="14">
        <f t="shared" ref="AO507:AO513" ca="1" si="1408">AI507/AB507</f>
        <v>1.2766539202322504</v>
      </c>
      <c r="AP507" s="13">
        <f t="shared" ref="AP507:AQ507" ca="1" si="1409">SUM(T492)</f>
        <v>276.04245577523415</v>
      </c>
      <c r="AQ507" s="13">
        <f t="shared" ca="1" si="1409"/>
        <v>13.802122788761707</v>
      </c>
      <c r="AR507" s="9">
        <f t="shared" ref="AR507:AR513" ca="1" si="1410">AI507/AA507</f>
        <v>254</v>
      </c>
      <c r="AS507" s="76"/>
      <c r="AT507" s="76"/>
    </row>
    <row r="508" spans="1:46" ht="15.75" customHeight="1" x14ac:dyDescent="0.25">
      <c r="A508" s="70"/>
      <c r="B508" s="16">
        <v>17</v>
      </c>
      <c r="C508" s="16" t="s">
        <v>29</v>
      </c>
      <c r="D508" s="17">
        <v>30</v>
      </c>
      <c r="E508" s="18">
        <f ca="1">IFERROR(__xludf.DUMMYFUNCTION("COUNT(IMPORTRANGE(""https://docs.google.com/spreadsheets/d/1ja_RQYsP0p5wRrACHojay4CW1wLx0QdS5tSwp-vYQ-s/edit"",""19!d2:d31""))"),30)</f>
        <v>30</v>
      </c>
      <c r="F508" s="23">
        <f ca="1">IFERROR(__xludf.DUMMYFUNCTION("SUM(IMPORTRANGE(""https://docs.google.com/spreadsheets/d/1ja_RQYsP0p5wRrACHojay4CW1wLx0QdS5tSwp-vYQ-s/edit"",""19!Q2:Q31""))"),5881.00199999999)</f>
        <v>5881.0019999999904</v>
      </c>
      <c r="G508" s="18">
        <f ca="1">IFERROR(__xludf.DUMMYFUNCTION("IMPORTRANGE(""https://docs.google.com/spreadsheets/d/1ja_RQYsP0p5wRrACHojay4CW1wLx0QdS5tSwp-vYQ-s/edit"",""19!e38"")"),2779)</f>
        <v>2779</v>
      </c>
      <c r="H508" s="18">
        <f ca="1">IFERROR(__xludf.DUMMYFUNCTION("IMPORTRANGE(""https://docs.google.com/spreadsheets/d/1ja_RQYsP0p5wRrACHojay4CW1wLx0QdS5tSwp-vYQ-s/edit"",""19!e39"")"),0)</f>
        <v>0</v>
      </c>
      <c r="I508" s="18">
        <f t="shared" ca="1" si="1362"/>
        <v>2779</v>
      </c>
      <c r="J508" s="18">
        <f ca="1">IFERROR(__xludf.DUMMYFUNCTION("IMPORTRANGE(""https://docs.google.com/spreadsheets/d/1ja_RQYsP0p5wRrACHojay4CW1wLx0QdS5tSwp-vYQ-s/edit"",""19!e42"")"),4219)</f>
        <v>4219</v>
      </c>
      <c r="K508" s="18">
        <f ca="1">IFERROR(__xludf.DUMMYFUNCTION("IMPORTRANGE(""https://docs.google.com/spreadsheets/d/1ja_RQYsP0p5wRrACHojay4CW1wLx0QdS5tSwp-vYQ-s/edit"",""19!e43"")"),0)</f>
        <v>0</v>
      </c>
      <c r="L508" s="18">
        <f t="shared" ca="1" si="1392"/>
        <v>4219</v>
      </c>
      <c r="M508" s="18">
        <f t="shared" ca="1" si="1364"/>
        <v>6998</v>
      </c>
      <c r="N508" s="19">
        <f t="shared" ca="1" si="1365"/>
        <v>196.03339999999969</v>
      </c>
      <c r="O508" s="16">
        <v>9201</v>
      </c>
      <c r="P508" s="20">
        <f t="shared" ca="1" si="1366"/>
        <v>0.76056950331485706</v>
      </c>
      <c r="Q508" s="21">
        <v>1.5</v>
      </c>
      <c r="R508" s="20">
        <f t="shared" ca="1" si="1367"/>
        <v>0.79328885338473631</v>
      </c>
      <c r="S508" s="22">
        <f t="shared" ca="1" si="1368"/>
        <v>1.1899332800771045</v>
      </c>
      <c r="T508" s="21">
        <f ca="1">F508/26.491</f>
        <v>221.99999999999963</v>
      </c>
      <c r="U508" s="21">
        <f t="shared" ca="1" si="1369"/>
        <v>7.3999999999999879</v>
      </c>
      <c r="V508" s="18">
        <f t="shared" ca="1" si="1370"/>
        <v>233.26666666666668</v>
      </c>
      <c r="W508" s="76"/>
      <c r="X508" s="8">
        <v>2</v>
      </c>
      <c r="Y508" s="8" t="s">
        <v>32</v>
      </c>
      <c r="Z508" s="8">
        <f t="shared" ref="Z508:AI508" si="1411">SUM(D495)</f>
        <v>42</v>
      </c>
      <c r="AA508" s="9">
        <f t="shared" ca="1" si="1411"/>
        <v>39</v>
      </c>
      <c r="AB508" s="10">
        <f t="shared" ca="1" si="1411"/>
        <v>7601.9669999999896</v>
      </c>
      <c r="AC508" s="8">
        <f t="shared" ca="1" si="1411"/>
        <v>4350</v>
      </c>
      <c r="AD508" s="8">
        <f t="shared" ca="1" si="1411"/>
        <v>0</v>
      </c>
      <c r="AE508" s="9">
        <f t="shared" ca="1" si="1411"/>
        <v>4350</v>
      </c>
      <c r="AF508" s="8">
        <f t="shared" ca="1" si="1411"/>
        <v>5777</v>
      </c>
      <c r="AG508" s="8">
        <f t="shared" ca="1" si="1411"/>
        <v>103</v>
      </c>
      <c r="AH508" s="9">
        <f t="shared" ca="1" si="1411"/>
        <v>5880</v>
      </c>
      <c r="AI508" s="9">
        <f t="shared" ca="1" si="1411"/>
        <v>10230</v>
      </c>
      <c r="AJ508" s="11">
        <f t="shared" ca="1" si="1405"/>
        <v>194.92223076923051</v>
      </c>
      <c r="AK508" s="8">
        <f>SUM(O495)</f>
        <v>13817</v>
      </c>
      <c r="AL508" s="12">
        <f t="shared" ca="1" si="1406"/>
        <v>0.74039227039154665</v>
      </c>
      <c r="AM508" s="13">
        <f>SUM(Q495)</f>
        <v>1.5</v>
      </c>
      <c r="AN508" s="12">
        <f t="shared" ca="1" si="1407"/>
        <v>0.89713622803150939</v>
      </c>
      <c r="AO508" s="14">
        <f t="shared" ca="1" si="1408"/>
        <v>1.3457043420472641</v>
      </c>
      <c r="AP508" s="13">
        <f t="shared" ref="AP508:AQ508" ca="1" si="1412">SUM(T495)</f>
        <v>302.9999999999996</v>
      </c>
      <c r="AQ508" s="13">
        <f t="shared" ca="1" si="1412"/>
        <v>7.7692307692307594</v>
      </c>
      <c r="AR508" s="9">
        <f t="shared" ca="1" si="1410"/>
        <v>262.30769230769232</v>
      </c>
      <c r="AS508" s="76"/>
      <c r="AT508" s="76"/>
    </row>
    <row r="509" spans="1:46" ht="15.75" customHeight="1" x14ac:dyDescent="0.25">
      <c r="A509" s="70"/>
      <c r="B509" s="16">
        <v>18</v>
      </c>
      <c r="C509" s="16" t="s">
        <v>31</v>
      </c>
      <c r="D509" s="17">
        <v>15</v>
      </c>
      <c r="E509" s="18">
        <f ca="1">IFERROR(__xludf.DUMMYFUNCTION("COUNT(IMPORTRANGE(""https://docs.google.com/spreadsheets/d/1ObnK1oSznTOmyW9Zcd2kxExl7TOnO2MNq_0giEKc_mE/edit"",""19!d2:d16""))"),12)</f>
        <v>12</v>
      </c>
      <c r="F509" s="19">
        <f ca="1">IFERROR(__xludf.DUMMYFUNCTION("SUM(IMPORTRANGE(""https://docs.google.com/spreadsheets/d/1ObnK1oSznTOmyW9Zcd2kxExl7TOnO2MNq_0giEKc_mE/edit"",""19!Q2:Q16""))"),2434.04)</f>
        <v>2434.04</v>
      </c>
      <c r="G509" s="18">
        <f ca="1">IFERROR(__xludf.DUMMYFUNCTION("IMPORTRANGE(""https://docs.google.com/spreadsheets/d/1ObnK1oSznTOmyW9Zcd2kxExl7TOnO2MNq_0giEKc_mE/edit"",""19!e23"")"),845)</f>
        <v>845</v>
      </c>
      <c r="H509" s="18">
        <f ca="1">IFERROR(__xludf.DUMMYFUNCTION("IMPORTRANGE(""https://docs.google.com/spreadsheets/d/1ObnK1oSznTOmyW9Zcd2kxExl7TOnO2MNq_0giEKc_mE/edit"",""19!e24"")"),12)</f>
        <v>12</v>
      </c>
      <c r="I509" s="18">
        <f t="shared" ca="1" si="1362"/>
        <v>857</v>
      </c>
      <c r="J509" s="18">
        <f ca="1">IFERROR(__xludf.DUMMYFUNCTION("IMPORTRANGE(""https://docs.google.com/spreadsheets/d/1ObnK1oSznTOmyW9Zcd2kxExl7TOnO2MNq_0giEKc_mE/edit"",""19!e27"")"),1025)</f>
        <v>1025</v>
      </c>
      <c r="K509" s="18">
        <f ca="1">IFERROR(__xludf.DUMMYFUNCTION("IMPORTRANGE(""https://docs.google.com/spreadsheets/d/1ObnK1oSznTOmyW9Zcd2kxExl7TOnO2MNq_0giEKc_mE/edit"",""19!e28"")"),0)</f>
        <v>0</v>
      </c>
      <c r="L509" s="18">
        <f t="shared" ca="1" si="1392"/>
        <v>1025</v>
      </c>
      <c r="M509" s="18">
        <f t="shared" ca="1" si="1364"/>
        <v>1882</v>
      </c>
      <c r="N509" s="19">
        <f t="shared" ca="1" si="1365"/>
        <v>202.83666666666667</v>
      </c>
      <c r="O509" s="16">
        <v>2717</v>
      </c>
      <c r="P509" s="20">
        <f t="shared" ca="1" si="1366"/>
        <v>0.69267574530732423</v>
      </c>
      <c r="Q509" s="21">
        <v>1.5</v>
      </c>
      <c r="R509" s="20">
        <f t="shared" ca="1" si="1367"/>
        <v>0.51546674116557933</v>
      </c>
      <c r="S509" s="22">
        <f t="shared" ca="1" si="1368"/>
        <v>0.773200111748369</v>
      </c>
      <c r="T509" s="21">
        <f ca="1">F509/43.465</f>
        <v>55.999999999999993</v>
      </c>
      <c r="U509" s="21">
        <f t="shared" ca="1" si="1369"/>
        <v>4.6666666666666661</v>
      </c>
      <c r="V509" s="18">
        <f t="shared" ca="1" si="1370"/>
        <v>156.83333333333334</v>
      </c>
      <c r="W509" s="76"/>
      <c r="X509" s="8">
        <v>3</v>
      </c>
      <c r="Y509" s="8" t="s">
        <v>36</v>
      </c>
      <c r="Z509" s="8">
        <f t="shared" ref="Z509:AI509" si="1413">SUM(D500)</f>
        <v>29</v>
      </c>
      <c r="AA509" s="9">
        <f t="shared" ca="1" si="1413"/>
        <v>29</v>
      </c>
      <c r="AB509" s="10">
        <f t="shared" ca="1" si="1413"/>
        <v>5753.7759999999898</v>
      </c>
      <c r="AC509" s="9">
        <f t="shared" ca="1" si="1413"/>
        <v>1575</v>
      </c>
      <c r="AD509" s="9">
        <f t="shared" ca="1" si="1413"/>
        <v>0</v>
      </c>
      <c r="AE509" s="9">
        <f t="shared" ca="1" si="1413"/>
        <v>1575</v>
      </c>
      <c r="AF509" s="9">
        <f t="shared" ca="1" si="1413"/>
        <v>2366</v>
      </c>
      <c r="AG509" s="9">
        <f t="shared" ca="1" si="1413"/>
        <v>23</v>
      </c>
      <c r="AH509" s="9">
        <f t="shared" ca="1" si="1413"/>
        <v>2389</v>
      </c>
      <c r="AI509" s="9">
        <f t="shared" ca="1" si="1413"/>
        <v>3964</v>
      </c>
      <c r="AJ509" s="11">
        <f t="shared" ca="1" si="1405"/>
        <v>198.40606896551688</v>
      </c>
      <c r="AK509" s="8">
        <f t="shared" ref="AK509:AK512" si="1414">SUM(O500)</f>
        <v>4796</v>
      </c>
      <c r="AL509" s="12">
        <f t="shared" ca="1" si="1406"/>
        <v>0.82652210175145957</v>
      </c>
      <c r="AM509" s="13">
        <f t="shared" ref="AM509:AM512" si="1415">SUM(Q500)</f>
        <v>1.5</v>
      </c>
      <c r="AN509" s="12">
        <f t="shared" ca="1" si="1407"/>
        <v>0.45929258745329521</v>
      </c>
      <c r="AO509" s="14">
        <f t="shared" ca="1" si="1408"/>
        <v>0.68893888117994284</v>
      </c>
      <c r="AP509" s="13">
        <f t="shared" ref="AP509:AQ509" ca="1" si="1416">SUM(T500)</f>
        <v>153.7867108568982</v>
      </c>
      <c r="AQ509" s="13">
        <f t="shared" ca="1" si="1416"/>
        <v>5.302990029548214</v>
      </c>
      <c r="AR509" s="9">
        <f t="shared" ca="1" si="1410"/>
        <v>136.68965517241378</v>
      </c>
      <c r="AS509" s="76"/>
      <c r="AT509" s="76"/>
    </row>
    <row r="510" spans="1:46" ht="15.75" customHeight="1" x14ac:dyDescent="0.2">
      <c r="A510" s="70"/>
      <c r="B510" s="98" t="s">
        <v>33</v>
      </c>
      <c r="C510" s="98">
        <v>18</v>
      </c>
      <c r="D510" s="98">
        <f t="shared" ref="D510:M510" si="1417">SUM(D492:D509)</f>
        <v>585</v>
      </c>
      <c r="E510" s="74">
        <f t="shared" ca="1" si="1417"/>
        <v>574</v>
      </c>
      <c r="F510" s="99">
        <f t="shared" ca="1" si="1417"/>
        <v>112076.49099999982</v>
      </c>
      <c r="G510" s="74">
        <f t="shared" ca="1" si="1417"/>
        <v>41246</v>
      </c>
      <c r="H510" s="74">
        <f t="shared" ca="1" si="1417"/>
        <v>1023</v>
      </c>
      <c r="I510" s="74">
        <f t="shared" ca="1" si="1417"/>
        <v>42269</v>
      </c>
      <c r="J510" s="74">
        <f t="shared" ca="1" si="1417"/>
        <v>59247</v>
      </c>
      <c r="K510" s="74">
        <f t="shared" ca="1" si="1417"/>
        <v>963</v>
      </c>
      <c r="L510" s="74">
        <f t="shared" ca="1" si="1417"/>
        <v>60210</v>
      </c>
      <c r="M510" s="74">
        <f t="shared" ca="1" si="1417"/>
        <v>102479</v>
      </c>
      <c r="N510" s="99">
        <f t="shared" ca="1" si="1365"/>
        <v>195.25521080139342</v>
      </c>
      <c r="O510" s="98">
        <f>SUM(O492:O509)</f>
        <v>126399</v>
      </c>
      <c r="P510" s="69">
        <f t="shared" ca="1" si="1366"/>
        <v>0.81075799650313685</v>
      </c>
      <c r="Q510" s="72">
        <v>1.5</v>
      </c>
      <c r="R510" s="69">
        <f t="shared" ca="1" si="1367"/>
        <v>0.60957773324053699</v>
      </c>
      <c r="S510" s="73">
        <f t="shared" ca="1" si="1368"/>
        <v>0.91436659986080548</v>
      </c>
      <c r="T510" s="72">
        <f ca="1">SUM(T492:T509)</f>
        <v>4126.1539018259455</v>
      </c>
      <c r="U510" s="72">
        <f t="shared" ca="1" si="1369"/>
        <v>7.1884214317525181</v>
      </c>
      <c r="V510" s="74">
        <f t="shared" ca="1" si="1370"/>
        <v>178.5348432055749</v>
      </c>
      <c r="W510" s="76"/>
      <c r="X510" s="8">
        <v>4</v>
      </c>
      <c r="Y510" s="8" t="s">
        <v>37</v>
      </c>
      <c r="Z510" s="8">
        <f t="shared" ref="Z510:AI510" si="1418">SUM(D501)</f>
        <v>30</v>
      </c>
      <c r="AA510" s="9">
        <f t="shared" ca="1" si="1418"/>
        <v>30</v>
      </c>
      <c r="AB510" s="10">
        <f t="shared" ca="1" si="1418"/>
        <v>5787.3959999999997</v>
      </c>
      <c r="AC510" s="9">
        <f t="shared" ca="1" si="1418"/>
        <v>2215</v>
      </c>
      <c r="AD510" s="9">
        <f t="shared" ca="1" si="1418"/>
        <v>0</v>
      </c>
      <c r="AE510" s="9">
        <f t="shared" ca="1" si="1418"/>
        <v>2215</v>
      </c>
      <c r="AF510" s="9">
        <f t="shared" ca="1" si="1418"/>
        <v>3235</v>
      </c>
      <c r="AG510" s="9">
        <f t="shared" ca="1" si="1418"/>
        <v>0</v>
      </c>
      <c r="AH510" s="9">
        <f t="shared" ca="1" si="1418"/>
        <v>3235</v>
      </c>
      <c r="AI510" s="9">
        <f t="shared" ca="1" si="1418"/>
        <v>5450</v>
      </c>
      <c r="AJ510" s="11">
        <f t="shared" ca="1" si="1405"/>
        <v>192.91319999999999</v>
      </c>
      <c r="AK510" s="8">
        <f t="shared" si="1414"/>
        <v>5887</v>
      </c>
      <c r="AL510" s="12">
        <f t="shared" ca="1" si="1406"/>
        <v>0.92576864277220994</v>
      </c>
      <c r="AM510" s="13">
        <f t="shared" si="1415"/>
        <v>1.5</v>
      </c>
      <c r="AN510" s="12">
        <f t="shared" ca="1" si="1407"/>
        <v>0.62780105825371779</v>
      </c>
      <c r="AO510" s="14">
        <f t="shared" ca="1" si="1408"/>
        <v>0.94170158738057674</v>
      </c>
      <c r="AP510" s="13">
        <f t="shared" ref="AP510:AQ510" ca="1" si="1419">SUM(T501)</f>
        <v>233.43804453049367</v>
      </c>
      <c r="AQ510" s="13">
        <f t="shared" ca="1" si="1419"/>
        <v>7.7812681510164561</v>
      </c>
      <c r="AR510" s="9">
        <f t="shared" ca="1" si="1410"/>
        <v>181.66666666666666</v>
      </c>
      <c r="AS510" s="76"/>
      <c r="AT510" s="76"/>
    </row>
    <row r="511" spans="1:46" ht="15.75" customHeight="1" x14ac:dyDescent="0.2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6"/>
      <c r="X511" s="8">
        <v>5</v>
      </c>
      <c r="Y511" s="8" t="s">
        <v>39</v>
      </c>
      <c r="Z511" s="8">
        <f t="shared" ref="Z511:AI511" si="1420">SUM(D502)</f>
        <v>28</v>
      </c>
      <c r="AA511" s="9">
        <f t="shared" ca="1" si="1420"/>
        <v>27</v>
      </c>
      <c r="AB511" s="10">
        <f t="shared" ca="1" si="1420"/>
        <v>5008.1549999999997</v>
      </c>
      <c r="AC511" s="9">
        <f t="shared" ca="1" si="1420"/>
        <v>1148</v>
      </c>
      <c r="AD511" s="9">
        <f t="shared" ca="1" si="1420"/>
        <v>90</v>
      </c>
      <c r="AE511" s="9">
        <f t="shared" ca="1" si="1420"/>
        <v>1238</v>
      </c>
      <c r="AF511" s="9">
        <f t="shared" ca="1" si="1420"/>
        <v>1928</v>
      </c>
      <c r="AG511" s="9">
        <f t="shared" ca="1" si="1420"/>
        <v>19</v>
      </c>
      <c r="AH511" s="9">
        <f t="shared" ca="1" si="1420"/>
        <v>1947</v>
      </c>
      <c r="AI511" s="9">
        <f t="shared" ca="1" si="1420"/>
        <v>3185</v>
      </c>
      <c r="AJ511" s="11">
        <f t="shared" ca="1" si="1405"/>
        <v>185.48722222222221</v>
      </c>
      <c r="AK511" s="8">
        <f t="shared" si="1414"/>
        <v>3569</v>
      </c>
      <c r="AL511" s="12">
        <f t="shared" ca="1" si="1406"/>
        <v>0.89240683664892129</v>
      </c>
      <c r="AM511" s="13">
        <f t="shared" si="1415"/>
        <v>1.5</v>
      </c>
      <c r="AN511" s="12">
        <f t="shared" ca="1" si="1407"/>
        <v>0.42397516317552736</v>
      </c>
      <c r="AO511" s="14">
        <f t="shared" ca="1" si="1408"/>
        <v>0.63596274476329107</v>
      </c>
      <c r="AP511" s="13">
        <f t="shared" ref="AP511:AQ511" ca="1" si="1421">SUM(T502)</f>
        <v>233.33900200344777</v>
      </c>
      <c r="AQ511" s="13">
        <f t="shared" ca="1" si="1421"/>
        <v>8.6421852593869541</v>
      </c>
      <c r="AR511" s="9">
        <f t="shared" ca="1" si="1410"/>
        <v>117.96296296296296</v>
      </c>
      <c r="AS511" s="76"/>
      <c r="AT511" s="76"/>
    </row>
    <row r="512" spans="1:46" ht="15.75" customHeight="1" x14ac:dyDescent="0.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6"/>
      <c r="X512" s="8">
        <v>6</v>
      </c>
      <c r="Y512" s="8" t="s">
        <v>41</v>
      </c>
      <c r="Z512" s="8">
        <f t="shared" ref="Z512:AI512" si="1422">SUM(D503)</f>
        <v>24</v>
      </c>
      <c r="AA512" s="9">
        <f t="shared" ca="1" si="1422"/>
        <v>24</v>
      </c>
      <c r="AB512" s="10">
        <f t="shared" ca="1" si="1422"/>
        <v>4793.152</v>
      </c>
      <c r="AC512" s="9">
        <f t="shared" ca="1" si="1422"/>
        <v>1112</v>
      </c>
      <c r="AD512" s="9">
        <f t="shared" ca="1" si="1422"/>
        <v>120</v>
      </c>
      <c r="AE512" s="9">
        <f t="shared" ca="1" si="1422"/>
        <v>1232</v>
      </c>
      <c r="AF512" s="9">
        <f t="shared" ca="1" si="1422"/>
        <v>1953</v>
      </c>
      <c r="AG512" s="9">
        <f t="shared" ca="1" si="1422"/>
        <v>59</v>
      </c>
      <c r="AH512" s="9">
        <f t="shared" ca="1" si="1422"/>
        <v>2012</v>
      </c>
      <c r="AI512" s="9">
        <f t="shared" ca="1" si="1422"/>
        <v>3244</v>
      </c>
      <c r="AJ512" s="11">
        <f t="shared" ca="1" si="1405"/>
        <v>199.71466666666666</v>
      </c>
      <c r="AK512" s="8">
        <f t="shared" si="1414"/>
        <v>3801</v>
      </c>
      <c r="AL512" s="12">
        <f t="shared" ca="1" si="1406"/>
        <v>0.85345961589055508</v>
      </c>
      <c r="AM512" s="13">
        <f t="shared" si="1415"/>
        <v>1.5</v>
      </c>
      <c r="AN512" s="12">
        <f t="shared" ca="1" si="1407"/>
        <v>0.45119926650910852</v>
      </c>
      <c r="AO512" s="14">
        <f t="shared" ca="1" si="1408"/>
        <v>0.67679889976366281</v>
      </c>
      <c r="AP512" s="13">
        <f t="shared" ref="AP512:AQ512" ca="1" si="1423">SUM(T503)</f>
        <v>161.77777777777777</v>
      </c>
      <c r="AQ512" s="13">
        <f t="shared" ca="1" si="1423"/>
        <v>6.7407407407407405</v>
      </c>
      <c r="AR512" s="9">
        <f t="shared" ca="1" si="1410"/>
        <v>135.16666666666666</v>
      </c>
      <c r="AS512" s="76"/>
      <c r="AT512" s="76"/>
    </row>
    <row r="513" spans="1:46" ht="15.75" customHeight="1" x14ac:dyDescent="0.25">
      <c r="A513" s="110" t="s">
        <v>45</v>
      </c>
      <c r="B513" s="76"/>
      <c r="C513" s="76"/>
      <c r="D513" s="75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24" t="s">
        <v>33</v>
      </c>
      <c r="Y513" s="24">
        <v>6</v>
      </c>
      <c r="Z513" s="24">
        <f t="shared" ref="Z513:AI513" si="1424">SUM(Z507:Z512)</f>
        <v>173</v>
      </c>
      <c r="AA513" s="25">
        <f t="shared" ca="1" si="1424"/>
        <v>169</v>
      </c>
      <c r="AB513" s="27">
        <f t="shared" ca="1" si="1424"/>
        <v>32923.597999999976</v>
      </c>
      <c r="AC513" s="25">
        <f t="shared" ca="1" si="1424"/>
        <v>12399</v>
      </c>
      <c r="AD513" s="25">
        <f t="shared" ca="1" si="1424"/>
        <v>210</v>
      </c>
      <c r="AE513" s="25">
        <f t="shared" ca="1" si="1424"/>
        <v>12609</v>
      </c>
      <c r="AF513" s="25">
        <f t="shared" ca="1" si="1424"/>
        <v>18340</v>
      </c>
      <c r="AG513" s="25">
        <f t="shared" ca="1" si="1424"/>
        <v>204</v>
      </c>
      <c r="AH513" s="25">
        <f t="shared" ca="1" si="1424"/>
        <v>18544</v>
      </c>
      <c r="AI513" s="25">
        <f t="shared" ca="1" si="1424"/>
        <v>31153</v>
      </c>
      <c r="AJ513" s="27">
        <f t="shared" ca="1" si="1405"/>
        <v>194.8141893491123</v>
      </c>
      <c r="AK513" s="24">
        <f>SUM(AK507:AK512)</f>
        <v>37031</v>
      </c>
      <c r="AL513" s="28">
        <f t="shared" ca="1" si="1406"/>
        <v>0.8412681267046529</v>
      </c>
      <c r="AM513" s="29">
        <v>1.5</v>
      </c>
      <c r="AN513" s="28">
        <f t="shared" ca="1" si="1407"/>
        <v>0.6308140035808566</v>
      </c>
      <c r="AO513" s="30">
        <f t="shared" ca="1" si="1408"/>
        <v>0.94622100537128484</v>
      </c>
      <c r="AP513" s="29">
        <f ca="1">SUM(AP507:AP512)</f>
        <v>1361.3839909438514</v>
      </c>
      <c r="AQ513" s="29">
        <f ca="1">AP513/AA513</f>
        <v>8.0555265736322568</v>
      </c>
      <c r="AR513" s="25">
        <f t="shared" ca="1" si="1410"/>
        <v>184.33727810650888</v>
      </c>
      <c r="AS513" s="76"/>
      <c r="AT513" s="76"/>
    </row>
    <row r="514" spans="1:46" ht="15.75" customHeight="1" x14ac:dyDescent="0.2">
      <c r="A514" s="110" t="s">
        <v>45</v>
      </c>
      <c r="B514" s="76"/>
      <c r="C514" s="76"/>
      <c r="D514" s="75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7" t="s">
        <v>1</v>
      </c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9"/>
      <c r="AS514" s="76"/>
      <c r="AT514" s="76"/>
    </row>
    <row r="515" spans="1:46" ht="15.75" customHeight="1" x14ac:dyDescent="0.2">
      <c r="A515" s="109">
        <v>46254</v>
      </c>
      <c r="B515" s="80" t="s">
        <v>2</v>
      </c>
      <c r="C515" s="80" t="s">
        <v>3</v>
      </c>
      <c r="D515" s="80" t="s">
        <v>4</v>
      </c>
      <c r="E515" s="80" t="s">
        <v>5</v>
      </c>
      <c r="F515" s="81" t="s">
        <v>6</v>
      </c>
      <c r="G515" s="80" t="s">
        <v>7</v>
      </c>
      <c r="H515" s="80" t="s">
        <v>8</v>
      </c>
      <c r="I515" s="80" t="s">
        <v>9</v>
      </c>
      <c r="J515" s="80" t="s">
        <v>10</v>
      </c>
      <c r="K515" s="80" t="s">
        <v>11</v>
      </c>
      <c r="L515" s="80" t="s">
        <v>12</v>
      </c>
      <c r="M515" s="80" t="s">
        <v>13</v>
      </c>
      <c r="N515" s="81" t="s">
        <v>14</v>
      </c>
      <c r="O515" s="80" t="s">
        <v>15</v>
      </c>
      <c r="P515" s="80" t="s">
        <v>16</v>
      </c>
      <c r="Q515" s="80" t="s">
        <v>17</v>
      </c>
      <c r="R515" s="80" t="s">
        <v>18</v>
      </c>
      <c r="S515" s="106" t="s">
        <v>19</v>
      </c>
      <c r="T515" s="107" t="s">
        <v>20</v>
      </c>
      <c r="U515" s="107" t="s">
        <v>21</v>
      </c>
      <c r="V515" s="105" t="s">
        <v>22</v>
      </c>
      <c r="W515" s="76"/>
      <c r="X515" s="1" t="s">
        <v>2</v>
      </c>
      <c r="Y515" s="1" t="s">
        <v>3</v>
      </c>
      <c r="Z515" s="1" t="s">
        <v>4</v>
      </c>
      <c r="AA515" s="1" t="s">
        <v>5</v>
      </c>
      <c r="AB515" s="2" t="s">
        <v>6</v>
      </c>
      <c r="AC515" s="1" t="s">
        <v>7</v>
      </c>
      <c r="AD515" s="1" t="s">
        <v>8</v>
      </c>
      <c r="AE515" s="1" t="s">
        <v>9</v>
      </c>
      <c r="AF515" s="1" t="s">
        <v>10</v>
      </c>
      <c r="AG515" s="1" t="s">
        <v>11</v>
      </c>
      <c r="AH515" s="1" t="s">
        <v>12</v>
      </c>
      <c r="AI515" s="1" t="s">
        <v>13</v>
      </c>
      <c r="AJ515" s="2" t="s">
        <v>14</v>
      </c>
      <c r="AK515" s="1" t="s">
        <v>15</v>
      </c>
      <c r="AL515" s="1" t="s">
        <v>16</v>
      </c>
      <c r="AM515" s="3" t="s">
        <v>17</v>
      </c>
      <c r="AN515" s="4" t="s">
        <v>18</v>
      </c>
      <c r="AO515" s="5" t="s">
        <v>19</v>
      </c>
      <c r="AP515" s="6" t="s">
        <v>20</v>
      </c>
      <c r="AQ515" s="6" t="s">
        <v>21</v>
      </c>
      <c r="AR515" s="7" t="s">
        <v>22</v>
      </c>
      <c r="AS515" s="76"/>
      <c r="AT515" s="76"/>
    </row>
    <row r="516" spans="1:46" ht="15.75" customHeight="1" x14ac:dyDescent="0.2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6"/>
      <c r="X516" s="8">
        <v>1</v>
      </c>
      <c r="Y516" s="8" t="s">
        <v>23</v>
      </c>
      <c r="Z516" s="8">
        <f t="shared" ref="Z516:AI516" si="1425">SUM(D524)</f>
        <v>35</v>
      </c>
      <c r="AA516" s="9">
        <f t="shared" ca="1" si="1425"/>
        <v>35</v>
      </c>
      <c r="AB516" s="10">
        <f t="shared" ca="1" si="1425"/>
        <v>6680.5199999999904</v>
      </c>
      <c r="AC516" s="9">
        <f t="shared" ca="1" si="1425"/>
        <v>1912</v>
      </c>
      <c r="AD516" s="9">
        <f t="shared" ca="1" si="1425"/>
        <v>0</v>
      </c>
      <c r="AE516" s="9">
        <f t="shared" ca="1" si="1425"/>
        <v>1912</v>
      </c>
      <c r="AF516" s="9">
        <f t="shared" ca="1" si="1425"/>
        <v>3180</v>
      </c>
      <c r="AG516" s="9">
        <f t="shared" ca="1" si="1425"/>
        <v>0</v>
      </c>
      <c r="AH516" s="9">
        <f t="shared" ca="1" si="1425"/>
        <v>3180</v>
      </c>
      <c r="AI516" s="9">
        <f t="shared" ca="1" si="1425"/>
        <v>5092</v>
      </c>
      <c r="AJ516" s="11">
        <f t="shared" ref="AJ516:AJ518" ca="1" si="1426">AB516/AA516</f>
        <v>190.87199999999973</v>
      </c>
      <c r="AK516" s="8">
        <f>SUM(O524)</f>
        <v>6853</v>
      </c>
      <c r="AL516" s="12">
        <f t="shared" ref="AL516:AL522" ca="1" si="1427">AI516/AK516</f>
        <v>0.74303224865022621</v>
      </c>
      <c r="AM516" s="13">
        <f t="shared" ref="AM516:AM518" si="1428">SUM(Q524)</f>
        <v>1.5</v>
      </c>
      <c r="AN516" s="12">
        <f t="shared" ref="AN516:AN522" ca="1" si="1429">AO516/AM516</f>
        <v>0.50814407660880756</v>
      </c>
      <c r="AO516" s="14">
        <f t="shared" ref="AO516:AO522" ca="1" si="1430">AI516/AB516</f>
        <v>0.7622161149132114</v>
      </c>
      <c r="AP516" s="13">
        <f t="shared" ref="AP516:AQ516" ca="1" si="1431">SUM(T524)</f>
        <v>197.99999999999972</v>
      </c>
      <c r="AQ516" s="13">
        <f t="shared" ca="1" si="1431"/>
        <v>5.6571428571428486</v>
      </c>
      <c r="AR516" s="9">
        <f t="shared" ref="AR516:AR522" ca="1" si="1432">AI516/AA516</f>
        <v>145.48571428571429</v>
      </c>
      <c r="AS516" s="76"/>
      <c r="AT516" s="76"/>
    </row>
    <row r="517" spans="1:46" ht="15.75" customHeight="1" x14ac:dyDescent="0.2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6"/>
      <c r="X517" s="8">
        <v>2</v>
      </c>
      <c r="Y517" s="8" t="s">
        <v>24</v>
      </c>
      <c r="Z517" s="8">
        <f t="shared" ref="Z517:AI517" si="1433">SUM(D525)</f>
        <v>44</v>
      </c>
      <c r="AA517" s="9">
        <f t="shared" ca="1" si="1433"/>
        <v>44</v>
      </c>
      <c r="AB517" s="10">
        <f t="shared" ca="1" si="1433"/>
        <v>8679.80799999999</v>
      </c>
      <c r="AC517" s="9">
        <f t="shared" ca="1" si="1433"/>
        <v>1138</v>
      </c>
      <c r="AD517" s="9">
        <f t="shared" ca="1" si="1433"/>
        <v>0</v>
      </c>
      <c r="AE517" s="9">
        <f t="shared" ca="1" si="1433"/>
        <v>1138</v>
      </c>
      <c r="AF517" s="9">
        <f t="shared" ca="1" si="1433"/>
        <v>1416</v>
      </c>
      <c r="AG517" s="9">
        <f t="shared" ca="1" si="1433"/>
        <v>16</v>
      </c>
      <c r="AH517" s="9">
        <f t="shared" ca="1" si="1433"/>
        <v>1432</v>
      </c>
      <c r="AI517" s="9">
        <f t="shared" ca="1" si="1433"/>
        <v>2570</v>
      </c>
      <c r="AJ517" s="11">
        <f t="shared" ca="1" si="1426"/>
        <v>197.2683636363634</v>
      </c>
      <c r="AK517" s="8">
        <v>1580</v>
      </c>
      <c r="AL517" s="15">
        <f t="shared" ca="1" si="1427"/>
        <v>1.6265822784810127</v>
      </c>
      <c r="AM517" s="13">
        <f t="shared" si="1428"/>
        <v>1.5</v>
      </c>
      <c r="AN517" s="12">
        <f t="shared" ca="1" si="1429"/>
        <v>0.1973929991692599</v>
      </c>
      <c r="AO517" s="14">
        <f t="shared" ca="1" si="1430"/>
        <v>0.29608949875388985</v>
      </c>
      <c r="AP517" s="13">
        <f t="shared" ref="AP517:AQ517" ca="1" si="1434">SUM(T525)</f>
        <v>323.81301995896251</v>
      </c>
      <c r="AQ517" s="13">
        <f t="shared" ca="1" si="1434"/>
        <v>7.3593868172491481</v>
      </c>
      <c r="AR517" s="9">
        <f t="shared" ca="1" si="1432"/>
        <v>58.409090909090907</v>
      </c>
      <c r="AS517" s="76"/>
      <c r="AT517" s="76"/>
    </row>
    <row r="518" spans="1:46" ht="15.75" customHeight="1" x14ac:dyDescent="0.2">
      <c r="A518" s="70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6"/>
      <c r="X518" s="8">
        <v>3</v>
      </c>
      <c r="Y518" s="8" t="s">
        <v>25</v>
      </c>
      <c r="Z518" s="8">
        <f t="shared" ref="Z518:AI518" si="1435">SUM(D526)</f>
        <v>32</v>
      </c>
      <c r="AA518" s="9">
        <f t="shared" ca="1" si="1435"/>
        <v>31</v>
      </c>
      <c r="AB518" s="10">
        <f t="shared" ca="1" si="1435"/>
        <v>5701.2960000000003</v>
      </c>
      <c r="AC518" s="9">
        <f t="shared" ca="1" si="1435"/>
        <v>2201</v>
      </c>
      <c r="AD518" s="9">
        <f t="shared" ca="1" si="1435"/>
        <v>391</v>
      </c>
      <c r="AE518" s="9">
        <f t="shared" ca="1" si="1435"/>
        <v>2592</v>
      </c>
      <c r="AF518" s="9">
        <f t="shared" ca="1" si="1435"/>
        <v>3175</v>
      </c>
      <c r="AG518" s="9">
        <f t="shared" ca="1" si="1435"/>
        <v>389</v>
      </c>
      <c r="AH518" s="9">
        <f t="shared" ca="1" si="1435"/>
        <v>3564</v>
      </c>
      <c r="AI518" s="9">
        <f t="shared" ca="1" si="1435"/>
        <v>6156</v>
      </c>
      <c r="AJ518" s="11">
        <f t="shared" ca="1" si="1426"/>
        <v>183.91277419354839</v>
      </c>
      <c r="AK518" s="8">
        <f>SUM(O526)</f>
        <v>6622</v>
      </c>
      <c r="AL518" s="12">
        <f t="shared" ca="1" si="1427"/>
        <v>0.9296285110238599</v>
      </c>
      <c r="AM518" s="13">
        <f t="shared" si="1428"/>
        <v>1.5</v>
      </c>
      <c r="AN518" s="12">
        <f t="shared" ca="1" si="1429"/>
        <v>0.71983633194978813</v>
      </c>
      <c r="AO518" s="14">
        <f t="shared" ca="1" si="1430"/>
        <v>1.0797544979246823</v>
      </c>
      <c r="AP518" s="13">
        <f t="shared" ref="AP518:AQ518" ca="1" si="1436">SUM(T526)</f>
        <v>239.14832214765102</v>
      </c>
      <c r="AQ518" s="13">
        <f t="shared" ca="1" si="1436"/>
        <v>7.714462004762936</v>
      </c>
      <c r="AR518" s="9">
        <f t="shared" ca="1" si="1432"/>
        <v>198.58064516129033</v>
      </c>
      <c r="AS518" s="76"/>
      <c r="AT518" s="76"/>
    </row>
    <row r="519" spans="1:46" ht="15.75" customHeight="1" x14ac:dyDescent="0.25">
      <c r="A519" s="70"/>
      <c r="B519" s="16">
        <v>1</v>
      </c>
      <c r="C519" s="16" t="s">
        <v>26</v>
      </c>
      <c r="D519" s="17">
        <v>20</v>
      </c>
      <c r="E519" s="18">
        <f ca="1">IFERROR(__xludf.DUMMYFUNCTION("COUNT(IMPORTRANGE(""https://docs.google.com/spreadsheets/d/1iVFEBQOAONhqDIMRa2hQ7WkCQv0dJWSAmc0AzfvSCMg/edit"",""20!d2:d21""))"),20)</f>
        <v>20</v>
      </c>
      <c r="F519" s="19">
        <f ca="1">IFERROR(__xludf.DUMMYFUNCTION("SUM(IMPORTRANGE(""https://docs.google.com/spreadsheets/d/1iVFEBQOAONhqDIMRa2hQ7WkCQv0dJWSAmc0AzfvSCMg/edit"",""20!Q2:Q21""))"),3841.97999999999)</f>
        <v>3841.97999999999</v>
      </c>
      <c r="G519" s="18">
        <f ca="1">IFERROR(__xludf.DUMMYFUNCTION("IMPORTRANGE(""https://docs.google.com/spreadsheets/d/1iVFEBQOAONhqDIMRa2hQ7WkCQv0dJWSAmc0AzfvSCMg/edit"",""20!e28"")"),1451)</f>
        <v>1451</v>
      </c>
      <c r="H519" s="18">
        <f ca="1">IFERROR(__xludf.DUMMYFUNCTION("IMPORTRANGE(""https://docs.google.com/spreadsheets/d/1iVFEBQOAONhqDIMRa2hQ7WkCQv0dJWSAmc0AzfvSCMg/edit"",""20!e29"")"),0)</f>
        <v>0</v>
      </c>
      <c r="I519" s="18">
        <f t="shared" ref="I519:I536" ca="1" si="1437">SUM(G519:H519)</f>
        <v>1451</v>
      </c>
      <c r="J519" s="18">
        <f ca="1">IFERROR(__xludf.DUMMYFUNCTION("IMPORTRANGE(""https://docs.google.com/spreadsheets/d/1iVFEBQOAONhqDIMRa2hQ7WkCQv0dJWSAmc0AzfvSCMg/edit"",""20!e32"")"),3544)</f>
        <v>3544</v>
      </c>
      <c r="K519" s="18">
        <f ca="1">IFERROR(__xludf.DUMMYFUNCTION("IMPORTRANGE(""https://docs.google.com/spreadsheets/d/1iVFEBQOAONhqDIMRa2hQ7WkCQv0dJWSAmc0AzfvSCMg/edit"",""20!e33"")"),0)</f>
        <v>0</v>
      </c>
      <c r="L519" s="18">
        <f t="shared" ref="L519:L525" ca="1" si="1438">SUM(J519:K519)</f>
        <v>3544</v>
      </c>
      <c r="M519" s="18">
        <f t="shared" ref="M519:M536" ca="1" si="1439">SUM(I519+L519)</f>
        <v>4995</v>
      </c>
      <c r="N519" s="19">
        <f t="shared" ref="N519:N537" ca="1" si="1440">F519/E519</f>
        <v>192.09899999999951</v>
      </c>
      <c r="O519" s="16">
        <v>5161</v>
      </c>
      <c r="P519" s="20">
        <f t="shared" ref="P519:P537" ca="1" si="1441">M519/O519</f>
        <v>0.96783569075760512</v>
      </c>
      <c r="Q519" s="21">
        <v>1.5</v>
      </c>
      <c r="R519" s="20">
        <f t="shared" ref="R519:R537" ca="1" si="1442">S519/Q519</f>
        <v>0.86674058688488975</v>
      </c>
      <c r="S519" s="22">
        <f t="shared" ref="S519:S537" ca="1" si="1443">M519/F519</f>
        <v>1.3001108803273347</v>
      </c>
      <c r="T519" s="21">
        <f ca="1">F519/14.415</f>
        <v>266.52653485952067</v>
      </c>
      <c r="U519" s="21">
        <f t="shared" ref="U519:U537" ca="1" si="1444">T519/E519</f>
        <v>13.326326742976033</v>
      </c>
      <c r="V519" s="18">
        <f t="shared" ref="V519:V537" ca="1" si="1445">M519/E519</f>
        <v>249.75</v>
      </c>
      <c r="W519" s="76"/>
      <c r="X519" s="8">
        <v>4</v>
      </c>
      <c r="Y519" s="8" t="s">
        <v>27</v>
      </c>
      <c r="Z519" s="8">
        <f t="shared" ref="Z519:AK519" si="1446">SUM(D532)</f>
        <v>30</v>
      </c>
      <c r="AA519" s="9">
        <f t="shared" ca="1" si="1446"/>
        <v>30</v>
      </c>
      <c r="AB519" s="10">
        <f t="shared" ca="1" si="1446"/>
        <v>5645.625</v>
      </c>
      <c r="AC519" s="9">
        <f t="shared" ca="1" si="1446"/>
        <v>2581</v>
      </c>
      <c r="AD519" s="9">
        <f t="shared" ca="1" si="1446"/>
        <v>0</v>
      </c>
      <c r="AE519" s="9">
        <f t="shared" ca="1" si="1446"/>
        <v>2581</v>
      </c>
      <c r="AF519" s="9">
        <f t="shared" ca="1" si="1446"/>
        <v>3108</v>
      </c>
      <c r="AG519" s="9">
        <f t="shared" ca="1" si="1446"/>
        <v>0</v>
      </c>
      <c r="AH519" s="9">
        <f t="shared" ca="1" si="1446"/>
        <v>3108</v>
      </c>
      <c r="AI519" s="9">
        <f t="shared" ca="1" si="1446"/>
        <v>5689</v>
      </c>
      <c r="AJ519" s="11">
        <f t="shared" ca="1" si="1446"/>
        <v>188.1875</v>
      </c>
      <c r="AK519" s="8">
        <f t="shared" si="1446"/>
        <v>8101</v>
      </c>
      <c r="AL519" s="12">
        <f t="shared" ca="1" si="1427"/>
        <v>0.70225898037279344</v>
      </c>
      <c r="AM519" s="13">
        <f>SUM(Q532)</f>
        <v>1.5</v>
      </c>
      <c r="AN519" s="12">
        <f t="shared" ca="1" si="1429"/>
        <v>0.67178862688660101</v>
      </c>
      <c r="AO519" s="14">
        <f t="shared" ca="1" si="1430"/>
        <v>1.0076829403299015</v>
      </c>
      <c r="AP519" s="13">
        <f t="shared" ref="AP519:AQ519" ca="1" si="1447">SUM(T532)</f>
        <v>282.49311983987991</v>
      </c>
      <c r="AQ519" s="13">
        <f t="shared" ca="1" si="1447"/>
        <v>9.4164373279959968</v>
      </c>
      <c r="AR519" s="9">
        <f t="shared" ca="1" si="1432"/>
        <v>189.63333333333333</v>
      </c>
      <c r="AS519" s="76"/>
      <c r="AT519" s="76"/>
    </row>
    <row r="520" spans="1:46" ht="15.75" customHeight="1" x14ac:dyDescent="0.25">
      <c r="A520" s="70"/>
      <c r="B520" s="16">
        <v>2</v>
      </c>
      <c r="C520" s="16" t="s">
        <v>28</v>
      </c>
      <c r="D520" s="17">
        <v>33</v>
      </c>
      <c r="E520" s="18">
        <f ca="1">IFERROR(__xludf.DUMMYFUNCTION("COUNT(IMPORTRANGE(""https://docs.google.com/spreadsheets/d/1tJCeYclgeJZ4Dc78t_SkhVjtacKW-5-VGim8X1rzUzk/edit"",""20!d2:d34""))"),32)</f>
        <v>32</v>
      </c>
      <c r="F520" s="19">
        <f ca="1">IFERROR(__xludf.DUMMYFUNCTION("SUM(IMPORTRANGE(""https://docs.google.com/spreadsheets/d/1tJCeYclgeJZ4Dc78t_SkhVjtacKW-5-VGim8X1rzUzk/edit"",""20!Q2:Q34""))"),6250.76)</f>
        <v>6250.76</v>
      </c>
      <c r="G520" s="18">
        <f ca="1">IFERROR(__xludf.DUMMYFUNCTION("IMPORTRANGE(""https://docs.google.com/spreadsheets/d/1tJCeYclgeJZ4Dc78t_SkhVjtacKW-5-VGim8X1rzUzk/edit"",""20!e41"")"),2644)</f>
        <v>2644</v>
      </c>
      <c r="H520" s="18">
        <f ca="1">IFERROR(__xludf.DUMMYFUNCTION("IMPORTRANGE(""https://docs.google.com/spreadsheets/d/1tJCeYclgeJZ4Dc78t_SkhVjtacKW-5-VGim8X1rzUzk/edit"",""20!e42"")"),136)</f>
        <v>136</v>
      </c>
      <c r="I520" s="18">
        <f t="shared" ca="1" si="1437"/>
        <v>2780</v>
      </c>
      <c r="J520" s="18">
        <f ca="1">IFERROR(__xludf.DUMMYFUNCTION("IMPORTRANGE(""https://docs.google.com/spreadsheets/d/1tJCeYclgeJZ4Dc78t_SkhVjtacKW-5-VGim8X1rzUzk/edit"",""20!e45"")"),3001)</f>
        <v>3001</v>
      </c>
      <c r="K520" s="18">
        <f ca="1">IFERROR(__xludf.DUMMYFUNCTION("IMPORTRANGE(""https://docs.google.com/spreadsheets/d/1tJCeYclgeJZ4Dc78t_SkhVjtacKW-5-VGim8X1rzUzk/edit"",""20!e46"")"),182)</f>
        <v>182</v>
      </c>
      <c r="L520" s="18">
        <f t="shared" ca="1" si="1438"/>
        <v>3183</v>
      </c>
      <c r="M520" s="18">
        <f t="shared" ca="1" si="1439"/>
        <v>5963</v>
      </c>
      <c r="N520" s="19">
        <f t="shared" ca="1" si="1440"/>
        <v>195.33625000000001</v>
      </c>
      <c r="O520" s="16">
        <v>7315</v>
      </c>
      <c r="P520" s="20">
        <f t="shared" ca="1" si="1441"/>
        <v>0.81517429938482566</v>
      </c>
      <c r="Q520" s="21">
        <v>1.5</v>
      </c>
      <c r="R520" s="20">
        <f t="shared" ca="1" si="1442"/>
        <v>0.63597599865189725</v>
      </c>
      <c r="S520" s="22">
        <f t="shared" ca="1" si="1443"/>
        <v>0.95396399797784581</v>
      </c>
      <c r="T520" s="21">
        <f ca="1">F520/30.897</f>
        <v>202.30960934718584</v>
      </c>
      <c r="U520" s="21">
        <f t="shared" ca="1" si="1444"/>
        <v>6.3221752920995575</v>
      </c>
      <c r="V520" s="18">
        <f t="shared" ca="1" si="1445"/>
        <v>186.34375</v>
      </c>
      <c r="W520" s="76"/>
      <c r="X520" s="8">
        <v>5</v>
      </c>
      <c r="Y520" s="8" t="s">
        <v>29</v>
      </c>
      <c r="Z520" s="8">
        <f t="shared" ref="Z520:AI520" si="1448">SUM(D535)</f>
        <v>30</v>
      </c>
      <c r="AA520" s="9">
        <f t="shared" ca="1" si="1448"/>
        <v>30</v>
      </c>
      <c r="AB520" s="10">
        <f t="shared" ca="1" si="1448"/>
        <v>6039.9479999999903</v>
      </c>
      <c r="AC520" s="9">
        <f t="shared" ca="1" si="1448"/>
        <v>2522</v>
      </c>
      <c r="AD520" s="9">
        <f t="shared" ca="1" si="1448"/>
        <v>0</v>
      </c>
      <c r="AE520" s="9">
        <f t="shared" ca="1" si="1448"/>
        <v>2522</v>
      </c>
      <c r="AF520" s="9">
        <f t="shared" ca="1" si="1448"/>
        <v>4409</v>
      </c>
      <c r="AG520" s="9">
        <f t="shared" ca="1" si="1448"/>
        <v>0</v>
      </c>
      <c r="AH520" s="9">
        <f t="shared" ca="1" si="1448"/>
        <v>4409</v>
      </c>
      <c r="AI520" s="9">
        <f t="shared" ca="1" si="1448"/>
        <v>6931</v>
      </c>
      <c r="AJ520" s="11">
        <f t="shared" ref="AJ520:AJ522" ca="1" si="1449">AB520/AA520</f>
        <v>201.33159999999967</v>
      </c>
      <c r="AK520" s="8">
        <f t="shared" ref="AK520:AK521" si="1450">SUM(O535)</f>
        <v>9201</v>
      </c>
      <c r="AL520" s="12">
        <f t="shared" ca="1" si="1427"/>
        <v>0.75328768612107377</v>
      </c>
      <c r="AM520" s="13">
        <f t="shared" ref="AM520:AM521" si="1451">SUM(Q535)</f>
        <v>1.5</v>
      </c>
      <c r="AN520" s="12">
        <f t="shared" ca="1" si="1429"/>
        <v>0.76501762377203819</v>
      </c>
      <c r="AO520" s="14">
        <f t="shared" ca="1" si="1430"/>
        <v>1.1475264356580572</v>
      </c>
      <c r="AP520" s="13">
        <f t="shared" ref="AP520:AQ520" ca="1" si="1452">SUM(T535)</f>
        <v>227.99999999999963</v>
      </c>
      <c r="AQ520" s="13">
        <f t="shared" ca="1" si="1452"/>
        <v>7.5999999999999881</v>
      </c>
      <c r="AR520" s="9">
        <f t="shared" ca="1" si="1432"/>
        <v>231.03333333333333</v>
      </c>
      <c r="AS520" s="76"/>
      <c r="AT520" s="76"/>
    </row>
    <row r="521" spans="1:46" ht="15.75" customHeight="1" x14ac:dyDescent="0.25">
      <c r="A521" s="70"/>
      <c r="B521" s="16">
        <v>3</v>
      </c>
      <c r="C521" s="16" t="s">
        <v>30</v>
      </c>
      <c r="D521" s="17">
        <v>60</v>
      </c>
      <c r="E521" s="18">
        <f ca="1">IFERROR(__xludf.DUMMYFUNCTION("COUNT(IMPORTRANGE(""https://docs.google.com/spreadsheets/d/130gLEONC13J8KkQ6dk06x3bLRy_jCrAw2hXatQf2W50/edit"",""20!d2:d61""))"),57)</f>
        <v>57</v>
      </c>
      <c r="F521" s="23">
        <f ca="1">IFERROR(__xludf.DUMMYFUNCTION("SUM(IMPORTRANGE(""https://docs.google.com/spreadsheets/d/130gLEONC13J8KkQ6dk06x3bLRy_jCrAw2hXatQf2W50/edit"",""20!Q2:Q61""))"),11354.8529999999)</f>
        <v>11354.852999999899</v>
      </c>
      <c r="G521" s="18">
        <f ca="1">IFERROR(__xludf.DUMMYFUNCTION("IMPORTRANGE(""https://docs.google.com/spreadsheets/d/130gLEONC13J8KkQ6dk06x3bLRy_jCrAw2hXatQf2W50/edit"",""20!e68"")"),3770)</f>
        <v>3770</v>
      </c>
      <c r="H521" s="18">
        <f ca="1">IFERROR(__xludf.DUMMYFUNCTION("IMPORTRANGE(""https://docs.google.com/spreadsheets/d/130gLEONC13J8KkQ6dk06x3bLRy_jCrAw2hXatQf2W50/edit"",""20!e69"")"),0)</f>
        <v>0</v>
      </c>
      <c r="I521" s="18">
        <f t="shared" ca="1" si="1437"/>
        <v>3770</v>
      </c>
      <c r="J521" s="18">
        <f ca="1">IFERROR(__xludf.DUMMYFUNCTION("IMPORTRANGE(""https://docs.google.com/spreadsheets/d/130gLEONC13J8KkQ6dk06x3bLRy_jCrAw2hXatQf2W50/edit"",""20!e72"")"),5412)</f>
        <v>5412</v>
      </c>
      <c r="K521" s="18">
        <f ca="1">IFERROR(__xludf.DUMMYFUNCTION("IMPORTRANGE(""https://docs.google.com/spreadsheets/d/130gLEONC13J8KkQ6dk06x3bLRy_jCrAw2hXatQf2W50/edit"",""20!e73"")"),102)</f>
        <v>102</v>
      </c>
      <c r="L521" s="18">
        <f t="shared" ca="1" si="1438"/>
        <v>5514</v>
      </c>
      <c r="M521" s="18">
        <f t="shared" ca="1" si="1439"/>
        <v>9284</v>
      </c>
      <c r="N521" s="19">
        <f t="shared" ca="1" si="1440"/>
        <v>199.20794736841927</v>
      </c>
      <c r="O521" s="16">
        <v>11164</v>
      </c>
      <c r="P521" s="20">
        <f t="shared" ca="1" si="1441"/>
        <v>0.83160157649587962</v>
      </c>
      <c r="Q521" s="21">
        <v>1.5</v>
      </c>
      <c r="R521" s="20">
        <f t="shared" ca="1" si="1442"/>
        <v>0.54508264733443823</v>
      </c>
      <c r="S521" s="22">
        <f t="shared" ca="1" si="1443"/>
        <v>0.8176239710016574</v>
      </c>
      <c r="T521" s="21">
        <f ca="1">F521/29.603</f>
        <v>383.57102320710396</v>
      </c>
      <c r="U521" s="21">
        <f t="shared" ca="1" si="1444"/>
        <v>6.7293161966158586</v>
      </c>
      <c r="V521" s="18">
        <f t="shared" ca="1" si="1445"/>
        <v>162.87719298245614</v>
      </c>
      <c r="W521" s="76"/>
      <c r="X521" s="8">
        <v>6</v>
      </c>
      <c r="Y521" s="8" t="s">
        <v>31</v>
      </c>
      <c r="Z521" s="8">
        <f t="shared" ref="Z521:AI521" si="1453">SUM(D536)</f>
        <v>15</v>
      </c>
      <c r="AA521" s="9">
        <f t="shared" ca="1" si="1453"/>
        <v>14</v>
      </c>
      <c r="AB521" s="11">
        <f t="shared" ca="1" si="1453"/>
        <v>2651.3649999999998</v>
      </c>
      <c r="AC521" s="9">
        <f t="shared" ca="1" si="1453"/>
        <v>930</v>
      </c>
      <c r="AD521" s="9">
        <f t="shared" ca="1" si="1453"/>
        <v>18</v>
      </c>
      <c r="AE521" s="9">
        <f t="shared" ca="1" si="1453"/>
        <v>948</v>
      </c>
      <c r="AF521" s="9">
        <f t="shared" ca="1" si="1453"/>
        <v>1024</v>
      </c>
      <c r="AG521" s="9">
        <f t="shared" ca="1" si="1453"/>
        <v>0</v>
      </c>
      <c r="AH521" s="9">
        <f t="shared" ca="1" si="1453"/>
        <v>1024</v>
      </c>
      <c r="AI521" s="9">
        <f t="shared" ca="1" si="1453"/>
        <v>1972</v>
      </c>
      <c r="AJ521" s="11">
        <f t="shared" ca="1" si="1449"/>
        <v>189.38321428571427</v>
      </c>
      <c r="AK521" s="8">
        <f t="shared" si="1450"/>
        <v>2717</v>
      </c>
      <c r="AL521" s="12">
        <f t="shared" ca="1" si="1427"/>
        <v>0.72580051527419953</v>
      </c>
      <c r="AM521" s="13">
        <f t="shared" si="1451"/>
        <v>1.5</v>
      </c>
      <c r="AN521" s="12">
        <f t="shared" ca="1" si="1429"/>
        <v>0.49584522186370678</v>
      </c>
      <c r="AO521" s="14">
        <f t="shared" ca="1" si="1430"/>
        <v>0.74376783279556014</v>
      </c>
      <c r="AP521" s="13">
        <f t="shared" ref="AP521:AQ521" ca="1" si="1454">SUM(T536)</f>
        <v>60.999999999999993</v>
      </c>
      <c r="AQ521" s="13">
        <f t="shared" ca="1" si="1454"/>
        <v>4.3571428571428568</v>
      </c>
      <c r="AR521" s="9">
        <f t="shared" ca="1" si="1432"/>
        <v>140.85714285714286</v>
      </c>
      <c r="AS521" s="76"/>
      <c r="AT521" s="76"/>
    </row>
    <row r="522" spans="1:46" ht="15.75" customHeight="1" x14ac:dyDescent="0.25">
      <c r="A522" s="70"/>
      <c r="B522" s="16">
        <v>4</v>
      </c>
      <c r="C522" s="16" t="s">
        <v>32</v>
      </c>
      <c r="D522" s="17">
        <v>42</v>
      </c>
      <c r="E522" s="18">
        <f ca="1">IFERROR(__xludf.DUMMYFUNCTION("COUNT(IMPORTRANGE(""https://docs.google.com/spreadsheets/d/1gYHli7FuKQLm2Q-5LMR0UtkD-gRRA_p8s-phLPLDLgc/edit"",""20!d2:d43""))"),41)</f>
        <v>41</v>
      </c>
      <c r="F522" s="23">
        <f ca="1">IFERROR(__xludf.DUMMYFUNCTION("SUM(IMPORTRANGE(""https://docs.google.com/spreadsheets/d/1gYHli7FuKQLm2Q-5LMR0UtkD-gRRA_p8s-phLPLDLgc/edit"",""20!Q2:Q43""))"),7841.38699999999)</f>
        <v>7841.3869999999897</v>
      </c>
      <c r="G522" s="16">
        <f ca="1">IFERROR(__xludf.DUMMYFUNCTION("IMPORTRANGE(""https://docs.google.com/spreadsheets/d/1gYHli7FuKQLm2Q-5LMR0UtkD-gRRA_p8s-phLPLDLgc/edit"",""20!e50"")"),4702)</f>
        <v>4702</v>
      </c>
      <c r="H522" s="16">
        <f ca="1">IFERROR(__xludf.DUMMYFUNCTION("IMPORTRANGE(""https://docs.google.com/spreadsheets/d/1gYHli7FuKQLm2Q-5LMR0UtkD-gRRA_p8s-phLPLDLgc/edit"",""20!e51"")"),0)</f>
        <v>0</v>
      </c>
      <c r="I522" s="18">
        <f t="shared" ca="1" si="1437"/>
        <v>4702</v>
      </c>
      <c r="J522" s="16">
        <f ca="1">IFERROR(__xludf.DUMMYFUNCTION("IMPORTRANGE(""https://docs.google.com/spreadsheets/d/1gYHli7FuKQLm2Q-5LMR0UtkD-gRRA_p8s-phLPLDLgc/edit"",""20!e54"")"),5457)</f>
        <v>5457</v>
      </c>
      <c r="K522" s="16">
        <f ca="1">IFERROR(__xludf.DUMMYFUNCTION("IMPORTRANGE(""https://docs.google.com/spreadsheets/d/1gYHli7FuKQLm2Q-5LMR0UtkD-gRRA_p8s-phLPLDLgc/edit"",""20!e55"")"),0)</f>
        <v>0</v>
      </c>
      <c r="L522" s="18">
        <f t="shared" ca="1" si="1438"/>
        <v>5457</v>
      </c>
      <c r="M522" s="18">
        <f t="shared" ca="1" si="1439"/>
        <v>10159</v>
      </c>
      <c r="N522" s="19">
        <f t="shared" ca="1" si="1440"/>
        <v>191.25334146341439</v>
      </c>
      <c r="O522" s="16">
        <v>13817</v>
      </c>
      <c r="P522" s="20">
        <f t="shared" ca="1" si="1441"/>
        <v>0.73525367301150757</v>
      </c>
      <c r="Q522" s="21">
        <v>1.5</v>
      </c>
      <c r="R522" s="20">
        <f t="shared" ca="1" si="1442"/>
        <v>0.86370774286062846</v>
      </c>
      <c r="S522" s="22">
        <f t="shared" ca="1" si="1443"/>
        <v>1.2955616142909427</v>
      </c>
      <c r="T522" s="21">
        <f ca="1">F522/25.089</f>
        <v>312.54282753397865</v>
      </c>
      <c r="U522" s="21">
        <f t="shared" ca="1" si="1444"/>
        <v>7.6229957935116746</v>
      </c>
      <c r="V522" s="18">
        <f t="shared" ca="1" si="1445"/>
        <v>247.78048780487805</v>
      </c>
      <c r="W522" s="76"/>
      <c r="X522" s="24" t="s">
        <v>33</v>
      </c>
      <c r="Y522" s="24">
        <v>6</v>
      </c>
      <c r="Z522" s="24">
        <f t="shared" ref="Z522:AI522" si="1455">SUM(Z516:Z521)</f>
        <v>186</v>
      </c>
      <c r="AA522" s="25">
        <f t="shared" ca="1" si="1455"/>
        <v>184</v>
      </c>
      <c r="AB522" s="26">
        <f t="shared" ca="1" si="1455"/>
        <v>35398.561999999969</v>
      </c>
      <c r="AC522" s="25">
        <f t="shared" ca="1" si="1455"/>
        <v>11284</v>
      </c>
      <c r="AD522" s="25">
        <f t="shared" ca="1" si="1455"/>
        <v>409</v>
      </c>
      <c r="AE522" s="25">
        <f t="shared" ca="1" si="1455"/>
        <v>11693</v>
      </c>
      <c r="AF522" s="25">
        <f t="shared" ca="1" si="1455"/>
        <v>16312</v>
      </c>
      <c r="AG522" s="25">
        <f t="shared" ca="1" si="1455"/>
        <v>405</v>
      </c>
      <c r="AH522" s="25">
        <f t="shared" ca="1" si="1455"/>
        <v>16717</v>
      </c>
      <c r="AI522" s="25">
        <f t="shared" ca="1" si="1455"/>
        <v>28410</v>
      </c>
      <c r="AJ522" s="27">
        <f t="shared" ca="1" si="1449"/>
        <v>192.38348913043461</v>
      </c>
      <c r="AK522" s="24">
        <f>SUM(AK516:AK521)</f>
        <v>35074</v>
      </c>
      <c r="AL522" s="28">
        <f t="shared" ca="1" si="1427"/>
        <v>0.8100017106688715</v>
      </c>
      <c r="AM522" s="29">
        <v>1.5</v>
      </c>
      <c r="AN522" s="28">
        <f t="shared" ca="1" si="1429"/>
        <v>0.53504998310383389</v>
      </c>
      <c r="AO522" s="30">
        <f t="shared" ca="1" si="1430"/>
        <v>0.80257497465575089</v>
      </c>
      <c r="AP522" s="29">
        <f ca="1">SUM(AP516:AP521)</f>
        <v>1332.4544619464928</v>
      </c>
      <c r="AQ522" s="29">
        <f ca="1">AP522/AA522</f>
        <v>7.2416003366657211</v>
      </c>
      <c r="AR522" s="25">
        <f t="shared" ca="1" si="1432"/>
        <v>154.40217391304347</v>
      </c>
      <c r="AS522" s="76"/>
      <c r="AT522" s="76"/>
    </row>
    <row r="523" spans="1:46" ht="15.75" customHeight="1" x14ac:dyDescent="0.25">
      <c r="A523" s="70"/>
      <c r="B523" s="16">
        <v>5</v>
      </c>
      <c r="C523" s="16" t="s">
        <v>34</v>
      </c>
      <c r="D523" s="17">
        <v>40</v>
      </c>
      <c r="E523" s="18">
        <f ca="1">IFERROR(__xludf.DUMMYFUNCTION("COUNT(IMPORTRANGE(""https://docs.google.com/spreadsheets/d/1ptS0qWBCKWkc9h2aXWT_YgMhN7yIv5WgAHRbF8l9Zpo/edit"",""20!d2:d41""))"),40)</f>
        <v>40</v>
      </c>
      <c r="F523" s="23">
        <f ca="1">IFERROR(__xludf.DUMMYFUNCTION("SUM(IMPORTRANGE(""https://docs.google.com/spreadsheets/d/1ptS0qWBCKWkc9h2aXWT_YgMhN7yIv5WgAHRbF8l9Zpo/edit"",""20!Q2:Q41""))"),7950.63)</f>
        <v>7950.63</v>
      </c>
      <c r="G523" s="18">
        <f ca="1">IFERROR(__xludf.DUMMYFUNCTION("IMPORTRANGE(""https://docs.google.com/spreadsheets/d/1ptS0qWBCKWkc9h2aXWT_YgMhN7yIv5WgAHRbF8l9Zpo/edit"",""20!e48"")"),2905)</f>
        <v>2905</v>
      </c>
      <c r="H523" s="18">
        <f ca="1">IFERROR(__xludf.DUMMYFUNCTION("IMPORTRANGE(""https://docs.google.com/spreadsheets/d/1ptS0qWBCKWkc9h2aXWT_YgMhN7yIv5WgAHRbF8l9Zpo/edit"",""20!e49"")"),0)</f>
        <v>0</v>
      </c>
      <c r="I523" s="18">
        <f t="shared" ca="1" si="1437"/>
        <v>2905</v>
      </c>
      <c r="J523" s="18">
        <f ca="1">IFERROR(__xludf.DUMMYFUNCTION("IMPORTRANGE(""https://docs.google.com/spreadsheets/d/1ptS0qWBCKWkc9h2aXWT_YgMhN7yIv5WgAHRbF8l9Zpo/edit"",""20!e52"")"),3428)</f>
        <v>3428</v>
      </c>
      <c r="K523" s="18">
        <f ca="1">IFERROR(__xludf.DUMMYFUNCTION("IMPORTRANGE(""https://docs.google.com/spreadsheets/d/1ptS0qWBCKWkc9h2aXWT_YgMhN7yIv5WgAHRbF8l9Zpo/edit"",""20!e53"")"),0)</f>
        <v>0</v>
      </c>
      <c r="L523" s="18">
        <f t="shared" ca="1" si="1438"/>
        <v>3428</v>
      </c>
      <c r="M523" s="18">
        <f t="shared" ca="1" si="1439"/>
        <v>6333</v>
      </c>
      <c r="N523" s="19">
        <f t="shared" ca="1" si="1440"/>
        <v>198.76575</v>
      </c>
      <c r="O523" s="16">
        <v>9354</v>
      </c>
      <c r="P523" s="20">
        <f t="shared" ca="1" si="1441"/>
        <v>0.67703656189865302</v>
      </c>
      <c r="Q523" s="21">
        <v>1.5</v>
      </c>
      <c r="R523" s="20">
        <f t="shared" ca="1" si="1442"/>
        <v>0.53102710099702788</v>
      </c>
      <c r="S523" s="22">
        <f t="shared" ca="1" si="1443"/>
        <v>0.79654065149554187</v>
      </c>
      <c r="T523" s="21">
        <f ca="1">F523/30.713</f>
        <v>258.86855728844461</v>
      </c>
      <c r="U523" s="21">
        <f t="shared" ca="1" si="1444"/>
        <v>6.4717139322111148</v>
      </c>
      <c r="V523" s="18">
        <f t="shared" ca="1" si="1445"/>
        <v>158.32499999999999</v>
      </c>
      <c r="W523" s="76"/>
      <c r="X523" s="100" t="s">
        <v>35</v>
      </c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9"/>
      <c r="AS523" s="76"/>
      <c r="AT523" s="76"/>
    </row>
    <row r="524" spans="1:46" ht="15.75" customHeight="1" x14ac:dyDescent="0.25">
      <c r="A524" s="70"/>
      <c r="B524" s="16">
        <v>6</v>
      </c>
      <c r="C524" s="16" t="s">
        <v>23</v>
      </c>
      <c r="D524" s="17">
        <v>35</v>
      </c>
      <c r="E524" s="18">
        <f ca="1">IFERROR(__xludf.DUMMYFUNCTION("COUNT(IMPORTRANGE(""https://docs.google.com/spreadsheets/d/1829CoYW82aTBBUgqkPnJa94KlBWI-DowAnP4ENQCmaQ/edit"",""20!d2:d36""))"),35)</f>
        <v>35</v>
      </c>
      <c r="F524" s="23">
        <f ca="1">IFERROR(__xludf.DUMMYFUNCTION("SUM(IMPORTRANGE(""https://docs.google.com/spreadsheets/d/1829CoYW82aTBBUgqkPnJa94KlBWI-DowAnP4ENQCmaQ/edit"",""20!Q2:Q36""))"),6680.51999999999)</f>
        <v>6680.5199999999904</v>
      </c>
      <c r="G524" s="18">
        <f ca="1">IFERROR(__xludf.DUMMYFUNCTION("IMPORTRANGE(""https://docs.google.com/spreadsheets/d/1829CoYW82aTBBUgqkPnJa94KlBWI-DowAnP4ENQCmaQ/edit"",""20!e43"")"),1912)</f>
        <v>1912</v>
      </c>
      <c r="H524" s="18">
        <f ca="1">IFERROR(__xludf.DUMMYFUNCTION("IMPORTRANGE(""https://docs.google.com/spreadsheets/d/1829CoYW82aTBBUgqkPnJa94KlBWI-DowAnP4ENQCmaQ/edit"",""20!e44"")"),0)</f>
        <v>0</v>
      </c>
      <c r="I524" s="18">
        <f t="shared" ca="1" si="1437"/>
        <v>1912</v>
      </c>
      <c r="J524" s="18">
        <f ca="1">IFERROR(__xludf.DUMMYFUNCTION("IMPORTRANGE(""https://docs.google.com/spreadsheets/d/1829CoYW82aTBBUgqkPnJa94KlBWI-DowAnP4ENQCmaQ/edit"",""20!e47"")"),3180)</f>
        <v>3180</v>
      </c>
      <c r="K524" s="18">
        <f ca="1">IFERROR(__xludf.DUMMYFUNCTION("IMPORTRANGE(""https://docs.google.com/spreadsheets/d/1829CoYW82aTBBUgqkPnJa94KlBWI-DowAnP4ENQCmaQ/edit"",""20!e48"")"),0)</f>
        <v>0</v>
      </c>
      <c r="L524" s="18">
        <f t="shared" ca="1" si="1438"/>
        <v>3180</v>
      </c>
      <c r="M524" s="18">
        <f t="shared" ca="1" si="1439"/>
        <v>5092</v>
      </c>
      <c r="N524" s="19">
        <f t="shared" ca="1" si="1440"/>
        <v>190.87199999999973</v>
      </c>
      <c r="O524" s="16">
        <v>6853</v>
      </c>
      <c r="P524" s="20">
        <f t="shared" ca="1" si="1441"/>
        <v>0.74303224865022621</v>
      </c>
      <c r="Q524" s="21">
        <v>1.5</v>
      </c>
      <c r="R524" s="20">
        <f t="shared" ca="1" si="1442"/>
        <v>0.50814407660880756</v>
      </c>
      <c r="S524" s="22">
        <f t="shared" ca="1" si="1443"/>
        <v>0.7622161149132114</v>
      </c>
      <c r="T524" s="21">
        <f ca="1">F524/33.74</f>
        <v>197.99999999999972</v>
      </c>
      <c r="U524" s="21">
        <f t="shared" ca="1" si="1444"/>
        <v>5.6571428571428486</v>
      </c>
      <c r="V524" s="18">
        <f t="shared" ca="1" si="1445"/>
        <v>145.48571428571429</v>
      </c>
      <c r="W524" s="76"/>
      <c r="X524" s="1" t="s">
        <v>2</v>
      </c>
      <c r="Y524" s="1" t="s">
        <v>3</v>
      </c>
      <c r="Z524" s="1" t="s">
        <v>4</v>
      </c>
      <c r="AA524" s="1" t="s">
        <v>5</v>
      </c>
      <c r="AB524" s="2" t="s">
        <v>6</v>
      </c>
      <c r="AC524" s="1" t="s">
        <v>7</v>
      </c>
      <c r="AD524" s="1" t="s">
        <v>8</v>
      </c>
      <c r="AE524" s="1" t="s">
        <v>9</v>
      </c>
      <c r="AF524" s="1" t="s">
        <v>10</v>
      </c>
      <c r="AG524" s="1" t="s">
        <v>11</v>
      </c>
      <c r="AH524" s="1" t="s">
        <v>12</v>
      </c>
      <c r="AI524" s="1" t="s">
        <v>13</v>
      </c>
      <c r="AJ524" s="2" t="s">
        <v>14</v>
      </c>
      <c r="AK524" s="1" t="s">
        <v>15</v>
      </c>
      <c r="AL524" s="1" t="s">
        <v>16</v>
      </c>
      <c r="AM524" s="3" t="s">
        <v>17</v>
      </c>
      <c r="AN524" s="4" t="s">
        <v>18</v>
      </c>
      <c r="AO524" s="5" t="s">
        <v>19</v>
      </c>
      <c r="AP524" s="6" t="s">
        <v>20</v>
      </c>
      <c r="AQ524" s="6" t="s">
        <v>21</v>
      </c>
      <c r="AR524" s="7" t="s">
        <v>22</v>
      </c>
      <c r="AS524" s="76"/>
      <c r="AT524" s="76"/>
    </row>
    <row r="525" spans="1:46" ht="15.75" customHeight="1" x14ac:dyDescent="0.25">
      <c r="A525" s="70"/>
      <c r="B525" s="16">
        <v>7</v>
      </c>
      <c r="C525" s="16" t="s">
        <v>24</v>
      </c>
      <c r="D525" s="17">
        <v>44</v>
      </c>
      <c r="E525" s="31">
        <f ca="1">IFERROR(__xludf.DUMMYFUNCTION("COUNT(IMPORTRANGE(""https://docs.google.com/spreadsheets/d/1E2x4oDZxEIsuC5nl-5Z0--MoN8b1dt9SbpRcCfNP84Q/edit"",""20!d2:d45""))"),44)</f>
        <v>44</v>
      </c>
      <c r="F525" s="32">
        <f ca="1">IFERROR(__xludf.DUMMYFUNCTION("SUM(IMPORTRANGE(""https://docs.google.com/spreadsheets/d/1E2x4oDZxEIsuC5nl-5Z0--MoN8b1dt9SbpRcCfNP84Q/edit"",""20!Q2:Q45""))"),8679.80799999999)</f>
        <v>8679.80799999999</v>
      </c>
      <c r="G525" s="31">
        <f ca="1">IFERROR(__xludf.DUMMYFUNCTION("IMPORTRANGE(""https://docs.google.com/spreadsheets/d/1E2x4oDZxEIsuC5nl-5Z0--MoN8b1dt9SbpRcCfNP84Q/edit"",""20!e53"")"),1138)</f>
        <v>1138</v>
      </c>
      <c r="H525" s="31">
        <f ca="1">IFERROR(__xludf.DUMMYFUNCTION("IMPORTRANGE(""https://docs.google.com/spreadsheets/d/1E2x4oDZxEIsuC5nl-5Z0--MoN8b1dt9SbpRcCfNP84Q/edit"",""20!e54"")"),0)</f>
        <v>0</v>
      </c>
      <c r="I525" s="31">
        <f t="shared" ca="1" si="1437"/>
        <v>1138</v>
      </c>
      <c r="J525" s="31">
        <f ca="1">IFERROR(__xludf.DUMMYFUNCTION("IMPORTRANGE(""https://docs.google.com/spreadsheets/d/1E2x4oDZxEIsuC5nl-5Z0--MoN8b1dt9SbpRcCfNP84Q/edit"",""20!e57"")"),1416)</f>
        <v>1416</v>
      </c>
      <c r="K525" s="31">
        <f ca="1">IFERROR(__xludf.DUMMYFUNCTION("IMPORTRANGE(""https://docs.google.com/spreadsheets/d/1E2x4oDZxEIsuC5nl-5Z0--MoN8b1dt9SbpRcCfNP84Q/edit"",""20!e58"")"),16)</f>
        <v>16</v>
      </c>
      <c r="L525" s="18">
        <f t="shared" ca="1" si="1438"/>
        <v>1432</v>
      </c>
      <c r="M525" s="18">
        <f t="shared" ca="1" si="1439"/>
        <v>2570</v>
      </c>
      <c r="N525" s="19">
        <f t="shared" ca="1" si="1440"/>
        <v>197.2683636363634</v>
      </c>
      <c r="O525" s="16">
        <v>1580</v>
      </c>
      <c r="P525" s="33">
        <f t="shared" ca="1" si="1441"/>
        <v>1.6265822784810127</v>
      </c>
      <c r="Q525" s="21">
        <v>1.5</v>
      </c>
      <c r="R525" s="20">
        <f t="shared" ca="1" si="1442"/>
        <v>0.1973929991692599</v>
      </c>
      <c r="S525" s="22">
        <f t="shared" ca="1" si="1443"/>
        <v>0.29608949875388985</v>
      </c>
      <c r="T525" s="21">
        <f ca="1">F525/26.805</f>
        <v>323.81301995896251</v>
      </c>
      <c r="U525" s="21">
        <f t="shared" ca="1" si="1444"/>
        <v>7.3593868172491481</v>
      </c>
      <c r="V525" s="18">
        <f t="shared" ca="1" si="1445"/>
        <v>58.409090909090907</v>
      </c>
      <c r="W525" s="76"/>
      <c r="X525" s="8">
        <v>1</v>
      </c>
      <c r="Y525" s="8" t="s">
        <v>28</v>
      </c>
      <c r="Z525" s="8">
        <f t="shared" ref="Z525:AI525" si="1456">SUM(D520)</f>
        <v>33</v>
      </c>
      <c r="AA525" s="9">
        <f t="shared" ca="1" si="1456"/>
        <v>32</v>
      </c>
      <c r="AB525" s="11">
        <f t="shared" ca="1" si="1456"/>
        <v>6250.76</v>
      </c>
      <c r="AC525" s="9">
        <f t="shared" ca="1" si="1456"/>
        <v>2644</v>
      </c>
      <c r="AD525" s="9">
        <f t="shared" ca="1" si="1456"/>
        <v>136</v>
      </c>
      <c r="AE525" s="9">
        <f t="shared" ca="1" si="1456"/>
        <v>2780</v>
      </c>
      <c r="AF525" s="9">
        <f t="shared" ca="1" si="1456"/>
        <v>3001</v>
      </c>
      <c r="AG525" s="9">
        <f t="shared" ca="1" si="1456"/>
        <v>182</v>
      </c>
      <c r="AH525" s="9">
        <f t="shared" ca="1" si="1456"/>
        <v>3183</v>
      </c>
      <c r="AI525" s="9">
        <f t="shared" ca="1" si="1456"/>
        <v>5963</v>
      </c>
      <c r="AJ525" s="11">
        <f t="shared" ref="AJ525:AJ531" ca="1" si="1457">AB525/AA525</f>
        <v>195.33625000000001</v>
      </c>
      <c r="AK525" s="8">
        <f t="shared" ref="AK525:AK526" si="1458">SUM(O520)</f>
        <v>7315</v>
      </c>
      <c r="AL525" s="12">
        <f t="shared" ref="AL525:AL531" ca="1" si="1459">AI525/AK525</f>
        <v>0.81517429938482566</v>
      </c>
      <c r="AM525" s="13">
        <f t="shared" ref="AM525:AM526" si="1460">SUM(Q520)</f>
        <v>1.5</v>
      </c>
      <c r="AN525" s="12">
        <f t="shared" ref="AN525:AN531" ca="1" si="1461">AO525/AM525</f>
        <v>0.63597599865189725</v>
      </c>
      <c r="AO525" s="14">
        <f t="shared" ref="AO525:AO531" ca="1" si="1462">AI525/AB525</f>
        <v>0.95396399797784581</v>
      </c>
      <c r="AP525" s="13">
        <f t="shared" ref="AP525:AQ525" ca="1" si="1463">SUM(T520)</f>
        <v>202.30960934718584</v>
      </c>
      <c r="AQ525" s="13">
        <f t="shared" ca="1" si="1463"/>
        <v>6.3221752920995575</v>
      </c>
      <c r="AR525" s="9">
        <f t="shared" ref="AR525:AR531" ca="1" si="1464">AI525/AA525</f>
        <v>186.34375</v>
      </c>
      <c r="AS525" s="76"/>
      <c r="AT525" s="76"/>
    </row>
    <row r="526" spans="1:46" ht="15.75" customHeight="1" x14ac:dyDescent="0.25">
      <c r="A526" s="70"/>
      <c r="B526" s="16">
        <v>8</v>
      </c>
      <c r="C526" s="16" t="s">
        <v>25</v>
      </c>
      <c r="D526" s="34">
        <v>32</v>
      </c>
      <c r="E526" s="18">
        <f ca="1">IFERROR(__xludf.DUMMYFUNCTION("COUNT(IMPORTRANGE(""https://docs.google.com/spreadsheets/d/1KbRFOEYB0B44J_NSh1MwYQ1sLDlZXUHI-wuMLcZDn5k/edit"",""20!d2:D33""))"),31)</f>
        <v>31</v>
      </c>
      <c r="F526" s="23">
        <f ca="1">IFERROR(__xludf.DUMMYFUNCTION("SUM(IMPORTRANGE(""https://docs.google.com/spreadsheets/d/1KbRFOEYB0B44J_NSh1MwYQ1sLDlZXUHI-wuMLcZDn5k/edit"",""20!Q2:Q33""))"),5701.296)</f>
        <v>5701.2960000000003</v>
      </c>
      <c r="G526" s="18">
        <f ca="1">IFERROR(__xludf.DUMMYFUNCTION("IMPORTRANGE(""https://docs.google.com/spreadsheets/d/1KbRFOEYB0B44J_NSh1MwYQ1sLDlZXUHI-wuMLcZDn5k/edit"",""20!e40"")"),2201)</f>
        <v>2201</v>
      </c>
      <c r="H526" s="18">
        <f ca="1">IFERROR(__xludf.DUMMYFUNCTION("IMPORTRANGE(""https://docs.google.com/spreadsheets/d/1KbRFOEYB0B44J_NSh1MwYQ1sLDlZXUHI-wuMLcZDn5k/edit"",""20!e41"")"),391)</f>
        <v>391</v>
      </c>
      <c r="I526" s="18">
        <f t="shared" ca="1" si="1437"/>
        <v>2592</v>
      </c>
      <c r="J526" s="18">
        <f ca="1">IFERROR(__xludf.DUMMYFUNCTION("IMPORTRANGE(""https://docs.google.com/spreadsheets/d/1KbRFOEYB0B44J_NSh1MwYQ1sLDlZXUHI-wuMLcZDn5k/edit"",""20!e44"")"),3175)</f>
        <v>3175</v>
      </c>
      <c r="K526" s="18">
        <f ca="1">IFERROR(__xludf.DUMMYFUNCTION("IMPORTRANGE(""https://docs.google.com/spreadsheets/d/1KbRFOEYB0B44J_NSh1MwYQ1sLDlZXUHI-wuMLcZDn5k/edit"",""20!e45"")"),389)</f>
        <v>389</v>
      </c>
      <c r="L526" s="18">
        <f ca="1">J526+K526</f>
        <v>3564</v>
      </c>
      <c r="M526" s="18">
        <f t="shared" ca="1" si="1439"/>
        <v>6156</v>
      </c>
      <c r="N526" s="19">
        <f t="shared" ca="1" si="1440"/>
        <v>183.91277419354839</v>
      </c>
      <c r="O526" s="16">
        <v>6622</v>
      </c>
      <c r="P526" s="20">
        <f t="shared" ca="1" si="1441"/>
        <v>0.9296285110238599</v>
      </c>
      <c r="Q526" s="21">
        <v>1.5</v>
      </c>
      <c r="R526" s="20">
        <f t="shared" ca="1" si="1442"/>
        <v>0.71983633194978813</v>
      </c>
      <c r="S526" s="22">
        <f t="shared" ca="1" si="1443"/>
        <v>1.0797544979246823</v>
      </c>
      <c r="T526" s="21">
        <f ca="1">F526/23.84</f>
        <v>239.14832214765102</v>
      </c>
      <c r="U526" s="21">
        <f t="shared" ca="1" si="1444"/>
        <v>7.714462004762936</v>
      </c>
      <c r="V526" s="18">
        <f t="shared" ca="1" si="1445"/>
        <v>198.58064516129033</v>
      </c>
      <c r="W526" s="76"/>
      <c r="X526" s="8">
        <v>2</v>
      </c>
      <c r="Y526" s="8" t="s">
        <v>30</v>
      </c>
      <c r="Z526" s="8">
        <f t="shared" ref="Z526:AI526" si="1465">SUM(D521)</f>
        <v>60</v>
      </c>
      <c r="AA526" s="9">
        <f t="shared" ca="1" si="1465"/>
        <v>57</v>
      </c>
      <c r="AB526" s="10">
        <f t="shared" ca="1" si="1465"/>
        <v>11354.852999999899</v>
      </c>
      <c r="AC526" s="9">
        <f t="shared" ca="1" si="1465"/>
        <v>3770</v>
      </c>
      <c r="AD526" s="9">
        <f t="shared" ca="1" si="1465"/>
        <v>0</v>
      </c>
      <c r="AE526" s="9">
        <f t="shared" ca="1" si="1465"/>
        <v>3770</v>
      </c>
      <c r="AF526" s="9">
        <f t="shared" ca="1" si="1465"/>
        <v>5412</v>
      </c>
      <c r="AG526" s="9">
        <f t="shared" ca="1" si="1465"/>
        <v>102</v>
      </c>
      <c r="AH526" s="9">
        <f t="shared" ca="1" si="1465"/>
        <v>5514</v>
      </c>
      <c r="AI526" s="9">
        <f t="shared" ca="1" si="1465"/>
        <v>9284</v>
      </c>
      <c r="AJ526" s="11">
        <f t="shared" ca="1" si="1457"/>
        <v>199.20794736841927</v>
      </c>
      <c r="AK526" s="8">
        <f t="shared" si="1458"/>
        <v>11164</v>
      </c>
      <c r="AL526" s="12">
        <f t="shared" ca="1" si="1459"/>
        <v>0.83160157649587962</v>
      </c>
      <c r="AM526" s="13">
        <f t="shared" si="1460"/>
        <v>1.5</v>
      </c>
      <c r="AN526" s="12">
        <f t="shared" ca="1" si="1461"/>
        <v>0.54508264733443823</v>
      </c>
      <c r="AO526" s="14">
        <f t="shared" ca="1" si="1462"/>
        <v>0.8176239710016574</v>
      </c>
      <c r="AP526" s="13">
        <f t="shared" ref="AP526:AQ526" ca="1" si="1466">SUM(T521)</f>
        <v>383.57102320710396</v>
      </c>
      <c r="AQ526" s="13">
        <f t="shared" ca="1" si="1466"/>
        <v>6.7293161966158586</v>
      </c>
      <c r="AR526" s="9">
        <f t="shared" ca="1" si="1464"/>
        <v>162.87719298245614</v>
      </c>
      <c r="AS526" s="76"/>
      <c r="AT526" s="76"/>
    </row>
    <row r="527" spans="1:46" ht="15.75" customHeight="1" x14ac:dyDescent="0.25">
      <c r="A527" s="70"/>
      <c r="B527" s="16">
        <v>9</v>
      </c>
      <c r="C527" s="16" t="s">
        <v>36</v>
      </c>
      <c r="D527" s="34">
        <v>29</v>
      </c>
      <c r="E527" s="18">
        <f ca="1">IFERROR(__xludf.DUMMYFUNCTION("COUNT(IMPORTRANGE(""https://docs.google.com/spreadsheets/d/1VqqqRGfmmkT0JC4ILJva2p8P11jjV0FX-TSKAaqOigw/edit"",""20!d2:d31""))"),29)</f>
        <v>29</v>
      </c>
      <c r="F527" s="23">
        <f ca="1">IFERROR(__xludf.DUMMYFUNCTION("SUM(IMPORTRANGE(""https://docs.google.com/spreadsheets/d/1VqqqRGfmmkT0JC4ILJva2p8P11jjV0FX-TSKAaqOigw/edit"",""20!Q2:Q31""))"),5604.11999999999)</f>
        <v>5604.1199999999899</v>
      </c>
      <c r="G527" s="18">
        <f ca="1">IFERROR(__xludf.DUMMYFUNCTION("IMPORTRANGE(""https://docs.google.com/spreadsheets/d/1VqqqRGfmmkT0JC4ILJva2p8P11jjV0FX-TSKAaqOigw/edit"",""20!e38"")"),1598)</f>
        <v>1598</v>
      </c>
      <c r="H527" s="18">
        <f ca="1">IFERROR(__xludf.DUMMYFUNCTION("IMPORTRANGE(""https://docs.google.com/spreadsheets/d/1VqqqRGfmmkT0JC4ILJva2p8P11jjV0FX-TSKAaqOigw/edit"",""20!e39"")"),0)</f>
        <v>0</v>
      </c>
      <c r="I527" s="18">
        <f t="shared" ca="1" si="1437"/>
        <v>1598</v>
      </c>
      <c r="J527" s="18">
        <f ca="1">IFERROR(__xludf.DUMMYFUNCTION("IMPORTRANGE(""https://docs.google.com/spreadsheets/d/1VqqqRGfmmkT0JC4ILJva2p8P11jjV0FX-TSKAaqOigw/edit"",""20!e42"")"),2302)</f>
        <v>2302</v>
      </c>
      <c r="K527" s="18">
        <f ca="1">IFERROR(__xludf.DUMMYFUNCTION("IMPORTRANGE(""https://docs.google.com/spreadsheets/d/1VqqqRGfmmkT0JC4ILJva2p8P11jjV0FX-TSKAaqOigw/edit"",""20!e43"")"),0)</f>
        <v>0</v>
      </c>
      <c r="L527" s="18">
        <f t="shared" ref="L527:L536" ca="1" si="1467">SUM(J527:K527)</f>
        <v>2302</v>
      </c>
      <c r="M527" s="18">
        <f t="shared" ca="1" si="1439"/>
        <v>3900</v>
      </c>
      <c r="N527" s="19">
        <f t="shared" ca="1" si="1440"/>
        <v>193.24551724137896</v>
      </c>
      <c r="O527" s="16">
        <v>4796</v>
      </c>
      <c r="P527" s="20">
        <f t="shared" ca="1" si="1441"/>
        <v>0.81317764804003334</v>
      </c>
      <c r="Q527" s="21">
        <v>1.5</v>
      </c>
      <c r="R527" s="20">
        <f t="shared" ca="1" si="1442"/>
        <v>0.46394438377479513</v>
      </c>
      <c r="S527" s="22">
        <f t="shared" ca="1" si="1443"/>
        <v>0.69591657566219267</v>
      </c>
      <c r="T527" s="21">
        <f ca="1">F527/37.414</f>
        <v>149.78671085689822</v>
      </c>
      <c r="U527" s="21">
        <f t="shared" ca="1" si="1444"/>
        <v>5.165058995065456</v>
      </c>
      <c r="V527" s="18">
        <f t="shared" ca="1" si="1445"/>
        <v>134.48275862068965</v>
      </c>
      <c r="W527" s="76"/>
      <c r="X527" s="8">
        <v>3</v>
      </c>
      <c r="Y527" s="8" t="s">
        <v>34</v>
      </c>
      <c r="Z527" s="8">
        <f t="shared" ref="Z527:AI527" si="1468">SUM(D523)</f>
        <v>40</v>
      </c>
      <c r="AA527" s="9">
        <f t="shared" ca="1" si="1468"/>
        <v>40</v>
      </c>
      <c r="AB527" s="10">
        <f t="shared" ca="1" si="1468"/>
        <v>7950.63</v>
      </c>
      <c r="AC527" s="9">
        <f t="shared" ca="1" si="1468"/>
        <v>2905</v>
      </c>
      <c r="AD527" s="9">
        <f t="shared" ca="1" si="1468"/>
        <v>0</v>
      </c>
      <c r="AE527" s="9">
        <f t="shared" ca="1" si="1468"/>
        <v>2905</v>
      </c>
      <c r="AF527" s="9">
        <f t="shared" ca="1" si="1468"/>
        <v>3428</v>
      </c>
      <c r="AG527" s="9">
        <f t="shared" ca="1" si="1468"/>
        <v>0</v>
      </c>
      <c r="AH527" s="9">
        <f t="shared" ca="1" si="1468"/>
        <v>3428</v>
      </c>
      <c r="AI527" s="9">
        <f t="shared" ca="1" si="1468"/>
        <v>6333</v>
      </c>
      <c r="AJ527" s="11">
        <f t="shared" ca="1" si="1457"/>
        <v>198.76575</v>
      </c>
      <c r="AK527" s="8">
        <f>SUM(O523)</f>
        <v>9354</v>
      </c>
      <c r="AL527" s="12">
        <f t="shared" ca="1" si="1459"/>
        <v>0.67703656189865302</v>
      </c>
      <c r="AM527" s="13">
        <f>SUM(Q523)</f>
        <v>1.5</v>
      </c>
      <c r="AN527" s="12">
        <f t="shared" ca="1" si="1461"/>
        <v>0.53102710099702788</v>
      </c>
      <c r="AO527" s="14">
        <f t="shared" ca="1" si="1462"/>
        <v>0.79654065149554187</v>
      </c>
      <c r="AP527" s="13">
        <f t="shared" ref="AP527:AQ527" ca="1" si="1469">SUM(T523)</f>
        <v>258.86855728844461</v>
      </c>
      <c r="AQ527" s="13">
        <f t="shared" ca="1" si="1469"/>
        <v>6.4717139322111148</v>
      </c>
      <c r="AR527" s="9">
        <f t="shared" ca="1" si="1464"/>
        <v>158.32499999999999</v>
      </c>
      <c r="AS527" s="76"/>
      <c r="AT527" s="76"/>
    </row>
    <row r="528" spans="1:46" ht="15.75" customHeight="1" x14ac:dyDescent="0.25">
      <c r="A528" s="70"/>
      <c r="B528" s="16">
        <v>10</v>
      </c>
      <c r="C528" s="16" t="s">
        <v>37</v>
      </c>
      <c r="D528" s="17">
        <v>30</v>
      </c>
      <c r="E528" s="18">
        <f ca="1">IFERROR(__xludf.DUMMYFUNCTION("COUNT(IMPORTRANGE(""https://docs.google.com/spreadsheets/d/1IYeRjQd_D6MRqoBKNaky3aSEUloYCJc5XDnPAbdyetk/edit"",""20!d2:d31""))"),29)</f>
        <v>29</v>
      </c>
      <c r="F528" s="23">
        <f ca="1">IFERROR(__xludf.DUMMYFUNCTION("SUM(IMPORTRANGE(""https://docs.google.com/spreadsheets/d/1IYeRjQd_D6MRqoBKNaky3aSEUloYCJc5XDnPAbdyetk/edit"",""20!Q2:Q31""))"),5638.644)</f>
        <v>5638.6440000000002</v>
      </c>
      <c r="G528" s="18">
        <f ca="1">IFERROR(__xludf.DUMMYFUNCTION("(IMPORTRANGE(""https://docs.google.com/spreadsheets/d/1IYeRjQd_D6MRqoBKNaky3aSEUloYCJc5XDnPAbdyetk/edit"",""20!e38""))"),2081)</f>
        <v>2081</v>
      </c>
      <c r="H528" s="18">
        <f ca="1">IFERROR(__xludf.DUMMYFUNCTION("(IMPORTRANGE(""https://docs.google.com/spreadsheets/d/1IYeRjQd_D6MRqoBKNaky3aSEUloYCJc5XDnPAbdyetk/edit"",""20!e39""))"),0)</f>
        <v>0</v>
      </c>
      <c r="I528" s="18">
        <f t="shared" ca="1" si="1437"/>
        <v>2081</v>
      </c>
      <c r="J528" s="18">
        <f ca="1">IFERROR(__xludf.DUMMYFUNCTION("(IMPORTRANGE(""https://docs.google.com/spreadsheets/d/1IYeRjQd_D6MRqoBKNaky3aSEUloYCJc5XDnPAbdyetk/edit"",""20!e42""))"),3158)</f>
        <v>3158</v>
      </c>
      <c r="K528" s="18">
        <f ca="1">IFERROR(__xludf.DUMMYFUNCTION("(IMPORTRANGE(""https://docs.google.com/spreadsheets/d/1IYeRjQd_D6MRqoBKNaky3aSEUloYCJc5XDnPAbdyetk/edit"",""20!e43""))"),0)</f>
        <v>0</v>
      </c>
      <c r="L528" s="18">
        <f t="shared" ca="1" si="1467"/>
        <v>3158</v>
      </c>
      <c r="M528" s="18">
        <f t="shared" ca="1" si="1439"/>
        <v>5239</v>
      </c>
      <c r="N528" s="19">
        <f t="shared" ca="1" si="1440"/>
        <v>194.43600000000001</v>
      </c>
      <c r="O528" s="16">
        <v>5887</v>
      </c>
      <c r="P528" s="20">
        <f t="shared" ca="1" si="1441"/>
        <v>0.88992695770341435</v>
      </c>
      <c r="Q528" s="21">
        <v>1.5</v>
      </c>
      <c r="R528" s="20">
        <f t="shared" ca="1" si="1442"/>
        <v>0.61941606291630869</v>
      </c>
      <c r="S528" s="22">
        <f t="shared" ca="1" si="1443"/>
        <v>0.92912409437446308</v>
      </c>
      <c r="T528" s="21">
        <f ca="1">F528/24.792</f>
        <v>227.4380445304937</v>
      </c>
      <c r="U528" s="21">
        <f t="shared" ca="1" si="1444"/>
        <v>7.8426911907066792</v>
      </c>
      <c r="V528" s="18">
        <f t="shared" ca="1" si="1445"/>
        <v>180.65517241379311</v>
      </c>
      <c r="W528" s="76"/>
      <c r="X528" s="8">
        <v>4</v>
      </c>
      <c r="Y528" s="8" t="s">
        <v>38</v>
      </c>
      <c r="Z528" s="8">
        <f t="shared" ref="Z528:AI528" si="1470">SUM(D531)</f>
        <v>30</v>
      </c>
      <c r="AA528" s="9">
        <f t="shared" ca="1" si="1470"/>
        <v>30</v>
      </c>
      <c r="AB528" s="10">
        <f t="shared" ca="1" si="1470"/>
        <v>6675.21</v>
      </c>
      <c r="AC528" s="9">
        <f t="shared" ca="1" si="1470"/>
        <v>2006</v>
      </c>
      <c r="AD528" s="9">
        <f t="shared" ca="1" si="1470"/>
        <v>0</v>
      </c>
      <c r="AE528" s="9">
        <f t="shared" ca="1" si="1470"/>
        <v>2006</v>
      </c>
      <c r="AF528" s="9">
        <f t="shared" ca="1" si="1470"/>
        <v>2828</v>
      </c>
      <c r="AG528" s="9">
        <f t="shared" ca="1" si="1470"/>
        <v>141</v>
      </c>
      <c r="AH528" s="9">
        <f t="shared" ca="1" si="1470"/>
        <v>2969</v>
      </c>
      <c r="AI528" s="9">
        <f t="shared" ca="1" si="1470"/>
        <v>4975</v>
      </c>
      <c r="AJ528" s="11">
        <f t="shared" ca="1" si="1457"/>
        <v>222.50700000000001</v>
      </c>
      <c r="AK528" s="8">
        <v>7324</v>
      </c>
      <c r="AL528" s="12">
        <f t="shared" ca="1" si="1459"/>
        <v>0.67927362097214639</v>
      </c>
      <c r="AM528" s="13">
        <f>SUM(Q531)</f>
        <v>1.5</v>
      </c>
      <c r="AN528" s="12">
        <f t="shared" ca="1" si="1461"/>
        <v>0.49686326971985401</v>
      </c>
      <c r="AO528" s="14">
        <f t="shared" ca="1" si="1462"/>
        <v>0.74529490457978098</v>
      </c>
      <c r="AP528" s="13">
        <f t="shared" ref="AP528:AQ528" ca="1" si="1471">SUM(T531)</f>
        <v>162</v>
      </c>
      <c r="AQ528" s="13">
        <f t="shared" ca="1" si="1471"/>
        <v>5.4</v>
      </c>
      <c r="AR528" s="9">
        <f t="shared" ca="1" si="1464"/>
        <v>165.83333333333334</v>
      </c>
      <c r="AS528" s="76"/>
      <c r="AT528" s="76"/>
    </row>
    <row r="529" spans="1:46" ht="15.75" customHeight="1" x14ac:dyDescent="0.25">
      <c r="A529" s="70"/>
      <c r="B529" s="16">
        <v>12</v>
      </c>
      <c r="C529" s="16" t="s">
        <v>39</v>
      </c>
      <c r="D529" s="17">
        <v>28</v>
      </c>
      <c r="E529" s="18">
        <f ca="1">IFERROR(__xludf.DUMMYFUNCTION("COUNT(IMPORTRANGE(""https://docs.google.com/spreadsheets/d/1TAY2D35yAzyl8a_p5CuZehQvmatfj0b0Q8ICl8GtJBY/edit"",""20!d2:d29""))"),27)</f>
        <v>27</v>
      </c>
      <c r="F529" s="23">
        <f ca="1">IFERROR(__xludf.DUMMYFUNCTION("SUM(IMPORTRANGE(""https://docs.google.com/spreadsheets/d/1TAY2D35yAzyl8a_p5CuZehQvmatfj0b0Q8ICl8GtJBY/edit"",""20!Q2:Q29""))"),5330.1)</f>
        <v>5330.1</v>
      </c>
      <c r="G529" s="18">
        <f ca="1">IFERROR(__xludf.DUMMYFUNCTION("IMPORTRANGE(""https://docs.google.com/spreadsheets/d/1TAY2D35yAzyl8a_p5CuZehQvmatfj0b0Q8ICl8GtJBY/edit"",""20!e36"")"),1159)</f>
        <v>1159</v>
      </c>
      <c r="H529" s="18">
        <f ca="1">IFERROR(__xludf.DUMMYFUNCTION("(IMPORTRANGE(""https://docs.google.com/spreadsheets/d/1TAY2D35yAzyl8a_p5CuZehQvmatfj0b0Q8ICl8GtJBY/edit"",""20!e37""))"),0)</f>
        <v>0</v>
      </c>
      <c r="I529" s="18">
        <f t="shared" ca="1" si="1437"/>
        <v>1159</v>
      </c>
      <c r="J529" s="18">
        <f ca="1">IFERROR(__xludf.DUMMYFUNCTION("IMPORTRANGE(""https://docs.google.com/spreadsheets/d/1TAY2D35yAzyl8a_p5CuZehQvmatfj0b0Q8ICl8GtJBY/edit"",""20!e40"")"),1763)</f>
        <v>1763</v>
      </c>
      <c r="K529" s="18">
        <f ca="1">IFERROR(__xludf.DUMMYFUNCTION("IMPORTRANGE(""https://docs.google.com/spreadsheets/d/1TAY2D35yAzyl8a_p5CuZehQvmatfj0b0Q8ICl8GtJBY/edit"",""20!e41"")"),0)</f>
        <v>0</v>
      </c>
      <c r="L529" s="18">
        <f t="shared" ca="1" si="1467"/>
        <v>1763</v>
      </c>
      <c r="M529" s="18">
        <f t="shared" ca="1" si="1439"/>
        <v>2922</v>
      </c>
      <c r="N529" s="19">
        <f t="shared" ca="1" si="1440"/>
        <v>197.41111111111113</v>
      </c>
      <c r="O529" s="16">
        <v>3569</v>
      </c>
      <c r="P529" s="20">
        <f t="shared" ca="1" si="1441"/>
        <v>0.81871672737461476</v>
      </c>
      <c r="Q529" s="21">
        <v>1.5</v>
      </c>
      <c r="R529" s="20">
        <f t="shared" ca="1" si="1442"/>
        <v>0.36547156713757717</v>
      </c>
      <c r="S529" s="22">
        <f t="shared" ca="1" si="1443"/>
        <v>0.54820735070636573</v>
      </c>
      <c r="T529" s="21">
        <f ca="1">F529/21.463</f>
        <v>248.3390020034478</v>
      </c>
      <c r="U529" s="21">
        <f t="shared" ca="1" si="1444"/>
        <v>9.1977408149425113</v>
      </c>
      <c r="V529" s="18">
        <f t="shared" ca="1" si="1445"/>
        <v>108.22222222222223</v>
      </c>
      <c r="W529" s="76"/>
      <c r="X529" s="8">
        <v>5</v>
      </c>
      <c r="Y529" s="8" t="s">
        <v>40</v>
      </c>
      <c r="Z529" s="8">
        <f t="shared" ref="Z529:AI529" si="1472">SUM(D533)</f>
        <v>30</v>
      </c>
      <c r="AA529" s="9">
        <f t="shared" ca="1" si="1472"/>
        <v>30</v>
      </c>
      <c r="AB529" s="10">
        <f t="shared" ca="1" si="1472"/>
        <v>5944.5869999999904</v>
      </c>
      <c r="AC529" s="9">
        <f t="shared" ca="1" si="1472"/>
        <v>3443</v>
      </c>
      <c r="AD529" s="9">
        <f t="shared" ca="1" si="1472"/>
        <v>9</v>
      </c>
      <c r="AE529" s="9">
        <f t="shared" ca="1" si="1472"/>
        <v>3452</v>
      </c>
      <c r="AF529" s="9">
        <f t="shared" ca="1" si="1472"/>
        <v>4075</v>
      </c>
      <c r="AG529" s="9">
        <f t="shared" ca="1" si="1472"/>
        <v>0</v>
      </c>
      <c r="AH529" s="9">
        <f t="shared" ca="1" si="1472"/>
        <v>4075</v>
      </c>
      <c r="AI529" s="9">
        <f t="shared" ca="1" si="1472"/>
        <v>7527</v>
      </c>
      <c r="AJ529" s="11">
        <f t="shared" ca="1" si="1457"/>
        <v>198.15289999999968</v>
      </c>
      <c r="AK529" s="8">
        <f t="shared" ref="AK529:AK530" si="1473">SUM(O533)</f>
        <v>8239</v>
      </c>
      <c r="AL529" s="12">
        <f t="shared" ca="1" si="1459"/>
        <v>0.9135817453574463</v>
      </c>
      <c r="AM529" s="13">
        <f t="shared" ref="AM529:AM530" si="1474">SUM(Q533)</f>
        <v>1.5</v>
      </c>
      <c r="AN529" s="12">
        <f t="shared" ca="1" si="1461"/>
        <v>0.84412928938545406</v>
      </c>
      <c r="AO529" s="14">
        <f t="shared" ca="1" si="1462"/>
        <v>1.2661939340781811</v>
      </c>
      <c r="AP529" s="13">
        <f t="shared" ref="AP529:AQ529" ca="1" si="1475">SUM(T533)</f>
        <v>208.99999999999966</v>
      </c>
      <c r="AQ529" s="13">
        <f t="shared" ca="1" si="1475"/>
        <v>6.9666666666666552</v>
      </c>
      <c r="AR529" s="9">
        <f t="shared" ca="1" si="1464"/>
        <v>250.9</v>
      </c>
      <c r="AS529" s="76"/>
      <c r="AT529" s="76"/>
    </row>
    <row r="530" spans="1:46" ht="15.75" customHeight="1" x14ac:dyDescent="0.25">
      <c r="A530" s="70"/>
      <c r="B530" s="16">
        <v>12</v>
      </c>
      <c r="C530" s="16" t="s">
        <v>41</v>
      </c>
      <c r="D530" s="17">
        <v>24</v>
      </c>
      <c r="E530" s="18">
        <f ca="1">IFERROR(__xludf.DUMMYFUNCTION("COUNT(IMPORTRANGE(""https://docs.google.com/spreadsheets/d/1VAsUtLQHi7oV9NsI9EIHPnO1bcPJHeRgSbMoxSvPBME/edit"",""20!d2:d25""))"),24)</f>
        <v>24</v>
      </c>
      <c r="F530" s="23">
        <f ca="1">IFERROR(__xludf.DUMMYFUNCTION("SUM(IMPORTRANGE(""https://docs.google.com/spreadsheets/d/1VAsUtLQHi7oV9NsI9EIHPnO1bcPJHeRgSbMoxSvPBME/edit"",""20!Q2:Q25""))"),4750.356)</f>
        <v>4750.3559999999998</v>
      </c>
      <c r="G530" s="18">
        <f ca="1">IFERROR(__xludf.DUMMYFUNCTION("IMPORTRANGE(""https://docs.google.com/spreadsheets/d/1VAsUtLQHi7oV9NsI9EIHPnO1bcPJHeRgSbMoxSvPBME/edit"",""20!e32"")"),1114)</f>
        <v>1114</v>
      </c>
      <c r="H530" s="18">
        <f ca="1">IFERROR(__xludf.DUMMYFUNCTION("IMPORTRANGE(""https://docs.google.com/spreadsheets/d/1VAsUtLQHi7oV9NsI9EIHPnO1bcPJHeRgSbMoxSvPBME/edit"",""20!e33"")"),40)</f>
        <v>40</v>
      </c>
      <c r="I530" s="18">
        <f t="shared" ca="1" si="1437"/>
        <v>1154</v>
      </c>
      <c r="J530" s="18">
        <f ca="1">IFERROR(__xludf.DUMMYFUNCTION("IMPORTRANGE(""https://docs.google.com/spreadsheets/d/1VAsUtLQHi7oV9NsI9EIHPnO1bcPJHeRgSbMoxSvPBME/edit"",""20!e36"")"),1896)</f>
        <v>1896</v>
      </c>
      <c r="K530" s="18">
        <f ca="1">IFERROR(__xludf.DUMMYFUNCTION("IMPORTRANGE(""https://docs.google.com/spreadsheets/d/1VAsUtLQHi7oV9NsI9EIHPnO1bcPJHeRgSbMoxSvPBME/edit"",""20!e37"")"),0)</f>
        <v>0</v>
      </c>
      <c r="L530" s="18">
        <f t="shared" ca="1" si="1467"/>
        <v>1896</v>
      </c>
      <c r="M530" s="18">
        <f t="shared" ca="1" si="1439"/>
        <v>3050</v>
      </c>
      <c r="N530" s="19">
        <f t="shared" ca="1" si="1440"/>
        <v>197.9315</v>
      </c>
      <c r="O530" s="16">
        <v>3801</v>
      </c>
      <c r="P530" s="20">
        <f t="shared" ca="1" si="1441"/>
        <v>0.80242041568008415</v>
      </c>
      <c r="Q530" s="21">
        <v>1.5</v>
      </c>
      <c r="R530" s="20">
        <f t="shared" ca="1" si="1442"/>
        <v>0.42803809510978402</v>
      </c>
      <c r="S530" s="22">
        <f t="shared" ca="1" si="1443"/>
        <v>0.64205714266467606</v>
      </c>
      <c r="T530" s="21">
        <f ca="1">F530/29.628</f>
        <v>160.33333333333331</v>
      </c>
      <c r="U530" s="21">
        <f t="shared" ca="1" si="1444"/>
        <v>6.6805555555555545</v>
      </c>
      <c r="V530" s="18">
        <f t="shared" ca="1" si="1445"/>
        <v>127.08333333333333</v>
      </c>
      <c r="W530" s="76"/>
      <c r="X530" s="8">
        <v>6</v>
      </c>
      <c r="Y530" s="8" t="s">
        <v>42</v>
      </c>
      <c r="Z530" s="8">
        <f t="shared" ref="Z530:AI530" si="1476">SUM(D534)</f>
        <v>33</v>
      </c>
      <c r="AA530" s="9">
        <f t="shared" ca="1" si="1476"/>
        <v>32</v>
      </c>
      <c r="AB530" s="10">
        <f t="shared" ca="1" si="1476"/>
        <v>6300.2789999999904</v>
      </c>
      <c r="AC530" s="9">
        <f t="shared" ca="1" si="1476"/>
        <v>3263</v>
      </c>
      <c r="AD530" s="9">
        <f t="shared" ca="1" si="1476"/>
        <v>0</v>
      </c>
      <c r="AE530" s="9">
        <f t="shared" ca="1" si="1476"/>
        <v>3263</v>
      </c>
      <c r="AF530" s="9">
        <f t="shared" ca="1" si="1476"/>
        <v>4477</v>
      </c>
      <c r="AG530" s="9">
        <f t="shared" ca="1" si="1476"/>
        <v>0</v>
      </c>
      <c r="AH530" s="9">
        <f t="shared" ca="1" si="1476"/>
        <v>4477</v>
      </c>
      <c r="AI530" s="9">
        <f t="shared" ca="1" si="1476"/>
        <v>7740</v>
      </c>
      <c r="AJ530" s="11">
        <f t="shared" ca="1" si="1457"/>
        <v>196.8837187499997</v>
      </c>
      <c r="AK530" s="8">
        <f t="shared" si="1473"/>
        <v>9877</v>
      </c>
      <c r="AL530" s="12">
        <f t="shared" ca="1" si="1459"/>
        <v>0.78363875670750227</v>
      </c>
      <c r="AM530" s="13">
        <f t="shared" si="1474"/>
        <v>1.5</v>
      </c>
      <c r="AN530" s="12">
        <f t="shared" ca="1" si="1461"/>
        <v>0.81901134854504187</v>
      </c>
      <c r="AO530" s="14">
        <f t="shared" ca="1" si="1462"/>
        <v>1.2285170228175628</v>
      </c>
      <c r="AP530" s="13">
        <f t="shared" ref="AP530:AQ530" ca="1" si="1477">SUM(T534)</f>
        <v>240.88239342381917</v>
      </c>
      <c r="AQ530" s="13">
        <f t="shared" ca="1" si="1477"/>
        <v>7.527574794494349</v>
      </c>
      <c r="AR530" s="9">
        <f t="shared" ca="1" si="1464"/>
        <v>241.875</v>
      </c>
      <c r="AS530" s="76"/>
      <c r="AT530" s="76"/>
    </row>
    <row r="531" spans="1:46" ht="15.75" customHeight="1" x14ac:dyDescent="0.25">
      <c r="A531" s="70"/>
      <c r="B531" s="16">
        <v>13</v>
      </c>
      <c r="C531" s="16" t="s">
        <v>43</v>
      </c>
      <c r="D531" s="17">
        <v>30</v>
      </c>
      <c r="E531" s="18">
        <f ca="1">IFERROR(__xludf.DUMMYFUNCTION("COUNT(IMPORTRANGE(""https://docs.google.com/spreadsheets/d/1p9Y_DGk7-TpRBFth-ljZceOIGCjQ0ylUeUq6xqnsZ-Q/edit"",""20!d2:d31""))"),30)</f>
        <v>30</v>
      </c>
      <c r="F531" s="23">
        <f ca="1">IFERROR(__xludf.DUMMYFUNCTION("SUM(IMPORTRANGE(""https://docs.google.com/spreadsheets/d/1p9Y_DGk7-TpRBFth-ljZceOIGCjQ0ylUeUq6xqnsZ-Q/edit"",""20!Q2:Q31""))"),6675.21)</f>
        <v>6675.21</v>
      </c>
      <c r="G531" s="18">
        <f ca="1">IFERROR(__xludf.DUMMYFUNCTION("IMPORTRANGE(""https://docs.google.com/spreadsheets/d/1p9Y_DGk7-TpRBFth-ljZceOIGCjQ0ylUeUq6xqnsZ-Q/edit"",""20!e38"")"),2006)</f>
        <v>2006</v>
      </c>
      <c r="H531" s="18">
        <f ca="1">IFERROR(__xludf.DUMMYFUNCTION("IMPORTRANGE(""https://docs.google.com/spreadsheets/d/1p9Y_DGk7-TpRBFth-ljZceOIGCjQ0ylUeUq6xqnsZ-Q/edit"",""20!e39"")"),0)</f>
        <v>0</v>
      </c>
      <c r="I531" s="18">
        <f t="shared" ca="1" si="1437"/>
        <v>2006</v>
      </c>
      <c r="J531" s="18">
        <f ca="1">IFERROR(__xludf.DUMMYFUNCTION("IMPORTRANGE(""https://docs.google.com/spreadsheets/d/1p9Y_DGk7-TpRBFth-ljZceOIGCjQ0ylUeUq6xqnsZ-Q/edit"",""20!e42"")"),2828)</f>
        <v>2828</v>
      </c>
      <c r="K531" s="18">
        <f ca="1">IFERROR(__xludf.DUMMYFUNCTION("IMPORTRANGE(""https://docs.google.com/spreadsheets/d/1p9Y_DGk7-TpRBFth-ljZceOIGCjQ0ylUeUq6xqnsZ-Q/edit"",""20!e43"")"),141)</f>
        <v>141</v>
      </c>
      <c r="L531" s="18">
        <f t="shared" ca="1" si="1467"/>
        <v>2969</v>
      </c>
      <c r="M531" s="18">
        <f t="shared" ca="1" si="1439"/>
        <v>4975</v>
      </c>
      <c r="N531" s="19">
        <f t="shared" ca="1" si="1440"/>
        <v>222.50700000000001</v>
      </c>
      <c r="O531" s="16">
        <v>8345</v>
      </c>
      <c r="P531" s="20">
        <f t="shared" ca="1" si="1441"/>
        <v>0.59616536848412227</v>
      </c>
      <c r="Q531" s="21">
        <v>1.5</v>
      </c>
      <c r="R531" s="20">
        <f t="shared" ca="1" si="1442"/>
        <v>0.49686326971985401</v>
      </c>
      <c r="S531" s="22">
        <f t="shared" ca="1" si="1443"/>
        <v>0.74529490457978098</v>
      </c>
      <c r="T531" s="21">
        <f ca="1">F531/41.205</f>
        <v>162</v>
      </c>
      <c r="U531" s="21">
        <f t="shared" ca="1" si="1444"/>
        <v>5.4</v>
      </c>
      <c r="V531" s="18">
        <f t="shared" ca="1" si="1445"/>
        <v>165.83333333333334</v>
      </c>
      <c r="W531" s="76"/>
      <c r="X531" s="24" t="s">
        <v>33</v>
      </c>
      <c r="Y531" s="24">
        <v>6</v>
      </c>
      <c r="Z531" s="24">
        <f t="shared" ref="Z531:AI531" si="1478">SUM(Z525:Z530)</f>
        <v>226</v>
      </c>
      <c r="AA531" s="25">
        <f t="shared" ca="1" si="1478"/>
        <v>221</v>
      </c>
      <c r="AB531" s="27">
        <f t="shared" ca="1" si="1478"/>
        <v>44476.318999999879</v>
      </c>
      <c r="AC531" s="25">
        <f t="shared" ca="1" si="1478"/>
        <v>18031</v>
      </c>
      <c r="AD531" s="25">
        <f t="shared" ca="1" si="1478"/>
        <v>145</v>
      </c>
      <c r="AE531" s="25">
        <f t="shared" ca="1" si="1478"/>
        <v>18176</v>
      </c>
      <c r="AF531" s="25">
        <f t="shared" ca="1" si="1478"/>
        <v>23221</v>
      </c>
      <c r="AG531" s="25">
        <f t="shared" ca="1" si="1478"/>
        <v>425</v>
      </c>
      <c r="AH531" s="25">
        <f t="shared" ca="1" si="1478"/>
        <v>23646</v>
      </c>
      <c r="AI531" s="25">
        <f t="shared" ca="1" si="1478"/>
        <v>41822</v>
      </c>
      <c r="AJ531" s="27">
        <f t="shared" ca="1" si="1457"/>
        <v>201.25031221719402</v>
      </c>
      <c r="AK531" s="24">
        <f>SUM(AK525:AK530)</f>
        <v>53273</v>
      </c>
      <c r="AL531" s="28">
        <f t="shared" ca="1" si="1459"/>
        <v>0.78505058847821596</v>
      </c>
      <c r="AM531" s="29">
        <v>1.5</v>
      </c>
      <c r="AN531" s="28">
        <f t="shared" ca="1" si="1461"/>
        <v>0.62688041547083539</v>
      </c>
      <c r="AO531" s="30">
        <f t="shared" ca="1" si="1462"/>
        <v>0.94032062320625309</v>
      </c>
      <c r="AP531" s="29">
        <f ca="1">SUM(AP525:AP530)</f>
        <v>1456.6315832665534</v>
      </c>
      <c r="AQ531" s="29">
        <f ca="1">AP531/AA531</f>
        <v>6.5910931369527308</v>
      </c>
      <c r="AR531" s="25">
        <f t="shared" ca="1" si="1464"/>
        <v>189.23981900452489</v>
      </c>
      <c r="AS531" s="76"/>
      <c r="AT531" s="76"/>
    </row>
    <row r="532" spans="1:46" ht="15.75" customHeight="1" x14ac:dyDescent="0.25">
      <c r="A532" s="70"/>
      <c r="B532" s="16">
        <v>14</v>
      </c>
      <c r="C532" s="16" t="s">
        <v>27</v>
      </c>
      <c r="D532" s="17">
        <v>30</v>
      </c>
      <c r="E532" s="18">
        <f ca="1">IFERROR(__xludf.DUMMYFUNCTION("COUNT(IMPORTRANGE(""https://docs.google.com/spreadsheets/d/1zJUDEKztv_fercXA0LYNw155qdzS7TJGhWLhquaW5IY/edit"",""20!d2:d31""))"),30)</f>
        <v>30</v>
      </c>
      <c r="F532" s="23">
        <f ca="1">IFERROR(__xludf.DUMMYFUNCTION("SUM(IMPORTRANGE(""https://docs.google.com/spreadsheets/d/1zJUDEKztv_fercXA0LYNw155qdzS7TJGhWLhquaW5IY/edit"",""20!Q2:Q31""))"),5645.625)</f>
        <v>5645.625</v>
      </c>
      <c r="G532" s="18">
        <f ca="1">IFERROR(__xludf.DUMMYFUNCTION("IMPORTRANGE(""https://docs.google.com/spreadsheets/d/1zJUDEKztv_fercXA0LYNw155qdzS7TJGhWLhquaW5IY/edit"",""20!e38"")"),2581)</f>
        <v>2581</v>
      </c>
      <c r="H532" s="18">
        <f ca="1">IFERROR(__xludf.DUMMYFUNCTION("IMPORTRANGE(""https://docs.google.com/spreadsheets/d/1zJUDEKztv_fercXA0LYNw155qdzS7TJGhWLhquaW5IY/edit"",""20!e39"")"),0)</f>
        <v>0</v>
      </c>
      <c r="I532" s="18">
        <f t="shared" ca="1" si="1437"/>
        <v>2581</v>
      </c>
      <c r="J532" s="18">
        <f ca="1">IFERROR(__xludf.DUMMYFUNCTION("IMPORTRANGE(""https://docs.google.com/spreadsheets/d/1zJUDEKztv_fercXA0LYNw155qdzS7TJGhWLhquaW5IY/edit"",""20!e42"")"),3108)</f>
        <v>3108</v>
      </c>
      <c r="K532" s="18">
        <f ca="1">IFERROR(__xludf.DUMMYFUNCTION("IMPORTRANGE(""https://docs.google.com/spreadsheets/d/1zJUDEKztv_fercXA0LYNw155qdzS7TJGhWLhquaW5IY/edit"",""20!e43"")"),0)</f>
        <v>0</v>
      </c>
      <c r="L532" s="18">
        <f t="shared" ca="1" si="1467"/>
        <v>3108</v>
      </c>
      <c r="M532" s="18">
        <f t="shared" ca="1" si="1439"/>
        <v>5689</v>
      </c>
      <c r="N532" s="19">
        <f t="shared" ca="1" si="1440"/>
        <v>188.1875</v>
      </c>
      <c r="O532" s="16">
        <v>8101</v>
      </c>
      <c r="P532" s="20">
        <f t="shared" ca="1" si="1441"/>
        <v>0.70225898037279344</v>
      </c>
      <c r="Q532" s="21">
        <v>1.5</v>
      </c>
      <c r="R532" s="20">
        <f t="shared" ca="1" si="1442"/>
        <v>0.67178862688660101</v>
      </c>
      <c r="S532" s="22">
        <f t="shared" ca="1" si="1443"/>
        <v>1.0076829403299015</v>
      </c>
      <c r="T532" s="21">
        <f ca="1">F532/19.985</f>
        <v>282.49311983987991</v>
      </c>
      <c r="U532" s="21">
        <f t="shared" ca="1" si="1444"/>
        <v>9.4164373279959968</v>
      </c>
      <c r="V532" s="18">
        <f t="shared" ca="1" si="1445"/>
        <v>189.63333333333333</v>
      </c>
      <c r="W532" s="76"/>
      <c r="X532" s="97" t="s">
        <v>44</v>
      </c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9"/>
      <c r="AS532" s="76"/>
      <c r="AT532" s="76"/>
    </row>
    <row r="533" spans="1:46" ht="15.75" customHeight="1" x14ac:dyDescent="0.25">
      <c r="A533" s="70"/>
      <c r="B533" s="16">
        <v>15</v>
      </c>
      <c r="C533" s="16" t="s">
        <v>40</v>
      </c>
      <c r="D533" s="17">
        <v>30</v>
      </c>
      <c r="E533" s="18">
        <f ca="1">IFERROR(__xludf.DUMMYFUNCTION("COUNT(IMPORTRANGE(""https://docs.google.com/spreadsheets/d/15GJA66Ucb-8RQ5vWVpq5HYaWoZZFX82SCeHChBujbrI/edit"",""20!d2:d31""))"),30)</f>
        <v>30</v>
      </c>
      <c r="F533" s="23">
        <f ca="1">IFERROR(__xludf.DUMMYFUNCTION("SUM(IMPORTRANGE(""https://docs.google.com/spreadsheets/d/15GJA66Ucb-8RQ5vWVpq5HYaWoZZFX82SCeHChBujbrI/edit"",""20!Q2:Q31""))"),5944.58699999999)</f>
        <v>5944.5869999999904</v>
      </c>
      <c r="G533" s="18">
        <f ca="1">IFERROR(__xludf.DUMMYFUNCTION("IMPORTRANGE(""https://docs.google.com/spreadsheets/d/15GJA66Ucb-8RQ5vWVpq5HYaWoZZFX82SCeHChBujbrI/edit"",""20!e38"")"),3443)</f>
        <v>3443</v>
      </c>
      <c r="H533" s="18">
        <f ca="1">IFERROR(__xludf.DUMMYFUNCTION("IMPORTRANGE(""https://docs.google.com/spreadsheets/d/15GJA66Ucb-8RQ5vWVpq5HYaWoZZFX82SCeHChBujbrI/edit"",""20!e39"")"),9)</f>
        <v>9</v>
      </c>
      <c r="I533" s="18">
        <f t="shared" ca="1" si="1437"/>
        <v>3452</v>
      </c>
      <c r="J533" s="18">
        <f ca="1">IFERROR(__xludf.DUMMYFUNCTION("IMPORTRANGE(""https://docs.google.com/spreadsheets/d/15GJA66Ucb-8RQ5vWVpq5HYaWoZZFX82SCeHChBujbrI/edit"",""20!e42"")"),4075)</f>
        <v>4075</v>
      </c>
      <c r="K533" s="18">
        <f ca="1">IFERROR(__xludf.DUMMYFUNCTION("IMPORTRANGE(""https://docs.google.com/spreadsheets/d/15GJA66Ucb-8RQ5vWVpq5HYaWoZZFX82SCeHChBujbrI/edit"",""20!e43"")"),0)</f>
        <v>0</v>
      </c>
      <c r="L533" s="18">
        <f t="shared" ca="1" si="1467"/>
        <v>4075</v>
      </c>
      <c r="M533" s="18">
        <f t="shared" ca="1" si="1439"/>
        <v>7527</v>
      </c>
      <c r="N533" s="19">
        <f t="shared" ca="1" si="1440"/>
        <v>198.15289999999968</v>
      </c>
      <c r="O533" s="16">
        <v>8239</v>
      </c>
      <c r="P533" s="20">
        <f t="shared" ca="1" si="1441"/>
        <v>0.9135817453574463</v>
      </c>
      <c r="Q533" s="21">
        <v>1.5</v>
      </c>
      <c r="R533" s="20">
        <f t="shared" ca="1" si="1442"/>
        <v>0.84412928938545406</v>
      </c>
      <c r="S533" s="22">
        <f t="shared" ca="1" si="1443"/>
        <v>1.2661939340781811</v>
      </c>
      <c r="T533" s="21">
        <f ca="1">F533/28.443</f>
        <v>208.99999999999966</v>
      </c>
      <c r="U533" s="21">
        <f t="shared" ca="1" si="1444"/>
        <v>6.9666666666666552</v>
      </c>
      <c r="V533" s="18">
        <f t="shared" ca="1" si="1445"/>
        <v>250.9</v>
      </c>
      <c r="W533" s="76"/>
      <c r="X533" s="1" t="s">
        <v>2</v>
      </c>
      <c r="Y533" s="1" t="s">
        <v>3</v>
      </c>
      <c r="Z533" s="1" t="s">
        <v>4</v>
      </c>
      <c r="AA533" s="1" t="s">
        <v>5</v>
      </c>
      <c r="AB533" s="2" t="s">
        <v>6</v>
      </c>
      <c r="AC533" s="1" t="s">
        <v>7</v>
      </c>
      <c r="AD533" s="1" t="s">
        <v>8</v>
      </c>
      <c r="AE533" s="1" t="s">
        <v>9</v>
      </c>
      <c r="AF533" s="1" t="s">
        <v>10</v>
      </c>
      <c r="AG533" s="1" t="s">
        <v>11</v>
      </c>
      <c r="AH533" s="1" t="s">
        <v>12</v>
      </c>
      <c r="AI533" s="1" t="s">
        <v>13</v>
      </c>
      <c r="AJ533" s="2" t="s">
        <v>14</v>
      </c>
      <c r="AK533" s="1" t="s">
        <v>15</v>
      </c>
      <c r="AL533" s="1" t="s">
        <v>16</v>
      </c>
      <c r="AM533" s="3" t="s">
        <v>17</v>
      </c>
      <c r="AN533" s="4" t="s">
        <v>18</v>
      </c>
      <c r="AO533" s="5" t="s">
        <v>19</v>
      </c>
      <c r="AP533" s="6" t="s">
        <v>20</v>
      </c>
      <c r="AQ533" s="6" t="s">
        <v>21</v>
      </c>
      <c r="AR533" s="7" t="s">
        <v>22</v>
      </c>
      <c r="AS533" s="76"/>
      <c r="AT533" s="76"/>
    </row>
    <row r="534" spans="1:46" ht="15.75" customHeight="1" x14ac:dyDescent="0.25">
      <c r="A534" s="70"/>
      <c r="B534" s="16">
        <v>16</v>
      </c>
      <c r="C534" s="16" t="s">
        <v>42</v>
      </c>
      <c r="D534" s="17">
        <v>33</v>
      </c>
      <c r="E534" s="18">
        <f ca="1">IFERROR(__xludf.DUMMYFUNCTION("COUNT(IMPORTRANGE(""https://docs.google.com/spreadsheets/d/14Tu_jFPEdrIQ6DHYu6vRvJKQsbXr-48NY1tKy4-8JKI/edit"",""20!d2:d34""))"),32)</f>
        <v>32</v>
      </c>
      <c r="F534" s="23">
        <f ca="1">IFERROR(__xludf.DUMMYFUNCTION("SUM(IMPORTRANGE(""https://docs.google.com/spreadsheets/d/14Tu_jFPEdrIQ6DHYu6vRvJKQsbXr-48NY1tKy4-8JKI/edit"",""20!Q2:Q34""))"),6300.27899999999)</f>
        <v>6300.2789999999904</v>
      </c>
      <c r="G534" s="18">
        <f ca="1">IFERROR(__xludf.DUMMYFUNCTION("IMPORTRANGE(""https://docs.google.com/spreadsheets/d/14Tu_jFPEdrIQ6DHYu6vRvJKQsbXr-48NY1tKy4-8JKI/edit"",""20!e41"")"),3263)</f>
        <v>3263</v>
      </c>
      <c r="H534" s="18">
        <f ca="1">IFERROR(__xludf.DUMMYFUNCTION("IMPORTRANGE(""https://docs.google.com/spreadsheets/d/14Tu_jFPEdrIQ6DHYu6vRvJKQsbXr-48NY1tKy4-8JKI/edit"",""20!e42"")"),0)</f>
        <v>0</v>
      </c>
      <c r="I534" s="18">
        <f t="shared" ca="1" si="1437"/>
        <v>3263</v>
      </c>
      <c r="J534" s="18">
        <f ca="1">IFERROR(__xludf.DUMMYFUNCTION("IMPORTRANGE(""https://docs.google.com/spreadsheets/d/14Tu_jFPEdrIQ6DHYu6vRvJKQsbXr-48NY1tKy4-8JKI/edit"",""20!e45"")"),4477)</f>
        <v>4477</v>
      </c>
      <c r="K534" s="18">
        <f ca="1">IFERROR(__xludf.DUMMYFUNCTION("IMPORTRANGE(""https://docs.google.com/spreadsheets/d/14Tu_jFPEdrIQ6DHYu6vRvJKQsbXr-48NY1tKy4-8JKI/edit"",""20!e46"")"),0)</f>
        <v>0</v>
      </c>
      <c r="L534" s="18">
        <f t="shared" ca="1" si="1467"/>
        <v>4477</v>
      </c>
      <c r="M534" s="18">
        <f t="shared" ca="1" si="1439"/>
        <v>7740</v>
      </c>
      <c r="N534" s="19">
        <f t="shared" ca="1" si="1440"/>
        <v>196.8837187499997</v>
      </c>
      <c r="O534" s="16">
        <v>9877</v>
      </c>
      <c r="P534" s="20">
        <f t="shared" ca="1" si="1441"/>
        <v>0.78363875670750227</v>
      </c>
      <c r="Q534" s="21">
        <v>1.5</v>
      </c>
      <c r="R534" s="20">
        <f t="shared" ca="1" si="1442"/>
        <v>0.81901134854504187</v>
      </c>
      <c r="S534" s="22">
        <f t="shared" ca="1" si="1443"/>
        <v>1.2285170228175628</v>
      </c>
      <c r="T534" s="21">
        <f ca="1">F534/26.155</f>
        <v>240.88239342381917</v>
      </c>
      <c r="U534" s="21">
        <f t="shared" ca="1" si="1444"/>
        <v>7.527574794494349</v>
      </c>
      <c r="V534" s="18">
        <f t="shared" ca="1" si="1445"/>
        <v>241.875</v>
      </c>
      <c r="W534" s="76"/>
      <c r="X534" s="8">
        <v>1</v>
      </c>
      <c r="Y534" s="8" t="s">
        <v>26</v>
      </c>
      <c r="Z534" s="8">
        <f t="shared" ref="Z534:AI534" si="1479">SUM(D519)</f>
        <v>20</v>
      </c>
      <c r="AA534" s="9">
        <f t="shared" ca="1" si="1479"/>
        <v>20</v>
      </c>
      <c r="AB534" s="11">
        <f t="shared" ca="1" si="1479"/>
        <v>3841.97999999999</v>
      </c>
      <c r="AC534" s="9">
        <f t="shared" ca="1" si="1479"/>
        <v>1451</v>
      </c>
      <c r="AD534" s="9">
        <f t="shared" ca="1" si="1479"/>
        <v>0</v>
      </c>
      <c r="AE534" s="9">
        <f t="shared" ca="1" si="1479"/>
        <v>1451</v>
      </c>
      <c r="AF534" s="9">
        <f t="shared" ca="1" si="1479"/>
        <v>3544</v>
      </c>
      <c r="AG534" s="9">
        <f t="shared" ca="1" si="1479"/>
        <v>0</v>
      </c>
      <c r="AH534" s="9">
        <f t="shared" ca="1" si="1479"/>
        <v>3544</v>
      </c>
      <c r="AI534" s="9">
        <f t="shared" ca="1" si="1479"/>
        <v>4995</v>
      </c>
      <c r="AJ534" s="11">
        <f t="shared" ref="AJ534:AJ540" ca="1" si="1480">AB534/AA534</f>
        <v>192.09899999999951</v>
      </c>
      <c r="AK534" s="8">
        <f>SUM(O519)</f>
        <v>5161</v>
      </c>
      <c r="AL534" s="12">
        <f t="shared" ref="AL534:AL540" ca="1" si="1481">AI534/AK534</f>
        <v>0.96783569075760512</v>
      </c>
      <c r="AM534" s="13">
        <f>SUM(Q519)</f>
        <v>1.5</v>
      </c>
      <c r="AN534" s="12">
        <f t="shared" ref="AN534:AN540" ca="1" si="1482">AO534/AM534</f>
        <v>0.86674058688488975</v>
      </c>
      <c r="AO534" s="14">
        <f t="shared" ref="AO534:AO540" ca="1" si="1483">AI534/AB534</f>
        <v>1.3001108803273347</v>
      </c>
      <c r="AP534" s="13">
        <f t="shared" ref="AP534:AQ534" ca="1" si="1484">SUM(T519)</f>
        <v>266.52653485952067</v>
      </c>
      <c r="AQ534" s="13">
        <f t="shared" ca="1" si="1484"/>
        <v>13.326326742976033</v>
      </c>
      <c r="AR534" s="9">
        <f t="shared" ref="AR534:AR540" ca="1" si="1485">AI534/AA534</f>
        <v>249.75</v>
      </c>
      <c r="AS534" s="76"/>
      <c r="AT534" s="76"/>
    </row>
    <row r="535" spans="1:46" ht="15.75" customHeight="1" x14ac:dyDescent="0.25">
      <c r="A535" s="70"/>
      <c r="B535" s="16">
        <v>17</v>
      </c>
      <c r="C535" s="16" t="s">
        <v>29</v>
      </c>
      <c r="D535" s="17">
        <v>30</v>
      </c>
      <c r="E535" s="18">
        <f ca="1">IFERROR(__xludf.DUMMYFUNCTION("COUNT(IMPORTRANGE(""https://docs.google.com/spreadsheets/d/1ja_RQYsP0p5wRrACHojay4CW1wLx0QdS5tSwp-vYQ-s/edit"",""20!d2:d31""))"),30)</f>
        <v>30</v>
      </c>
      <c r="F535" s="23">
        <f ca="1">IFERROR(__xludf.DUMMYFUNCTION("SUM(IMPORTRANGE(""https://docs.google.com/spreadsheets/d/1ja_RQYsP0p5wRrACHojay4CW1wLx0QdS5tSwp-vYQ-s/edit"",""20!Q2:Q31""))"),6039.94799999999)</f>
        <v>6039.9479999999903</v>
      </c>
      <c r="G535" s="18">
        <f ca="1">IFERROR(__xludf.DUMMYFUNCTION("IMPORTRANGE(""https://docs.google.com/spreadsheets/d/1ja_RQYsP0p5wRrACHojay4CW1wLx0QdS5tSwp-vYQ-s/edit"",""20!e38"")"),2522)</f>
        <v>2522</v>
      </c>
      <c r="H535" s="18">
        <f ca="1">IFERROR(__xludf.DUMMYFUNCTION("IMPORTRANGE(""https://docs.google.com/spreadsheets/d/1ja_RQYsP0p5wRrACHojay4CW1wLx0QdS5tSwp-vYQ-s/edit"",""20!e39"")"),0)</f>
        <v>0</v>
      </c>
      <c r="I535" s="18">
        <f t="shared" ca="1" si="1437"/>
        <v>2522</v>
      </c>
      <c r="J535" s="18">
        <f ca="1">IFERROR(__xludf.DUMMYFUNCTION("IMPORTRANGE(""https://docs.google.com/spreadsheets/d/1ja_RQYsP0p5wRrACHojay4CW1wLx0QdS5tSwp-vYQ-s/edit"",""20!e42"")"),4409)</f>
        <v>4409</v>
      </c>
      <c r="K535" s="18">
        <f ca="1">IFERROR(__xludf.DUMMYFUNCTION("IMPORTRANGE(""https://docs.google.com/spreadsheets/d/1ja_RQYsP0p5wRrACHojay4CW1wLx0QdS5tSwp-vYQ-s/edit"",""20!e43"")"),0)</f>
        <v>0</v>
      </c>
      <c r="L535" s="18">
        <f t="shared" ca="1" si="1467"/>
        <v>4409</v>
      </c>
      <c r="M535" s="18">
        <f t="shared" ca="1" si="1439"/>
        <v>6931</v>
      </c>
      <c r="N535" s="19">
        <f t="shared" ca="1" si="1440"/>
        <v>201.33159999999967</v>
      </c>
      <c r="O535" s="16">
        <v>9201</v>
      </c>
      <c r="P535" s="20">
        <f t="shared" ca="1" si="1441"/>
        <v>0.75328768612107377</v>
      </c>
      <c r="Q535" s="21">
        <v>1.5</v>
      </c>
      <c r="R535" s="20">
        <f t="shared" ca="1" si="1442"/>
        <v>0.76501762377203819</v>
      </c>
      <c r="S535" s="22">
        <f t="shared" ca="1" si="1443"/>
        <v>1.1475264356580572</v>
      </c>
      <c r="T535" s="21">
        <f ca="1">F535/26.491</f>
        <v>227.99999999999963</v>
      </c>
      <c r="U535" s="21">
        <f t="shared" ca="1" si="1444"/>
        <v>7.5999999999999881</v>
      </c>
      <c r="V535" s="18">
        <f t="shared" ca="1" si="1445"/>
        <v>231.03333333333333</v>
      </c>
      <c r="W535" s="76"/>
      <c r="X535" s="8">
        <v>2</v>
      </c>
      <c r="Y535" s="8" t="s">
        <v>32</v>
      </c>
      <c r="Z535" s="8">
        <f t="shared" ref="Z535:AI535" si="1486">SUM(D522)</f>
        <v>42</v>
      </c>
      <c r="AA535" s="9">
        <f t="shared" ca="1" si="1486"/>
        <v>41</v>
      </c>
      <c r="AB535" s="10">
        <f t="shared" ca="1" si="1486"/>
        <v>7841.3869999999897</v>
      </c>
      <c r="AC535" s="8">
        <f t="shared" ca="1" si="1486"/>
        <v>4702</v>
      </c>
      <c r="AD535" s="8">
        <f t="shared" ca="1" si="1486"/>
        <v>0</v>
      </c>
      <c r="AE535" s="9">
        <f t="shared" ca="1" si="1486"/>
        <v>4702</v>
      </c>
      <c r="AF535" s="8">
        <f t="shared" ca="1" si="1486"/>
        <v>5457</v>
      </c>
      <c r="AG535" s="8">
        <f t="shared" ca="1" si="1486"/>
        <v>0</v>
      </c>
      <c r="AH535" s="9">
        <f t="shared" ca="1" si="1486"/>
        <v>5457</v>
      </c>
      <c r="AI535" s="9">
        <f t="shared" ca="1" si="1486"/>
        <v>10159</v>
      </c>
      <c r="AJ535" s="11">
        <f t="shared" ca="1" si="1480"/>
        <v>191.25334146341439</v>
      </c>
      <c r="AK535" s="8">
        <f>SUM(O522)</f>
        <v>13817</v>
      </c>
      <c r="AL535" s="12">
        <f t="shared" ca="1" si="1481"/>
        <v>0.73525367301150757</v>
      </c>
      <c r="AM535" s="13">
        <f>SUM(Q522)</f>
        <v>1.5</v>
      </c>
      <c r="AN535" s="12">
        <f t="shared" ca="1" si="1482"/>
        <v>0.86370774286062846</v>
      </c>
      <c r="AO535" s="14">
        <f t="shared" ca="1" si="1483"/>
        <v>1.2955616142909427</v>
      </c>
      <c r="AP535" s="13">
        <f t="shared" ref="AP535:AQ535" ca="1" si="1487">SUM(T522)</f>
        <v>312.54282753397865</v>
      </c>
      <c r="AQ535" s="13">
        <f t="shared" ca="1" si="1487"/>
        <v>7.6229957935116746</v>
      </c>
      <c r="AR535" s="9">
        <f t="shared" ca="1" si="1485"/>
        <v>247.78048780487805</v>
      </c>
      <c r="AS535" s="76"/>
      <c r="AT535" s="76"/>
    </row>
    <row r="536" spans="1:46" ht="15.75" customHeight="1" x14ac:dyDescent="0.25">
      <c r="A536" s="70"/>
      <c r="B536" s="16">
        <v>18</v>
      </c>
      <c r="C536" s="16" t="s">
        <v>31</v>
      </c>
      <c r="D536" s="17">
        <v>15</v>
      </c>
      <c r="E536" s="18">
        <f ca="1">IFERROR(__xludf.DUMMYFUNCTION("COUNT(IMPORTRANGE(""https://docs.google.com/spreadsheets/d/1ObnK1oSznTOmyW9Zcd2kxExl7TOnO2MNq_0giEKc_mE/edit"",""20!d2:d16""))"),14)</f>
        <v>14</v>
      </c>
      <c r="F536" s="19">
        <f ca="1">IFERROR(__xludf.DUMMYFUNCTION("SUM(IMPORTRANGE(""https://docs.google.com/spreadsheets/d/1ObnK1oSznTOmyW9Zcd2kxExl7TOnO2MNq_0giEKc_mE/edit"",""20!Q2:Q16""))"),2651.365)</f>
        <v>2651.3649999999998</v>
      </c>
      <c r="G536" s="18">
        <f ca="1">IFERROR(__xludf.DUMMYFUNCTION("IMPORTRANGE(""https://docs.google.com/spreadsheets/d/1ObnK1oSznTOmyW9Zcd2kxExl7TOnO2MNq_0giEKc_mE/edit"",""20!e23"")"),930)</f>
        <v>930</v>
      </c>
      <c r="H536" s="18">
        <f ca="1">IFERROR(__xludf.DUMMYFUNCTION("IMPORTRANGE(""https://docs.google.com/spreadsheets/d/1ObnK1oSznTOmyW9Zcd2kxExl7TOnO2MNq_0giEKc_mE/edit"",""20!e24"")"),18)</f>
        <v>18</v>
      </c>
      <c r="I536" s="18">
        <f t="shared" ca="1" si="1437"/>
        <v>948</v>
      </c>
      <c r="J536" s="18">
        <f ca="1">IFERROR(__xludf.DUMMYFUNCTION("IMPORTRANGE(""https://docs.google.com/spreadsheets/d/1ObnK1oSznTOmyW9Zcd2kxExl7TOnO2MNq_0giEKc_mE/edit"",""20!e27"")"),1024)</f>
        <v>1024</v>
      </c>
      <c r="K536" s="18">
        <f ca="1">IFERROR(__xludf.DUMMYFUNCTION("IMPORTRANGE(""https://docs.google.com/spreadsheets/d/1ObnK1oSznTOmyW9Zcd2kxExl7TOnO2MNq_0giEKc_mE/edit"",""20!e28"")"),0)</f>
        <v>0</v>
      </c>
      <c r="L536" s="18">
        <f t="shared" ca="1" si="1467"/>
        <v>1024</v>
      </c>
      <c r="M536" s="18">
        <f t="shared" ca="1" si="1439"/>
        <v>1972</v>
      </c>
      <c r="N536" s="19">
        <f t="shared" ca="1" si="1440"/>
        <v>189.38321428571427</v>
      </c>
      <c r="O536" s="16">
        <v>2717</v>
      </c>
      <c r="P536" s="20">
        <f t="shared" ca="1" si="1441"/>
        <v>0.72580051527419953</v>
      </c>
      <c r="Q536" s="21">
        <v>1.5</v>
      </c>
      <c r="R536" s="20">
        <f t="shared" ca="1" si="1442"/>
        <v>0.49584522186370678</v>
      </c>
      <c r="S536" s="22">
        <f t="shared" ca="1" si="1443"/>
        <v>0.74376783279556014</v>
      </c>
      <c r="T536" s="21">
        <f ca="1">F536/43.465</f>
        <v>60.999999999999993</v>
      </c>
      <c r="U536" s="21">
        <f t="shared" ca="1" si="1444"/>
        <v>4.3571428571428568</v>
      </c>
      <c r="V536" s="18">
        <f t="shared" ca="1" si="1445"/>
        <v>140.85714285714286</v>
      </c>
      <c r="W536" s="76"/>
      <c r="X536" s="8">
        <v>3</v>
      </c>
      <c r="Y536" s="8" t="s">
        <v>36</v>
      </c>
      <c r="Z536" s="8">
        <f t="shared" ref="Z536:AI536" si="1488">SUM(D527)</f>
        <v>29</v>
      </c>
      <c r="AA536" s="9">
        <f t="shared" ca="1" si="1488"/>
        <v>29</v>
      </c>
      <c r="AB536" s="10">
        <f t="shared" ca="1" si="1488"/>
        <v>5604.1199999999899</v>
      </c>
      <c r="AC536" s="9">
        <f t="shared" ca="1" si="1488"/>
        <v>1598</v>
      </c>
      <c r="AD536" s="9">
        <f t="shared" ca="1" si="1488"/>
        <v>0</v>
      </c>
      <c r="AE536" s="9">
        <f t="shared" ca="1" si="1488"/>
        <v>1598</v>
      </c>
      <c r="AF536" s="9">
        <f t="shared" ca="1" si="1488"/>
        <v>2302</v>
      </c>
      <c r="AG536" s="9">
        <f t="shared" ca="1" si="1488"/>
        <v>0</v>
      </c>
      <c r="AH536" s="9">
        <f t="shared" ca="1" si="1488"/>
        <v>2302</v>
      </c>
      <c r="AI536" s="9">
        <f t="shared" ca="1" si="1488"/>
        <v>3900</v>
      </c>
      <c r="AJ536" s="11">
        <f t="shared" ca="1" si="1480"/>
        <v>193.24551724137896</v>
      </c>
      <c r="AK536" s="8">
        <f t="shared" ref="AK536:AK539" si="1489">SUM(O527)</f>
        <v>4796</v>
      </c>
      <c r="AL536" s="12">
        <f t="shared" ca="1" si="1481"/>
        <v>0.81317764804003334</v>
      </c>
      <c r="AM536" s="13">
        <f t="shared" ref="AM536:AM539" si="1490">SUM(Q527)</f>
        <v>1.5</v>
      </c>
      <c r="AN536" s="12">
        <f t="shared" ca="1" si="1482"/>
        <v>0.46394438377479513</v>
      </c>
      <c r="AO536" s="14">
        <f t="shared" ca="1" si="1483"/>
        <v>0.69591657566219267</v>
      </c>
      <c r="AP536" s="13">
        <f t="shared" ref="AP536:AQ536" ca="1" si="1491">SUM(T527)</f>
        <v>149.78671085689822</v>
      </c>
      <c r="AQ536" s="13">
        <f t="shared" ca="1" si="1491"/>
        <v>5.165058995065456</v>
      </c>
      <c r="AR536" s="9">
        <f t="shared" ca="1" si="1485"/>
        <v>134.48275862068965</v>
      </c>
      <c r="AS536" s="76"/>
      <c r="AT536" s="76"/>
    </row>
    <row r="537" spans="1:46" ht="15.75" customHeight="1" x14ac:dyDescent="0.2">
      <c r="A537" s="70"/>
      <c r="B537" s="98" t="s">
        <v>33</v>
      </c>
      <c r="C537" s="98">
        <v>18</v>
      </c>
      <c r="D537" s="98">
        <f t="shared" ref="D537:M537" si="1492">SUM(D519:D536)</f>
        <v>585</v>
      </c>
      <c r="E537" s="74">
        <f t="shared" ca="1" si="1492"/>
        <v>575</v>
      </c>
      <c r="F537" s="99">
        <f t="shared" ca="1" si="1492"/>
        <v>112881.46799999983</v>
      </c>
      <c r="G537" s="74">
        <f t="shared" ca="1" si="1492"/>
        <v>41420</v>
      </c>
      <c r="H537" s="74">
        <f t="shared" ca="1" si="1492"/>
        <v>594</v>
      </c>
      <c r="I537" s="74">
        <f t="shared" ca="1" si="1492"/>
        <v>42014</v>
      </c>
      <c r="J537" s="74">
        <f t="shared" ca="1" si="1492"/>
        <v>57653</v>
      </c>
      <c r="K537" s="74">
        <f t="shared" ca="1" si="1492"/>
        <v>830</v>
      </c>
      <c r="L537" s="74">
        <f t="shared" ca="1" si="1492"/>
        <v>58483</v>
      </c>
      <c r="M537" s="74">
        <f t="shared" ca="1" si="1492"/>
        <v>100497</v>
      </c>
      <c r="N537" s="99">
        <f t="shared" ca="1" si="1440"/>
        <v>196.31559652173885</v>
      </c>
      <c r="O537" s="98">
        <f>SUM(O519:O536)</f>
        <v>126399</v>
      </c>
      <c r="P537" s="69">
        <f t="shared" ca="1" si="1441"/>
        <v>0.79507749270168282</v>
      </c>
      <c r="Q537" s="72">
        <v>1.5</v>
      </c>
      <c r="R537" s="69">
        <f t="shared" ca="1" si="1442"/>
        <v>0.59352523657824952</v>
      </c>
      <c r="S537" s="73">
        <f t="shared" ca="1" si="1443"/>
        <v>0.89028785486737427</v>
      </c>
      <c r="T537" s="72">
        <f ca="1">SUM(T519:T536)</f>
        <v>4154.0524983307178</v>
      </c>
      <c r="U537" s="72">
        <f t="shared" ca="1" si="1444"/>
        <v>7.2244391275316833</v>
      </c>
      <c r="V537" s="74">
        <f t="shared" ca="1" si="1445"/>
        <v>174.77739130434782</v>
      </c>
      <c r="W537" s="76"/>
      <c r="X537" s="8">
        <v>4</v>
      </c>
      <c r="Y537" s="8" t="s">
        <v>37</v>
      </c>
      <c r="Z537" s="8">
        <f t="shared" ref="Z537:AI537" si="1493">SUM(D528)</f>
        <v>30</v>
      </c>
      <c r="AA537" s="9">
        <f t="shared" ca="1" si="1493"/>
        <v>29</v>
      </c>
      <c r="AB537" s="10">
        <f t="shared" ca="1" si="1493"/>
        <v>5638.6440000000002</v>
      </c>
      <c r="AC537" s="9">
        <f t="shared" ca="1" si="1493"/>
        <v>2081</v>
      </c>
      <c r="AD537" s="9">
        <f t="shared" ca="1" si="1493"/>
        <v>0</v>
      </c>
      <c r="AE537" s="9">
        <f t="shared" ca="1" si="1493"/>
        <v>2081</v>
      </c>
      <c r="AF537" s="9">
        <f t="shared" ca="1" si="1493"/>
        <v>3158</v>
      </c>
      <c r="AG537" s="9">
        <f t="shared" ca="1" si="1493"/>
        <v>0</v>
      </c>
      <c r="AH537" s="9">
        <f t="shared" ca="1" si="1493"/>
        <v>3158</v>
      </c>
      <c r="AI537" s="9">
        <f t="shared" ca="1" si="1493"/>
        <v>5239</v>
      </c>
      <c r="AJ537" s="11">
        <f t="shared" ca="1" si="1480"/>
        <v>194.43600000000001</v>
      </c>
      <c r="AK537" s="8">
        <f t="shared" si="1489"/>
        <v>5887</v>
      </c>
      <c r="AL537" s="12">
        <f t="shared" ca="1" si="1481"/>
        <v>0.88992695770341435</v>
      </c>
      <c r="AM537" s="13">
        <f t="shared" si="1490"/>
        <v>1.5</v>
      </c>
      <c r="AN537" s="12">
        <f t="shared" ca="1" si="1482"/>
        <v>0.61941606291630869</v>
      </c>
      <c r="AO537" s="14">
        <f t="shared" ca="1" si="1483"/>
        <v>0.92912409437446308</v>
      </c>
      <c r="AP537" s="13">
        <f t="shared" ref="AP537:AQ537" ca="1" si="1494">SUM(T528)</f>
        <v>227.4380445304937</v>
      </c>
      <c r="AQ537" s="13">
        <f t="shared" ca="1" si="1494"/>
        <v>7.8426911907066792</v>
      </c>
      <c r="AR537" s="9">
        <f t="shared" ca="1" si="1485"/>
        <v>180.65517241379311</v>
      </c>
      <c r="AS537" s="76"/>
      <c r="AT537" s="76"/>
    </row>
    <row r="538" spans="1:46" ht="15.75" customHeight="1" x14ac:dyDescent="0.2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6"/>
      <c r="X538" s="8">
        <v>5</v>
      </c>
      <c r="Y538" s="8" t="s">
        <v>39</v>
      </c>
      <c r="Z538" s="8">
        <f t="shared" ref="Z538:AI538" si="1495">SUM(D529)</f>
        <v>28</v>
      </c>
      <c r="AA538" s="9">
        <f t="shared" ca="1" si="1495"/>
        <v>27</v>
      </c>
      <c r="AB538" s="10">
        <f t="shared" ca="1" si="1495"/>
        <v>5330.1</v>
      </c>
      <c r="AC538" s="9">
        <f t="shared" ca="1" si="1495"/>
        <v>1159</v>
      </c>
      <c r="AD538" s="9">
        <f t="shared" ca="1" si="1495"/>
        <v>0</v>
      </c>
      <c r="AE538" s="9">
        <f t="shared" ca="1" si="1495"/>
        <v>1159</v>
      </c>
      <c r="AF538" s="9">
        <f t="shared" ca="1" si="1495"/>
        <v>1763</v>
      </c>
      <c r="AG538" s="9">
        <f t="shared" ca="1" si="1495"/>
        <v>0</v>
      </c>
      <c r="AH538" s="9">
        <f t="shared" ca="1" si="1495"/>
        <v>1763</v>
      </c>
      <c r="AI538" s="9">
        <f t="shared" ca="1" si="1495"/>
        <v>2922</v>
      </c>
      <c r="AJ538" s="11">
        <f t="shared" ca="1" si="1480"/>
        <v>197.41111111111113</v>
      </c>
      <c r="AK538" s="8">
        <f t="shared" si="1489"/>
        <v>3569</v>
      </c>
      <c r="AL538" s="12">
        <f t="shared" ca="1" si="1481"/>
        <v>0.81871672737461476</v>
      </c>
      <c r="AM538" s="13">
        <f t="shared" si="1490"/>
        <v>1.5</v>
      </c>
      <c r="AN538" s="12">
        <f t="shared" ca="1" si="1482"/>
        <v>0.36547156713757717</v>
      </c>
      <c r="AO538" s="14">
        <f t="shared" ca="1" si="1483"/>
        <v>0.54820735070636573</v>
      </c>
      <c r="AP538" s="13">
        <f t="shared" ref="AP538:AQ538" ca="1" si="1496">SUM(T529)</f>
        <v>248.3390020034478</v>
      </c>
      <c r="AQ538" s="13">
        <f t="shared" ca="1" si="1496"/>
        <v>9.1977408149425113</v>
      </c>
      <c r="AR538" s="9">
        <f t="shared" ca="1" si="1485"/>
        <v>108.22222222222223</v>
      </c>
      <c r="AS538" s="76"/>
      <c r="AT538" s="76"/>
    </row>
    <row r="539" spans="1:46" ht="15.75" customHeight="1" x14ac:dyDescent="0.2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6"/>
      <c r="X539" s="8">
        <v>6</v>
      </c>
      <c r="Y539" s="8" t="s">
        <v>41</v>
      </c>
      <c r="Z539" s="8">
        <f t="shared" ref="Z539:AI539" si="1497">SUM(D530)</f>
        <v>24</v>
      </c>
      <c r="AA539" s="9">
        <f t="shared" ca="1" si="1497"/>
        <v>24</v>
      </c>
      <c r="AB539" s="10">
        <f t="shared" ca="1" si="1497"/>
        <v>4750.3559999999998</v>
      </c>
      <c r="AC539" s="9">
        <f t="shared" ca="1" si="1497"/>
        <v>1114</v>
      </c>
      <c r="AD539" s="9">
        <f t="shared" ca="1" si="1497"/>
        <v>40</v>
      </c>
      <c r="AE539" s="9">
        <f t="shared" ca="1" si="1497"/>
        <v>1154</v>
      </c>
      <c r="AF539" s="9">
        <f t="shared" ca="1" si="1497"/>
        <v>1896</v>
      </c>
      <c r="AG539" s="9">
        <f t="shared" ca="1" si="1497"/>
        <v>0</v>
      </c>
      <c r="AH539" s="9">
        <f t="shared" ca="1" si="1497"/>
        <v>1896</v>
      </c>
      <c r="AI539" s="9">
        <f t="shared" ca="1" si="1497"/>
        <v>3050</v>
      </c>
      <c r="AJ539" s="11">
        <f t="shared" ca="1" si="1480"/>
        <v>197.9315</v>
      </c>
      <c r="AK539" s="8">
        <f t="shared" si="1489"/>
        <v>3801</v>
      </c>
      <c r="AL539" s="12">
        <f t="shared" ca="1" si="1481"/>
        <v>0.80242041568008415</v>
      </c>
      <c r="AM539" s="13">
        <f t="shared" si="1490"/>
        <v>1.5</v>
      </c>
      <c r="AN539" s="12">
        <f t="shared" ca="1" si="1482"/>
        <v>0.42803809510978402</v>
      </c>
      <c r="AO539" s="14">
        <f t="shared" ca="1" si="1483"/>
        <v>0.64205714266467606</v>
      </c>
      <c r="AP539" s="13">
        <f t="shared" ref="AP539:AQ539" ca="1" si="1498">SUM(T530)</f>
        <v>160.33333333333331</v>
      </c>
      <c r="AQ539" s="13">
        <f t="shared" ca="1" si="1498"/>
        <v>6.6805555555555545</v>
      </c>
      <c r="AR539" s="9">
        <f t="shared" ca="1" si="1485"/>
        <v>127.08333333333333</v>
      </c>
      <c r="AS539" s="76"/>
      <c r="AT539" s="76"/>
    </row>
    <row r="540" spans="1:46" ht="15.75" customHeight="1" x14ac:dyDescent="0.25">
      <c r="A540" s="110" t="s">
        <v>45</v>
      </c>
      <c r="B540" s="76"/>
      <c r="C540" s="76"/>
      <c r="D540" s="75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24" t="s">
        <v>33</v>
      </c>
      <c r="Y540" s="24">
        <v>6</v>
      </c>
      <c r="Z540" s="24">
        <f t="shared" ref="Z540:AI540" si="1499">SUM(Z534:Z539)</f>
        <v>173</v>
      </c>
      <c r="AA540" s="25">
        <f t="shared" ca="1" si="1499"/>
        <v>170</v>
      </c>
      <c r="AB540" s="27">
        <f t="shared" ca="1" si="1499"/>
        <v>33006.58699999997</v>
      </c>
      <c r="AC540" s="25">
        <f t="shared" ca="1" si="1499"/>
        <v>12105</v>
      </c>
      <c r="AD540" s="25">
        <f t="shared" ca="1" si="1499"/>
        <v>40</v>
      </c>
      <c r="AE540" s="25">
        <f t="shared" ca="1" si="1499"/>
        <v>12145</v>
      </c>
      <c r="AF540" s="25">
        <f t="shared" ca="1" si="1499"/>
        <v>18120</v>
      </c>
      <c r="AG540" s="25">
        <f t="shared" ca="1" si="1499"/>
        <v>0</v>
      </c>
      <c r="AH540" s="25">
        <f t="shared" ca="1" si="1499"/>
        <v>18120</v>
      </c>
      <c r="AI540" s="25">
        <f t="shared" ca="1" si="1499"/>
        <v>30265</v>
      </c>
      <c r="AJ540" s="27">
        <f t="shared" ca="1" si="1480"/>
        <v>194.1563941176469</v>
      </c>
      <c r="AK540" s="24">
        <f>SUM(AK534:AK539)</f>
        <v>37031</v>
      </c>
      <c r="AL540" s="28">
        <f t="shared" ca="1" si="1481"/>
        <v>0.81728821797953066</v>
      </c>
      <c r="AM540" s="29">
        <v>1.5</v>
      </c>
      <c r="AN540" s="28">
        <f t="shared" ca="1" si="1482"/>
        <v>0.6112921238014305</v>
      </c>
      <c r="AO540" s="30">
        <f t="shared" ca="1" si="1483"/>
        <v>0.91693818570214569</v>
      </c>
      <c r="AP540" s="29">
        <f ca="1">SUM(AP534:AP539)</f>
        <v>1364.9664531176722</v>
      </c>
      <c r="AQ540" s="29">
        <f ca="1">AP540/AA540</f>
        <v>8.0292144301039539</v>
      </c>
      <c r="AR540" s="25">
        <f t="shared" ca="1" si="1485"/>
        <v>178.02941176470588</v>
      </c>
      <c r="AS540" s="76"/>
      <c r="AT540" s="76"/>
    </row>
    <row r="541" spans="1:46" ht="15.75" customHeight="1" x14ac:dyDescent="0.2">
      <c r="A541" s="110" t="s">
        <v>45</v>
      </c>
      <c r="B541" s="76"/>
      <c r="C541" s="76"/>
      <c r="D541" s="75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7" t="s">
        <v>1</v>
      </c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9"/>
      <c r="AS541" s="76"/>
      <c r="AT541" s="76"/>
    </row>
    <row r="542" spans="1:46" ht="15.75" customHeight="1" x14ac:dyDescent="0.2">
      <c r="A542" s="109">
        <v>46255</v>
      </c>
      <c r="B542" s="80" t="s">
        <v>2</v>
      </c>
      <c r="C542" s="80" t="s">
        <v>3</v>
      </c>
      <c r="D542" s="80" t="s">
        <v>4</v>
      </c>
      <c r="E542" s="80" t="s">
        <v>5</v>
      </c>
      <c r="F542" s="81" t="s">
        <v>6</v>
      </c>
      <c r="G542" s="80" t="s">
        <v>7</v>
      </c>
      <c r="H542" s="80" t="s">
        <v>8</v>
      </c>
      <c r="I542" s="80" t="s">
        <v>9</v>
      </c>
      <c r="J542" s="80" t="s">
        <v>10</v>
      </c>
      <c r="K542" s="80" t="s">
        <v>11</v>
      </c>
      <c r="L542" s="80" t="s">
        <v>12</v>
      </c>
      <c r="M542" s="80" t="s">
        <v>13</v>
      </c>
      <c r="N542" s="81" t="s">
        <v>14</v>
      </c>
      <c r="O542" s="80" t="s">
        <v>15</v>
      </c>
      <c r="P542" s="80" t="s">
        <v>16</v>
      </c>
      <c r="Q542" s="80" t="s">
        <v>17</v>
      </c>
      <c r="R542" s="80" t="s">
        <v>18</v>
      </c>
      <c r="S542" s="106" t="s">
        <v>19</v>
      </c>
      <c r="T542" s="107" t="s">
        <v>20</v>
      </c>
      <c r="U542" s="107" t="s">
        <v>21</v>
      </c>
      <c r="V542" s="105" t="s">
        <v>22</v>
      </c>
      <c r="W542" s="76"/>
      <c r="X542" s="1" t="s">
        <v>2</v>
      </c>
      <c r="Y542" s="1" t="s">
        <v>3</v>
      </c>
      <c r="Z542" s="1" t="s">
        <v>4</v>
      </c>
      <c r="AA542" s="1" t="s">
        <v>5</v>
      </c>
      <c r="AB542" s="2" t="s">
        <v>6</v>
      </c>
      <c r="AC542" s="1" t="s">
        <v>7</v>
      </c>
      <c r="AD542" s="1" t="s">
        <v>8</v>
      </c>
      <c r="AE542" s="1" t="s">
        <v>9</v>
      </c>
      <c r="AF542" s="1" t="s">
        <v>10</v>
      </c>
      <c r="AG542" s="1" t="s">
        <v>11</v>
      </c>
      <c r="AH542" s="1" t="s">
        <v>12</v>
      </c>
      <c r="AI542" s="1" t="s">
        <v>13</v>
      </c>
      <c r="AJ542" s="2" t="s">
        <v>14</v>
      </c>
      <c r="AK542" s="1" t="s">
        <v>15</v>
      </c>
      <c r="AL542" s="1" t="s">
        <v>16</v>
      </c>
      <c r="AM542" s="3" t="s">
        <v>17</v>
      </c>
      <c r="AN542" s="4" t="s">
        <v>18</v>
      </c>
      <c r="AO542" s="5" t="s">
        <v>19</v>
      </c>
      <c r="AP542" s="6" t="s">
        <v>20</v>
      </c>
      <c r="AQ542" s="6" t="s">
        <v>21</v>
      </c>
      <c r="AR542" s="7" t="s">
        <v>22</v>
      </c>
      <c r="AS542" s="76"/>
      <c r="AT542" s="76"/>
    </row>
    <row r="543" spans="1:46" ht="15.75" customHeight="1" x14ac:dyDescent="0.2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6"/>
      <c r="X543" s="8">
        <v>1</v>
      </c>
      <c r="Y543" s="8" t="s">
        <v>23</v>
      </c>
      <c r="Z543" s="8">
        <f t="shared" ref="Z543:AI543" si="1500">SUM(D551)</f>
        <v>35</v>
      </c>
      <c r="AA543" s="9">
        <f t="shared" ca="1" si="1500"/>
        <v>34</v>
      </c>
      <c r="AB543" s="10">
        <f t="shared" ca="1" si="1500"/>
        <v>6545.5599999999904</v>
      </c>
      <c r="AC543" s="9">
        <f t="shared" ca="1" si="1500"/>
        <v>1757</v>
      </c>
      <c r="AD543" s="9">
        <f t="shared" ca="1" si="1500"/>
        <v>0</v>
      </c>
      <c r="AE543" s="9">
        <f t="shared" ca="1" si="1500"/>
        <v>1757</v>
      </c>
      <c r="AF543" s="9">
        <f t="shared" ca="1" si="1500"/>
        <v>3412</v>
      </c>
      <c r="AG543" s="9">
        <f t="shared" ca="1" si="1500"/>
        <v>0</v>
      </c>
      <c r="AH543" s="9">
        <f t="shared" ca="1" si="1500"/>
        <v>3412</v>
      </c>
      <c r="AI543" s="9">
        <f t="shared" ca="1" si="1500"/>
        <v>5169</v>
      </c>
      <c r="AJ543" s="11">
        <f t="shared" ref="AJ543:AJ545" ca="1" si="1501">AB543/AA543</f>
        <v>192.51647058823502</v>
      </c>
      <c r="AK543" s="8">
        <f>SUM(O551)</f>
        <v>6853</v>
      </c>
      <c r="AL543" s="12">
        <f t="shared" ref="AL543:AL549" ca="1" si="1502">AI543/AK543</f>
        <v>0.7542682037064059</v>
      </c>
      <c r="AM543" s="13">
        <f t="shared" ref="AM543:AM545" si="1503">SUM(Q551)</f>
        <v>1.5</v>
      </c>
      <c r="AN543" s="12">
        <f t="shared" ref="AN543:AN549" ca="1" si="1504">AO543/AM543</f>
        <v>0.52646374030640697</v>
      </c>
      <c r="AO543" s="14">
        <f t="shared" ref="AO543:AO549" ca="1" si="1505">AI543/AB543</f>
        <v>0.78969561045961045</v>
      </c>
      <c r="AP543" s="13">
        <f t="shared" ref="AP543:AQ543" ca="1" si="1506">SUM(T551)</f>
        <v>193.99999999999972</v>
      </c>
      <c r="AQ543" s="13">
        <f t="shared" ca="1" si="1506"/>
        <v>5.7058823529411677</v>
      </c>
      <c r="AR543" s="9">
        <f t="shared" ref="AR543:AR549" ca="1" si="1507">AI543/AA543</f>
        <v>152.02941176470588</v>
      </c>
      <c r="AS543" s="76"/>
      <c r="AT543" s="76"/>
    </row>
    <row r="544" spans="1:46" ht="15.75" customHeight="1" x14ac:dyDescent="0.2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6"/>
      <c r="X544" s="8">
        <v>2</v>
      </c>
      <c r="Y544" s="8" t="s">
        <v>24</v>
      </c>
      <c r="Z544" s="8">
        <f t="shared" ref="Z544:AI544" si="1508">SUM(D552)</f>
        <v>44</v>
      </c>
      <c r="AA544" s="9">
        <f t="shared" ca="1" si="1508"/>
        <v>42</v>
      </c>
      <c r="AB544" s="10">
        <f t="shared" ca="1" si="1508"/>
        <v>7810.6989999999896</v>
      </c>
      <c r="AC544" s="9">
        <f t="shared" ca="1" si="1508"/>
        <v>1030</v>
      </c>
      <c r="AD544" s="9">
        <f t="shared" ca="1" si="1508"/>
        <v>0</v>
      </c>
      <c r="AE544" s="9">
        <f t="shared" ca="1" si="1508"/>
        <v>1030</v>
      </c>
      <c r="AF544" s="9">
        <f t="shared" ca="1" si="1508"/>
        <v>1372</v>
      </c>
      <c r="AG544" s="9">
        <f t="shared" ca="1" si="1508"/>
        <v>24</v>
      </c>
      <c r="AH544" s="9">
        <f t="shared" ca="1" si="1508"/>
        <v>1396</v>
      </c>
      <c r="AI544" s="9">
        <f t="shared" ca="1" si="1508"/>
        <v>2426</v>
      </c>
      <c r="AJ544" s="11">
        <f t="shared" ca="1" si="1501"/>
        <v>185.96902380952355</v>
      </c>
      <c r="AK544" s="8">
        <v>1580</v>
      </c>
      <c r="AL544" s="15">
        <f t="shared" ca="1" si="1502"/>
        <v>1.5354430379746835</v>
      </c>
      <c r="AM544" s="13">
        <f t="shared" si="1503"/>
        <v>1.5</v>
      </c>
      <c r="AN544" s="12">
        <f t="shared" ca="1" si="1504"/>
        <v>0.20706640127001893</v>
      </c>
      <c r="AO544" s="14">
        <f t="shared" ca="1" si="1505"/>
        <v>0.31059960190502839</v>
      </c>
      <c r="AP544" s="13">
        <f t="shared" ref="AP544:AQ544" ca="1" si="1509">SUM(T552)</f>
        <v>291.38962880059654</v>
      </c>
      <c r="AQ544" s="13">
        <f t="shared" ca="1" si="1509"/>
        <v>6.9378483047761081</v>
      </c>
      <c r="AR544" s="9">
        <f t="shared" ca="1" si="1507"/>
        <v>57.761904761904759</v>
      </c>
      <c r="AS544" s="76"/>
      <c r="AT544" s="76"/>
    </row>
    <row r="545" spans="1:46" ht="15.75" customHeight="1" x14ac:dyDescent="0.2">
      <c r="A545" s="70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6"/>
      <c r="X545" s="8">
        <v>3</v>
      </c>
      <c r="Y545" s="8" t="s">
        <v>25</v>
      </c>
      <c r="Z545" s="8">
        <f t="shared" ref="Z545:AI545" si="1510">SUM(D553)</f>
        <v>32</v>
      </c>
      <c r="AA545" s="9">
        <f t="shared" ca="1" si="1510"/>
        <v>30</v>
      </c>
      <c r="AB545" s="10">
        <f t="shared" ca="1" si="1510"/>
        <v>6016.9480000000003</v>
      </c>
      <c r="AC545" s="9">
        <f t="shared" ca="1" si="1510"/>
        <v>2243</v>
      </c>
      <c r="AD545" s="9">
        <f t="shared" ca="1" si="1510"/>
        <v>372</v>
      </c>
      <c r="AE545" s="9">
        <f t="shared" ca="1" si="1510"/>
        <v>2615</v>
      </c>
      <c r="AF545" s="9">
        <f t="shared" ca="1" si="1510"/>
        <v>2772</v>
      </c>
      <c r="AG545" s="9">
        <f t="shared" ca="1" si="1510"/>
        <v>392</v>
      </c>
      <c r="AH545" s="9">
        <f t="shared" ca="1" si="1510"/>
        <v>3164</v>
      </c>
      <c r="AI545" s="9">
        <f t="shared" ca="1" si="1510"/>
        <v>5779</v>
      </c>
      <c r="AJ545" s="11">
        <f t="shared" ca="1" si="1501"/>
        <v>200.56493333333336</v>
      </c>
      <c r="AK545" s="8">
        <f>SUM(O553)</f>
        <v>6622</v>
      </c>
      <c r="AL545" s="12">
        <f t="shared" ca="1" si="1502"/>
        <v>0.87269707037148903</v>
      </c>
      <c r="AM545" s="13">
        <f t="shared" si="1503"/>
        <v>1.5</v>
      </c>
      <c r="AN545" s="12">
        <f t="shared" ca="1" si="1504"/>
        <v>0.64030247006732754</v>
      </c>
      <c r="AO545" s="14">
        <f t="shared" ca="1" si="1505"/>
        <v>0.96045370510099137</v>
      </c>
      <c r="AP545" s="13">
        <f t="shared" ref="AP545:AQ545" ca="1" si="1511">SUM(T553)</f>
        <v>252.38875838926177</v>
      </c>
      <c r="AQ545" s="13">
        <f t="shared" ca="1" si="1511"/>
        <v>8.4129586129753928</v>
      </c>
      <c r="AR545" s="9">
        <f t="shared" ca="1" si="1507"/>
        <v>192.63333333333333</v>
      </c>
      <c r="AS545" s="76"/>
      <c r="AT545" s="76"/>
    </row>
    <row r="546" spans="1:46" ht="15.75" customHeight="1" x14ac:dyDescent="0.25">
      <c r="A546" s="70"/>
      <c r="B546" s="16">
        <v>1</v>
      </c>
      <c r="C546" s="16" t="s">
        <v>26</v>
      </c>
      <c r="D546" s="17">
        <v>20</v>
      </c>
      <c r="E546" s="18">
        <f ca="1">IFERROR(__xludf.DUMMYFUNCTION("COUNT(IMPORTRANGE(""https://docs.google.com/spreadsheets/d/1iVFEBQOAONhqDIMRa2hQ7WkCQv0dJWSAmc0AzfvSCMg/edit"",""21!d2:d21""))"),20)</f>
        <v>20</v>
      </c>
      <c r="F546" s="19">
        <f ca="1">IFERROR(__xludf.DUMMYFUNCTION("SUM(IMPORTRANGE(""https://docs.google.com/spreadsheets/d/1iVFEBQOAONhqDIMRa2hQ7WkCQv0dJWSAmc0AzfvSCMg/edit"",""21!Q2:Q21""))"),3676.284)</f>
        <v>3676.2840000000001</v>
      </c>
      <c r="G546" s="18">
        <f ca="1">IFERROR(__xludf.DUMMYFUNCTION("IMPORTRANGE(""https://docs.google.com/spreadsheets/d/1iVFEBQOAONhqDIMRa2hQ7WkCQv0dJWSAmc0AzfvSCMg/edit"",""21!e28"")"),1924)</f>
        <v>1924</v>
      </c>
      <c r="H546" s="18">
        <f ca="1">IFERROR(__xludf.DUMMYFUNCTION("IMPORTRANGE(""https://docs.google.com/spreadsheets/d/1iVFEBQOAONhqDIMRa2hQ7WkCQv0dJWSAmc0AzfvSCMg/edit"",""21!e29"")"),0)</f>
        <v>0</v>
      </c>
      <c r="I546" s="18">
        <f t="shared" ref="I546:I563" ca="1" si="1512">SUM(G546:H546)</f>
        <v>1924</v>
      </c>
      <c r="J546" s="18">
        <f ca="1">IFERROR(__xludf.DUMMYFUNCTION("IMPORTRANGE(""https://docs.google.com/spreadsheets/d/1iVFEBQOAONhqDIMRa2hQ7WkCQv0dJWSAmc0AzfvSCMg/edit"",""21!e32"")"),2972)</f>
        <v>2972</v>
      </c>
      <c r="K546" s="18">
        <f ca="1">IFERROR(__xludf.DUMMYFUNCTION("IMPORTRANGE(""https://docs.google.com/spreadsheets/d/1iVFEBQOAONhqDIMRa2hQ7WkCQv0dJWSAmc0AzfvSCMg/edit"",""21!e33"")"),0)</f>
        <v>0</v>
      </c>
      <c r="L546" s="18">
        <f t="shared" ref="L546:L552" ca="1" si="1513">SUM(J546:K546)</f>
        <v>2972</v>
      </c>
      <c r="M546" s="18">
        <f t="shared" ref="M546:M563" ca="1" si="1514">SUM(I546+L546)</f>
        <v>4896</v>
      </c>
      <c r="N546" s="19">
        <f t="shared" ref="N546:N564" ca="1" si="1515">F546/E546</f>
        <v>183.8142</v>
      </c>
      <c r="O546" s="16">
        <v>5161</v>
      </c>
      <c r="P546" s="20">
        <f t="shared" ref="P546:P564" ca="1" si="1516">M546/O546</f>
        <v>0.94865336175159853</v>
      </c>
      <c r="Q546" s="21">
        <v>1.5</v>
      </c>
      <c r="R546" s="20">
        <f t="shared" ref="R546:R564" ca="1" si="1517">S546/Q546</f>
        <v>0.88785306031851718</v>
      </c>
      <c r="S546" s="22">
        <f t="shared" ref="S546:S564" ca="1" si="1518">M546/F546</f>
        <v>1.3317795904777758</v>
      </c>
      <c r="T546" s="21">
        <f ca="1">F546/14.415</f>
        <v>255.03184183142562</v>
      </c>
      <c r="U546" s="21">
        <f t="shared" ref="U546:U564" ca="1" si="1519">T546/E546</f>
        <v>12.751592091571281</v>
      </c>
      <c r="V546" s="18">
        <f t="shared" ref="V546:V564" ca="1" si="1520">M546/E546</f>
        <v>244.8</v>
      </c>
      <c r="W546" s="76"/>
      <c r="X546" s="8">
        <v>4</v>
      </c>
      <c r="Y546" s="8" t="s">
        <v>27</v>
      </c>
      <c r="Z546" s="8">
        <f t="shared" ref="Z546:AK546" si="1521">SUM(D559)</f>
        <v>30</v>
      </c>
      <c r="AA546" s="9">
        <f t="shared" ca="1" si="1521"/>
        <v>29</v>
      </c>
      <c r="AB546" s="10">
        <f t="shared" ca="1" si="1521"/>
        <v>5285.8949999999904</v>
      </c>
      <c r="AC546" s="9">
        <f t="shared" ca="1" si="1521"/>
        <v>2432</v>
      </c>
      <c r="AD546" s="9">
        <f t="shared" ca="1" si="1521"/>
        <v>0</v>
      </c>
      <c r="AE546" s="9">
        <f t="shared" ca="1" si="1521"/>
        <v>2432</v>
      </c>
      <c r="AF546" s="9">
        <f t="shared" ca="1" si="1521"/>
        <v>3237</v>
      </c>
      <c r="AG546" s="9">
        <f t="shared" ca="1" si="1521"/>
        <v>0</v>
      </c>
      <c r="AH546" s="9">
        <f t="shared" ca="1" si="1521"/>
        <v>3237</v>
      </c>
      <c r="AI546" s="9">
        <f t="shared" ca="1" si="1521"/>
        <v>5669</v>
      </c>
      <c r="AJ546" s="11">
        <f t="shared" ca="1" si="1521"/>
        <v>182.27224137931</v>
      </c>
      <c r="AK546" s="8">
        <f t="shared" si="1521"/>
        <v>8101</v>
      </c>
      <c r="AL546" s="12">
        <f t="shared" ca="1" si="1502"/>
        <v>0.69979014936427597</v>
      </c>
      <c r="AM546" s="13">
        <f>SUM(Q559)</f>
        <v>1.5</v>
      </c>
      <c r="AN546" s="12">
        <f t="shared" ca="1" si="1504"/>
        <v>0.71498456426647528</v>
      </c>
      <c r="AO546" s="14">
        <f t="shared" ca="1" si="1505"/>
        <v>1.072476846399713</v>
      </c>
      <c r="AP546" s="13">
        <f t="shared" ref="AP546:AQ546" ca="1" si="1522">SUM(T559)</f>
        <v>264.49311983987945</v>
      </c>
      <c r="AQ546" s="13">
        <f t="shared" ca="1" si="1522"/>
        <v>9.1204524082717047</v>
      </c>
      <c r="AR546" s="9">
        <f t="shared" ca="1" si="1507"/>
        <v>195.48275862068965</v>
      </c>
      <c r="AS546" s="76"/>
      <c r="AT546" s="76"/>
    </row>
    <row r="547" spans="1:46" ht="15.75" customHeight="1" x14ac:dyDescent="0.25">
      <c r="A547" s="70"/>
      <c r="B547" s="16">
        <v>2</v>
      </c>
      <c r="C547" s="16" t="s">
        <v>28</v>
      </c>
      <c r="D547" s="17">
        <v>33</v>
      </c>
      <c r="E547" s="18">
        <f ca="1">IFERROR(__xludf.DUMMYFUNCTION("COUNT(IMPORTRANGE(""https://docs.google.com/spreadsheets/d/1tJCeYclgeJZ4Dc78t_SkhVjtacKW-5-VGim8X1rzUzk/edit"",""21!d2:d34""))"),33)</f>
        <v>33</v>
      </c>
      <c r="F547" s="19">
        <f ca="1">IFERROR(__xludf.DUMMYFUNCTION("SUM(IMPORTRANGE(""https://docs.google.com/spreadsheets/d/1tJCeYclgeJZ4Dc78t_SkhVjtacKW-5-VGim8X1rzUzk/edit"",""21!Q2:Q34""))"),6405.24499999999)</f>
        <v>6405.2449999999899</v>
      </c>
      <c r="G547" s="18">
        <f ca="1">IFERROR(__xludf.DUMMYFUNCTION("IMPORTRANGE(""https://docs.google.com/spreadsheets/d/1tJCeYclgeJZ4Dc78t_SkhVjtacKW-5-VGim8X1rzUzk/edit"",""21!e41"")"),2850)</f>
        <v>2850</v>
      </c>
      <c r="H547" s="18">
        <f ca="1">IFERROR(__xludf.DUMMYFUNCTION("IMPORTRANGE(""https://docs.google.com/spreadsheets/d/1tJCeYclgeJZ4Dc78t_SkhVjtacKW-5-VGim8X1rzUzk/edit"",""21!e42"")"),183)</f>
        <v>183</v>
      </c>
      <c r="I547" s="18">
        <f t="shared" ca="1" si="1512"/>
        <v>3033</v>
      </c>
      <c r="J547" s="18">
        <f ca="1">IFERROR(__xludf.DUMMYFUNCTION("IMPORTRANGE(""https://docs.google.com/spreadsheets/d/1tJCeYclgeJZ4Dc78t_SkhVjtacKW-5-VGim8X1rzUzk/edit"",""21!e45"")"),2857)</f>
        <v>2857</v>
      </c>
      <c r="K547" s="18">
        <f ca="1">IFERROR(__xludf.DUMMYFUNCTION("IMPORTRANGE(""https://docs.google.com/spreadsheets/d/1tJCeYclgeJZ4Dc78t_SkhVjtacKW-5-VGim8X1rzUzk/edit"",""21!e46"")"),220)</f>
        <v>220</v>
      </c>
      <c r="L547" s="18">
        <f t="shared" ca="1" si="1513"/>
        <v>3077</v>
      </c>
      <c r="M547" s="18">
        <f t="shared" ca="1" si="1514"/>
        <v>6110</v>
      </c>
      <c r="N547" s="19">
        <f t="shared" ca="1" si="1515"/>
        <v>194.09833333333302</v>
      </c>
      <c r="O547" s="16">
        <v>7315</v>
      </c>
      <c r="P547" s="20">
        <f t="shared" ca="1" si="1516"/>
        <v>0.83526999316473005</v>
      </c>
      <c r="Q547" s="21">
        <v>1.5</v>
      </c>
      <c r="R547" s="20">
        <f t="shared" ca="1" si="1517"/>
        <v>0.63593716295525615</v>
      </c>
      <c r="S547" s="22">
        <f t="shared" ca="1" si="1518"/>
        <v>0.95390574443288423</v>
      </c>
      <c r="T547" s="21">
        <f ca="1">F547/30.897</f>
        <v>207.3096093471855</v>
      </c>
      <c r="U547" s="21">
        <f t="shared" ca="1" si="1519"/>
        <v>6.2821093741571365</v>
      </c>
      <c r="V547" s="18">
        <f t="shared" ca="1" si="1520"/>
        <v>185.15151515151516</v>
      </c>
      <c r="W547" s="76"/>
      <c r="X547" s="8">
        <v>5</v>
      </c>
      <c r="Y547" s="8" t="s">
        <v>29</v>
      </c>
      <c r="Z547" s="8">
        <f t="shared" ref="Z547:AI547" si="1523">SUM(D562)</f>
        <v>30</v>
      </c>
      <c r="AA547" s="9">
        <f t="shared" ca="1" si="1523"/>
        <v>30</v>
      </c>
      <c r="AB547" s="10">
        <f t="shared" ca="1" si="1523"/>
        <v>6119.4209999999903</v>
      </c>
      <c r="AC547" s="9">
        <f t="shared" ca="1" si="1523"/>
        <v>2718</v>
      </c>
      <c r="AD547" s="9">
        <f t="shared" ca="1" si="1523"/>
        <v>0</v>
      </c>
      <c r="AE547" s="9">
        <f t="shared" ca="1" si="1523"/>
        <v>2718</v>
      </c>
      <c r="AF547" s="9">
        <f t="shared" ca="1" si="1523"/>
        <v>4243</v>
      </c>
      <c r="AG547" s="9">
        <f t="shared" ca="1" si="1523"/>
        <v>0</v>
      </c>
      <c r="AH547" s="9">
        <f t="shared" ca="1" si="1523"/>
        <v>4243</v>
      </c>
      <c r="AI547" s="9">
        <f t="shared" ca="1" si="1523"/>
        <v>6961</v>
      </c>
      <c r="AJ547" s="11">
        <f t="shared" ref="AJ547:AJ549" ca="1" si="1524">AB547/AA547</f>
        <v>203.98069999999967</v>
      </c>
      <c r="AK547" s="8">
        <f t="shared" ref="AK547:AK548" si="1525">SUM(O562)</f>
        <v>9201</v>
      </c>
      <c r="AL547" s="12">
        <f t="shared" ca="1" si="1502"/>
        <v>0.75654820128246925</v>
      </c>
      <c r="AM547" s="13">
        <f t="shared" ref="AM547:AM548" si="1526">SUM(Q562)</f>
        <v>1.5</v>
      </c>
      <c r="AN547" s="12">
        <f t="shared" ca="1" si="1504"/>
        <v>0.75835061301823714</v>
      </c>
      <c r="AO547" s="14">
        <f t="shared" ca="1" si="1505"/>
        <v>1.1375259195273557</v>
      </c>
      <c r="AP547" s="13">
        <f t="shared" ref="AP547:AQ547" ca="1" si="1527">SUM(T562)</f>
        <v>230.99999999999963</v>
      </c>
      <c r="AQ547" s="13">
        <f t="shared" ca="1" si="1527"/>
        <v>7.6999999999999877</v>
      </c>
      <c r="AR547" s="9">
        <f t="shared" ca="1" si="1507"/>
        <v>232.03333333333333</v>
      </c>
      <c r="AS547" s="76"/>
      <c r="AT547" s="76"/>
    </row>
    <row r="548" spans="1:46" ht="15.75" customHeight="1" x14ac:dyDescent="0.25">
      <c r="A548" s="70"/>
      <c r="B548" s="16">
        <v>3</v>
      </c>
      <c r="C548" s="16" t="s">
        <v>30</v>
      </c>
      <c r="D548" s="17">
        <v>60</v>
      </c>
      <c r="E548" s="18">
        <f ca="1">IFERROR(__xludf.DUMMYFUNCTION("COUNT(IMPORTRANGE(""https://docs.google.com/spreadsheets/d/130gLEONC13J8KkQ6dk06x3bLRy_jCrAw2hXatQf2W50/edit"",""21!d2:d61""))"),58)</f>
        <v>58</v>
      </c>
      <c r="F548" s="23">
        <f ca="1">IFERROR(__xludf.DUMMYFUNCTION("SUM(IMPORTRANGE(""https://docs.google.com/spreadsheets/d/130gLEONC13J8KkQ6dk06x3bLRy_jCrAw2hXatQf2W50/edit"",""21!Q2:Q61""))"),11591.6769999999)</f>
        <v>11591.6769999999</v>
      </c>
      <c r="G548" s="18">
        <f ca="1">IFERROR(__xludf.DUMMYFUNCTION("IMPORTRANGE(""https://docs.google.com/spreadsheets/d/130gLEONC13J8KkQ6dk06x3bLRy_jCrAw2hXatQf2W50/edit"",""21!e68"")"),3179)</f>
        <v>3179</v>
      </c>
      <c r="H548" s="18">
        <f ca="1">IFERROR(__xludf.DUMMYFUNCTION("IMPORTRANGE(""https://docs.google.com/spreadsheets/d/130gLEONC13J8KkQ6dk06x3bLRy_jCrAw2hXatQf2W50/edit"",""21!e69"")"),0)</f>
        <v>0</v>
      </c>
      <c r="I548" s="18">
        <f t="shared" ca="1" si="1512"/>
        <v>3179</v>
      </c>
      <c r="J548" s="18">
        <f ca="1">IFERROR(__xludf.DUMMYFUNCTION("IMPORTRANGE(""https://docs.google.com/spreadsheets/d/130gLEONC13J8KkQ6dk06x3bLRy_jCrAw2hXatQf2W50/edit"",""21!e72"")"),5804)</f>
        <v>5804</v>
      </c>
      <c r="K548" s="18">
        <f ca="1">IFERROR(__xludf.DUMMYFUNCTION("IMPORTRANGE(""https://docs.google.com/spreadsheets/d/130gLEONC13J8KkQ6dk06x3bLRy_jCrAw2hXatQf2W50/edit"",""21!e73"")"),0)</f>
        <v>0</v>
      </c>
      <c r="L548" s="18">
        <f t="shared" ca="1" si="1513"/>
        <v>5804</v>
      </c>
      <c r="M548" s="18">
        <f t="shared" ca="1" si="1514"/>
        <v>8983</v>
      </c>
      <c r="N548" s="19">
        <f t="shared" ca="1" si="1515"/>
        <v>199.85649999999828</v>
      </c>
      <c r="O548" s="16">
        <v>11164</v>
      </c>
      <c r="P548" s="20">
        <f t="shared" ca="1" si="1516"/>
        <v>0.80463991400931567</v>
      </c>
      <c r="Q548" s="21">
        <v>1.5</v>
      </c>
      <c r="R548" s="20">
        <f t="shared" ca="1" si="1517"/>
        <v>0.51663505346695893</v>
      </c>
      <c r="S548" s="22">
        <f t="shared" ca="1" si="1518"/>
        <v>0.77495258020043845</v>
      </c>
      <c r="T548" s="21">
        <f ca="1">F548/29.603</f>
        <v>391.57102320710396</v>
      </c>
      <c r="U548" s="21">
        <f t="shared" ca="1" si="1519"/>
        <v>6.751224538053517</v>
      </c>
      <c r="V548" s="18">
        <f t="shared" ca="1" si="1520"/>
        <v>154.87931034482759</v>
      </c>
      <c r="W548" s="76"/>
      <c r="X548" s="8">
        <v>6</v>
      </c>
      <c r="Y548" s="8" t="s">
        <v>31</v>
      </c>
      <c r="Z548" s="8">
        <f t="shared" ref="Z548:AI548" si="1528">SUM(D563)</f>
        <v>15</v>
      </c>
      <c r="AA548" s="9">
        <f t="shared" ca="1" si="1528"/>
        <v>13</v>
      </c>
      <c r="AB548" s="11">
        <f t="shared" ca="1" si="1528"/>
        <v>2607.8999999999901</v>
      </c>
      <c r="AC548" s="9">
        <f t="shared" ca="1" si="1528"/>
        <v>864</v>
      </c>
      <c r="AD548" s="9">
        <f t="shared" ca="1" si="1528"/>
        <v>9</v>
      </c>
      <c r="AE548" s="9">
        <f t="shared" ca="1" si="1528"/>
        <v>873</v>
      </c>
      <c r="AF548" s="9">
        <f t="shared" ca="1" si="1528"/>
        <v>1073</v>
      </c>
      <c r="AG548" s="9">
        <f t="shared" ca="1" si="1528"/>
        <v>0</v>
      </c>
      <c r="AH548" s="9">
        <f t="shared" ca="1" si="1528"/>
        <v>1073</v>
      </c>
      <c r="AI548" s="9">
        <f t="shared" ca="1" si="1528"/>
        <v>1946</v>
      </c>
      <c r="AJ548" s="11">
        <f t="shared" ca="1" si="1524"/>
        <v>200.60769230769154</v>
      </c>
      <c r="AK548" s="8">
        <f t="shared" si="1525"/>
        <v>2717</v>
      </c>
      <c r="AL548" s="12">
        <f t="shared" ca="1" si="1502"/>
        <v>0.71623113728376886</v>
      </c>
      <c r="AM548" s="13">
        <f t="shared" si="1526"/>
        <v>1.5</v>
      </c>
      <c r="AN548" s="12">
        <f t="shared" ca="1" si="1504"/>
        <v>0.49746283727648238</v>
      </c>
      <c r="AO548" s="14">
        <f t="shared" ca="1" si="1505"/>
        <v>0.74619425591472355</v>
      </c>
      <c r="AP548" s="13">
        <f t="shared" ref="AP548:AQ548" ca="1" si="1529">SUM(T563)</f>
        <v>59.999999999999766</v>
      </c>
      <c r="AQ548" s="13">
        <f t="shared" ca="1" si="1529"/>
        <v>4.6153846153845972</v>
      </c>
      <c r="AR548" s="9">
        <f t="shared" ca="1" si="1507"/>
        <v>149.69230769230768</v>
      </c>
      <c r="AS548" s="76"/>
      <c r="AT548" s="76"/>
    </row>
    <row r="549" spans="1:46" ht="15.75" customHeight="1" x14ac:dyDescent="0.25">
      <c r="A549" s="70"/>
      <c r="B549" s="16">
        <v>4</v>
      </c>
      <c r="C549" s="16" t="s">
        <v>32</v>
      </c>
      <c r="D549" s="17">
        <v>42</v>
      </c>
      <c r="E549" s="18">
        <f ca="1">IFERROR(__xludf.DUMMYFUNCTION("COUNT(IMPORTRANGE(""https://docs.google.com/spreadsheets/d/1gYHli7FuKQLm2Q-5LMR0UtkD-gRRA_p8s-phLPLDLgc/edit"",""21!d2:d43""))"),40)</f>
        <v>40</v>
      </c>
      <c r="F549" s="23">
        <f ca="1">IFERROR(__xludf.DUMMYFUNCTION("SUM(IMPORTRANGE(""https://docs.google.com/spreadsheets/d/1gYHli7FuKQLm2Q-5LMR0UtkD-gRRA_p8s-phLPLDLgc/edit"",""21!Q2:Q43""))"),7829.91699999999)</f>
        <v>7829.9169999999904</v>
      </c>
      <c r="G549" s="16">
        <f ca="1">IFERROR(__xludf.DUMMYFUNCTION("IMPORTRANGE(""https://docs.google.com/spreadsheets/d/1gYHli7FuKQLm2Q-5LMR0UtkD-gRRA_p8s-phLPLDLgc/edit"",""21!e50"")"),4902)</f>
        <v>4902</v>
      </c>
      <c r="H549" s="16">
        <f ca="1">IFERROR(__xludf.DUMMYFUNCTION("IMPORTRANGE(""https://docs.google.com/spreadsheets/d/1gYHli7FuKQLm2Q-5LMR0UtkD-gRRA_p8s-phLPLDLgc/edit"",""21!e51"")"),60)</f>
        <v>60</v>
      </c>
      <c r="I549" s="18">
        <f t="shared" ca="1" si="1512"/>
        <v>4962</v>
      </c>
      <c r="J549" s="16">
        <f ca="1">IFERROR(__xludf.DUMMYFUNCTION("IMPORTRANGE(""https://docs.google.com/spreadsheets/d/1gYHli7FuKQLm2Q-5LMR0UtkD-gRRA_p8s-phLPLDLgc/edit"",""21!e54"")"),5365)</f>
        <v>5365</v>
      </c>
      <c r="K549" s="16">
        <f ca="1">IFERROR(__xludf.DUMMYFUNCTION("IMPORTRANGE(""https://docs.google.com/spreadsheets/d/1gYHli7FuKQLm2Q-5LMR0UtkD-gRRA_p8s-phLPLDLgc/edit"",""21!e55"")"),0)</f>
        <v>0</v>
      </c>
      <c r="L549" s="18">
        <f t="shared" ca="1" si="1513"/>
        <v>5365</v>
      </c>
      <c r="M549" s="18">
        <f t="shared" ca="1" si="1514"/>
        <v>10327</v>
      </c>
      <c r="N549" s="19">
        <f t="shared" ca="1" si="1515"/>
        <v>195.74792499999975</v>
      </c>
      <c r="O549" s="16">
        <v>13817</v>
      </c>
      <c r="P549" s="20">
        <f t="shared" ca="1" si="1516"/>
        <v>0.74741260765723383</v>
      </c>
      <c r="Q549" s="21">
        <v>1.5</v>
      </c>
      <c r="R549" s="20">
        <f t="shared" ca="1" si="1517"/>
        <v>0.87927709408243737</v>
      </c>
      <c r="S549" s="22">
        <f t="shared" ca="1" si="1518"/>
        <v>1.318915641123656</v>
      </c>
      <c r="T549" s="21">
        <f ca="1">F549/25.089</f>
        <v>312.0856550679577</v>
      </c>
      <c r="U549" s="21">
        <f t="shared" ca="1" si="1519"/>
        <v>7.8021413766989429</v>
      </c>
      <c r="V549" s="18">
        <f t="shared" ca="1" si="1520"/>
        <v>258.17500000000001</v>
      </c>
      <c r="W549" s="76"/>
      <c r="X549" s="24" t="s">
        <v>33</v>
      </c>
      <c r="Y549" s="24">
        <v>6</v>
      </c>
      <c r="Z549" s="24">
        <f t="shared" ref="Z549:AI549" si="1530">SUM(Z543:Z548)</f>
        <v>186</v>
      </c>
      <c r="AA549" s="25">
        <f t="shared" ca="1" si="1530"/>
        <v>178</v>
      </c>
      <c r="AB549" s="26">
        <f t="shared" ca="1" si="1530"/>
        <v>34386.422999999952</v>
      </c>
      <c r="AC549" s="25">
        <f t="shared" ca="1" si="1530"/>
        <v>11044</v>
      </c>
      <c r="AD549" s="25">
        <f t="shared" ca="1" si="1530"/>
        <v>381</v>
      </c>
      <c r="AE549" s="25">
        <f t="shared" ca="1" si="1530"/>
        <v>11425</v>
      </c>
      <c r="AF549" s="25">
        <f t="shared" ca="1" si="1530"/>
        <v>16109</v>
      </c>
      <c r="AG549" s="25">
        <f t="shared" ca="1" si="1530"/>
        <v>416</v>
      </c>
      <c r="AH549" s="25">
        <f t="shared" ca="1" si="1530"/>
        <v>16525</v>
      </c>
      <c r="AI549" s="25">
        <f t="shared" ca="1" si="1530"/>
        <v>27950</v>
      </c>
      <c r="AJ549" s="27">
        <f t="shared" ca="1" si="1524"/>
        <v>193.18215168539299</v>
      </c>
      <c r="AK549" s="24">
        <f>SUM(AK543:AK548)</f>
        <v>35074</v>
      </c>
      <c r="AL549" s="28">
        <f t="shared" ca="1" si="1502"/>
        <v>0.79688658265381762</v>
      </c>
      <c r="AM549" s="29">
        <v>1.5</v>
      </c>
      <c r="AN549" s="28">
        <f t="shared" ca="1" si="1504"/>
        <v>0.5418805362027147</v>
      </c>
      <c r="AO549" s="30">
        <f t="shared" ca="1" si="1505"/>
        <v>0.812820804304072</v>
      </c>
      <c r="AP549" s="29">
        <f ca="1">SUM(AP543:AP548)</f>
        <v>1293.2715070297368</v>
      </c>
      <c r="AQ549" s="29">
        <f ca="1">AP549/AA549</f>
        <v>7.2655702642120046</v>
      </c>
      <c r="AR549" s="25">
        <f t="shared" ca="1" si="1507"/>
        <v>157.02247191011236</v>
      </c>
      <c r="AS549" s="76"/>
      <c r="AT549" s="76"/>
    </row>
    <row r="550" spans="1:46" ht="15.75" customHeight="1" x14ac:dyDescent="0.25">
      <c r="A550" s="70"/>
      <c r="B550" s="16">
        <v>5</v>
      </c>
      <c r="C550" s="16" t="s">
        <v>34</v>
      </c>
      <c r="D550" s="17">
        <v>40</v>
      </c>
      <c r="E550" s="18">
        <f ca="1">IFERROR(__xludf.DUMMYFUNCTION("COUNT(IMPORTRANGE(""https://docs.google.com/spreadsheets/d/1ptS0qWBCKWkc9h2aXWT_YgMhN7yIv5WgAHRbF8l9Zpo/edit"",""21!d2:d41""))"),40)</f>
        <v>40</v>
      </c>
      <c r="F550" s="23">
        <f ca="1">IFERROR(__xludf.DUMMYFUNCTION("SUM(IMPORTRANGE(""https://docs.google.com/spreadsheets/d/1ptS0qWBCKWkc9h2aXWT_YgMhN7yIv5WgAHRbF8l9Zpo/edit"",""21!Q2:Q41""))"),7993.854)</f>
        <v>7993.8540000000003</v>
      </c>
      <c r="G550" s="18">
        <f ca="1">IFERROR(__xludf.DUMMYFUNCTION("IMPORTRANGE(""https://docs.google.com/spreadsheets/d/1ptS0qWBCKWkc9h2aXWT_YgMhN7yIv5WgAHRbF8l9Zpo/edit"",""21!e48"")"),2763)</f>
        <v>2763</v>
      </c>
      <c r="H550" s="18">
        <f ca="1">IFERROR(__xludf.DUMMYFUNCTION("IMPORTRANGE(""https://docs.google.com/spreadsheets/d/1ptS0qWBCKWkc9h2aXWT_YgMhN7yIv5WgAHRbF8l9Zpo/edit"",""21!e49"")"),0)</f>
        <v>0</v>
      </c>
      <c r="I550" s="18">
        <f t="shared" ca="1" si="1512"/>
        <v>2763</v>
      </c>
      <c r="J550" s="18">
        <f ca="1">IFERROR(__xludf.DUMMYFUNCTION("IMPORTRANGE(""https://docs.google.com/spreadsheets/d/1ptS0qWBCKWkc9h2aXWT_YgMhN7yIv5WgAHRbF8l9Zpo/edit"",""21!e52"")"),3294)</f>
        <v>3294</v>
      </c>
      <c r="K550" s="18">
        <f ca="1">IFERROR(__xludf.DUMMYFUNCTION("IMPORTRANGE(""https://docs.google.com/spreadsheets/d/1ptS0qWBCKWkc9h2aXWT_YgMhN7yIv5WgAHRbF8l9Zpo/edit"",""21!e53"")"),0)</f>
        <v>0</v>
      </c>
      <c r="L550" s="18">
        <f t="shared" ca="1" si="1513"/>
        <v>3294</v>
      </c>
      <c r="M550" s="18">
        <f t="shared" ca="1" si="1514"/>
        <v>6057</v>
      </c>
      <c r="N550" s="19">
        <f t="shared" ca="1" si="1515"/>
        <v>199.84635</v>
      </c>
      <c r="O550" s="16">
        <v>9354</v>
      </c>
      <c r="P550" s="20">
        <f t="shared" ca="1" si="1516"/>
        <v>0.6475304682488775</v>
      </c>
      <c r="Q550" s="21">
        <v>1.5</v>
      </c>
      <c r="R550" s="20">
        <f t="shared" ca="1" si="1517"/>
        <v>0.50513807232406294</v>
      </c>
      <c r="S550" s="22">
        <f t="shared" ca="1" si="1518"/>
        <v>0.75770710848609446</v>
      </c>
      <c r="T550" s="21">
        <f ca="1">F550/30.713</f>
        <v>260.27590922410707</v>
      </c>
      <c r="U550" s="21">
        <f t="shared" ca="1" si="1519"/>
        <v>6.5068977306026765</v>
      </c>
      <c r="V550" s="18">
        <f t="shared" ca="1" si="1520"/>
        <v>151.42500000000001</v>
      </c>
      <c r="W550" s="76"/>
      <c r="X550" s="100" t="s">
        <v>35</v>
      </c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9"/>
      <c r="AS550" s="76"/>
      <c r="AT550" s="76"/>
    </row>
    <row r="551" spans="1:46" ht="15.75" customHeight="1" x14ac:dyDescent="0.25">
      <c r="A551" s="70"/>
      <c r="B551" s="16">
        <v>6</v>
      </c>
      <c r="C551" s="16" t="s">
        <v>23</v>
      </c>
      <c r="D551" s="17">
        <v>35</v>
      </c>
      <c r="E551" s="18">
        <f ca="1">IFERROR(__xludf.DUMMYFUNCTION("COUNT(IMPORTRANGE(""https://docs.google.com/spreadsheets/d/1829CoYW82aTBBUgqkPnJa94KlBWI-DowAnP4ENQCmaQ/edit"",""21!d2:d36""))"),34)</f>
        <v>34</v>
      </c>
      <c r="F551" s="23">
        <f ca="1">IFERROR(__xludf.DUMMYFUNCTION("SUM(IMPORTRANGE(""https://docs.google.com/spreadsheets/d/1829CoYW82aTBBUgqkPnJa94KlBWI-DowAnP4ENQCmaQ/edit"",""21!Q2:Q36""))"),6545.55999999999)</f>
        <v>6545.5599999999904</v>
      </c>
      <c r="G551" s="18">
        <f ca="1">IFERROR(__xludf.DUMMYFUNCTION("IMPORTRANGE(""https://docs.google.com/spreadsheets/d/1829CoYW82aTBBUgqkPnJa94KlBWI-DowAnP4ENQCmaQ/edit"",""21!e43"")"),1757)</f>
        <v>1757</v>
      </c>
      <c r="H551" s="18">
        <f ca="1">IFERROR(__xludf.DUMMYFUNCTION("IMPORTRANGE(""https://docs.google.com/spreadsheets/d/1829CoYW82aTBBUgqkPnJa94KlBWI-DowAnP4ENQCmaQ/edit"",""21!e44"")"),0)</f>
        <v>0</v>
      </c>
      <c r="I551" s="18">
        <f t="shared" ca="1" si="1512"/>
        <v>1757</v>
      </c>
      <c r="J551" s="18">
        <f ca="1">IFERROR(__xludf.DUMMYFUNCTION("IMPORTRANGE(""https://docs.google.com/spreadsheets/d/1829CoYW82aTBBUgqkPnJa94KlBWI-DowAnP4ENQCmaQ/edit"",""21!e47"")"),3412)</f>
        <v>3412</v>
      </c>
      <c r="K551" s="18">
        <f ca="1">IFERROR(__xludf.DUMMYFUNCTION("IMPORTRANGE(""https://docs.google.com/spreadsheets/d/1829CoYW82aTBBUgqkPnJa94KlBWI-DowAnP4ENQCmaQ/edit"",""21!e48"")"),0)</f>
        <v>0</v>
      </c>
      <c r="L551" s="18">
        <f t="shared" ca="1" si="1513"/>
        <v>3412</v>
      </c>
      <c r="M551" s="18">
        <f t="shared" ca="1" si="1514"/>
        <v>5169</v>
      </c>
      <c r="N551" s="19">
        <f t="shared" ca="1" si="1515"/>
        <v>192.51647058823502</v>
      </c>
      <c r="O551" s="16">
        <v>6853</v>
      </c>
      <c r="P551" s="20">
        <f t="shared" ca="1" si="1516"/>
        <v>0.7542682037064059</v>
      </c>
      <c r="Q551" s="21">
        <v>1.5</v>
      </c>
      <c r="R551" s="20">
        <f t="shared" ca="1" si="1517"/>
        <v>0.52646374030640697</v>
      </c>
      <c r="S551" s="22">
        <f t="shared" ca="1" si="1518"/>
        <v>0.78969561045961045</v>
      </c>
      <c r="T551" s="21">
        <f ca="1">F551/33.74</f>
        <v>193.99999999999972</v>
      </c>
      <c r="U551" s="21">
        <f t="shared" ca="1" si="1519"/>
        <v>5.7058823529411677</v>
      </c>
      <c r="V551" s="18">
        <f t="shared" ca="1" si="1520"/>
        <v>152.02941176470588</v>
      </c>
      <c r="W551" s="76"/>
      <c r="X551" s="1" t="s">
        <v>2</v>
      </c>
      <c r="Y551" s="1" t="s">
        <v>3</v>
      </c>
      <c r="Z551" s="1" t="s">
        <v>4</v>
      </c>
      <c r="AA551" s="1" t="s">
        <v>5</v>
      </c>
      <c r="AB551" s="2" t="s">
        <v>6</v>
      </c>
      <c r="AC551" s="1" t="s">
        <v>7</v>
      </c>
      <c r="AD551" s="1" t="s">
        <v>8</v>
      </c>
      <c r="AE551" s="1" t="s">
        <v>9</v>
      </c>
      <c r="AF551" s="1" t="s">
        <v>10</v>
      </c>
      <c r="AG551" s="1" t="s">
        <v>11</v>
      </c>
      <c r="AH551" s="1" t="s">
        <v>12</v>
      </c>
      <c r="AI551" s="1" t="s">
        <v>13</v>
      </c>
      <c r="AJ551" s="2" t="s">
        <v>14</v>
      </c>
      <c r="AK551" s="1" t="s">
        <v>15</v>
      </c>
      <c r="AL551" s="1" t="s">
        <v>16</v>
      </c>
      <c r="AM551" s="3" t="s">
        <v>17</v>
      </c>
      <c r="AN551" s="4" t="s">
        <v>18</v>
      </c>
      <c r="AO551" s="5" t="s">
        <v>19</v>
      </c>
      <c r="AP551" s="6" t="s">
        <v>20</v>
      </c>
      <c r="AQ551" s="6" t="s">
        <v>21</v>
      </c>
      <c r="AR551" s="7" t="s">
        <v>22</v>
      </c>
      <c r="AS551" s="76"/>
      <c r="AT551" s="76"/>
    </row>
    <row r="552" spans="1:46" ht="15.75" customHeight="1" x14ac:dyDescent="0.25">
      <c r="A552" s="70"/>
      <c r="B552" s="16">
        <v>7</v>
      </c>
      <c r="C552" s="16" t="s">
        <v>24</v>
      </c>
      <c r="D552" s="17">
        <v>44</v>
      </c>
      <c r="E552" s="31">
        <f ca="1">IFERROR(__xludf.DUMMYFUNCTION("COUNT(IMPORTRANGE(""https://docs.google.com/spreadsheets/d/1E2x4oDZxEIsuC5nl-5Z0--MoN8b1dt9SbpRcCfNP84Q/edit"",""21!d2:d45""))"),42)</f>
        <v>42</v>
      </c>
      <c r="F552" s="32">
        <f ca="1">IFERROR(__xludf.DUMMYFUNCTION("SUM(IMPORTRANGE(""https://docs.google.com/spreadsheets/d/1E2x4oDZxEIsuC5nl-5Z0--MoN8b1dt9SbpRcCfNP84Q/edit"",""21!Q2:Q45""))"),7810.69899999999)</f>
        <v>7810.6989999999896</v>
      </c>
      <c r="G552" s="31">
        <f ca="1">IFERROR(__xludf.DUMMYFUNCTION("IMPORTRANGE(""https://docs.google.com/spreadsheets/d/1E2x4oDZxEIsuC5nl-5Z0--MoN8b1dt9SbpRcCfNP84Q/edit"",""21!e53"")"),1030)</f>
        <v>1030</v>
      </c>
      <c r="H552" s="31">
        <f ca="1">IFERROR(__xludf.DUMMYFUNCTION("IMPORTRANGE(""https://docs.google.com/spreadsheets/d/1E2x4oDZxEIsuC5nl-5Z0--MoN8b1dt9SbpRcCfNP84Q/edit"",""21!e54"")"),0)</f>
        <v>0</v>
      </c>
      <c r="I552" s="31">
        <f t="shared" ca="1" si="1512"/>
        <v>1030</v>
      </c>
      <c r="J552" s="31">
        <f ca="1">IFERROR(__xludf.DUMMYFUNCTION("IMPORTRANGE(""https://docs.google.com/spreadsheets/d/1E2x4oDZxEIsuC5nl-5Z0--MoN8b1dt9SbpRcCfNP84Q/edit"",""21!e57"")"),1372)</f>
        <v>1372</v>
      </c>
      <c r="K552" s="31">
        <f ca="1">IFERROR(__xludf.DUMMYFUNCTION("IMPORTRANGE(""https://docs.google.com/spreadsheets/d/1E2x4oDZxEIsuC5nl-5Z0--MoN8b1dt9SbpRcCfNP84Q/edit"",""21!e58"")"),24)</f>
        <v>24</v>
      </c>
      <c r="L552" s="18">
        <f t="shared" ca="1" si="1513"/>
        <v>1396</v>
      </c>
      <c r="M552" s="18">
        <f t="shared" ca="1" si="1514"/>
        <v>2426</v>
      </c>
      <c r="N552" s="19">
        <f t="shared" ca="1" si="1515"/>
        <v>185.96902380952355</v>
      </c>
      <c r="O552" s="16">
        <v>1580</v>
      </c>
      <c r="P552" s="33">
        <f t="shared" ca="1" si="1516"/>
        <v>1.5354430379746835</v>
      </c>
      <c r="Q552" s="21">
        <v>1.5</v>
      </c>
      <c r="R552" s="20">
        <f t="shared" ca="1" si="1517"/>
        <v>0.20706640127001893</v>
      </c>
      <c r="S552" s="22">
        <f t="shared" ca="1" si="1518"/>
        <v>0.31059960190502839</v>
      </c>
      <c r="T552" s="21">
        <f ca="1">F552/26.805</f>
        <v>291.38962880059654</v>
      </c>
      <c r="U552" s="21">
        <f t="shared" ca="1" si="1519"/>
        <v>6.9378483047761081</v>
      </c>
      <c r="V552" s="18">
        <f t="shared" ca="1" si="1520"/>
        <v>57.761904761904759</v>
      </c>
      <c r="W552" s="76"/>
      <c r="X552" s="8">
        <v>1</v>
      </c>
      <c r="Y552" s="8" t="s">
        <v>28</v>
      </c>
      <c r="Z552" s="8">
        <f t="shared" ref="Z552:AI552" si="1531">SUM(D547)</f>
        <v>33</v>
      </c>
      <c r="AA552" s="9">
        <f t="shared" ca="1" si="1531"/>
        <v>33</v>
      </c>
      <c r="AB552" s="11">
        <f t="shared" ca="1" si="1531"/>
        <v>6405.2449999999899</v>
      </c>
      <c r="AC552" s="9">
        <f t="shared" ca="1" si="1531"/>
        <v>2850</v>
      </c>
      <c r="AD552" s="9">
        <f t="shared" ca="1" si="1531"/>
        <v>183</v>
      </c>
      <c r="AE552" s="9">
        <f t="shared" ca="1" si="1531"/>
        <v>3033</v>
      </c>
      <c r="AF552" s="9">
        <f t="shared" ca="1" si="1531"/>
        <v>2857</v>
      </c>
      <c r="AG552" s="9">
        <f t="shared" ca="1" si="1531"/>
        <v>220</v>
      </c>
      <c r="AH552" s="9">
        <f t="shared" ca="1" si="1531"/>
        <v>3077</v>
      </c>
      <c r="AI552" s="9">
        <f t="shared" ca="1" si="1531"/>
        <v>6110</v>
      </c>
      <c r="AJ552" s="11">
        <f t="shared" ref="AJ552:AJ558" ca="1" si="1532">AB552/AA552</f>
        <v>194.09833333333302</v>
      </c>
      <c r="AK552" s="8">
        <f t="shared" ref="AK552:AK553" si="1533">SUM(O547)</f>
        <v>7315</v>
      </c>
      <c r="AL552" s="12">
        <f t="shared" ref="AL552:AL558" ca="1" si="1534">AI552/AK552</f>
        <v>0.83526999316473005</v>
      </c>
      <c r="AM552" s="13">
        <f t="shared" ref="AM552:AM553" si="1535">SUM(Q547)</f>
        <v>1.5</v>
      </c>
      <c r="AN552" s="12">
        <f t="shared" ref="AN552:AN558" ca="1" si="1536">AO552/AM552</f>
        <v>0.63593716295525615</v>
      </c>
      <c r="AO552" s="14">
        <f t="shared" ref="AO552:AO558" ca="1" si="1537">AI552/AB552</f>
        <v>0.95390574443288423</v>
      </c>
      <c r="AP552" s="13">
        <f t="shared" ref="AP552:AQ552" ca="1" si="1538">SUM(T547)</f>
        <v>207.3096093471855</v>
      </c>
      <c r="AQ552" s="13">
        <f t="shared" ca="1" si="1538"/>
        <v>6.2821093741571365</v>
      </c>
      <c r="AR552" s="9">
        <f t="shared" ref="AR552:AR558" ca="1" si="1539">AI552/AA552</f>
        <v>185.15151515151516</v>
      </c>
      <c r="AS552" s="76"/>
      <c r="AT552" s="76"/>
    </row>
    <row r="553" spans="1:46" ht="15.75" customHeight="1" x14ac:dyDescent="0.25">
      <c r="A553" s="70"/>
      <c r="B553" s="16">
        <v>8</v>
      </c>
      <c r="C553" s="16" t="s">
        <v>25</v>
      </c>
      <c r="D553" s="34">
        <v>32</v>
      </c>
      <c r="E553" s="18">
        <f ca="1">IFERROR(__xludf.DUMMYFUNCTION("COUNT(IMPORTRANGE(""https://docs.google.com/spreadsheets/d/1KbRFOEYB0B44J_NSh1MwYQ1sLDlZXUHI-wuMLcZDn5k/edit"",""21!d2:D33""))"),30)</f>
        <v>30</v>
      </c>
      <c r="F553" s="23">
        <f ca="1">IFERROR(__xludf.DUMMYFUNCTION("SUM(IMPORTRANGE(""https://docs.google.com/spreadsheets/d/1KbRFOEYB0B44J_NSh1MwYQ1sLDlZXUHI-wuMLcZDn5k/edit"",""21!Q2:Q33""))"),6016.948)</f>
        <v>6016.9480000000003</v>
      </c>
      <c r="G553" s="18">
        <f ca="1">IFERROR(__xludf.DUMMYFUNCTION("IMPORTRANGE(""https://docs.google.com/spreadsheets/d/1KbRFOEYB0B44J_NSh1MwYQ1sLDlZXUHI-wuMLcZDn5k/edit"",""21!e40"")"),2243)</f>
        <v>2243</v>
      </c>
      <c r="H553" s="18">
        <f ca="1">IFERROR(__xludf.DUMMYFUNCTION("IMPORTRANGE(""https://docs.google.com/spreadsheets/d/1KbRFOEYB0B44J_NSh1MwYQ1sLDlZXUHI-wuMLcZDn5k/edit"",""21!e41"")"),372)</f>
        <v>372</v>
      </c>
      <c r="I553" s="18">
        <f t="shared" ca="1" si="1512"/>
        <v>2615</v>
      </c>
      <c r="J553" s="18">
        <f ca="1">IFERROR(__xludf.DUMMYFUNCTION("IMPORTRANGE(""https://docs.google.com/spreadsheets/d/1KbRFOEYB0B44J_NSh1MwYQ1sLDlZXUHI-wuMLcZDn5k/edit"",""21!e44"")"),2772)</f>
        <v>2772</v>
      </c>
      <c r="K553" s="18">
        <f ca="1">IFERROR(__xludf.DUMMYFUNCTION("IMPORTRANGE(""https://docs.google.com/spreadsheets/d/1KbRFOEYB0B44J_NSh1MwYQ1sLDlZXUHI-wuMLcZDn5k/edit"",""21!e45"")"),392)</f>
        <v>392</v>
      </c>
      <c r="L553" s="18">
        <f ca="1">J553+K553</f>
        <v>3164</v>
      </c>
      <c r="M553" s="18">
        <f t="shared" ca="1" si="1514"/>
        <v>5779</v>
      </c>
      <c r="N553" s="19">
        <f t="shared" ca="1" si="1515"/>
        <v>200.56493333333336</v>
      </c>
      <c r="O553" s="16">
        <v>6622</v>
      </c>
      <c r="P553" s="20">
        <f t="shared" ca="1" si="1516"/>
        <v>0.87269707037148903</v>
      </c>
      <c r="Q553" s="21">
        <v>1.5</v>
      </c>
      <c r="R553" s="20">
        <f t="shared" ca="1" si="1517"/>
        <v>0.64030247006732754</v>
      </c>
      <c r="S553" s="22">
        <f t="shared" ca="1" si="1518"/>
        <v>0.96045370510099137</v>
      </c>
      <c r="T553" s="21">
        <f ca="1">F553/23.84</f>
        <v>252.38875838926177</v>
      </c>
      <c r="U553" s="21">
        <f t="shared" ca="1" si="1519"/>
        <v>8.4129586129753928</v>
      </c>
      <c r="V553" s="18">
        <f t="shared" ca="1" si="1520"/>
        <v>192.63333333333333</v>
      </c>
      <c r="W553" s="76"/>
      <c r="X553" s="8">
        <v>2</v>
      </c>
      <c r="Y553" s="8" t="s">
        <v>30</v>
      </c>
      <c r="Z553" s="8">
        <f t="shared" ref="Z553:AI553" si="1540">SUM(D548)</f>
        <v>60</v>
      </c>
      <c r="AA553" s="9">
        <f t="shared" ca="1" si="1540"/>
        <v>58</v>
      </c>
      <c r="AB553" s="10">
        <f t="shared" ca="1" si="1540"/>
        <v>11591.6769999999</v>
      </c>
      <c r="AC553" s="9">
        <f t="shared" ca="1" si="1540"/>
        <v>3179</v>
      </c>
      <c r="AD553" s="9">
        <f t="shared" ca="1" si="1540"/>
        <v>0</v>
      </c>
      <c r="AE553" s="9">
        <f t="shared" ca="1" si="1540"/>
        <v>3179</v>
      </c>
      <c r="AF553" s="9">
        <f t="shared" ca="1" si="1540"/>
        <v>5804</v>
      </c>
      <c r="AG553" s="9">
        <f t="shared" ca="1" si="1540"/>
        <v>0</v>
      </c>
      <c r="AH553" s="9">
        <f t="shared" ca="1" si="1540"/>
        <v>5804</v>
      </c>
      <c r="AI553" s="9">
        <f t="shared" ca="1" si="1540"/>
        <v>8983</v>
      </c>
      <c r="AJ553" s="11">
        <f t="shared" ca="1" si="1532"/>
        <v>199.85649999999828</v>
      </c>
      <c r="AK553" s="8">
        <f t="shared" si="1533"/>
        <v>11164</v>
      </c>
      <c r="AL553" s="12">
        <f t="shared" ca="1" si="1534"/>
        <v>0.80463991400931567</v>
      </c>
      <c r="AM553" s="13">
        <f t="shared" si="1535"/>
        <v>1.5</v>
      </c>
      <c r="AN553" s="12">
        <f t="shared" ca="1" si="1536"/>
        <v>0.51663505346695893</v>
      </c>
      <c r="AO553" s="14">
        <f t="shared" ca="1" si="1537"/>
        <v>0.77495258020043845</v>
      </c>
      <c r="AP553" s="13">
        <f t="shared" ref="AP553:AQ553" ca="1" si="1541">SUM(T548)</f>
        <v>391.57102320710396</v>
      </c>
      <c r="AQ553" s="13">
        <f t="shared" ca="1" si="1541"/>
        <v>6.751224538053517</v>
      </c>
      <c r="AR553" s="9">
        <f t="shared" ca="1" si="1539"/>
        <v>154.87931034482759</v>
      </c>
      <c r="AS553" s="76"/>
      <c r="AT553" s="76"/>
    </row>
    <row r="554" spans="1:46" ht="15.75" customHeight="1" x14ac:dyDescent="0.25">
      <c r="A554" s="70"/>
      <c r="B554" s="16">
        <v>9</v>
      </c>
      <c r="C554" s="16" t="s">
        <v>36</v>
      </c>
      <c r="D554" s="34">
        <v>29</v>
      </c>
      <c r="E554" s="18">
        <f ca="1">IFERROR(__xludf.DUMMYFUNCTION("COUNT(IMPORTRANGE(""https://docs.google.com/spreadsheets/d/1VqqqRGfmmkT0JC4ILJva2p8P11jjV0FX-TSKAaqOigw/edit"",""21!d2:d31""))"),29)</f>
        <v>29</v>
      </c>
      <c r="F554" s="23">
        <f ca="1">IFERROR(__xludf.DUMMYFUNCTION("SUM(IMPORTRANGE(""https://docs.google.com/spreadsheets/d/1VqqqRGfmmkT0JC4ILJva2p8P11jjV0FX-TSKAaqOigw/edit"",""21!Q2:Q31""))"),5641.53399999999)</f>
        <v>5641.5339999999896</v>
      </c>
      <c r="G554" s="18">
        <f ca="1">IFERROR(__xludf.DUMMYFUNCTION("IMPORTRANGE(""https://docs.google.com/spreadsheets/d/1VqqqRGfmmkT0JC4ILJva2p8P11jjV0FX-TSKAaqOigw/edit"",""21!e38"")"),1569)</f>
        <v>1569</v>
      </c>
      <c r="H554" s="18">
        <f ca="1">IFERROR(__xludf.DUMMYFUNCTION("IMPORTRANGE(""https://docs.google.com/spreadsheets/d/1VqqqRGfmmkT0JC4ILJva2p8P11jjV0FX-TSKAaqOigw/edit"",""21!e39"")"),0)</f>
        <v>0</v>
      </c>
      <c r="I554" s="18">
        <f t="shared" ca="1" si="1512"/>
        <v>1569</v>
      </c>
      <c r="J554" s="18">
        <f ca="1">IFERROR(__xludf.DUMMYFUNCTION("IMPORTRANGE(""https://docs.google.com/spreadsheets/d/1VqqqRGfmmkT0JC4ILJva2p8P11jjV0FX-TSKAaqOigw/edit"",""21!e42"")"),2401)</f>
        <v>2401</v>
      </c>
      <c r="K554" s="18">
        <f ca="1">IFERROR(__xludf.DUMMYFUNCTION("IMPORTRANGE(""https://docs.google.com/spreadsheets/d/1VqqqRGfmmkT0JC4ILJva2p8P11jjV0FX-TSKAaqOigw/edit"",""2!e43"")"),0)</f>
        <v>0</v>
      </c>
      <c r="L554" s="18">
        <f t="shared" ref="L554:L563" ca="1" si="1542">SUM(J554:K554)</f>
        <v>2401</v>
      </c>
      <c r="M554" s="18">
        <f t="shared" ca="1" si="1514"/>
        <v>3970</v>
      </c>
      <c r="N554" s="19">
        <f t="shared" ca="1" si="1515"/>
        <v>194.53565517241344</v>
      </c>
      <c r="O554" s="16">
        <v>4796</v>
      </c>
      <c r="P554" s="20">
        <f t="shared" ca="1" si="1516"/>
        <v>0.82777314428690574</v>
      </c>
      <c r="Q554" s="21">
        <v>1.5</v>
      </c>
      <c r="R554" s="20">
        <f t="shared" ca="1" si="1517"/>
        <v>0.4691395401794391</v>
      </c>
      <c r="S554" s="22">
        <f t="shared" ca="1" si="1518"/>
        <v>0.70370931026915862</v>
      </c>
      <c r="T554" s="21">
        <f ca="1">F554/37.414</f>
        <v>150.7867108568982</v>
      </c>
      <c r="U554" s="21">
        <f t="shared" ca="1" si="1519"/>
        <v>5.1995417536861446</v>
      </c>
      <c r="V554" s="18">
        <f t="shared" ca="1" si="1520"/>
        <v>136.89655172413794</v>
      </c>
      <c r="W554" s="76"/>
      <c r="X554" s="8">
        <v>3</v>
      </c>
      <c r="Y554" s="8" t="s">
        <v>34</v>
      </c>
      <c r="Z554" s="8">
        <f t="shared" ref="Z554:AI554" si="1543">SUM(D550)</f>
        <v>40</v>
      </c>
      <c r="AA554" s="9">
        <f t="shared" ca="1" si="1543"/>
        <v>40</v>
      </c>
      <c r="AB554" s="10">
        <f t="shared" ca="1" si="1543"/>
        <v>7993.8540000000003</v>
      </c>
      <c r="AC554" s="9">
        <f t="shared" ca="1" si="1543"/>
        <v>2763</v>
      </c>
      <c r="AD554" s="9">
        <f t="shared" ca="1" si="1543"/>
        <v>0</v>
      </c>
      <c r="AE554" s="9">
        <f t="shared" ca="1" si="1543"/>
        <v>2763</v>
      </c>
      <c r="AF554" s="9">
        <f t="shared" ca="1" si="1543"/>
        <v>3294</v>
      </c>
      <c r="AG554" s="9">
        <f t="shared" ca="1" si="1543"/>
        <v>0</v>
      </c>
      <c r="AH554" s="9">
        <f t="shared" ca="1" si="1543"/>
        <v>3294</v>
      </c>
      <c r="AI554" s="9">
        <f t="shared" ca="1" si="1543"/>
        <v>6057</v>
      </c>
      <c r="AJ554" s="11">
        <f t="shared" ca="1" si="1532"/>
        <v>199.84635</v>
      </c>
      <c r="AK554" s="8">
        <f>SUM(O550)</f>
        <v>9354</v>
      </c>
      <c r="AL554" s="12">
        <f t="shared" ca="1" si="1534"/>
        <v>0.6475304682488775</v>
      </c>
      <c r="AM554" s="13">
        <f>SUM(Q550)</f>
        <v>1.5</v>
      </c>
      <c r="AN554" s="12">
        <f t="shared" ca="1" si="1536"/>
        <v>0.50513807232406294</v>
      </c>
      <c r="AO554" s="14">
        <f t="shared" ca="1" si="1537"/>
        <v>0.75770710848609446</v>
      </c>
      <c r="AP554" s="13">
        <f t="shared" ref="AP554:AQ554" ca="1" si="1544">SUM(T550)</f>
        <v>260.27590922410707</v>
      </c>
      <c r="AQ554" s="13">
        <f t="shared" ca="1" si="1544"/>
        <v>6.5068977306026765</v>
      </c>
      <c r="AR554" s="9">
        <f t="shared" ca="1" si="1539"/>
        <v>151.42500000000001</v>
      </c>
      <c r="AS554" s="76"/>
      <c r="AT554" s="76"/>
    </row>
    <row r="555" spans="1:46" ht="15.75" customHeight="1" x14ac:dyDescent="0.25">
      <c r="A555" s="70"/>
      <c r="B555" s="16">
        <v>10</v>
      </c>
      <c r="C555" s="16" t="s">
        <v>37</v>
      </c>
      <c r="D555" s="17">
        <v>30</v>
      </c>
      <c r="E555" s="18">
        <f ca="1">IFERROR(__xludf.DUMMYFUNCTION("COUNT(IMPORTRANGE(""https://docs.google.com/spreadsheets/d/1IYeRjQd_D6MRqoBKNaky3aSEUloYCJc5XDnPAbdyetk/edit"",""21!d2:d31""))"),29)</f>
        <v>29</v>
      </c>
      <c r="F555" s="23">
        <f ca="1">IFERROR(__xludf.DUMMYFUNCTION("SUM(IMPORTRANGE(""https://docs.google.com/spreadsheets/d/1IYeRjQd_D6MRqoBKNaky3aSEUloYCJc5XDnPAbdyetk/edit"",""21!Q2:Q31""))"),5564.268)</f>
        <v>5564.268</v>
      </c>
      <c r="G555" s="18">
        <f ca="1">IFERROR(__xludf.DUMMYFUNCTION("(IMPORTRANGE(""https://docs.google.com/spreadsheets/d/1IYeRjQd_D6MRqoBKNaky3aSEUloYCJc5XDnPAbdyetk/edit"",""21!e38""))"),2058)</f>
        <v>2058</v>
      </c>
      <c r="H555" s="18">
        <f ca="1">IFERROR(__xludf.DUMMYFUNCTION("(IMPORTRANGE(""https://docs.google.com/spreadsheets/d/1IYeRjQd_D6MRqoBKNaky3aSEUloYCJc5XDnPAbdyetk/edit"",""21!e39""))"),0)</f>
        <v>0</v>
      </c>
      <c r="I555" s="18">
        <f t="shared" ca="1" si="1512"/>
        <v>2058</v>
      </c>
      <c r="J555" s="18">
        <f ca="1">IFERROR(__xludf.DUMMYFUNCTION("(IMPORTRANGE(""https://docs.google.com/spreadsheets/d/1IYeRjQd_D6MRqoBKNaky3aSEUloYCJc5XDnPAbdyetk/edit"",""21!e42""))"),3166)</f>
        <v>3166</v>
      </c>
      <c r="K555" s="18">
        <f ca="1">IFERROR(__xludf.DUMMYFUNCTION("(IMPORTRANGE(""https://docs.google.com/spreadsheets/d/1IYeRjQd_D6MRqoBKNaky3aSEUloYCJc5XDnPAbdyetk/edit"",""21!e43""))"),0)</f>
        <v>0</v>
      </c>
      <c r="L555" s="18">
        <f t="shared" ca="1" si="1542"/>
        <v>3166</v>
      </c>
      <c r="M555" s="18">
        <f t="shared" ca="1" si="1514"/>
        <v>5224</v>
      </c>
      <c r="N555" s="19">
        <f t="shared" ca="1" si="1515"/>
        <v>191.87131034482758</v>
      </c>
      <c r="O555" s="16">
        <v>5887</v>
      </c>
      <c r="P555" s="20">
        <f t="shared" ca="1" si="1516"/>
        <v>0.88737897061321558</v>
      </c>
      <c r="Q555" s="21">
        <v>1.5</v>
      </c>
      <c r="R555" s="20">
        <f t="shared" ca="1" si="1517"/>
        <v>0.62589844102884096</v>
      </c>
      <c r="S555" s="22">
        <f t="shared" ca="1" si="1518"/>
        <v>0.93884766154326138</v>
      </c>
      <c r="T555" s="21">
        <f ca="1">F555/24.792</f>
        <v>224.4380445304937</v>
      </c>
      <c r="U555" s="21">
        <f t="shared" ca="1" si="1519"/>
        <v>7.7392429148446107</v>
      </c>
      <c r="V555" s="18">
        <f t="shared" ca="1" si="1520"/>
        <v>180.13793103448276</v>
      </c>
      <c r="W555" s="76"/>
      <c r="X555" s="8">
        <v>4</v>
      </c>
      <c r="Y555" s="8" t="s">
        <v>38</v>
      </c>
      <c r="Z555" s="8">
        <f t="shared" ref="Z555:AI555" si="1545">SUM(D558)</f>
        <v>30</v>
      </c>
      <c r="AA555" s="9">
        <f t="shared" ca="1" si="1545"/>
        <v>30</v>
      </c>
      <c r="AB555" s="10">
        <f t="shared" ca="1" si="1545"/>
        <v>6450.1289999999999</v>
      </c>
      <c r="AC555" s="9">
        <f t="shared" ca="1" si="1545"/>
        <v>2315</v>
      </c>
      <c r="AD555" s="9">
        <f t="shared" ca="1" si="1545"/>
        <v>0</v>
      </c>
      <c r="AE555" s="9">
        <f t="shared" ca="1" si="1545"/>
        <v>2315</v>
      </c>
      <c r="AF555" s="9">
        <f t="shared" ca="1" si="1545"/>
        <v>3027</v>
      </c>
      <c r="AG555" s="9">
        <f t="shared" ca="1" si="1545"/>
        <v>0</v>
      </c>
      <c r="AH555" s="9">
        <f t="shared" ca="1" si="1545"/>
        <v>3027</v>
      </c>
      <c r="AI555" s="9">
        <f t="shared" ca="1" si="1545"/>
        <v>5342</v>
      </c>
      <c r="AJ555" s="11">
        <f t="shared" ca="1" si="1532"/>
        <v>215.0043</v>
      </c>
      <c r="AK555" s="8">
        <v>7324</v>
      </c>
      <c r="AL555" s="12">
        <f t="shared" ca="1" si="1534"/>
        <v>0.72938285090114696</v>
      </c>
      <c r="AM555" s="13">
        <f>SUM(Q558)</f>
        <v>1.5</v>
      </c>
      <c r="AN555" s="12">
        <f t="shared" ca="1" si="1536"/>
        <v>0.55213366016917387</v>
      </c>
      <c r="AO555" s="14">
        <f t="shared" ca="1" si="1537"/>
        <v>0.82820049025376086</v>
      </c>
      <c r="AP555" s="13">
        <f t="shared" ref="AP555:AQ555" ca="1" si="1546">SUM(T558)</f>
        <v>156.53753185293047</v>
      </c>
      <c r="AQ555" s="13">
        <f t="shared" ca="1" si="1546"/>
        <v>5.2179177284310159</v>
      </c>
      <c r="AR555" s="9">
        <f t="shared" ca="1" si="1539"/>
        <v>178.06666666666666</v>
      </c>
      <c r="AS555" s="76"/>
      <c r="AT555" s="76"/>
    </row>
    <row r="556" spans="1:46" ht="15.75" customHeight="1" x14ac:dyDescent="0.25">
      <c r="A556" s="70"/>
      <c r="B556" s="16">
        <v>12</v>
      </c>
      <c r="C556" s="16" t="s">
        <v>39</v>
      </c>
      <c r="D556" s="17">
        <v>28</v>
      </c>
      <c r="E556" s="18">
        <f ca="1">IFERROR(__xludf.DUMMYFUNCTION("COUNT(IMPORTRANGE(""https://docs.google.com/spreadsheets/d/1TAY2D35yAzyl8a_p5CuZehQvmatfj0b0Q8ICl8GtJBY/edit"",""21!d2:d29""))"),28)</f>
        <v>28</v>
      </c>
      <c r="F556" s="23">
        <f ca="1">IFERROR(__xludf.DUMMYFUNCTION("SUM(IMPORTRANGE(""https://docs.google.com/spreadsheets/d/1TAY2D35yAzyl8a_p5CuZehQvmatfj0b0Q8ICl8GtJBY/edit"",""21!Q2:Q29""))"),5415.952)</f>
        <v>5415.9520000000002</v>
      </c>
      <c r="G556" s="18">
        <f ca="1">IFERROR(__xludf.DUMMYFUNCTION("IMPORTRANGE(""https://docs.google.com/spreadsheets/d/1TAY2D35yAzyl8a_p5CuZehQvmatfj0b0Q8ICl8GtJBY/edit"",""21!e36"")"),1080)</f>
        <v>1080</v>
      </c>
      <c r="H556" s="18">
        <f ca="1">IFERROR(__xludf.DUMMYFUNCTION("(IMPORTRANGE(""https://docs.google.com/spreadsheets/d/1TAY2D35yAzyl8a_p5CuZehQvmatfj0b0Q8ICl8GtJBY/edit"",""21!e37""))"),72)</f>
        <v>72</v>
      </c>
      <c r="I556" s="18">
        <f t="shared" ca="1" si="1512"/>
        <v>1152</v>
      </c>
      <c r="J556" s="18">
        <f ca="1">IFERROR(__xludf.DUMMYFUNCTION("IMPORTRANGE(""https://docs.google.com/spreadsheets/d/1TAY2D35yAzyl8a_p5CuZehQvmatfj0b0Q8ICl8GtJBY/edit"",""21!e40"")"),1873)</f>
        <v>1873</v>
      </c>
      <c r="K556" s="18">
        <f ca="1">IFERROR(__xludf.DUMMYFUNCTION("IMPORTRANGE(""https://docs.google.com/spreadsheets/d/1TAY2D35yAzyl8a_p5CuZehQvmatfj0b0Q8ICl8GtJBY/edit"",""21!e41"")"),43)</f>
        <v>43</v>
      </c>
      <c r="L556" s="18">
        <f t="shared" ca="1" si="1542"/>
        <v>1916</v>
      </c>
      <c r="M556" s="18">
        <f t="shared" ca="1" si="1514"/>
        <v>3068</v>
      </c>
      <c r="N556" s="19">
        <f t="shared" ca="1" si="1515"/>
        <v>193.42685714285716</v>
      </c>
      <c r="O556" s="16">
        <v>3569</v>
      </c>
      <c r="P556" s="20">
        <f t="shared" ca="1" si="1516"/>
        <v>0.85962454469038951</v>
      </c>
      <c r="Q556" s="21">
        <v>1.5</v>
      </c>
      <c r="R556" s="20">
        <f t="shared" ca="1" si="1517"/>
        <v>0.37764982653711354</v>
      </c>
      <c r="S556" s="22">
        <f t="shared" ca="1" si="1518"/>
        <v>0.56647473980567031</v>
      </c>
      <c r="T556" s="21">
        <f ca="1">F556/21.463</f>
        <v>252.3390020034478</v>
      </c>
      <c r="U556" s="21">
        <f t="shared" ca="1" si="1519"/>
        <v>9.0121072144088501</v>
      </c>
      <c r="V556" s="18">
        <f t="shared" ca="1" si="1520"/>
        <v>109.57142857142857</v>
      </c>
      <c r="W556" s="76"/>
      <c r="X556" s="8">
        <v>5</v>
      </c>
      <c r="Y556" s="8" t="s">
        <v>40</v>
      </c>
      <c r="Z556" s="8">
        <f t="shared" ref="Z556:AI556" si="1547">SUM(D560)</f>
        <v>30</v>
      </c>
      <c r="AA556" s="9">
        <f t="shared" ca="1" si="1547"/>
        <v>30</v>
      </c>
      <c r="AB556" s="10">
        <f t="shared" ca="1" si="1547"/>
        <v>5815.9269999999897</v>
      </c>
      <c r="AC556" s="9">
        <f t="shared" ca="1" si="1547"/>
        <v>4110</v>
      </c>
      <c r="AD556" s="9">
        <f t="shared" ca="1" si="1547"/>
        <v>0</v>
      </c>
      <c r="AE556" s="9">
        <f t="shared" ca="1" si="1547"/>
        <v>4110</v>
      </c>
      <c r="AF556" s="9">
        <f t="shared" ca="1" si="1547"/>
        <v>3629</v>
      </c>
      <c r="AG556" s="9">
        <f t="shared" ca="1" si="1547"/>
        <v>0</v>
      </c>
      <c r="AH556" s="9">
        <f t="shared" ca="1" si="1547"/>
        <v>3629</v>
      </c>
      <c r="AI556" s="9">
        <f t="shared" ca="1" si="1547"/>
        <v>7739</v>
      </c>
      <c r="AJ556" s="11">
        <f t="shared" ca="1" si="1532"/>
        <v>193.86423333333298</v>
      </c>
      <c r="AK556" s="8">
        <f t="shared" ref="AK556:AK557" si="1548">SUM(O560)</f>
        <v>8239</v>
      </c>
      <c r="AL556" s="12">
        <f t="shared" ca="1" si="1534"/>
        <v>0.93931302342517298</v>
      </c>
      <c r="AM556" s="13">
        <f t="shared" ref="AM556:AM557" si="1549">SUM(Q560)</f>
        <v>1.5</v>
      </c>
      <c r="AN556" s="12">
        <f t="shared" ca="1" si="1536"/>
        <v>0.88710421113149163</v>
      </c>
      <c r="AO556" s="14">
        <f t="shared" ca="1" si="1537"/>
        <v>1.3306563166972374</v>
      </c>
      <c r="AP556" s="13">
        <f t="shared" ref="AP556:AQ556" ca="1" si="1550">SUM(T560)</f>
        <v>204.4765671694262</v>
      </c>
      <c r="AQ556" s="13">
        <f t="shared" ca="1" si="1550"/>
        <v>6.8158855723142064</v>
      </c>
      <c r="AR556" s="9">
        <f t="shared" ca="1" si="1539"/>
        <v>257.96666666666664</v>
      </c>
      <c r="AS556" s="76"/>
      <c r="AT556" s="76"/>
    </row>
    <row r="557" spans="1:46" ht="15.75" customHeight="1" x14ac:dyDescent="0.25">
      <c r="A557" s="70"/>
      <c r="B557" s="16">
        <v>12</v>
      </c>
      <c r="C557" s="16" t="s">
        <v>41</v>
      </c>
      <c r="D557" s="17">
        <v>24</v>
      </c>
      <c r="E557" s="18">
        <f ca="1">IFERROR(__xludf.DUMMYFUNCTION("COUNT(IMPORTRANGE(""https://docs.google.com/spreadsheets/d/1VAsUtLQHi7oV9NsI9EIHPnO1bcPJHeRgSbMoxSvPBME/edit"",""21!d2:d25""))"),24)</f>
        <v>24</v>
      </c>
      <c r="F557" s="23">
        <f ca="1">IFERROR(__xludf.DUMMYFUNCTION("SUM(IMPORTRANGE(""https://docs.google.com/spreadsheets/d/1VAsUtLQHi7oV9NsI9EIHPnO1bcPJHeRgSbMoxSvPBME/edit"",""21!Q2:Q25""))"),4763.524)</f>
        <v>4763.5240000000003</v>
      </c>
      <c r="G557" s="18">
        <f ca="1">IFERROR(__xludf.DUMMYFUNCTION("IMPORTRANGE(""https://docs.google.com/spreadsheets/d/1VAsUtLQHi7oV9NsI9EIHPnO1bcPJHeRgSbMoxSvPBME/edit"",""21!e32"")"),1281)</f>
        <v>1281</v>
      </c>
      <c r="H557" s="18">
        <f ca="1">IFERROR(__xludf.DUMMYFUNCTION("IMPORTRANGE(""https://docs.google.com/spreadsheets/d/1VAsUtLQHi7oV9NsI9EIHPnO1bcPJHeRgSbMoxSvPBME/edit"",""21!e33"")"),0)</f>
        <v>0</v>
      </c>
      <c r="I557" s="18">
        <f t="shared" ca="1" si="1512"/>
        <v>1281</v>
      </c>
      <c r="J557" s="18">
        <f ca="1">IFERROR(__xludf.DUMMYFUNCTION("IMPORTRANGE(""https://docs.google.com/spreadsheets/d/1VAsUtLQHi7oV9NsI9EIHPnO1bcPJHeRgSbMoxSvPBME/edit"",""21!e36"")"),1718)</f>
        <v>1718</v>
      </c>
      <c r="K557" s="18">
        <f ca="1">IFERROR(__xludf.DUMMYFUNCTION("IMPORTRANGE(""https://docs.google.com/spreadsheets/d/1VAsUtLQHi7oV9NsI9EIHPnO1bcPJHeRgSbMoxSvPBME/edit"",""21!e37"")"),0)</f>
        <v>0</v>
      </c>
      <c r="L557" s="18">
        <f t="shared" ca="1" si="1542"/>
        <v>1718</v>
      </c>
      <c r="M557" s="18">
        <f t="shared" ca="1" si="1514"/>
        <v>2999</v>
      </c>
      <c r="N557" s="19">
        <f t="shared" ca="1" si="1515"/>
        <v>198.48016666666669</v>
      </c>
      <c r="O557" s="16">
        <v>3801</v>
      </c>
      <c r="P557" s="20">
        <f t="shared" ca="1" si="1516"/>
        <v>0.78900289397526968</v>
      </c>
      <c r="Q557" s="21">
        <v>1.5</v>
      </c>
      <c r="R557" s="20">
        <f t="shared" ca="1" si="1517"/>
        <v>0.41971727933633446</v>
      </c>
      <c r="S557" s="22">
        <f t="shared" ca="1" si="1518"/>
        <v>0.62957591900450172</v>
      </c>
      <c r="T557" s="21">
        <f ca="1">F557/29.628</f>
        <v>160.7777777777778</v>
      </c>
      <c r="U557" s="21">
        <f t="shared" ca="1" si="1519"/>
        <v>6.6990740740740753</v>
      </c>
      <c r="V557" s="18">
        <f t="shared" ca="1" si="1520"/>
        <v>124.95833333333333</v>
      </c>
      <c r="W557" s="76"/>
      <c r="X557" s="8">
        <v>6</v>
      </c>
      <c r="Y557" s="8" t="s">
        <v>42</v>
      </c>
      <c r="Z557" s="8">
        <f t="shared" ref="Z557:AI557" si="1551">SUM(D561)</f>
        <v>33</v>
      </c>
      <c r="AA557" s="9">
        <f t="shared" ca="1" si="1551"/>
        <v>32</v>
      </c>
      <c r="AB557" s="10">
        <f t="shared" ca="1" si="1551"/>
        <v>6354.1269999999904</v>
      </c>
      <c r="AC557" s="9">
        <f t="shared" ca="1" si="1551"/>
        <v>3266</v>
      </c>
      <c r="AD557" s="9">
        <f t="shared" ca="1" si="1551"/>
        <v>0</v>
      </c>
      <c r="AE557" s="9">
        <f t="shared" ca="1" si="1551"/>
        <v>3266</v>
      </c>
      <c r="AF557" s="9">
        <f t="shared" ca="1" si="1551"/>
        <v>4409</v>
      </c>
      <c r="AG557" s="9">
        <f t="shared" ca="1" si="1551"/>
        <v>40</v>
      </c>
      <c r="AH557" s="9">
        <f t="shared" ca="1" si="1551"/>
        <v>4449</v>
      </c>
      <c r="AI557" s="9">
        <f t="shared" ca="1" si="1551"/>
        <v>7715</v>
      </c>
      <c r="AJ557" s="11">
        <f t="shared" ca="1" si="1532"/>
        <v>198.5664687499997</v>
      </c>
      <c r="AK557" s="8">
        <f t="shared" si="1548"/>
        <v>9877</v>
      </c>
      <c r="AL557" s="12">
        <f t="shared" ca="1" si="1534"/>
        <v>0.78110762377240051</v>
      </c>
      <c r="AM557" s="13">
        <f t="shared" si="1549"/>
        <v>1.5</v>
      </c>
      <c r="AN557" s="12">
        <f t="shared" ca="1" si="1536"/>
        <v>0.80944767602746071</v>
      </c>
      <c r="AO557" s="14">
        <f t="shared" ca="1" si="1537"/>
        <v>1.2141715140411911</v>
      </c>
      <c r="AP557" s="13">
        <f t="shared" ref="AP557:AQ557" ca="1" si="1552">SUM(T561)</f>
        <v>242.94119671190938</v>
      </c>
      <c r="AQ557" s="13">
        <f t="shared" ca="1" si="1552"/>
        <v>7.5919123972471683</v>
      </c>
      <c r="AR557" s="9">
        <f t="shared" ca="1" si="1539"/>
        <v>241.09375</v>
      </c>
      <c r="AS557" s="76"/>
      <c r="AT557" s="76"/>
    </row>
    <row r="558" spans="1:46" ht="15.75" customHeight="1" x14ac:dyDescent="0.25">
      <c r="A558" s="70"/>
      <c r="B558" s="16">
        <v>13</v>
      </c>
      <c r="C558" s="16" t="s">
        <v>43</v>
      </c>
      <c r="D558" s="17">
        <v>30</v>
      </c>
      <c r="E558" s="18">
        <f ca="1">IFERROR(__xludf.DUMMYFUNCTION("COUNT(IMPORTRANGE(""https://docs.google.com/spreadsheets/d/1p9Y_DGk7-TpRBFth-ljZceOIGCjQ0ylUeUq6xqnsZ-Q/edit"",""21!d2:d31""))"),30)</f>
        <v>30</v>
      </c>
      <c r="F558" s="23">
        <f ca="1">IFERROR(__xludf.DUMMYFUNCTION("SUM(IMPORTRANGE(""https://docs.google.com/spreadsheets/d/1p9Y_DGk7-TpRBFth-ljZceOIGCjQ0ylUeUq6xqnsZ-Q/edit"",""21!Q2:Q31""))"),6450.129)</f>
        <v>6450.1289999999999</v>
      </c>
      <c r="G558" s="18">
        <f ca="1">IFERROR(__xludf.DUMMYFUNCTION("IMPORTRANGE(""https://docs.google.com/spreadsheets/d/1p9Y_DGk7-TpRBFth-ljZceOIGCjQ0ylUeUq6xqnsZ-Q/edit"",""21!e38"")"),2315)</f>
        <v>2315</v>
      </c>
      <c r="H558" s="18">
        <f ca="1">IFERROR(__xludf.DUMMYFUNCTION("IMPORTRANGE(""https://docs.google.com/spreadsheets/d/1p9Y_DGk7-TpRBFth-ljZceOIGCjQ0ylUeUq6xqnsZ-Q/edit"",""21!e39"")"),0)</f>
        <v>0</v>
      </c>
      <c r="I558" s="18">
        <f t="shared" ca="1" si="1512"/>
        <v>2315</v>
      </c>
      <c r="J558" s="18">
        <f ca="1">IFERROR(__xludf.DUMMYFUNCTION("IMPORTRANGE(""https://docs.google.com/spreadsheets/d/1p9Y_DGk7-TpRBFth-ljZceOIGCjQ0ylUeUq6xqnsZ-Q/edit"",""21!e42"")"),3027)</f>
        <v>3027</v>
      </c>
      <c r="K558" s="18">
        <f ca="1">IFERROR(__xludf.DUMMYFUNCTION("IMPORTRANGE(""https://docs.google.com/spreadsheets/d/1p9Y_DGk7-TpRBFth-ljZceOIGCjQ0ylUeUq6xqnsZ-Q/edit"",""21!e43"")"),0)</f>
        <v>0</v>
      </c>
      <c r="L558" s="18">
        <f t="shared" ca="1" si="1542"/>
        <v>3027</v>
      </c>
      <c r="M558" s="18">
        <f t="shared" ca="1" si="1514"/>
        <v>5342</v>
      </c>
      <c r="N558" s="19">
        <f t="shared" ca="1" si="1515"/>
        <v>215.0043</v>
      </c>
      <c r="O558" s="16">
        <v>8345</v>
      </c>
      <c r="P558" s="20">
        <f t="shared" ca="1" si="1516"/>
        <v>0.64014379868184546</v>
      </c>
      <c r="Q558" s="21">
        <v>1.5</v>
      </c>
      <c r="R558" s="20">
        <f t="shared" ca="1" si="1517"/>
        <v>0.55213366016917387</v>
      </c>
      <c r="S558" s="22">
        <f t="shared" ca="1" si="1518"/>
        <v>0.82820049025376086</v>
      </c>
      <c r="T558" s="21">
        <f ca="1">F558/41.205</f>
        <v>156.53753185293047</v>
      </c>
      <c r="U558" s="21">
        <f t="shared" ca="1" si="1519"/>
        <v>5.2179177284310159</v>
      </c>
      <c r="V558" s="18">
        <f t="shared" ca="1" si="1520"/>
        <v>178.06666666666666</v>
      </c>
      <c r="W558" s="76"/>
      <c r="X558" s="24" t="s">
        <v>33</v>
      </c>
      <c r="Y558" s="24">
        <v>6</v>
      </c>
      <c r="Z558" s="24">
        <f t="shared" ref="Z558:AI558" si="1553">SUM(Z552:Z557)</f>
        <v>226</v>
      </c>
      <c r="AA558" s="25">
        <f t="shared" ca="1" si="1553"/>
        <v>223</v>
      </c>
      <c r="AB558" s="27">
        <f t="shared" ca="1" si="1553"/>
        <v>44610.958999999872</v>
      </c>
      <c r="AC558" s="25">
        <f t="shared" ca="1" si="1553"/>
        <v>18483</v>
      </c>
      <c r="AD558" s="25">
        <f t="shared" ca="1" si="1553"/>
        <v>183</v>
      </c>
      <c r="AE558" s="25">
        <f t="shared" ca="1" si="1553"/>
        <v>18666</v>
      </c>
      <c r="AF558" s="25">
        <f t="shared" ca="1" si="1553"/>
        <v>23020</v>
      </c>
      <c r="AG558" s="25">
        <f t="shared" ca="1" si="1553"/>
        <v>260</v>
      </c>
      <c r="AH558" s="25">
        <f t="shared" ca="1" si="1553"/>
        <v>23280</v>
      </c>
      <c r="AI558" s="25">
        <f t="shared" ca="1" si="1553"/>
        <v>41946</v>
      </c>
      <c r="AJ558" s="27">
        <f t="shared" ca="1" si="1532"/>
        <v>200.04914349775729</v>
      </c>
      <c r="AK558" s="24">
        <f>SUM(AK552:AK557)</f>
        <v>53273</v>
      </c>
      <c r="AL558" s="28">
        <f t="shared" ca="1" si="1534"/>
        <v>0.78737822161319992</v>
      </c>
      <c r="AM558" s="29">
        <v>1.5</v>
      </c>
      <c r="AN558" s="28">
        <f t="shared" ca="1" si="1536"/>
        <v>0.62684148977833176</v>
      </c>
      <c r="AO558" s="30">
        <f t="shared" ca="1" si="1537"/>
        <v>0.9402622346674977</v>
      </c>
      <c r="AP558" s="29">
        <f ca="1">SUM(AP552:AP557)</f>
        <v>1463.1118375126628</v>
      </c>
      <c r="AQ558" s="29">
        <f ca="1">AP558/AA558</f>
        <v>6.5610396301016269</v>
      </c>
      <c r="AR558" s="25">
        <f t="shared" ca="1" si="1539"/>
        <v>188.09865470852017</v>
      </c>
      <c r="AS558" s="76"/>
      <c r="AT558" s="76"/>
    </row>
    <row r="559" spans="1:46" ht="15.75" customHeight="1" x14ac:dyDescent="0.25">
      <c r="A559" s="70"/>
      <c r="B559" s="16">
        <v>14</v>
      </c>
      <c r="C559" s="16" t="s">
        <v>27</v>
      </c>
      <c r="D559" s="17">
        <v>30</v>
      </c>
      <c r="E559" s="18">
        <f ca="1">IFERROR(__xludf.DUMMYFUNCTION("COUNT(IMPORTRANGE(""https://docs.google.com/spreadsheets/d/1zJUDEKztv_fercXA0LYNw155qdzS7TJGhWLhquaW5IY/edit"",""21!d2:d31""))"),29)</f>
        <v>29</v>
      </c>
      <c r="F559" s="23">
        <f ca="1">IFERROR(__xludf.DUMMYFUNCTION("SUM(IMPORTRANGE(""https://docs.google.com/spreadsheets/d/1zJUDEKztv_fercXA0LYNw155qdzS7TJGhWLhquaW5IY/edit"",""21!Q2:Q31""))"),5285.89499999999)</f>
        <v>5285.8949999999904</v>
      </c>
      <c r="G559" s="18">
        <f ca="1">IFERROR(__xludf.DUMMYFUNCTION("IMPORTRANGE(""https://docs.google.com/spreadsheets/d/1zJUDEKztv_fercXA0LYNw155qdzS7TJGhWLhquaW5IY/edit"",""21!e38"")"),2432)</f>
        <v>2432</v>
      </c>
      <c r="H559" s="18">
        <f ca="1">IFERROR(__xludf.DUMMYFUNCTION("IMPORTRANGE(""https://docs.google.com/spreadsheets/d/1zJUDEKztv_fercXA0LYNw155qdzS7TJGhWLhquaW5IY/edit"",""21!e39"")"),0)</f>
        <v>0</v>
      </c>
      <c r="I559" s="18">
        <f t="shared" ca="1" si="1512"/>
        <v>2432</v>
      </c>
      <c r="J559" s="18">
        <f ca="1">IFERROR(__xludf.DUMMYFUNCTION("IMPORTRANGE(""https://docs.google.com/spreadsheets/d/1zJUDEKztv_fercXA0LYNw155qdzS7TJGhWLhquaW5IY/edit"",""21!e42"")"),3237)</f>
        <v>3237</v>
      </c>
      <c r="K559" s="18">
        <f ca="1">IFERROR(__xludf.DUMMYFUNCTION("IMPORTRANGE(""https://docs.google.com/spreadsheets/d/1zJUDEKztv_fercXA0LYNw155qdzS7TJGhWLhquaW5IY/edit"",""21!e43"")"),0)</f>
        <v>0</v>
      </c>
      <c r="L559" s="18">
        <f t="shared" ca="1" si="1542"/>
        <v>3237</v>
      </c>
      <c r="M559" s="18">
        <f t="shared" ca="1" si="1514"/>
        <v>5669</v>
      </c>
      <c r="N559" s="19">
        <f t="shared" ca="1" si="1515"/>
        <v>182.27224137931</v>
      </c>
      <c r="O559" s="16">
        <v>8101</v>
      </c>
      <c r="P559" s="20">
        <f t="shared" ca="1" si="1516"/>
        <v>0.69979014936427597</v>
      </c>
      <c r="Q559" s="21">
        <v>1.5</v>
      </c>
      <c r="R559" s="20">
        <f t="shared" ca="1" si="1517"/>
        <v>0.71498456426647528</v>
      </c>
      <c r="S559" s="22">
        <f t="shared" ca="1" si="1518"/>
        <v>1.072476846399713</v>
      </c>
      <c r="T559" s="21">
        <f ca="1">F559/19.985</f>
        <v>264.49311983987945</v>
      </c>
      <c r="U559" s="21">
        <f t="shared" ca="1" si="1519"/>
        <v>9.1204524082717047</v>
      </c>
      <c r="V559" s="18">
        <f t="shared" ca="1" si="1520"/>
        <v>195.48275862068965</v>
      </c>
      <c r="W559" s="76"/>
      <c r="X559" s="97" t="s">
        <v>44</v>
      </c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9"/>
      <c r="AS559" s="76"/>
      <c r="AT559" s="76"/>
    </row>
    <row r="560" spans="1:46" ht="15.75" customHeight="1" x14ac:dyDescent="0.25">
      <c r="A560" s="70"/>
      <c r="B560" s="16">
        <v>15</v>
      </c>
      <c r="C560" s="16" t="s">
        <v>40</v>
      </c>
      <c r="D560" s="17">
        <v>30</v>
      </c>
      <c r="E560" s="18">
        <f ca="1">IFERROR(__xludf.DUMMYFUNCTION("COUNT(IMPORTRANGE(""https://docs.google.com/spreadsheets/d/15GJA66Ucb-8RQ5vWVpq5HYaWoZZFX82SCeHChBujbrI/edit"",""21!d2:d31""))"),30)</f>
        <v>30</v>
      </c>
      <c r="F560" s="23">
        <f ca="1">IFERROR(__xludf.DUMMYFUNCTION("SUM(IMPORTRANGE(""https://docs.google.com/spreadsheets/d/15GJA66Ucb-8RQ5vWVpq5HYaWoZZFX82SCeHChBujbrI/edit"",""21!Q2:Q31""))"),5815.92699999999)</f>
        <v>5815.9269999999897</v>
      </c>
      <c r="G560" s="18">
        <f ca="1">IFERROR(__xludf.DUMMYFUNCTION("IMPORTRANGE(""https://docs.google.com/spreadsheets/d/15GJA66Ucb-8RQ5vWVpq5HYaWoZZFX82SCeHChBujbrI/edit"",""21!e38"")"),4110)</f>
        <v>4110</v>
      </c>
      <c r="H560" s="18">
        <f ca="1">IFERROR(__xludf.DUMMYFUNCTION("IMPORTRANGE(""https://docs.google.com/spreadsheets/d/15GJA66Ucb-8RQ5vWVpq5HYaWoZZFX82SCeHChBujbrI/edit"",""21!e39"")"),0)</f>
        <v>0</v>
      </c>
      <c r="I560" s="18">
        <f t="shared" ca="1" si="1512"/>
        <v>4110</v>
      </c>
      <c r="J560" s="18">
        <f ca="1">IFERROR(__xludf.DUMMYFUNCTION("IMPORTRANGE(""https://docs.google.com/spreadsheets/d/15GJA66Ucb-8RQ5vWVpq5HYaWoZZFX82SCeHChBujbrI/edit"",""21!e42"")"),3629)</f>
        <v>3629</v>
      </c>
      <c r="K560" s="18">
        <f ca="1">IFERROR(__xludf.DUMMYFUNCTION("IMPORTRANGE(""https://docs.google.com/spreadsheets/d/15GJA66Ucb-8RQ5vWVpq5HYaWoZZFX82SCeHChBujbrI/edit"",""21!e43"")"),0)</f>
        <v>0</v>
      </c>
      <c r="L560" s="18">
        <f t="shared" ca="1" si="1542"/>
        <v>3629</v>
      </c>
      <c r="M560" s="18">
        <f t="shared" ca="1" si="1514"/>
        <v>7739</v>
      </c>
      <c r="N560" s="19">
        <f t="shared" ca="1" si="1515"/>
        <v>193.86423333333298</v>
      </c>
      <c r="O560" s="16">
        <v>8239</v>
      </c>
      <c r="P560" s="20">
        <f t="shared" ca="1" si="1516"/>
        <v>0.93931302342517298</v>
      </c>
      <c r="Q560" s="21">
        <v>1.5</v>
      </c>
      <c r="R560" s="20">
        <f t="shared" ca="1" si="1517"/>
        <v>0.88710421113149163</v>
      </c>
      <c r="S560" s="22">
        <f t="shared" ca="1" si="1518"/>
        <v>1.3306563166972374</v>
      </c>
      <c r="T560" s="21">
        <f ca="1">F560/28.443</f>
        <v>204.4765671694262</v>
      </c>
      <c r="U560" s="21">
        <f t="shared" ca="1" si="1519"/>
        <v>6.8158855723142064</v>
      </c>
      <c r="V560" s="18">
        <f t="shared" ca="1" si="1520"/>
        <v>257.96666666666664</v>
      </c>
      <c r="W560" s="76"/>
      <c r="X560" s="1" t="s">
        <v>2</v>
      </c>
      <c r="Y560" s="1" t="s">
        <v>3</v>
      </c>
      <c r="Z560" s="1" t="s">
        <v>4</v>
      </c>
      <c r="AA560" s="1" t="s">
        <v>5</v>
      </c>
      <c r="AB560" s="2" t="s">
        <v>6</v>
      </c>
      <c r="AC560" s="1" t="s">
        <v>7</v>
      </c>
      <c r="AD560" s="1" t="s">
        <v>8</v>
      </c>
      <c r="AE560" s="1" t="s">
        <v>9</v>
      </c>
      <c r="AF560" s="1" t="s">
        <v>10</v>
      </c>
      <c r="AG560" s="1" t="s">
        <v>11</v>
      </c>
      <c r="AH560" s="1" t="s">
        <v>12</v>
      </c>
      <c r="AI560" s="1" t="s">
        <v>13</v>
      </c>
      <c r="AJ560" s="2" t="s">
        <v>14</v>
      </c>
      <c r="AK560" s="1" t="s">
        <v>15</v>
      </c>
      <c r="AL560" s="1" t="s">
        <v>16</v>
      </c>
      <c r="AM560" s="3" t="s">
        <v>17</v>
      </c>
      <c r="AN560" s="4" t="s">
        <v>18</v>
      </c>
      <c r="AO560" s="5" t="s">
        <v>19</v>
      </c>
      <c r="AP560" s="6" t="s">
        <v>20</v>
      </c>
      <c r="AQ560" s="6" t="s">
        <v>21</v>
      </c>
      <c r="AR560" s="7" t="s">
        <v>22</v>
      </c>
      <c r="AS560" s="76"/>
      <c r="AT560" s="76"/>
    </row>
    <row r="561" spans="1:46" ht="15.75" customHeight="1" x14ac:dyDescent="0.25">
      <c r="A561" s="70"/>
      <c r="B561" s="16">
        <v>16</v>
      </c>
      <c r="C561" s="16" t="s">
        <v>42</v>
      </c>
      <c r="D561" s="17">
        <v>33</v>
      </c>
      <c r="E561" s="18">
        <f ca="1">IFERROR(__xludf.DUMMYFUNCTION("COUNT(IMPORTRANGE(""https://docs.google.com/spreadsheets/d/14Tu_jFPEdrIQ6DHYu6vRvJKQsbXr-48NY1tKy4-8JKI/edit"",""21!d2:d34""))"),32)</f>
        <v>32</v>
      </c>
      <c r="F561" s="23">
        <f ca="1">IFERROR(__xludf.DUMMYFUNCTION("SUM(IMPORTRANGE(""https://docs.google.com/spreadsheets/d/14Tu_jFPEdrIQ6DHYu6vRvJKQsbXr-48NY1tKy4-8JKI/edit"",""21!Q2:Q34""))"),6354.12699999999)</f>
        <v>6354.1269999999904</v>
      </c>
      <c r="G561" s="18">
        <f ca="1">IFERROR(__xludf.DUMMYFUNCTION("IMPORTRANGE(""https://docs.google.com/spreadsheets/d/14Tu_jFPEdrIQ6DHYu6vRvJKQsbXr-48NY1tKy4-8JKI/edit"",""21!e41"")"),3266)</f>
        <v>3266</v>
      </c>
      <c r="H561" s="18">
        <f ca="1">IFERROR(__xludf.DUMMYFUNCTION("IMPORTRANGE(""https://docs.google.com/spreadsheets/d/14Tu_jFPEdrIQ6DHYu6vRvJKQsbXr-48NY1tKy4-8JKI/edit"",""21!e42"")"),0)</f>
        <v>0</v>
      </c>
      <c r="I561" s="18">
        <f t="shared" ca="1" si="1512"/>
        <v>3266</v>
      </c>
      <c r="J561" s="18">
        <f ca="1">IFERROR(__xludf.DUMMYFUNCTION("IMPORTRANGE(""https://docs.google.com/spreadsheets/d/14Tu_jFPEdrIQ6DHYu6vRvJKQsbXr-48NY1tKy4-8JKI/edit"",""21!e45"")"),4409)</f>
        <v>4409</v>
      </c>
      <c r="K561" s="18">
        <f ca="1">IFERROR(__xludf.DUMMYFUNCTION("IMPORTRANGE(""https://docs.google.com/spreadsheets/d/14Tu_jFPEdrIQ6DHYu6vRvJKQsbXr-48NY1tKy4-8JKI/edit"",""21!e46"")"),40)</f>
        <v>40</v>
      </c>
      <c r="L561" s="18">
        <f t="shared" ca="1" si="1542"/>
        <v>4449</v>
      </c>
      <c r="M561" s="18">
        <f t="shared" ca="1" si="1514"/>
        <v>7715</v>
      </c>
      <c r="N561" s="19">
        <f t="shared" ca="1" si="1515"/>
        <v>198.5664687499997</v>
      </c>
      <c r="O561" s="16">
        <v>9877</v>
      </c>
      <c r="P561" s="20">
        <f t="shared" ca="1" si="1516"/>
        <v>0.78110762377240051</v>
      </c>
      <c r="Q561" s="21">
        <v>1.5</v>
      </c>
      <c r="R561" s="20">
        <f t="shared" ca="1" si="1517"/>
        <v>0.80944767602746071</v>
      </c>
      <c r="S561" s="22">
        <f t="shared" ca="1" si="1518"/>
        <v>1.2141715140411911</v>
      </c>
      <c r="T561" s="21">
        <f ca="1">F561/26.155</f>
        <v>242.94119671190938</v>
      </c>
      <c r="U561" s="21">
        <f t="shared" ca="1" si="1519"/>
        <v>7.5919123972471683</v>
      </c>
      <c r="V561" s="18">
        <f t="shared" ca="1" si="1520"/>
        <v>241.09375</v>
      </c>
      <c r="W561" s="76"/>
      <c r="X561" s="8">
        <v>1</v>
      </c>
      <c r="Y561" s="8" t="s">
        <v>26</v>
      </c>
      <c r="Z561" s="8">
        <f t="shared" ref="Z561:AI561" si="1554">SUM(D546)</f>
        <v>20</v>
      </c>
      <c r="AA561" s="9">
        <f t="shared" ca="1" si="1554"/>
        <v>20</v>
      </c>
      <c r="AB561" s="11">
        <f t="shared" ca="1" si="1554"/>
        <v>3676.2840000000001</v>
      </c>
      <c r="AC561" s="9">
        <f t="shared" ca="1" si="1554"/>
        <v>1924</v>
      </c>
      <c r="AD561" s="9">
        <f t="shared" ca="1" si="1554"/>
        <v>0</v>
      </c>
      <c r="AE561" s="9">
        <f t="shared" ca="1" si="1554"/>
        <v>1924</v>
      </c>
      <c r="AF561" s="9">
        <f t="shared" ca="1" si="1554"/>
        <v>2972</v>
      </c>
      <c r="AG561" s="9">
        <f t="shared" ca="1" si="1554"/>
        <v>0</v>
      </c>
      <c r="AH561" s="9">
        <f t="shared" ca="1" si="1554"/>
        <v>2972</v>
      </c>
      <c r="AI561" s="9">
        <f t="shared" ca="1" si="1554"/>
        <v>4896</v>
      </c>
      <c r="AJ561" s="11">
        <f t="shared" ref="AJ561:AJ567" ca="1" si="1555">AB561/AA561</f>
        <v>183.8142</v>
      </c>
      <c r="AK561" s="8">
        <f>SUM(O546)</f>
        <v>5161</v>
      </c>
      <c r="AL561" s="12">
        <f t="shared" ref="AL561:AL567" ca="1" si="1556">AI561/AK561</f>
        <v>0.94865336175159853</v>
      </c>
      <c r="AM561" s="13">
        <f>SUM(Q546)</f>
        <v>1.5</v>
      </c>
      <c r="AN561" s="12">
        <f t="shared" ref="AN561:AN567" ca="1" si="1557">AO561/AM561</f>
        <v>0.88785306031851718</v>
      </c>
      <c r="AO561" s="14">
        <f t="shared" ref="AO561:AO567" ca="1" si="1558">AI561/AB561</f>
        <v>1.3317795904777758</v>
      </c>
      <c r="AP561" s="13">
        <f t="shared" ref="AP561:AQ561" ca="1" si="1559">SUM(T546)</f>
        <v>255.03184183142562</v>
      </c>
      <c r="AQ561" s="13">
        <f t="shared" ca="1" si="1559"/>
        <v>12.751592091571281</v>
      </c>
      <c r="AR561" s="9">
        <f t="shared" ref="AR561:AR567" ca="1" si="1560">AI561/AA561</f>
        <v>244.8</v>
      </c>
      <c r="AS561" s="76"/>
      <c r="AT561" s="76"/>
    </row>
    <row r="562" spans="1:46" ht="15.75" customHeight="1" x14ac:dyDescent="0.25">
      <c r="A562" s="70"/>
      <c r="B562" s="16">
        <v>17</v>
      </c>
      <c r="C562" s="16" t="s">
        <v>29</v>
      </c>
      <c r="D562" s="17">
        <v>30</v>
      </c>
      <c r="E562" s="18">
        <f ca="1">IFERROR(__xludf.DUMMYFUNCTION("COUNT(IMPORTRANGE(""https://docs.google.com/spreadsheets/d/1ja_RQYsP0p5wRrACHojay4CW1wLx0QdS5tSwp-vYQ-s/edit"",""21!d2:d31""))"),30)</f>
        <v>30</v>
      </c>
      <c r="F562" s="23">
        <f ca="1">IFERROR(__xludf.DUMMYFUNCTION("SUM(IMPORTRANGE(""https://docs.google.com/spreadsheets/d/1ja_RQYsP0p5wRrACHojay4CW1wLx0QdS5tSwp-vYQ-s/edit"",""21!Q2:Q31""))"),6119.42099999999)</f>
        <v>6119.4209999999903</v>
      </c>
      <c r="G562" s="18">
        <f ca="1">IFERROR(__xludf.DUMMYFUNCTION("IMPORTRANGE(""https://docs.google.com/spreadsheets/d/1ja_RQYsP0p5wRrACHojay4CW1wLx0QdS5tSwp-vYQ-s/edit"",""21!e38"")"),2718)</f>
        <v>2718</v>
      </c>
      <c r="H562" s="18">
        <f ca="1">IFERROR(__xludf.DUMMYFUNCTION("IMPORTRANGE(""https://docs.google.com/spreadsheets/d/1ja_RQYsP0p5wRrACHojay4CW1wLx0QdS5tSwp-vYQ-s/edit"",""21!e39"")"),0)</f>
        <v>0</v>
      </c>
      <c r="I562" s="18">
        <f t="shared" ca="1" si="1512"/>
        <v>2718</v>
      </c>
      <c r="J562" s="18">
        <f ca="1">IFERROR(__xludf.DUMMYFUNCTION("IMPORTRANGE(""https://docs.google.com/spreadsheets/d/1ja_RQYsP0p5wRrACHojay4CW1wLx0QdS5tSwp-vYQ-s/edit"",""21!e42"")"),4243)</f>
        <v>4243</v>
      </c>
      <c r="K562" s="18">
        <f ca="1">IFERROR(__xludf.DUMMYFUNCTION("IMPORTRANGE(""https://docs.google.com/spreadsheets/d/1ja_RQYsP0p5wRrACHojay4CW1wLx0QdS5tSwp-vYQ-s/edit"",""21!e43"")"),0)</f>
        <v>0</v>
      </c>
      <c r="L562" s="18">
        <f t="shared" ca="1" si="1542"/>
        <v>4243</v>
      </c>
      <c r="M562" s="18">
        <f t="shared" ca="1" si="1514"/>
        <v>6961</v>
      </c>
      <c r="N562" s="19">
        <f t="shared" ca="1" si="1515"/>
        <v>203.98069999999967</v>
      </c>
      <c r="O562" s="16">
        <v>9201</v>
      </c>
      <c r="P562" s="20">
        <f t="shared" ca="1" si="1516"/>
        <v>0.75654820128246925</v>
      </c>
      <c r="Q562" s="21">
        <v>1.5</v>
      </c>
      <c r="R562" s="20">
        <f t="shared" ca="1" si="1517"/>
        <v>0.75835061301823714</v>
      </c>
      <c r="S562" s="22">
        <f t="shared" ca="1" si="1518"/>
        <v>1.1375259195273557</v>
      </c>
      <c r="T562" s="21">
        <f ca="1">F562/26.491</f>
        <v>230.99999999999963</v>
      </c>
      <c r="U562" s="21">
        <f t="shared" ca="1" si="1519"/>
        <v>7.6999999999999877</v>
      </c>
      <c r="V562" s="18">
        <f t="shared" ca="1" si="1520"/>
        <v>232.03333333333333</v>
      </c>
      <c r="W562" s="76"/>
      <c r="X562" s="8">
        <v>2</v>
      </c>
      <c r="Y562" s="8" t="s">
        <v>32</v>
      </c>
      <c r="Z562" s="8">
        <f t="shared" ref="Z562:AI562" si="1561">SUM(D549)</f>
        <v>42</v>
      </c>
      <c r="AA562" s="9">
        <f t="shared" ca="1" si="1561"/>
        <v>40</v>
      </c>
      <c r="AB562" s="10">
        <f t="shared" ca="1" si="1561"/>
        <v>7829.9169999999904</v>
      </c>
      <c r="AC562" s="8">
        <f t="shared" ca="1" si="1561"/>
        <v>4902</v>
      </c>
      <c r="AD562" s="8">
        <f t="shared" ca="1" si="1561"/>
        <v>60</v>
      </c>
      <c r="AE562" s="9">
        <f t="shared" ca="1" si="1561"/>
        <v>4962</v>
      </c>
      <c r="AF562" s="8">
        <f t="shared" ca="1" si="1561"/>
        <v>5365</v>
      </c>
      <c r="AG562" s="8">
        <f t="shared" ca="1" si="1561"/>
        <v>0</v>
      </c>
      <c r="AH562" s="9">
        <f t="shared" ca="1" si="1561"/>
        <v>5365</v>
      </c>
      <c r="AI562" s="9">
        <f t="shared" ca="1" si="1561"/>
        <v>10327</v>
      </c>
      <c r="AJ562" s="11">
        <f t="shared" ca="1" si="1555"/>
        <v>195.74792499999975</v>
      </c>
      <c r="AK562" s="8">
        <f>SUM(O549)</f>
        <v>13817</v>
      </c>
      <c r="AL562" s="12">
        <f t="shared" ca="1" si="1556"/>
        <v>0.74741260765723383</v>
      </c>
      <c r="AM562" s="13">
        <f>SUM(Q549)</f>
        <v>1.5</v>
      </c>
      <c r="AN562" s="12">
        <f t="shared" ca="1" si="1557"/>
        <v>0.87927709408243737</v>
      </c>
      <c r="AO562" s="14">
        <f t="shared" ca="1" si="1558"/>
        <v>1.318915641123656</v>
      </c>
      <c r="AP562" s="13">
        <f t="shared" ref="AP562:AQ562" ca="1" si="1562">SUM(T549)</f>
        <v>312.0856550679577</v>
      </c>
      <c r="AQ562" s="13">
        <f t="shared" ca="1" si="1562"/>
        <v>7.8021413766989429</v>
      </c>
      <c r="AR562" s="9">
        <f t="shared" ca="1" si="1560"/>
        <v>258.17500000000001</v>
      </c>
      <c r="AS562" s="76"/>
      <c r="AT562" s="76"/>
    </row>
    <row r="563" spans="1:46" ht="15.75" customHeight="1" x14ac:dyDescent="0.25">
      <c r="A563" s="70"/>
      <c r="B563" s="16">
        <v>18</v>
      </c>
      <c r="C563" s="16" t="s">
        <v>31</v>
      </c>
      <c r="D563" s="17">
        <v>15</v>
      </c>
      <c r="E563" s="18">
        <f ca="1">IFERROR(__xludf.DUMMYFUNCTION("COUNT(IMPORTRANGE(""https://docs.google.com/spreadsheets/d/1ObnK1oSznTOmyW9Zcd2kxExl7TOnO2MNq_0giEKc_mE/edit"",""21!d2:d16""))"),13)</f>
        <v>13</v>
      </c>
      <c r="F563" s="19">
        <f ca="1">IFERROR(__xludf.DUMMYFUNCTION("SUM(IMPORTRANGE(""https://docs.google.com/spreadsheets/d/1ObnK1oSznTOmyW9Zcd2kxExl7TOnO2MNq_0giEKc_mE/edit"",""21!Q2:Q16""))"),2607.89999999999)</f>
        <v>2607.8999999999901</v>
      </c>
      <c r="G563" s="18">
        <f ca="1">IFERROR(__xludf.DUMMYFUNCTION("IMPORTRANGE(""https://docs.google.com/spreadsheets/d/1ObnK1oSznTOmyW9Zcd2kxExl7TOnO2MNq_0giEKc_mE/edit"",""21!e23"")"),864)</f>
        <v>864</v>
      </c>
      <c r="H563" s="18">
        <f ca="1">IFERROR(__xludf.DUMMYFUNCTION("IMPORTRANGE(""https://docs.google.com/spreadsheets/d/1ObnK1oSznTOmyW9Zcd2kxExl7TOnO2MNq_0giEKc_mE/edit"",""21!e24"")"),9)</f>
        <v>9</v>
      </c>
      <c r="I563" s="18">
        <f t="shared" ca="1" si="1512"/>
        <v>873</v>
      </c>
      <c r="J563" s="18">
        <f ca="1">IFERROR(__xludf.DUMMYFUNCTION("IMPORTRANGE(""https://docs.google.com/spreadsheets/d/1ObnK1oSznTOmyW9Zcd2kxExl7TOnO2MNq_0giEKc_mE/edit"",""21!e27"")"),1073)</f>
        <v>1073</v>
      </c>
      <c r="K563" s="18">
        <f ca="1">IFERROR(__xludf.DUMMYFUNCTION("IMPORTRANGE(""https://docs.google.com/spreadsheets/d/1ObnK1oSznTOmyW9Zcd2kxExl7TOnO2MNq_0giEKc_mE/edit"",""21!e28"")"),0)</f>
        <v>0</v>
      </c>
      <c r="L563" s="18">
        <f t="shared" ca="1" si="1542"/>
        <v>1073</v>
      </c>
      <c r="M563" s="18">
        <f t="shared" ca="1" si="1514"/>
        <v>1946</v>
      </c>
      <c r="N563" s="19">
        <f t="shared" ca="1" si="1515"/>
        <v>200.60769230769154</v>
      </c>
      <c r="O563" s="16">
        <v>2717</v>
      </c>
      <c r="P563" s="20">
        <f t="shared" ca="1" si="1516"/>
        <v>0.71623113728376886</v>
      </c>
      <c r="Q563" s="21">
        <v>1.5</v>
      </c>
      <c r="R563" s="20">
        <f t="shared" ca="1" si="1517"/>
        <v>0.49746283727648238</v>
      </c>
      <c r="S563" s="22">
        <f t="shared" ca="1" si="1518"/>
        <v>0.74619425591472355</v>
      </c>
      <c r="T563" s="21">
        <f ca="1">F563/43.465</f>
        <v>59.999999999999766</v>
      </c>
      <c r="U563" s="21">
        <f t="shared" ca="1" si="1519"/>
        <v>4.6153846153845972</v>
      </c>
      <c r="V563" s="18">
        <f t="shared" ca="1" si="1520"/>
        <v>149.69230769230768</v>
      </c>
      <c r="W563" s="76"/>
      <c r="X563" s="8">
        <v>3</v>
      </c>
      <c r="Y563" s="8" t="s">
        <v>36</v>
      </c>
      <c r="Z563" s="8">
        <f t="shared" ref="Z563:AI563" si="1563">SUM(D554)</f>
        <v>29</v>
      </c>
      <c r="AA563" s="9">
        <f t="shared" ca="1" si="1563"/>
        <v>29</v>
      </c>
      <c r="AB563" s="10">
        <f t="shared" ca="1" si="1563"/>
        <v>5641.5339999999896</v>
      </c>
      <c r="AC563" s="9">
        <f t="shared" ca="1" si="1563"/>
        <v>1569</v>
      </c>
      <c r="AD563" s="9">
        <f t="shared" ca="1" si="1563"/>
        <v>0</v>
      </c>
      <c r="AE563" s="9">
        <f t="shared" ca="1" si="1563"/>
        <v>1569</v>
      </c>
      <c r="AF563" s="9">
        <f t="shared" ca="1" si="1563"/>
        <v>2401</v>
      </c>
      <c r="AG563" s="9">
        <f t="shared" ca="1" si="1563"/>
        <v>0</v>
      </c>
      <c r="AH563" s="9">
        <f t="shared" ca="1" si="1563"/>
        <v>2401</v>
      </c>
      <c r="AI563" s="9">
        <f t="shared" ca="1" si="1563"/>
        <v>3970</v>
      </c>
      <c r="AJ563" s="11">
        <f t="shared" ca="1" si="1555"/>
        <v>194.53565517241344</v>
      </c>
      <c r="AK563" s="8">
        <f t="shared" ref="AK563:AK566" si="1564">SUM(O554)</f>
        <v>4796</v>
      </c>
      <c r="AL563" s="12">
        <f t="shared" ca="1" si="1556"/>
        <v>0.82777314428690574</v>
      </c>
      <c r="AM563" s="13">
        <f t="shared" ref="AM563:AM566" si="1565">SUM(Q554)</f>
        <v>1.5</v>
      </c>
      <c r="AN563" s="12">
        <f t="shared" ca="1" si="1557"/>
        <v>0.4691395401794391</v>
      </c>
      <c r="AO563" s="14">
        <f t="shared" ca="1" si="1558"/>
        <v>0.70370931026915862</v>
      </c>
      <c r="AP563" s="13">
        <f t="shared" ref="AP563:AQ563" ca="1" si="1566">SUM(T554)</f>
        <v>150.7867108568982</v>
      </c>
      <c r="AQ563" s="13">
        <f t="shared" ca="1" si="1566"/>
        <v>5.1995417536861446</v>
      </c>
      <c r="AR563" s="9">
        <f t="shared" ca="1" si="1560"/>
        <v>136.89655172413794</v>
      </c>
      <c r="AS563" s="76"/>
      <c r="AT563" s="76"/>
    </row>
    <row r="564" spans="1:46" ht="15.75" customHeight="1" x14ac:dyDescent="0.2">
      <c r="A564" s="70"/>
      <c r="B564" s="98" t="s">
        <v>33</v>
      </c>
      <c r="C564" s="98">
        <v>18</v>
      </c>
      <c r="D564" s="98">
        <f t="shared" ref="D564:M564" si="1567">SUM(D546:D563)</f>
        <v>585</v>
      </c>
      <c r="E564" s="74">
        <f t="shared" ca="1" si="1567"/>
        <v>571</v>
      </c>
      <c r="F564" s="99">
        <f t="shared" ca="1" si="1567"/>
        <v>111888.86099999983</v>
      </c>
      <c r="G564" s="74">
        <f t="shared" ca="1" si="1567"/>
        <v>42341</v>
      </c>
      <c r="H564" s="74">
        <f t="shared" ca="1" si="1567"/>
        <v>696</v>
      </c>
      <c r="I564" s="74">
        <f t="shared" ca="1" si="1567"/>
        <v>43037</v>
      </c>
      <c r="J564" s="74">
        <f t="shared" ca="1" si="1567"/>
        <v>56624</v>
      </c>
      <c r="K564" s="74">
        <f t="shared" ca="1" si="1567"/>
        <v>719</v>
      </c>
      <c r="L564" s="74">
        <f t="shared" ca="1" si="1567"/>
        <v>57343</v>
      </c>
      <c r="M564" s="74">
        <f t="shared" ca="1" si="1567"/>
        <v>100380</v>
      </c>
      <c r="N564" s="99">
        <f t="shared" ca="1" si="1515"/>
        <v>195.95247110332718</v>
      </c>
      <c r="O564" s="98">
        <f>SUM(O546:O563)</f>
        <v>126399</v>
      </c>
      <c r="P564" s="69">
        <f t="shared" ca="1" si="1516"/>
        <v>0.79415185246718722</v>
      </c>
      <c r="Q564" s="72">
        <v>1.5</v>
      </c>
      <c r="R564" s="69">
        <f t="shared" ca="1" si="1517"/>
        <v>0.59809349565190495</v>
      </c>
      <c r="S564" s="73">
        <f t="shared" ca="1" si="1518"/>
        <v>0.89714024347785748</v>
      </c>
      <c r="T564" s="72">
        <f ca="1">SUM(T546:T563)</f>
        <v>4111.8423766104006</v>
      </c>
      <c r="U564" s="72">
        <f t="shared" ca="1" si="1519"/>
        <v>7.2011250028203166</v>
      </c>
      <c r="V564" s="74">
        <f t="shared" ca="1" si="1520"/>
        <v>175.79684763572681</v>
      </c>
      <c r="W564" s="76"/>
      <c r="X564" s="8">
        <v>4</v>
      </c>
      <c r="Y564" s="8" t="s">
        <v>37</v>
      </c>
      <c r="Z564" s="8">
        <f t="shared" ref="Z564:AI564" si="1568">SUM(D555)</f>
        <v>30</v>
      </c>
      <c r="AA564" s="9">
        <f t="shared" ca="1" si="1568"/>
        <v>29</v>
      </c>
      <c r="AB564" s="10">
        <f t="shared" ca="1" si="1568"/>
        <v>5564.268</v>
      </c>
      <c r="AC564" s="9">
        <f t="shared" ca="1" si="1568"/>
        <v>2058</v>
      </c>
      <c r="AD564" s="9">
        <f t="shared" ca="1" si="1568"/>
        <v>0</v>
      </c>
      <c r="AE564" s="9">
        <f t="shared" ca="1" si="1568"/>
        <v>2058</v>
      </c>
      <c r="AF564" s="9">
        <f t="shared" ca="1" si="1568"/>
        <v>3166</v>
      </c>
      <c r="AG564" s="9">
        <f t="shared" ca="1" si="1568"/>
        <v>0</v>
      </c>
      <c r="AH564" s="9">
        <f t="shared" ca="1" si="1568"/>
        <v>3166</v>
      </c>
      <c r="AI564" s="9">
        <f t="shared" ca="1" si="1568"/>
        <v>5224</v>
      </c>
      <c r="AJ564" s="11">
        <f t="shared" ca="1" si="1555"/>
        <v>191.87131034482758</v>
      </c>
      <c r="AK564" s="8">
        <f t="shared" si="1564"/>
        <v>5887</v>
      </c>
      <c r="AL564" s="12">
        <f t="shared" ca="1" si="1556"/>
        <v>0.88737897061321558</v>
      </c>
      <c r="AM564" s="13">
        <f t="shared" si="1565"/>
        <v>1.5</v>
      </c>
      <c r="AN564" s="12">
        <f t="shared" ca="1" si="1557"/>
        <v>0.62589844102884096</v>
      </c>
      <c r="AO564" s="14">
        <f t="shared" ca="1" si="1558"/>
        <v>0.93884766154326138</v>
      </c>
      <c r="AP564" s="13">
        <f t="shared" ref="AP564:AQ564" ca="1" si="1569">SUM(T555)</f>
        <v>224.4380445304937</v>
      </c>
      <c r="AQ564" s="13">
        <f t="shared" ca="1" si="1569"/>
        <v>7.7392429148446107</v>
      </c>
      <c r="AR564" s="9">
        <f t="shared" ca="1" si="1560"/>
        <v>180.13793103448276</v>
      </c>
      <c r="AS564" s="76"/>
      <c r="AT564" s="76"/>
    </row>
    <row r="565" spans="1:46" ht="15.75" customHeight="1" x14ac:dyDescent="0.2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6"/>
      <c r="X565" s="8">
        <v>5</v>
      </c>
      <c r="Y565" s="8" t="s">
        <v>39</v>
      </c>
      <c r="Z565" s="8">
        <f t="shared" ref="Z565:AI565" si="1570">SUM(D556)</f>
        <v>28</v>
      </c>
      <c r="AA565" s="9">
        <f t="shared" ca="1" si="1570"/>
        <v>28</v>
      </c>
      <c r="AB565" s="10">
        <f t="shared" ca="1" si="1570"/>
        <v>5415.9520000000002</v>
      </c>
      <c r="AC565" s="9">
        <f t="shared" ca="1" si="1570"/>
        <v>1080</v>
      </c>
      <c r="AD565" s="9">
        <f t="shared" ca="1" si="1570"/>
        <v>72</v>
      </c>
      <c r="AE565" s="9">
        <f t="shared" ca="1" si="1570"/>
        <v>1152</v>
      </c>
      <c r="AF565" s="9">
        <f t="shared" ca="1" si="1570"/>
        <v>1873</v>
      </c>
      <c r="AG565" s="9">
        <f t="shared" ca="1" si="1570"/>
        <v>43</v>
      </c>
      <c r="AH565" s="9">
        <f t="shared" ca="1" si="1570"/>
        <v>1916</v>
      </c>
      <c r="AI565" s="9">
        <f t="shared" ca="1" si="1570"/>
        <v>3068</v>
      </c>
      <c r="AJ565" s="11">
        <f t="shared" ca="1" si="1555"/>
        <v>193.42685714285716</v>
      </c>
      <c r="AK565" s="8">
        <f t="shared" si="1564"/>
        <v>3569</v>
      </c>
      <c r="AL565" s="12">
        <f t="shared" ca="1" si="1556"/>
        <v>0.85962454469038951</v>
      </c>
      <c r="AM565" s="13">
        <f t="shared" si="1565"/>
        <v>1.5</v>
      </c>
      <c r="AN565" s="12">
        <f t="shared" ca="1" si="1557"/>
        <v>0.37764982653711354</v>
      </c>
      <c r="AO565" s="14">
        <f t="shared" ca="1" si="1558"/>
        <v>0.56647473980567031</v>
      </c>
      <c r="AP565" s="13">
        <f t="shared" ref="AP565:AQ565" ca="1" si="1571">SUM(T556)</f>
        <v>252.3390020034478</v>
      </c>
      <c r="AQ565" s="13">
        <f t="shared" ca="1" si="1571"/>
        <v>9.0121072144088501</v>
      </c>
      <c r="AR565" s="9">
        <f t="shared" ca="1" si="1560"/>
        <v>109.57142857142857</v>
      </c>
      <c r="AS565" s="76"/>
      <c r="AT565" s="76"/>
    </row>
    <row r="566" spans="1:46" ht="15.75" customHeight="1" x14ac:dyDescent="0.2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6"/>
      <c r="X566" s="8">
        <v>6</v>
      </c>
      <c r="Y566" s="8" t="s">
        <v>41</v>
      </c>
      <c r="Z566" s="8">
        <f t="shared" ref="Z566:AI566" si="1572">SUM(D557)</f>
        <v>24</v>
      </c>
      <c r="AA566" s="9">
        <f t="shared" ca="1" si="1572"/>
        <v>24</v>
      </c>
      <c r="AB566" s="10">
        <f t="shared" ca="1" si="1572"/>
        <v>4763.5240000000003</v>
      </c>
      <c r="AC566" s="9">
        <f t="shared" ca="1" si="1572"/>
        <v>1281</v>
      </c>
      <c r="AD566" s="9">
        <f t="shared" ca="1" si="1572"/>
        <v>0</v>
      </c>
      <c r="AE566" s="9">
        <f t="shared" ca="1" si="1572"/>
        <v>1281</v>
      </c>
      <c r="AF566" s="9">
        <f t="shared" ca="1" si="1572"/>
        <v>1718</v>
      </c>
      <c r="AG566" s="9">
        <f t="shared" ca="1" si="1572"/>
        <v>0</v>
      </c>
      <c r="AH566" s="9">
        <f t="shared" ca="1" si="1572"/>
        <v>1718</v>
      </c>
      <c r="AI566" s="9">
        <f t="shared" ca="1" si="1572"/>
        <v>2999</v>
      </c>
      <c r="AJ566" s="11">
        <f t="shared" ca="1" si="1555"/>
        <v>198.48016666666669</v>
      </c>
      <c r="AK566" s="8">
        <f t="shared" si="1564"/>
        <v>3801</v>
      </c>
      <c r="AL566" s="12">
        <f t="shared" ca="1" si="1556"/>
        <v>0.78900289397526968</v>
      </c>
      <c r="AM566" s="13">
        <f t="shared" si="1565"/>
        <v>1.5</v>
      </c>
      <c r="AN566" s="12">
        <f t="shared" ca="1" si="1557"/>
        <v>0.41971727933633446</v>
      </c>
      <c r="AO566" s="14">
        <f t="shared" ca="1" si="1558"/>
        <v>0.62957591900450172</v>
      </c>
      <c r="AP566" s="13">
        <f t="shared" ref="AP566:AQ566" ca="1" si="1573">SUM(T557)</f>
        <v>160.7777777777778</v>
      </c>
      <c r="AQ566" s="13">
        <f t="shared" ca="1" si="1573"/>
        <v>6.6990740740740753</v>
      </c>
      <c r="AR566" s="9">
        <f t="shared" ca="1" si="1560"/>
        <v>124.95833333333333</v>
      </c>
      <c r="AS566" s="76"/>
      <c r="AT566" s="76"/>
    </row>
    <row r="567" spans="1:46" ht="15.75" customHeight="1" x14ac:dyDescent="0.25">
      <c r="A567" s="110" t="s">
        <v>45</v>
      </c>
      <c r="B567" s="76"/>
      <c r="C567" s="76"/>
      <c r="D567" s="75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24" t="s">
        <v>33</v>
      </c>
      <c r="Y567" s="24">
        <v>6</v>
      </c>
      <c r="Z567" s="24">
        <f t="shared" ref="Z567:AI567" si="1574">SUM(Z561:Z566)</f>
        <v>173</v>
      </c>
      <c r="AA567" s="25">
        <f t="shared" ca="1" si="1574"/>
        <v>170</v>
      </c>
      <c r="AB567" s="27">
        <f t="shared" ca="1" si="1574"/>
        <v>32891.478999999978</v>
      </c>
      <c r="AC567" s="25">
        <f t="shared" ca="1" si="1574"/>
        <v>12814</v>
      </c>
      <c r="AD567" s="25">
        <f t="shared" ca="1" si="1574"/>
        <v>132</v>
      </c>
      <c r="AE567" s="25">
        <f t="shared" ca="1" si="1574"/>
        <v>12946</v>
      </c>
      <c r="AF567" s="25">
        <f t="shared" ca="1" si="1574"/>
        <v>17495</v>
      </c>
      <c r="AG567" s="25">
        <f t="shared" ca="1" si="1574"/>
        <v>43</v>
      </c>
      <c r="AH567" s="25">
        <f t="shared" ca="1" si="1574"/>
        <v>17538</v>
      </c>
      <c r="AI567" s="25">
        <f t="shared" ca="1" si="1574"/>
        <v>30484</v>
      </c>
      <c r="AJ567" s="27">
        <f t="shared" ca="1" si="1555"/>
        <v>193.47928823529398</v>
      </c>
      <c r="AK567" s="24">
        <f>SUM(AK561:AK566)</f>
        <v>37031</v>
      </c>
      <c r="AL567" s="28">
        <f t="shared" ca="1" si="1556"/>
        <v>0.82320218195565875</v>
      </c>
      <c r="AM567" s="29">
        <v>1.5</v>
      </c>
      <c r="AN567" s="28">
        <f t="shared" ca="1" si="1557"/>
        <v>0.61787025954858044</v>
      </c>
      <c r="AO567" s="30">
        <f t="shared" ca="1" si="1558"/>
        <v>0.9268053893228706</v>
      </c>
      <c r="AP567" s="29">
        <f ca="1">SUM(AP561:AP566)</f>
        <v>1355.4590320680009</v>
      </c>
      <c r="AQ567" s="29">
        <f ca="1">AP567/AA567</f>
        <v>7.9732884239294171</v>
      </c>
      <c r="AR567" s="25">
        <f t="shared" ca="1" si="1560"/>
        <v>179.31764705882352</v>
      </c>
      <c r="AS567" s="76"/>
      <c r="AT567" s="76"/>
    </row>
    <row r="568" spans="1:46" ht="15.75" customHeight="1" x14ac:dyDescent="0.2">
      <c r="A568" s="110" t="s">
        <v>45</v>
      </c>
      <c r="B568" s="76"/>
      <c r="C568" s="76"/>
      <c r="D568" s="75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7" t="s">
        <v>1</v>
      </c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9"/>
      <c r="AS568" s="76"/>
      <c r="AT568" s="76"/>
    </row>
    <row r="569" spans="1:46" ht="15.75" customHeight="1" x14ac:dyDescent="0.2">
      <c r="A569" s="113">
        <v>46256</v>
      </c>
      <c r="B569" s="80" t="s">
        <v>2</v>
      </c>
      <c r="C569" s="80" t="s">
        <v>3</v>
      </c>
      <c r="D569" s="80" t="s">
        <v>4</v>
      </c>
      <c r="E569" s="80" t="s">
        <v>5</v>
      </c>
      <c r="F569" s="81" t="s">
        <v>6</v>
      </c>
      <c r="G569" s="80" t="s">
        <v>7</v>
      </c>
      <c r="H569" s="80" t="s">
        <v>8</v>
      </c>
      <c r="I569" s="80" t="s">
        <v>9</v>
      </c>
      <c r="J569" s="80" t="s">
        <v>10</v>
      </c>
      <c r="K569" s="80" t="s">
        <v>11</v>
      </c>
      <c r="L569" s="80" t="s">
        <v>12</v>
      </c>
      <c r="M569" s="80" t="s">
        <v>13</v>
      </c>
      <c r="N569" s="81" t="s">
        <v>14</v>
      </c>
      <c r="O569" s="80" t="s">
        <v>15</v>
      </c>
      <c r="P569" s="80" t="s">
        <v>16</v>
      </c>
      <c r="Q569" s="80" t="s">
        <v>17</v>
      </c>
      <c r="R569" s="80" t="s">
        <v>18</v>
      </c>
      <c r="S569" s="106" t="s">
        <v>19</v>
      </c>
      <c r="T569" s="107" t="s">
        <v>20</v>
      </c>
      <c r="U569" s="107" t="s">
        <v>21</v>
      </c>
      <c r="V569" s="105" t="s">
        <v>22</v>
      </c>
      <c r="W569" s="76"/>
      <c r="X569" s="1" t="s">
        <v>2</v>
      </c>
      <c r="Y569" s="1" t="s">
        <v>3</v>
      </c>
      <c r="Z569" s="1" t="s">
        <v>4</v>
      </c>
      <c r="AA569" s="1" t="s">
        <v>5</v>
      </c>
      <c r="AB569" s="2" t="s">
        <v>6</v>
      </c>
      <c r="AC569" s="1" t="s">
        <v>7</v>
      </c>
      <c r="AD569" s="1" t="s">
        <v>8</v>
      </c>
      <c r="AE569" s="1" t="s">
        <v>9</v>
      </c>
      <c r="AF569" s="1" t="s">
        <v>10</v>
      </c>
      <c r="AG569" s="1" t="s">
        <v>11</v>
      </c>
      <c r="AH569" s="1" t="s">
        <v>12</v>
      </c>
      <c r="AI569" s="1" t="s">
        <v>13</v>
      </c>
      <c r="AJ569" s="2" t="s">
        <v>14</v>
      </c>
      <c r="AK569" s="1" t="s">
        <v>15</v>
      </c>
      <c r="AL569" s="1" t="s">
        <v>16</v>
      </c>
      <c r="AM569" s="3" t="s">
        <v>17</v>
      </c>
      <c r="AN569" s="4" t="s">
        <v>18</v>
      </c>
      <c r="AO569" s="5" t="s">
        <v>19</v>
      </c>
      <c r="AP569" s="6" t="s">
        <v>20</v>
      </c>
      <c r="AQ569" s="6" t="s">
        <v>21</v>
      </c>
      <c r="AR569" s="7" t="s">
        <v>22</v>
      </c>
      <c r="AS569" s="76"/>
      <c r="AT569" s="76"/>
    </row>
    <row r="570" spans="1:46" ht="15.75" customHeight="1" x14ac:dyDescent="0.2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6"/>
      <c r="X570" s="8">
        <v>1</v>
      </c>
      <c r="Y570" s="8" t="s">
        <v>23</v>
      </c>
      <c r="Z570" s="8">
        <f t="shared" ref="Z570:AI570" si="1575">SUM(D578)</f>
        <v>28</v>
      </c>
      <c r="AA570" s="9">
        <f t="shared" ca="1" si="1575"/>
        <v>28</v>
      </c>
      <c r="AB570" s="10">
        <f t="shared" ca="1" si="1575"/>
        <v>5398.3999999999896</v>
      </c>
      <c r="AC570" s="9">
        <f t="shared" ca="1" si="1575"/>
        <v>1256</v>
      </c>
      <c r="AD570" s="9">
        <f t="shared" ca="1" si="1575"/>
        <v>0</v>
      </c>
      <c r="AE570" s="9">
        <f t="shared" ca="1" si="1575"/>
        <v>1256</v>
      </c>
      <c r="AF570" s="9">
        <f t="shared" ca="1" si="1575"/>
        <v>2376</v>
      </c>
      <c r="AG570" s="9">
        <f t="shared" ca="1" si="1575"/>
        <v>0</v>
      </c>
      <c r="AH570" s="9">
        <f t="shared" ca="1" si="1575"/>
        <v>2376</v>
      </c>
      <c r="AI570" s="9">
        <f t="shared" ca="1" si="1575"/>
        <v>3632</v>
      </c>
      <c r="AJ570" s="11">
        <f t="shared" ref="AJ570:AJ572" ca="1" si="1576">AB570/AA570</f>
        <v>192.79999999999964</v>
      </c>
      <c r="AK570" s="8">
        <f>SUM(O578)</f>
        <v>6853</v>
      </c>
      <c r="AL570" s="12">
        <f t="shared" ref="AL570:AL576" ca="1" si="1577">AI570/AK570</f>
        <v>0.52998686706551879</v>
      </c>
      <c r="AM570" s="13">
        <f t="shared" ref="AM570:AM572" si="1578">SUM(Q578)</f>
        <v>1.5</v>
      </c>
      <c r="AN570" s="12">
        <f t="shared" ref="AN570:AN576" ca="1" si="1579">AO570/AM570</f>
        <v>0.44852795890140373</v>
      </c>
      <c r="AO570" s="14">
        <f t="shared" ref="AO570:AO576" ca="1" si="1580">AI570/AB570</f>
        <v>0.6727919383521056</v>
      </c>
      <c r="AP570" s="13">
        <f t="shared" ref="AP570:AQ570" ca="1" si="1581">SUM(T578)</f>
        <v>159.99999999999969</v>
      </c>
      <c r="AQ570" s="13">
        <f t="shared" ca="1" si="1581"/>
        <v>5.7142857142857029</v>
      </c>
      <c r="AR570" s="9">
        <f t="shared" ref="AR570:AR576" ca="1" si="1582">AI570/AA570</f>
        <v>129.71428571428572</v>
      </c>
      <c r="AS570" s="76"/>
      <c r="AT570" s="76"/>
    </row>
    <row r="571" spans="1:46" ht="15.75" customHeight="1" x14ac:dyDescent="0.2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6"/>
      <c r="X571" s="8">
        <v>2</v>
      </c>
      <c r="Y571" s="8" t="s">
        <v>24</v>
      </c>
      <c r="Z571" s="8">
        <f t="shared" ref="Z571:AI571" si="1583">SUM(D579)</f>
        <v>37</v>
      </c>
      <c r="AA571" s="9">
        <f t="shared" ca="1" si="1583"/>
        <v>37</v>
      </c>
      <c r="AB571" s="10">
        <f t="shared" ca="1" si="1583"/>
        <v>7252.8049999999903</v>
      </c>
      <c r="AC571" s="9">
        <f t="shared" ca="1" si="1583"/>
        <v>717</v>
      </c>
      <c r="AD571" s="9">
        <f t="shared" ca="1" si="1583"/>
        <v>0</v>
      </c>
      <c r="AE571" s="9">
        <f t="shared" ca="1" si="1583"/>
        <v>717</v>
      </c>
      <c r="AF571" s="9">
        <f t="shared" ca="1" si="1583"/>
        <v>1161</v>
      </c>
      <c r="AG571" s="9">
        <f t="shared" ca="1" si="1583"/>
        <v>0</v>
      </c>
      <c r="AH571" s="9">
        <f t="shared" ca="1" si="1583"/>
        <v>1161</v>
      </c>
      <c r="AI571" s="9">
        <f t="shared" ca="1" si="1583"/>
        <v>1878</v>
      </c>
      <c r="AJ571" s="11">
        <f t="shared" ca="1" si="1576"/>
        <v>196.0217567567565</v>
      </c>
      <c r="AK571" s="8">
        <v>1580</v>
      </c>
      <c r="AL571" s="15">
        <f t="shared" ca="1" si="1577"/>
        <v>1.1886075949367088</v>
      </c>
      <c r="AM571" s="13">
        <f t="shared" si="1578"/>
        <v>1.5</v>
      </c>
      <c r="AN571" s="12">
        <f t="shared" ca="1" si="1579"/>
        <v>0.17262286798004381</v>
      </c>
      <c r="AO571" s="14">
        <f t="shared" ca="1" si="1580"/>
        <v>0.25893430197006573</v>
      </c>
      <c r="AP571" s="13">
        <f t="shared" ref="AP571:AQ571" ca="1" si="1584">SUM(T579)</f>
        <v>270.57657153516101</v>
      </c>
      <c r="AQ571" s="13">
        <f t="shared" ca="1" si="1584"/>
        <v>7.3128803117611083</v>
      </c>
      <c r="AR571" s="9">
        <f t="shared" ca="1" si="1582"/>
        <v>50.756756756756758</v>
      </c>
      <c r="AS571" s="76"/>
      <c r="AT571" s="76"/>
    </row>
    <row r="572" spans="1:46" ht="15.75" customHeight="1" x14ac:dyDescent="0.2">
      <c r="A572" s="70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6"/>
      <c r="X572" s="8">
        <v>3</v>
      </c>
      <c r="Y572" s="8" t="s">
        <v>25</v>
      </c>
      <c r="Z572" s="8">
        <f t="shared" ref="Z572:AI572" si="1585">SUM(D580)</f>
        <v>27</v>
      </c>
      <c r="AA572" s="9">
        <f t="shared" ca="1" si="1585"/>
        <v>26</v>
      </c>
      <c r="AB572" s="10">
        <f t="shared" ca="1" si="1585"/>
        <v>4860.7359999999999</v>
      </c>
      <c r="AC572" s="9">
        <f t="shared" ca="1" si="1585"/>
        <v>1765</v>
      </c>
      <c r="AD572" s="9">
        <f t="shared" ca="1" si="1585"/>
        <v>420</v>
      </c>
      <c r="AE572" s="9">
        <f t="shared" ca="1" si="1585"/>
        <v>2185</v>
      </c>
      <c r="AF572" s="9">
        <f t="shared" ca="1" si="1585"/>
        <v>2334</v>
      </c>
      <c r="AG572" s="9">
        <f t="shared" ca="1" si="1585"/>
        <v>253</v>
      </c>
      <c r="AH572" s="9">
        <f t="shared" ca="1" si="1585"/>
        <v>2587</v>
      </c>
      <c r="AI572" s="9">
        <f t="shared" ca="1" si="1585"/>
        <v>4772</v>
      </c>
      <c r="AJ572" s="11">
        <f t="shared" ca="1" si="1576"/>
        <v>186.9513846153846</v>
      </c>
      <c r="AK572" s="8">
        <f>SUM(O580)</f>
        <v>6622</v>
      </c>
      <c r="AL572" s="12">
        <f t="shared" ca="1" si="1577"/>
        <v>0.720628209000302</v>
      </c>
      <c r="AM572" s="13">
        <f t="shared" si="1578"/>
        <v>1.5</v>
      </c>
      <c r="AN572" s="12">
        <f t="shared" ca="1" si="1579"/>
        <v>0.65449621895394716</v>
      </c>
      <c r="AO572" s="14">
        <f t="shared" ca="1" si="1580"/>
        <v>0.98174432843092074</v>
      </c>
      <c r="AP572" s="13">
        <f t="shared" ref="AP572:AQ572" ca="1" si="1586">SUM(T580)</f>
        <v>203.88993288590603</v>
      </c>
      <c r="AQ572" s="13">
        <f t="shared" ca="1" si="1586"/>
        <v>7.8419204956117703</v>
      </c>
      <c r="AR572" s="9">
        <f t="shared" ca="1" si="1582"/>
        <v>183.53846153846155</v>
      </c>
      <c r="AS572" s="76"/>
      <c r="AT572" s="76"/>
    </row>
    <row r="573" spans="1:46" ht="15.75" customHeight="1" x14ac:dyDescent="0.25">
      <c r="A573" s="70"/>
      <c r="B573" s="16">
        <v>1</v>
      </c>
      <c r="C573" s="16" t="s">
        <v>26</v>
      </c>
      <c r="D573" s="17">
        <v>16</v>
      </c>
      <c r="E573" s="18">
        <f ca="1">IFERROR(__xludf.DUMMYFUNCTION("COUNT(IMPORTRANGE(""https://docs.google.com/spreadsheets/d/1iVFEBQOAONhqDIMRa2hQ7WkCQv0dJWSAmc0AzfvSCMg/edit"",""22!d2:d21""))"),16)</f>
        <v>16</v>
      </c>
      <c r="F573" s="19">
        <f ca="1">IFERROR(__xludf.DUMMYFUNCTION("SUM(IMPORTRANGE(""https://docs.google.com/spreadsheets/d/1iVFEBQOAONhqDIMRa2hQ7WkCQv0dJWSAmc0AzfvSCMg/edit"",""22!Q2:Q21""))"),3179.043)</f>
        <v>3179.0430000000001</v>
      </c>
      <c r="G573" s="18">
        <f ca="1">IFERROR(__xludf.DUMMYFUNCTION("IMPORTRANGE(""https://docs.google.com/spreadsheets/d/1iVFEBQOAONhqDIMRa2hQ7WkCQv0dJWSAmc0AzfvSCMg/edit"",""22!e28"")"),1522)</f>
        <v>1522</v>
      </c>
      <c r="H573" s="18">
        <f ca="1">IFERROR(__xludf.DUMMYFUNCTION("IMPORTRANGE(""https://docs.google.com/spreadsheets/d/1iVFEBQOAONhqDIMRa2hQ7WkCQv0dJWSAmc0AzfvSCMg/edit"",""22!e29"")"),0)</f>
        <v>0</v>
      </c>
      <c r="I573" s="18">
        <f t="shared" ref="I573:I590" ca="1" si="1587">SUM(G573:H573)</f>
        <v>1522</v>
      </c>
      <c r="J573" s="18">
        <f ca="1">IFERROR(__xludf.DUMMYFUNCTION("IMPORTRANGE(""https://docs.google.com/spreadsheets/d/1iVFEBQOAONhqDIMRa2hQ7WkCQv0dJWSAmc0AzfvSCMg/edit"",""22!e32"")"),2117)</f>
        <v>2117</v>
      </c>
      <c r="K573" s="18">
        <f ca="1">IFERROR(__xludf.DUMMYFUNCTION("IMPORTRANGE(""https://docs.google.com/spreadsheets/d/1iVFEBQOAONhqDIMRa2hQ7WkCQv0dJWSAmc0AzfvSCMg/edit"",""22!e33"")"),0)</f>
        <v>0</v>
      </c>
      <c r="L573" s="18">
        <f t="shared" ref="L573:L579" ca="1" si="1588">SUM(J573:K573)</f>
        <v>2117</v>
      </c>
      <c r="M573" s="18">
        <f t="shared" ref="M573:M590" ca="1" si="1589">SUM(I573+L573)</f>
        <v>3639</v>
      </c>
      <c r="N573" s="19">
        <f t="shared" ref="N573:N591" ca="1" si="1590">F573/E573</f>
        <v>198.69018750000001</v>
      </c>
      <c r="O573" s="16">
        <v>5161</v>
      </c>
      <c r="P573" s="20">
        <f t="shared" ref="P573:P591" ca="1" si="1591">M573/O573</f>
        <v>0.70509591164503005</v>
      </c>
      <c r="Q573" s="21">
        <v>1.5</v>
      </c>
      <c r="R573" s="20">
        <f t="shared" ref="R573:R591" ca="1" si="1592">S573/Q573</f>
        <v>0.76312273850967094</v>
      </c>
      <c r="S573" s="22">
        <f t="shared" ref="S573:S591" ca="1" si="1593">M573/F573</f>
        <v>1.1446841077645065</v>
      </c>
      <c r="T573" s="21">
        <f ca="1">F573/14.415</f>
        <v>220.5371488033299</v>
      </c>
      <c r="U573" s="21">
        <f t="shared" ref="U573:U591" ca="1" si="1594">T573/E573</f>
        <v>13.783571800208119</v>
      </c>
      <c r="V573" s="18">
        <f t="shared" ref="V573:V591" ca="1" si="1595">M573/E573</f>
        <v>227.4375</v>
      </c>
      <c r="W573" s="76"/>
      <c r="X573" s="8">
        <v>4</v>
      </c>
      <c r="Y573" s="8" t="s">
        <v>27</v>
      </c>
      <c r="Z573" s="8">
        <f t="shared" ref="Z573:AK573" si="1596">SUM(D586)</f>
        <v>24</v>
      </c>
      <c r="AA573" s="9">
        <f t="shared" ca="1" si="1596"/>
        <v>22</v>
      </c>
      <c r="AB573" s="10">
        <f t="shared" ca="1" si="1596"/>
        <v>4086.7949999999901</v>
      </c>
      <c r="AC573" s="9">
        <f t="shared" ca="1" si="1596"/>
        <v>1703</v>
      </c>
      <c r="AD573" s="9">
        <f t="shared" ca="1" si="1596"/>
        <v>0</v>
      </c>
      <c r="AE573" s="9">
        <f t="shared" ca="1" si="1596"/>
        <v>1703</v>
      </c>
      <c r="AF573" s="9">
        <f t="shared" ca="1" si="1596"/>
        <v>2290</v>
      </c>
      <c r="AG573" s="9">
        <f t="shared" ca="1" si="1596"/>
        <v>0</v>
      </c>
      <c r="AH573" s="9">
        <f t="shared" ca="1" si="1596"/>
        <v>2290</v>
      </c>
      <c r="AI573" s="9">
        <f t="shared" ca="1" si="1596"/>
        <v>3993</v>
      </c>
      <c r="AJ573" s="11">
        <f t="shared" ca="1" si="1596"/>
        <v>185.76340909090865</v>
      </c>
      <c r="AK573" s="8">
        <f t="shared" si="1596"/>
        <v>8101</v>
      </c>
      <c r="AL573" s="12">
        <f t="shared" ca="1" si="1577"/>
        <v>0.49290211085051228</v>
      </c>
      <c r="AM573" s="13">
        <f>SUM(Q586)</f>
        <v>1.5</v>
      </c>
      <c r="AN573" s="12">
        <f t="shared" ca="1" si="1579"/>
        <v>0.65136616835442107</v>
      </c>
      <c r="AO573" s="14">
        <f t="shared" ca="1" si="1580"/>
        <v>0.97704925253163166</v>
      </c>
      <c r="AP573" s="13">
        <f t="shared" ref="AP573:AQ573" ca="1" si="1597">SUM(T586)</f>
        <v>204.49311983987943</v>
      </c>
      <c r="AQ573" s="13">
        <f t="shared" ca="1" si="1597"/>
        <v>9.2951418109036101</v>
      </c>
      <c r="AR573" s="9">
        <f t="shared" ca="1" si="1582"/>
        <v>181.5</v>
      </c>
      <c r="AS573" s="76"/>
      <c r="AT573" s="76"/>
    </row>
    <row r="574" spans="1:46" ht="15.75" customHeight="1" x14ac:dyDescent="0.25">
      <c r="A574" s="70"/>
      <c r="B574" s="16">
        <v>2</v>
      </c>
      <c r="C574" s="16" t="s">
        <v>28</v>
      </c>
      <c r="D574" s="17">
        <v>26</v>
      </c>
      <c r="E574" s="18">
        <f ca="1">IFERROR(__xludf.DUMMYFUNCTION("COUNT(IMPORTRANGE(""https://docs.google.com/spreadsheets/d/1tJCeYclgeJZ4Dc78t_SkhVjtacKW-5-VGim8X1rzUzk/edit"",""22!d2:d34""))"),26)</f>
        <v>26</v>
      </c>
      <c r="F574" s="19">
        <f ca="1">IFERROR(__xludf.DUMMYFUNCTION("SUM(IMPORTRANGE(""https://docs.google.com/spreadsheets/d/1tJCeYclgeJZ4Dc78t_SkhVjtacKW-5-VGim8X1rzUzk/edit"",""22!Q2:Q34""))"),4938.814)</f>
        <v>4938.8140000000003</v>
      </c>
      <c r="G574" s="18">
        <f ca="1">IFERROR(__xludf.DUMMYFUNCTION("IMPORTRANGE(""https://docs.google.com/spreadsheets/d/1tJCeYclgeJZ4Dc78t_SkhVjtacKW-5-VGim8X1rzUzk/edit"",""22!e41"")"),1990)</f>
        <v>1990</v>
      </c>
      <c r="H574" s="18">
        <f ca="1">IFERROR(__xludf.DUMMYFUNCTION("IMPORTRANGE(""https://docs.google.com/spreadsheets/d/1tJCeYclgeJZ4Dc78t_SkhVjtacKW-5-VGim8X1rzUzk/edit"",""22!e42"")"),78)</f>
        <v>78</v>
      </c>
      <c r="I574" s="18">
        <f t="shared" ca="1" si="1587"/>
        <v>2068</v>
      </c>
      <c r="J574" s="18">
        <f ca="1">IFERROR(__xludf.DUMMYFUNCTION("IMPORTRANGE(""https://docs.google.com/spreadsheets/d/1tJCeYclgeJZ4Dc78t_SkhVjtacKW-5-VGim8X1rzUzk/edit"",""22!e45"")"),2079)</f>
        <v>2079</v>
      </c>
      <c r="K574" s="18">
        <f ca="1">IFERROR(__xludf.DUMMYFUNCTION("IMPORTRANGE(""https://docs.google.com/spreadsheets/d/1tJCeYclgeJZ4Dc78t_SkhVjtacKW-5-VGim8X1rzUzk/edit"",""22!e46"")"),53)</f>
        <v>53</v>
      </c>
      <c r="L574" s="18">
        <f t="shared" ca="1" si="1588"/>
        <v>2132</v>
      </c>
      <c r="M574" s="18">
        <f t="shared" ca="1" si="1589"/>
        <v>4200</v>
      </c>
      <c r="N574" s="19">
        <f t="shared" ca="1" si="1590"/>
        <v>189.95438461538464</v>
      </c>
      <c r="O574" s="16">
        <v>7315</v>
      </c>
      <c r="P574" s="20">
        <f t="shared" ca="1" si="1591"/>
        <v>0.57416267942583732</v>
      </c>
      <c r="Q574" s="21">
        <v>1.5</v>
      </c>
      <c r="R574" s="20">
        <f t="shared" ca="1" si="1592"/>
        <v>0.56693773039438211</v>
      </c>
      <c r="S574" s="22">
        <f t="shared" ca="1" si="1593"/>
        <v>0.85040659559157317</v>
      </c>
      <c r="T574" s="21">
        <f ca="1">F574/30.897</f>
        <v>159.84768747774868</v>
      </c>
      <c r="U574" s="21">
        <f t="shared" ca="1" si="1594"/>
        <v>6.1479879799134105</v>
      </c>
      <c r="V574" s="18">
        <f t="shared" ca="1" si="1595"/>
        <v>161.53846153846155</v>
      </c>
      <c r="W574" s="76"/>
      <c r="X574" s="8">
        <v>5</v>
      </c>
      <c r="Y574" s="8" t="s">
        <v>29</v>
      </c>
      <c r="Z574" s="8">
        <f t="shared" ref="Z574:AI574" si="1598">SUM(D589)</f>
        <v>24</v>
      </c>
      <c r="AA574" s="9">
        <f t="shared" ca="1" si="1598"/>
        <v>24</v>
      </c>
      <c r="AB574" s="10">
        <f t="shared" ca="1" si="1598"/>
        <v>4874.34399999999</v>
      </c>
      <c r="AC574" s="9">
        <f t="shared" ca="1" si="1598"/>
        <v>2077</v>
      </c>
      <c r="AD574" s="9">
        <f t="shared" ca="1" si="1598"/>
        <v>0</v>
      </c>
      <c r="AE574" s="9">
        <f t="shared" ca="1" si="1598"/>
        <v>2077</v>
      </c>
      <c r="AF574" s="9">
        <f t="shared" ca="1" si="1598"/>
        <v>3033</v>
      </c>
      <c r="AG574" s="9">
        <f t="shared" ca="1" si="1598"/>
        <v>0</v>
      </c>
      <c r="AH574" s="9">
        <f t="shared" ca="1" si="1598"/>
        <v>3033</v>
      </c>
      <c r="AI574" s="9">
        <f t="shared" ca="1" si="1598"/>
        <v>5110</v>
      </c>
      <c r="AJ574" s="11">
        <f t="shared" ref="AJ574:AJ576" ca="1" si="1599">AB574/AA574</f>
        <v>203.09766666666624</v>
      </c>
      <c r="AK574" s="8">
        <f t="shared" ref="AK574:AK575" si="1600">SUM(O589)</f>
        <v>9201</v>
      </c>
      <c r="AL574" s="12">
        <f t="shared" ca="1" si="1577"/>
        <v>0.55537441582436686</v>
      </c>
      <c r="AM574" s="13">
        <f t="shared" ref="AM574:AM575" si="1601">SUM(Q589)</f>
        <v>1.5</v>
      </c>
      <c r="AN574" s="12">
        <f t="shared" ca="1" si="1579"/>
        <v>0.69889746531362451</v>
      </c>
      <c r="AO574" s="14">
        <f t="shared" ca="1" si="1580"/>
        <v>1.0483461979704367</v>
      </c>
      <c r="AP574" s="13">
        <f t="shared" ref="AP574:AQ574" ca="1" si="1602">SUM(T589)</f>
        <v>183.99999999999963</v>
      </c>
      <c r="AQ574" s="13">
        <f t="shared" ca="1" si="1602"/>
        <v>7.666666666666651</v>
      </c>
      <c r="AR574" s="9">
        <f t="shared" ca="1" si="1582"/>
        <v>212.91666666666666</v>
      </c>
      <c r="AS574" s="76"/>
      <c r="AT574" s="76"/>
    </row>
    <row r="575" spans="1:46" ht="15.75" customHeight="1" x14ac:dyDescent="0.25">
      <c r="A575" s="70"/>
      <c r="B575" s="16">
        <v>3</v>
      </c>
      <c r="C575" s="16" t="s">
        <v>30</v>
      </c>
      <c r="D575" s="17">
        <v>48</v>
      </c>
      <c r="E575" s="18">
        <f ca="1">IFERROR(__xludf.DUMMYFUNCTION("COUNT(IMPORTRANGE(""https://docs.google.com/spreadsheets/d/130gLEONC13J8KkQ6dk06x3bLRy_jCrAw2hXatQf2W50/edit"",""22!d2:d61""))"),47)</f>
        <v>47</v>
      </c>
      <c r="F575" s="23">
        <f ca="1">IFERROR(__xludf.DUMMYFUNCTION("SUM(IMPORTRANGE(""https://docs.google.com/spreadsheets/d/130gLEONC13J8KkQ6dk06x3bLRy_jCrAw2hXatQf2W50/edit"",""22!Q2:Q61""))"),9396.76599999999)</f>
        <v>9396.7659999999905</v>
      </c>
      <c r="G575" s="18">
        <f ca="1">IFERROR(__xludf.DUMMYFUNCTION("IMPORTRANGE(""https://docs.google.com/spreadsheets/d/130gLEONC13J8KkQ6dk06x3bLRy_jCrAw2hXatQf2W50/edit"",""22!e68"")"),2224)</f>
        <v>2224</v>
      </c>
      <c r="H575" s="18">
        <f ca="1">IFERROR(__xludf.DUMMYFUNCTION("IMPORTRANGE(""https://docs.google.com/spreadsheets/d/130gLEONC13J8KkQ6dk06x3bLRy_jCrAw2hXatQf2W50/edit"",""22!e69"")"),0)</f>
        <v>0</v>
      </c>
      <c r="I575" s="18">
        <f t="shared" ca="1" si="1587"/>
        <v>2224</v>
      </c>
      <c r="J575" s="18">
        <f ca="1">IFERROR(__xludf.DUMMYFUNCTION("IMPORTRANGE(""https://docs.google.com/spreadsheets/d/130gLEONC13J8KkQ6dk06x3bLRy_jCrAw2hXatQf2W50/edit"",""22!e72"")"),4257)</f>
        <v>4257</v>
      </c>
      <c r="K575" s="18">
        <f ca="1">IFERROR(__xludf.DUMMYFUNCTION("IMPORTRANGE(""https://docs.google.com/spreadsheets/d/130gLEONC13J8KkQ6dk06x3bLRy_jCrAw2hXatQf2W50/edit"",""22!e73"")"),0)</f>
        <v>0</v>
      </c>
      <c r="L575" s="18">
        <f t="shared" ca="1" si="1588"/>
        <v>4257</v>
      </c>
      <c r="M575" s="18">
        <f t="shared" ca="1" si="1589"/>
        <v>6481</v>
      </c>
      <c r="N575" s="19">
        <f t="shared" ca="1" si="1590"/>
        <v>199.93119148936151</v>
      </c>
      <c r="O575" s="16">
        <v>11164</v>
      </c>
      <c r="P575" s="20">
        <f t="shared" ca="1" si="1591"/>
        <v>0.58052669294159798</v>
      </c>
      <c r="Q575" s="21">
        <v>1.5</v>
      </c>
      <c r="R575" s="20">
        <f t="shared" ca="1" si="1592"/>
        <v>0.45980358206926414</v>
      </c>
      <c r="S575" s="22">
        <f t="shared" ca="1" si="1593"/>
        <v>0.68970537310389624</v>
      </c>
      <c r="T575" s="21">
        <f ca="1">F575/29.603</f>
        <v>317.42613924264401</v>
      </c>
      <c r="U575" s="21">
        <f t="shared" ca="1" si="1594"/>
        <v>6.7537476434605113</v>
      </c>
      <c r="V575" s="18">
        <f t="shared" ca="1" si="1595"/>
        <v>137.89361702127658</v>
      </c>
      <c r="W575" s="76"/>
      <c r="X575" s="8">
        <v>6</v>
      </c>
      <c r="Y575" s="8" t="s">
        <v>31</v>
      </c>
      <c r="Z575" s="8">
        <f t="shared" ref="Z575:AI575" si="1603">SUM(D590)</f>
        <v>12</v>
      </c>
      <c r="AA575" s="9">
        <f t="shared" ca="1" si="1603"/>
        <v>12</v>
      </c>
      <c r="AB575" s="11">
        <f t="shared" ca="1" si="1603"/>
        <v>2303.645</v>
      </c>
      <c r="AC575" s="9">
        <f t="shared" ca="1" si="1603"/>
        <v>736</v>
      </c>
      <c r="AD575" s="9">
        <f t="shared" ca="1" si="1603"/>
        <v>10</v>
      </c>
      <c r="AE575" s="9">
        <f t="shared" ca="1" si="1603"/>
        <v>746</v>
      </c>
      <c r="AF575" s="9">
        <f t="shared" ca="1" si="1603"/>
        <v>794</v>
      </c>
      <c r="AG575" s="9">
        <f t="shared" ca="1" si="1603"/>
        <v>0</v>
      </c>
      <c r="AH575" s="9">
        <f t="shared" ca="1" si="1603"/>
        <v>794</v>
      </c>
      <c r="AI575" s="9">
        <f t="shared" ca="1" si="1603"/>
        <v>1540</v>
      </c>
      <c r="AJ575" s="11">
        <f t="shared" ca="1" si="1599"/>
        <v>191.97041666666667</v>
      </c>
      <c r="AK575" s="8">
        <f t="shared" si="1600"/>
        <v>2717</v>
      </c>
      <c r="AL575" s="12">
        <f t="shared" ca="1" si="1577"/>
        <v>0.5668016194331984</v>
      </c>
      <c r="AM575" s="13">
        <f t="shared" si="1601"/>
        <v>1.5</v>
      </c>
      <c r="AN575" s="12">
        <f t="shared" ca="1" si="1579"/>
        <v>0.44567052070378321</v>
      </c>
      <c r="AO575" s="14">
        <f t="shared" ca="1" si="1580"/>
        <v>0.66850578105567482</v>
      </c>
      <c r="AP575" s="13">
        <f t="shared" ref="AP575:AQ575" ca="1" si="1604">SUM(T590)</f>
        <v>52.999999999999993</v>
      </c>
      <c r="AQ575" s="13">
        <f t="shared" ca="1" si="1604"/>
        <v>4.4166666666666661</v>
      </c>
      <c r="AR575" s="9">
        <f t="shared" ca="1" si="1582"/>
        <v>128.33333333333334</v>
      </c>
      <c r="AS575" s="76"/>
      <c r="AT575" s="76"/>
    </row>
    <row r="576" spans="1:46" ht="15.75" customHeight="1" x14ac:dyDescent="0.25">
      <c r="A576" s="70"/>
      <c r="B576" s="16">
        <v>4</v>
      </c>
      <c r="C576" s="16" t="s">
        <v>32</v>
      </c>
      <c r="D576" s="17">
        <v>33</v>
      </c>
      <c r="E576" s="18">
        <f ca="1">IFERROR(__xludf.DUMMYFUNCTION("COUNT(IMPORTRANGE(""https://docs.google.com/spreadsheets/d/1gYHli7FuKQLm2Q-5LMR0UtkD-gRRA_p8s-phLPLDLgc/edit"",""22!d2:d43""))"),32)</f>
        <v>32</v>
      </c>
      <c r="F576" s="23">
        <f ca="1">IFERROR(__xludf.DUMMYFUNCTION("SUM(IMPORTRANGE(""https://docs.google.com/spreadsheets/d/1gYHli7FuKQLm2Q-5LMR0UtkD-gRRA_p8s-phLPLDLgc/edit"",""22!Q2:Q43""))"),5946.09299999999)</f>
        <v>5946.0929999999898</v>
      </c>
      <c r="G576" s="16">
        <f ca="1">IFERROR(__xludf.DUMMYFUNCTION("IMPORTRANGE(""https://docs.google.com/spreadsheets/d/1gYHli7FuKQLm2Q-5LMR0UtkD-gRRA_p8s-phLPLDLgc/edit"",""22!e50"")"),3355)</f>
        <v>3355</v>
      </c>
      <c r="H576" s="16">
        <f ca="1">IFERROR(__xludf.DUMMYFUNCTION("IMPORTRANGE(""https://docs.google.com/spreadsheets/d/1gYHli7FuKQLm2Q-5LMR0UtkD-gRRA_p8s-phLPLDLgc/edit"",""22!e51"")"),0)</f>
        <v>0</v>
      </c>
      <c r="I576" s="18">
        <f t="shared" ca="1" si="1587"/>
        <v>3355</v>
      </c>
      <c r="J576" s="16">
        <f ca="1">IFERROR(__xludf.DUMMYFUNCTION("IMPORTRANGE(""https://docs.google.com/spreadsheets/d/1gYHli7FuKQLm2Q-5LMR0UtkD-gRRA_p8s-phLPLDLgc/edit"",""22!e54"")"),4134)</f>
        <v>4134</v>
      </c>
      <c r="K576" s="16">
        <f ca="1">IFERROR(__xludf.DUMMYFUNCTION("IMPORTRANGE(""https://docs.google.com/spreadsheets/d/1gYHli7FuKQLm2Q-5LMR0UtkD-gRRA_p8s-phLPLDLgc/edit"",""22!e55"")"),100)</f>
        <v>100</v>
      </c>
      <c r="L576" s="18">
        <f t="shared" ca="1" si="1588"/>
        <v>4234</v>
      </c>
      <c r="M576" s="18">
        <f t="shared" ca="1" si="1589"/>
        <v>7589</v>
      </c>
      <c r="N576" s="19">
        <f t="shared" ca="1" si="1590"/>
        <v>185.81540624999968</v>
      </c>
      <c r="O576" s="16">
        <v>13817</v>
      </c>
      <c r="P576" s="20">
        <f t="shared" ca="1" si="1591"/>
        <v>0.54925092277629006</v>
      </c>
      <c r="Q576" s="21">
        <v>1.5</v>
      </c>
      <c r="R576" s="20">
        <f t="shared" ca="1" si="1592"/>
        <v>0.85086683530401253</v>
      </c>
      <c r="S576" s="22">
        <f t="shared" ca="1" si="1593"/>
        <v>1.2763002529560188</v>
      </c>
      <c r="T576" s="21">
        <f ca="1">F576/25.089</f>
        <v>236.9999999999996</v>
      </c>
      <c r="U576" s="21">
        <f t="shared" ca="1" si="1594"/>
        <v>7.4062499999999876</v>
      </c>
      <c r="V576" s="18">
        <f t="shared" ca="1" si="1595"/>
        <v>237.15625</v>
      </c>
      <c r="W576" s="76"/>
      <c r="X576" s="24" t="s">
        <v>33</v>
      </c>
      <c r="Y576" s="24">
        <v>6</v>
      </c>
      <c r="Z576" s="24">
        <f t="shared" ref="Z576:AI576" si="1605">SUM(Z570:Z575)</f>
        <v>152</v>
      </c>
      <c r="AA576" s="25">
        <f t="shared" ca="1" si="1605"/>
        <v>149</v>
      </c>
      <c r="AB576" s="26">
        <f t="shared" ca="1" si="1605"/>
        <v>28776.724999999962</v>
      </c>
      <c r="AC576" s="25">
        <f t="shared" ca="1" si="1605"/>
        <v>8254</v>
      </c>
      <c r="AD576" s="25">
        <f t="shared" ca="1" si="1605"/>
        <v>430</v>
      </c>
      <c r="AE576" s="25">
        <f t="shared" ca="1" si="1605"/>
        <v>8684</v>
      </c>
      <c r="AF576" s="25">
        <f t="shared" ca="1" si="1605"/>
        <v>11988</v>
      </c>
      <c r="AG576" s="25">
        <f t="shared" ca="1" si="1605"/>
        <v>253</v>
      </c>
      <c r="AH576" s="25">
        <f t="shared" ca="1" si="1605"/>
        <v>12241</v>
      </c>
      <c r="AI576" s="25">
        <f t="shared" ca="1" si="1605"/>
        <v>20925</v>
      </c>
      <c r="AJ576" s="27">
        <f t="shared" ca="1" si="1599"/>
        <v>193.13238255033531</v>
      </c>
      <c r="AK576" s="24">
        <f>SUM(AK570:AK575)</f>
        <v>35074</v>
      </c>
      <c r="AL576" s="28">
        <f t="shared" ca="1" si="1577"/>
        <v>0.5965957689456578</v>
      </c>
      <c r="AM576" s="29">
        <v>1.5</v>
      </c>
      <c r="AN576" s="28">
        <f t="shared" ca="1" si="1579"/>
        <v>0.48476676897735999</v>
      </c>
      <c r="AO576" s="30">
        <f t="shared" ca="1" si="1580"/>
        <v>0.72715015346603995</v>
      </c>
      <c r="AP576" s="29">
        <f ca="1">SUM(AP570:AP575)</f>
        <v>1075.9596242609457</v>
      </c>
      <c r="AQ576" s="29">
        <f ca="1">AP576/AA576</f>
        <v>7.2212055319526556</v>
      </c>
      <c r="AR576" s="25">
        <f t="shared" ca="1" si="1582"/>
        <v>140.43624161073825</v>
      </c>
      <c r="AS576" s="76"/>
      <c r="AT576" s="76"/>
    </row>
    <row r="577" spans="1:46" ht="15.75" customHeight="1" x14ac:dyDescent="0.25">
      <c r="A577" s="70"/>
      <c r="B577" s="16">
        <v>5</v>
      </c>
      <c r="C577" s="16" t="s">
        <v>34</v>
      </c>
      <c r="D577" s="17">
        <v>32</v>
      </c>
      <c r="E577" s="18">
        <f ca="1">IFERROR(__xludf.DUMMYFUNCTION("COUNT(IMPORTRANGE(""https://docs.google.com/spreadsheets/d/1ptS0qWBCKWkc9h2aXWT_YgMhN7yIv5WgAHRbF8l9Zpo/edit"",""22!d2:d41""))"),31)</f>
        <v>31</v>
      </c>
      <c r="F577" s="23">
        <f ca="1">IFERROR(__xludf.DUMMYFUNCTION("SUM(IMPORTRANGE(""https://docs.google.com/spreadsheets/d/1ptS0qWBCKWkc9h2aXWT_YgMhN7yIv5WgAHRbF8l9Zpo/edit"",""22!Q2:Q41""))"),5994.687)</f>
        <v>5994.6869999999999</v>
      </c>
      <c r="G577" s="18">
        <f ca="1">IFERROR(__xludf.DUMMYFUNCTION("IMPORTRANGE(""https://docs.google.com/spreadsheets/d/1ptS0qWBCKWkc9h2aXWT_YgMhN7yIv5WgAHRbF8l9Zpo/edit"",""22!e48"")"),1904)</f>
        <v>1904</v>
      </c>
      <c r="H577" s="18">
        <f ca="1">IFERROR(__xludf.DUMMYFUNCTION("IMPORTRANGE(""https://docs.google.com/spreadsheets/d/1ptS0qWBCKWkc9h2aXWT_YgMhN7yIv5WgAHRbF8l9Zpo/edit"",""22!e49"")"),86)</f>
        <v>86</v>
      </c>
      <c r="I577" s="18">
        <f t="shared" ca="1" si="1587"/>
        <v>1990</v>
      </c>
      <c r="J577" s="18">
        <f ca="1">IFERROR(__xludf.DUMMYFUNCTION("IMPORTRANGE(""https://docs.google.com/spreadsheets/d/1ptS0qWBCKWkc9h2aXWT_YgMhN7yIv5WgAHRbF8l9Zpo/edit"",""22!e52"")"),2232)</f>
        <v>2232</v>
      </c>
      <c r="K577" s="18">
        <f ca="1">IFERROR(__xludf.DUMMYFUNCTION("IMPORTRANGE(""https://docs.google.com/spreadsheets/d/1ptS0qWBCKWkc9h2aXWT_YgMhN7yIv5WgAHRbF8l9Zpo/edit"",""22!e53"")"),0)</f>
        <v>0</v>
      </c>
      <c r="L577" s="18">
        <f t="shared" ca="1" si="1588"/>
        <v>2232</v>
      </c>
      <c r="M577" s="18">
        <f t="shared" ca="1" si="1589"/>
        <v>4222</v>
      </c>
      <c r="N577" s="19">
        <f t="shared" ca="1" si="1590"/>
        <v>193.37700000000001</v>
      </c>
      <c r="O577" s="16">
        <v>9354</v>
      </c>
      <c r="P577" s="20">
        <f t="shared" ca="1" si="1591"/>
        <v>0.45135770793243535</v>
      </c>
      <c r="Q577" s="21">
        <v>1.5</v>
      </c>
      <c r="R577" s="20">
        <f t="shared" ca="1" si="1592"/>
        <v>0.46952687716083702</v>
      </c>
      <c r="S577" s="22">
        <f t="shared" ca="1" si="1593"/>
        <v>0.70429031574125556</v>
      </c>
      <c r="T577" s="21">
        <f ca="1">F577/30.713</f>
        <v>195.18402630807799</v>
      </c>
      <c r="U577" s="21">
        <f t="shared" ca="1" si="1594"/>
        <v>6.2962589131638058</v>
      </c>
      <c r="V577" s="18">
        <f t="shared" ca="1" si="1595"/>
        <v>136.19354838709677</v>
      </c>
      <c r="W577" s="76"/>
      <c r="X577" s="100" t="s">
        <v>35</v>
      </c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9"/>
      <c r="AS577" s="76"/>
      <c r="AT577" s="76"/>
    </row>
    <row r="578" spans="1:46" ht="15.75" customHeight="1" x14ac:dyDescent="0.25">
      <c r="A578" s="70"/>
      <c r="B578" s="16">
        <v>6</v>
      </c>
      <c r="C578" s="16" t="s">
        <v>23</v>
      </c>
      <c r="D578" s="17">
        <v>28</v>
      </c>
      <c r="E578" s="18">
        <f ca="1">IFERROR(__xludf.DUMMYFUNCTION("COUNT(IMPORTRANGE(""https://docs.google.com/spreadsheets/d/1829CoYW82aTBBUgqkPnJa94KlBWI-DowAnP4ENQCmaQ/edit"",""22!d2:d36""))"),28)</f>
        <v>28</v>
      </c>
      <c r="F578" s="23">
        <f ca="1">IFERROR(__xludf.DUMMYFUNCTION("SUM(IMPORTRANGE(""https://docs.google.com/spreadsheets/d/1829CoYW82aTBBUgqkPnJa94KlBWI-DowAnP4ENQCmaQ/edit"",""22!Q2:Q36""))"),5398.39999999999)</f>
        <v>5398.3999999999896</v>
      </c>
      <c r="G578" s="18">
        <f ca="1">IFERROR(__xludf.DUMMYFUNCTION("IMPORTRANGE(""https://docs.google.com/spreadsheets/d/1829CoYW82aTBBUgqkPnJa94KlBWI-DowAnP4ENQCmaQ/edit"",""22!e43"")"),1256)</f>
        <v>1256</v>
      </c>
      <c r="H578" s="18">
        <f ca="1">IFERROR(__xludf.DUMMYFUNCTION("IMPORTRANGE(""https://docs.google.com/spreadsheets/d/1829CoYW82aTBBUgqkPnJa94KlBWI-DowAnP4ENQCmaQ/edit"",""22!e44"")"),0)</f>
        <v>0</v>
      </c>
      <c r="I578" s="18">
        <f t="shared" ca="1" si="1587"/>
        <v>1256</v>
      </c>
      <c r="J578" s="18">
        <f ca="1">IFERROR(__xludf.DUMMYFUNCTION("IMPORTRANGE(""https://docs.google.com/spreadsheets/d/1829CoYW82aTBBUgqkPnJa94KlBWI-DowAnP4ENQCmaQ/edit"",""22!e47"")"),2376)</f>
        <v>2376</v>
      </c>
      <c r="K578" s="18">
        <f ca="1">IFERROR(__xludf.DUMMYFUNCTION("IMPORTRANGE(""https://docs.google.com/spreadsheets/d/1829CoYW82aTBBUgqkPnJa94KlBWI-DowAnP4ENQCmaQ/edit"",""22!e48"")"),0)</f>
        <v>0</v>
      </c>
      <c r="L578" s="18">
        <f t="shared" ca="1" si="1588"/>
        <v>2376</v>
      </c>
      <c r="M578" s="18">
        <f t="shared" ca="1" si="1589"/>
        <v>3632</v>
      </c>
      <c r="N578" s="19">
        <f t="shared" ca="1" si="1590"/>
        <v>192.79999999999964</v>
      </c>
      <c r="O578" s="16">
        <v>6853</v>
      </c>
      <c r="P578" s="20">
        <f t="shared" ca="1" si="1591"/>
        <v>0.52998686706551879</v>
      </c>
      <c r="Q578" s="21">
        <v>1.5</v>
      </c>
      <c r="R578" s="20">
        <f t="shared" ca="1" si="1592"/>
        <v>0.44852795890140373</v>
      </c>
      <c r="S578" s="22">
        <f t="shared" ca="1" si="1593"/>
        <v>0.6727919383521056</v>
      </c>
      <c r="T578" s="21">
        <f ca="1">F578/33.74</f>
        <v>159.99999999999969</v>
      </c>
      <c r="U578" s="21">
        <f t="shared" ca="1" si="1594"/>
        <v>5.7142857142857029</v>
      </c>
      <c r="V578" s="18">
        <f t="shared" ca="1" si="1595"/>
        <v>129.71428571428572</v>
      </c>
      <c r="W578" s="76"/>
      <c r="X578" s="1" t="s">
        <v>2</v>
      </c>
      <c r="Y578" s="1" t="s">
        <v>3</v>
      </c>
      <c r="Z578" s="1" t="s">
        <v>4</v>
      </c>
      <c r="AA578" s="1" t="s">
        <v>5</v>
      </c>
      <c r="AB578" s="2" t="s">
        <v>6</v>
      </c>
      <c r="AC578" s="1" t="s">
        <v>7</v>
      </c>
      <c r="AD578" s="1" t="s">
        <v>8</v>
      </c>
      <c r="AE578" s="1" t="s">
        <v>9</v>
      </c>
      <c r="AF578" s="1" t="s">
        <v>10</v>
      </c>
      <c r="AG578" s="1" t="s">
        <v>11</v>
      </c>
      <c r="AH578" s="1" t="s">
        <v>12</v>
      </c>
      <c r="AI578" s="1" t="s">
        <v>13</v>
      </c>
      <c r="AJ578" s="2" t="s">
        <v>14</v>
      </c>
      <c r="AK578" s="1" t="s">
        <v>15</v>
      </c>
      <c r="AL578" s="1" t="s">
        <v>16</v>
      </c>
      <c r="AM578" s="3" t="s">
        <v>17</v>
      </c>
      <c r="AN578" s="4" t="s">
        <v>18</v>
      </c>
      <c r="AO578" s="5" t="s">
        <v>19</v>
      </c>
      <c r="AP578" s="6" t="s">
        <v>20</v>
      </c>
      <c r="AQ578" s="6" t="s">
        <v>21</v>
      </c>
      <c r="AR578" s="7" t="s">
        <v>22</v>
      </c>
      <c r="AS578" s="76"/>
      <c r="AT578" s="76"/>
    </row>
    <row r="579" spans="1:46" ht="15.75" customHeight="1" x14ac:dyDescent="0.25">
      <c r="A579" s="70"/>
      <c r="B579" s="16">
        <v>7</v>
      </c>
      <c r="C579" s="16" t="s">
        <v>24</v>
      </c>
      <c r="D579" s="17">
        <v>37</v>
      </c>
      <c r="E579" s="31">
        <f ca="1">IFERROR(__xludf.DUMMYFUNCTION("COUNT(IMPORTRANGE(""https://docs.google.com/spreadsheets/d/1E2x4oDZxEIsuC5nl-5Z0--MoN8b1dt9SbpRcCfNP84Q/edit"",""22!d2:d45""))"),37)</f>
        <v>37</v>
      </c>
      <c r="F579" s="32">
        <f ca="1">IFERROR(__xludf.DUMMYFUNCTION("SUM(IMPORTRANGE(""https://docs.google.com/spreadsheets/d/1E2x4oDZxEIsuC5nl-5Z0--MoN8b1dt9SbpRcCfNP84Q/edit"",""22!Q2:Q45""))"),7252.80499999999)</f>
        <v>7252.8049999999903</v>
      </c>
      <c r="G579" s="31">
        <f ca="1">IFERROR(__xludf.DUMMYFUNCTION("IMPORTRANGE(""https://docs.google.com/spreadsheets/d/1E2x4oDZxEIsuC5nl-5Z0--MoN8b1dt9SbpRcCfNP84Q/edit"",""22!e53"")"),717)</f>
        <v>717</v>
      </c>
      <c r="H579" s="31">
        <f ca="1">IFERROR(__xludf.DUMMYFUNCTION("IMPORTRANGE(""https://docs.google.com/spreadsheets/d/1E2x4oDZxEIsuC5nl-5Z0--MoN8b1dt9SbpRcCfNP84Q/edit"",""22!e54"")"),0)</f>
        <v>0</v>
      </c>
      <c r="I579" s="31">
        <f t="shared" ca="1" si="1587"/>
        <v>717</v>
      </c>
      <c r="J579" s="31">
        <f ca="1">IFERROR(__xludf.DUMMYFUNCTION("IMPORTRANGE(""https://docs.google.com/spreadsheets/d/1E2x4oDZxEIsuC5nl-5Z0--MoN8b1dt9SbpRcCfNP84Q/edit"",""22!e57"")"),1161)</f>
        <v>1161</v>
      </c>
      <c r="K579" s="31">
        <f ca="1">IFERROR(__xludf.DUMMYFUNCTION("IMPORTRANGE(""https://docs.google.com/spreadsheets/d/1E2x4oDZxEIsuC5nl-5Z0--MoN8b1dt9SbpRcCfNP84Q/edit"",""22!e58"")"),0)</f>
        <v>0</v>
      </c>
      <c r="L579" s="18">
        <f t="shared" ca="1" si="1588"/>
        <v>1161</v>
      </c>
      <c r="M579" s="18">
        <f t="shared" ca="1" si="1589"/>
        <v>1878</v>
      </c>
      <c r="N579" s="19">
        <f t="shared" ca="1" si="1590"/>
        <v>196.0217567567565</v>
      </c>
      <c r="O579" s="16">
        <v>1580</v>
      </c>
      <c r="P579" s="33">
        <f t="shared" ca="1" si="1591"/>
        <v>1.1886075949367088</v>
      </c>
      <c r="Q579" s="21">
        <v>1.5</v>
      </c>
      <c r="R579" s="20">
        <f t="shared" ca="1" si="1592"/>
        <v>0.17262286798004381</v>
      </c>
      <c r="S579" s="22">
        <f t="shared" ca="1" si="1593"/>
        <v>0.25893430197006573</v>
      </c>
      <c r="T579" s="21">
        <f ca="1">F579/26.805</f>
        <v>270.57657153516101</v>
      </c>
      <c r="U579" s="21">
        <f t="shared" ca="1" si="1594"/>
        <v>7.3128803117611083</v>
      </c>
      <c r="V579" s="18">
        <f t="shared" ca="1" si="1595"/>
        <v>50.756756756756758</v>
      </c>
      <c r="W579" s="76"/>
      <c r="X579" s="8">
        <v>1</v>
      </c>
      <c r="Y579" s="8" t="s">
        <v>28</v>
      </c>
      <c r="Z579" s="8">
        <f t="shared" ref="Z579:AI579" si="1606">SUM(D574)</f>
        <v>26</v>
      </c>
      <c r="AA579" s="9">
        <f t="shared" ca="1" si="1606"/>
        <v>26</v>
      </c>
      <c r="AB579" s="11">
        <f t="shared" ca="1" si="1606"/>
        <v>4938.8140000000003</v>
      </c>
      <c r="AC579" s="9">
        <f t="shared" ca="1" si="1606"/>
        <v>1990</v>
      </c>
      <c r="AD579" s="9">
        <f t="shared" ca="1" si="1606"/>
        <v>78</v>
      </c>
      <c r="AE579" s="9">
        <f t="shared" ca="1" si="1606"/>
        <v>2068</v>
      </c>
      <c r="AF579" s="9">
        <f t="shared" ca="1" si="1606"/>
        <v>2079</v>
      </c>
      <c r="AG579" s="9">
        <f t="shared" ca="1" si="1606"/>
        <v>53</v>
      </c>
      <c r="AH579" s="9">
        <f t="shared" ca="1" si="1606"/>
        <v>2132</v>
      </c>
      <c r="AI579" s="9">
        <f t="shared" ca="1" si="1606"/>
        <v>4200</v>
      </c>
      <c r="AJ579" s="11">
        <f t="shared" ref="AJ579:AJ585" ca="1" si="1607">AB579/AA579</f>
        <v>189.95438461538464</v>
      </c>
      <c r="AK579" s="8">
        <f t="shared" ref="AK579:AK580" si="1608">SUM(O574)</f>
        <v>7315</v>
      </c>
      <c r="AL579" s="12">
        <f t="shared" ref="AL579:AL585" ca="1" si="1609">AI579/AK579</f>
        <v>0.57416267942583732</v>
      </c>
      <c r="AM579" s="13">
        <f t="shared" ref="AM579:AM580" si="1610">SUM(Q574)</f>
        <v>1.5</v>
      </c>
      <c r="AN579" s="12">
        <f t="shared" ref="AN579:AN585" ca="1" si="1611">AO579/AM579</f>
        <v>0.56693773039438211</v>
      </c>
      <c r="AO579" s="14">
        <f t="shared" ref="AO579:AO585" ca="1" si="1612">AI579/AB579</f>
        <v>0.85040659559157317</v>
      </c>
      <c r="AP579" s="13">
        <f t="shared" ref="AP579:AQ579" ca="1" si="1613">SUM(T574)</f>
        <v>159.84768747774868</v>
      </c>
      <c r="AQ579" s="13">
        <f t="shared" ca="1" si="1613"/>
        <v>6.1479879799134105</v>
      </c>
      <c r="AR579" s="9">
        <f t="shared" ref="AR579:AR585" ca="1" si="1614">AI579/AA579</f>
        <v>161.53846153846155</v>
      </c>
      <c r="AS579" s="76"/>
      <c r="AT579" s="76"/>
    </row>
    <row r="580" spans="1:46" ht="15.75" customHeight="1" x14ac:dyDescent="0.25">
      <c r="A580" s="70"/>
      <c r="B580" s="16">
        <v>8</v>
      </c>
      <c r="C580" s="16" t="s">
        <v>25</v>
      </c>
      <c r="D580" s="34">
        <v>27</v>
      </c>
      <c r="E580" s="18">
        <f ca="1">IFERROR(__xludf.DUMMYFUNCTION("COUNT(IMPORTRANGE(""https://docs.google.com/spreadsheets/d/1KbRFOEYB0B44J_NSh1MwYQ1sLDlZXUHI-wuMLcZDn5k/edit"",""22!d2:D33""))"),26)</f>
        <v>26</v>
      </c>
      <c r="F580" s="23">
        <f ca="1">IFERROR(__xludf.DUMMYFUNCTION("SUM(IMPORTRANGE(""https://docs.google.com/spreadsheets/d/1KbRFOEYB0B44J_NSh1MwYQ1sLDlZXUHI-wuMLcZDn5k/edit"",""22!Q2:Q33""))"),4860.736)</f>
        <v>4860.7359999999999</v>
      </c>
      <c r="G580" s="18">
        <f ca="1">IFERROR(__xludf.DUMMYFUNCTION("IMPORTRANGE(""https://docs.google.com/spreadsheets/d/1KbRFOEYB0B44J_NSh1MwYQ1sLDlZXUHI-wuMLcZDn5k/edit"",""22!e40"")"),1765)</f>
        <v>1765</v>
      </c>
      <c r="H580" s="18">
        <f ca="1">IFERROR(__xludf.DUMMYFUNCTION("IMPORTRANGE(""https://docs.google.com/spreadsheets/d/1KbRFOEYB0B44J_NSh1MwYQ1sLDlZXUHI-wuMLcZDn5k/edit"",""22!e41"")"),420)</f>
        <v>420</v>
      </c>
      <c r="I580" s="18">
        <f t="shared" ca="1" si="1587"/>
        <v>2185</v>
      </c>
      <c r="J580" s="18">
        <f ca="1">IFERROR(__xludf.DUMMYFUNCTION("IMPORTRANGE(""https://docs.google.com/spreadsheets/d/1KbRFOEYB0B44J_NSh1MwYQ1sLDlZXUHI-wuMLcZDn5k/edit"",""22!e44"")"),2334)</f>
        <v>2334</v>
      </c>
      <c r="K580" s="18">
        <f ca="1">IFERROR(__xludf.DUMMYFUNCTION("IMPORTRANGE(""https://docs.google.com/spreadsheets/d/1KbRFOEYB0B44J_NSh1MwYQ1sLDlZXUHI-wuMLcZDn5k/edit"",""22!e45"")"),253)</f>
        <v>253</v>
      </c>
      <c r="L580" s="18">
        <f ca="1">J580+K580</f>
        <v>2587</v>
      </c>
      <c r="M580" s="18">
        <f t="shared" ca="1" si="1589"/>
        <v>4772</v>
      </c>
      <c r="N580" s="19">
        <f t="shared" ca="1" si="1590"/>
        <v>186.9513846153846</v>
      </c>
      <c r="O580" s="16">
        <v>6622</v>
      </c>
      <c r="P580" s="20">
        <f t="shared" ca="1" si="1591"/>
        <v>0.720628209000302</v>
      </c>
      <c r="Q580" s="21">
        <v>1.5</v>
      </c>
      <c r="R580" s="20">
        <f t="shared" ca="1" si="1592"/>
        <v>0.65449621895394716</v>
      </c>
      <c r="S580" s="22">
        <f t="shared" ca="1" si="1593"/>
        <v>0.98174432843092074</v>
      </c>
      <c r="T580" s="21">
        <f ca="1">F580/23.84</f>
        <v>203.88993288590603</v>
      </c>
      <c r="U580" s="21">
        <f t="shared" ca="1" si="1594"/>
        <v>7.8419204956117703</v>
      </c>
      <c r="V580" s="18">
        <f t="shared" ca="1" si="1595"/>
        <v>183.53846153846155</v>
      </c>
      <c r="W580" s="76"/>
      <c r="X580" s="8">
        <v>2</v>
      </c>
      <c r="Y580" s="8" t="s">
        <v>30</v>
      </c>
      <c r="Z580" s="8">
        <f t="shared" ref="Z580:AI580" si="1615">SUM(D575)</f>
        <v>48</v>
      </c>
      <c r="AA580" s="9">
        <f t="shared" ca="1" si="1615"/>
        <v>47</v>
      </c>
      <c r="AB580" s="10">
        <f t="shared" ca="1" si="1615"/>
        <v>9396.7659999999905</v>
      </c>
      <c r="AC580" s="9">
        <f t="shared" ca="1" si="1615"/>
        <v>2224</v>
      </c>
      <c r="AD580" s="9">
        <f t="shared" ca="1" si="1615"/>
        <v>0</v>
      </c>
      <c r="AE580" s="9">
        <f t="shared" ca="1" si="1615"/>
        <v>2224</v>
      </c>
      <c r="AF580" s="9">
        <f t="shared" ca="1" si="1615"/>
        <v>4257</v>
      </c>
      <c r="AG580" s="9">
        <f t="shared" ca="1" si="1615"/>
        <v>0</v>
      </c>
      <c r="AH580" s="9">
        <f t="shared" ca="1" si="1615"/>
        <v>4257</v>
      </c>
      <c r="AI580" s="9">
        <f t="shared" ca="1" si="1615"/>
        <v>6481</v>
      </c>
      <c r="AJ580" s="11">
        <f t="shared" ca="1" si="1607"/>
        <v>199.93119148936151</v>
      </c>
      <c r="AK580" s="8">
        <f t="shared" si="1608"/>
        <v>11164</v>
      </c>
      <c r="AL580" s="12">
        <f t="shared" ca="1" si="1609"/>
        <v>0.58052669294159798</v>
      </c>
      <c r="AM580" s="13">
        <f t="shared" si="1610"/>
        <v>1.5</v>
      </c>
      <c r="AN580" s="12">
        <f t="shared" ca="1" si="1611"/>
        <v>0.45980358206926414</v>
      </c>
      <c r="AO580" s="14">
        <f t="shared" ca="1" si="1612"/>
        <v>0.68970537310389624</v>
      </c>
      <c r="AP580" s="13">
        <f t="shared" ref="AP580:AQ580" ca="1" si="1616">SUM(T575)</f>
        <v>317.42613924264401</v>
      </c>
      <c r="AQ580" s="13">
        <f t="shared" ca="1" si="1616"/>
        <v>6.7537476434605113</v>
      </c>
      <c r="AR580" s="9">
        <f t="shared" ca="1" si="1614"/>
        <v>137.89361702127658</v>
      </c>
      <c r="AS580" s="76"/>
      <c r="AT580" s="76"/>
    </row>
    <row r="581" spans="1:46" ht="15.75" customHeight="1" x14ac:dyDescent="0.25">
      <c r="A581" s="70"/>
      <c r="B581" s="16">
        <v>9</v>
      </c>
      <c r="C581" s="16" t="s">
        <v>36</v>
      </c>
      <c r="D581" s="34">
        <v>23</v>
      </c>
      <c r="E581" s="18">
        <f ca="1">IFERROR(__xludf.DUMMYFUNCTION("COUNT(IMPORTRANGE(""https://docs.google.com/spreadsheets/d/1VqqqRGfmmkT0JC4ILJva2p8P11jjV0FX-TSKAaqOigw/edit"",""22!d2:d31""))"),23)</f>
        <v>23</v>
      </c>
      <c r="F581" s="23">
        <f ca="1">IFERROR(__xludf.DUMMYFUNCTION("SUM(IMPORTRANGE(""https://docs.google.com/spreadsheets/d/1VqqqRGfmmkT0JC4ILJva2p8P11jjV0FX-TSKAaqOigw/edit"",""22!Q2:Q31""))"),4540.21499999999)</f>
        <v>4540.2149999999901</v>
      </c>
      <c r="G581" s="18">
        <f ca="1">IFERROR(__xludf.DUMMYFUNCTION("IMPORTRANGE(""https://docs.google.com/spreadsheets/d/1VqqqRGfmmkT0JC4ILJva2p8P11jjV0FX-TSKAaqOigw/edit"",""22!e38"")"),1080)</f>
        <v>1080</v>
      </c>
      <c r="H581" s="18">
        <f ca="1">IFERROR(__xludf.DUMMYFUNCTION("IMPORTRANGE(""https://docs.google.com/spreadsheets/d/1VqqqRGfmmkT0JC4ILJva2p8P11jjV0FX-TSKAaqOigw/edit"",""22!e39"")"),0)</f>
        <v>0</v>
      </c>
      <c r="I581" s="18">
        <f t="shared" ca="1" si="1587"/>
        <v>1080</v>
      </c>
      <c r="J581" s="18">
        <f ca="1">IFERROR(__xludf.DUMMYFUNCTION("IMPORTRANGE(""https://docs.google.com/spreadsheets/d/1VqqqRGfmmkT0JC4ILJva2p8P11jjV0FX-TSKAaqOigw/edit"",""22!e42"")"),1731)</f>
        <v>1731</v>
      </c>
      <c r="K581" s="18">
        <f ca="1">IFERROR(__xludf.DUMMYFUNCTION("IMPORTRANGE(""https://docs.google.com/spreadsheets/d/1VqqqRGfmmkT0JC4ILJva2p8P11jjV0FX-TSKAaqOigw/edit"",""22!e43"")"),0)</f>
        <v>0</v>
      </c>
      <c r="L581" s="18">
        <f t="shared" ref="L581:L590" ca="1" si="1617">SUM(J581:K581)</f>
        <v>1731</v>
      </c>
      <c r="M581" s="18">
        <f t="shared" ca="1" si="1589"/>
        <v>2811</v>
      </c>
      <c r="N581" s="19">
        <f t="shared" ca="1" si="1590"/>
        <v>197.40065217391262</v>
      </c>
      <c r="O581" s="16">
        <v>4796</v>
      </c>
      <c r="P581" s="20">
        <f t="shared" ca="1" si="1591"/>
        <v>0.58611342785654708</v>
      </c>
      <c r="Q581" s="21">
        <v>1.5</v>
      </c>
      <c r="R581" s="20">
        <f t="shared" ca="1" si="1592"/>
        <v>0.41275578359174708</v>
      </c>
      <c r="S581" s="22">
        <f t="shared" ca="1" si="1593"/>
        <v>0.61913367538762065</v>
      </c>
      <c r="T581" s="21">
        <f ca="1">F581/37.414</f>
        <v>121.35069759982868</v>
      </c>
      <c r="U581" s="21">
        <f t="shared" ca="1" si="1594"/>
        <v>5.2761172869490727</v>
      </c>
      <c r="V581" s="18">
        <f t="shared" ca="1" si="1595"/>
        <v>122.21739130434783</v>
      </c>
      <c r="W581" s="76"/>
      <c r="X581" s="8">
        <v>3</v>
      </c>
      <c r="Y581" s="8" t="s">
        <v>34</v>
      </c>
      <c r="Z581" s="8">
        <f t="shared" ref="Z581:AI581" si="1618">SUM(D577)</f>
        <v>32</v>
      </c>
      <c r="AA581" s="9">
        <f t="shared" ca="1" si="1618"/>
        <v>31</v>
      </c>
      <c r="AB581" s="10">
        <f t="shared" ca="1" si="1618"/>
        <v>5994.6869999999999</v>
      </c>
      <c r="AC581" s="9">
        <f t="shared" ca="1" si="1618"/>
        <v>1904</v>
      </c>
      <c r="AD581" s="9">
        <f t="shared" ca="1" si="1618"/>
        <v>86</v>
      </c>
      <c r="AE581" s="9">
        <f t="shared" ca="1" si="1618"/>
        <v>1990</v>
      </c>
      <c r="AF581" s="9">
        <f t="shared" ca="1" si="1618"/>
        <v>2232</v>
      </c>
      <c r="AG581" s="9">
        <f t="shared" ca="1" si="1618"/>
        <v>0</v>
      </c>
      <c r="AH581" s="9">
        <f t="shared" ca="1" si="1618"/>
        <v>2232</v>
      </c>
      <c r="AI581" s="9">
        <f t="shared" ca="1" si="1618"/>
        <v>4222</v>
      </c>
      <c r="AJ581" s="11">
        <f t="shared" ca="1" si="1607"/>
        <v>193.37700000000001</v>
      </c>
      <c r="AK581" s="8">
        <f>SUM(O577)</f>
        <v>9354</v>
      </c>
      <c r="AL581" s="12">
        <f t="shared" ca="1" si="1609"/>
        <v>0.45135770793243535</v>
      </c>
      <c r="AM581" s="13">
        <f>SUM(Q577)</f>
        <v>1.5</v>
      </c>
      <c r="AN581" s="12">
        <f t="shared" ca="1" si="1611"/>
        <v>0.46952687716083702</v>
      </c>
      <c r="AO581" s="14">
        <f t="shared" ca="1" si="1612"/>
        <v>0.70429031574125556</v>
      </c>
      <c r="AP581" s="13">
        <f t="shared" ref="AP581:AQ581" ca="1" si="1619">SUM(T577)</f>
        <v>195.18402630807799</v>
      </c>
      <c r="AQ581" s="13">
        <f t="shared" ca="1" si="1619"/>
        <v>6.2962589131638058</v>
      </c>
      <c r="AR581" s="9">
        <f t="shared" ca="1" si="1614"/>
        <v>136.19354838709677</v>
      </c>
      <c r="AS581" s="76"/>
      <c r="AT581" s="76"/>
    </row>
    <row r="582" spans="1:46" ht="15.75" customHeight="1" x14ac:dyDescent="0.25">
      <c r="A582" s="70"/>
      <c r="B582" s="16">
        <v>10</v>
      </c>
      <c r="C582" s="16" t="s">
        <v>37</v>
      </c>
      <c r="D582" s="17">
        <v>24</v>
      </c>
      <c r="E582" s="18">
        <f ca="1">IFERROR(__xludf.DUMMYFUNCTION("COUNT(IMPORTRANGE(""https://docs.google.com/spreadsheets/d/1IYeRjQd_D6MRqoBKNaky3aSEUloYCJc5XDnPAbdyetk/edit"",""22!d2:d31""))"),23)</f>
        <v>23</v>
      </c>
      <c r="F582" s="23">
        <f ca="1">IFERROR(__xludf.DUMMYFUNCTION("SUM(IMPORTRANGE(""https://docs.google.com/spreadsheets/d/1IYeRjQd_D6MRqoBKNaky3aSEUloYCJc5XDnPAbdyetk/edit"",""22!Q2:Q31""))"),4459.938)</f>
        <v>4459.9380000000001</v>
      </c>
      <c r="G582" s="18">
        <f ca="1">IFERROR(__xludf.DUMMYFUNCTION("(IMPORTRANGE(""https://docs.google.com/spreadsheets/d/1IYeRjQd_D6MRqoBKNaky3aSEUloYCJc5XDnPAbdyetk/edit"",""22!e38""))"),1195)</f>
        <v>1195</v>
      </c>
      <c r="H582" s="18">
        <f ca="1">IFERROR(__xludf.DUMMYFUNCTION("(IMPORTRANGE(""https://docs.google.com/spreadsheets/d/1IYeRjQd_D6MRqoBKNaky3aSEUloYCJc5XDnPAbdyetk/edit"",""22!e39""))"),65)</f>
        <v>65</v>
      </c>
      <c r="I582" s="18">
        <f t="shared" ca="1" si="1587"/>
        <v>1260</v>
      </c>
      <c r="J582" s="18">
        <f ca="1">IFERROR(__xludf.DUMMYFUNCTION("(IMPORTRANGE(""https://docs.google.com/spreadsheets/d/1IYeRjQd_D6MRqoBKNaky3aSEUloYCJc5XDnPAbdyetk/edit"",""22!e42""))"),2620)</f>
        <v>2620</v>
      </c>
      <c r="K582" s="18">
        <f ca="1">IFERROR(__xludf.DUMMYFUNCTION("(IMPORTRANGE(""https://docs.google.com/spreadsheets/d/1IYeRjQd_D6MRqoBKNaky3aSEUloYCJc5XDnPAbdyetk/edit"",""22!e43""))"),0)</f>
        <v>0</v>
      </c>
      <c r="L582" s="18">
        <f t="shared" ca="1" si="1617"/>
        <v>2620</v>
      </c>
      <c r="M582" s="18">
        <f t="shared" ca="1" si="1589"/>
        <v>3880</v>
      </c>
      <c r="N582" s="19">
        <f t="shared" ca="1" si="1590"/>
        <v>193.91034782608696</v>
      </c>
      <c r="O582" s="16">
        <v>5887</v>
      </c>
      <c r="P582" s="20">
        <f t="shared" ca="1" si="1591"/>
        <v>0.65907932733140817</v>
      </c>
      <c r="Q582" s="21">
        <v>1.5</v>
      </c>
      <c r="R582" s="20">
        <f t="shared" ca="1" si="1592"/>
        <v>0.57997816711054428</v>
      </c>
      <c r="S582" s="22">
        <f t="shared" ca="1" si="1593"/>
        <v>0.86996725066581637</v>
      </c>
      <c r="T582" s="21">
        <f ca="1">F582/24.792</f>
        <v>179.89424007744432</v>
      </c>
      <c r="U582" s="21">
        <f t="shared" ca="1" si="1594"/>
        <v>7.8214886990193184</v>
      </c>
      <c r="V582" s="18">
        <f t="shared" ca="1" si="1595"/>
        <v>168.69565217391303</v>
      </c>
      <c r="W582" s="76"/>
      <c r="X582" s="8">
        <v>4</v>
      </c>
      <c r="Y582" s="8" t="s">
        <v>38</v>
      </c>
      <c r="Z582" s="8">
        <f t="shared" ref="Z582:AI582" si="1620">SUM(D585)</f>
        <v>24</v>
      </c>
      <c r="AA582" s="9">
        <f t="shared" ca="1" si="1620"/>
        <v>24</v>
      </c>
      <c r="AB582" s="10">
        <f t="shared" ca="1" si="1620"/>
        <v>4759.6930000000002</v>
      </c>
      <c r="AC582" s="9">
        <f t="shared" ca="1" si="1620"/>
        <v>1332</v>
      </c>
      <c r="AD582" s="9">
        <f t="shared" ca="1" si="1620"/>
        <v>0</v>
      </c>
      <c r="AE582" s="9">
        <f t="shared" ca="1" si="1620"/>
        <v>1332</v>
      </c>
      <c r="AF582" s="9">
        <f t="shared" ca="1" si="1620"/>
        <v>2547</v>
      </c>
      <c r="AG582" s="9">
        <f t="shared" ca="1" si="1620"/>
        <v>134</v>
      </c>
      <c r="AH582" s="9">
        <f t="shared" ca="1" si="1620"/>
        <v>2681</v>
      </c>
      <c r="AI582" s="9">
        <f t="shared" ca="1" si="1620"/>
        <v>4013</v>
      </c>
      <c r="AJ582" s="11">
        <f t="shared" ca="1" si="1607"/>
        <v>198.32054166666668</v>
      </c>
      <c r="AK582" s="8">
        <v>7324</v>
      </c>
      <c r="AL582" s="12">
        <f t="shared" ca="1" si="1609"/>
        <v>0.54792463134898961</v>
      </c>
      <c r="AM582" s="13">
        <f>SUM(Q585)</f>
        <v>1.5</v>
      </c>
      <c r="AN582" s="12">
        <f t="shared" ca="1" si="1611"/>
        <v>0.56208106979448746</v>
      </c>
      <c r="AO582" s="14">
        <f t="shared" ca="1" si="1612"/>
        <v>0.84312160469173114</v>
      </c>
      <c r="AP582" s="13">
        <f t="shared" ref="AP582:AQ582" ca="1" si="1621">SUM(T585)</f>
        <v>115.5125106176435</v>
      </c>
      <c r="AQ582" s="13">
        <f t="shared" ca="1" si="1621"/>
        <v>4.8130212757351458</v>
      </c>
      <c r="AR582" s="9">
        <f t="shared" ca="1" si="1614"/>
        <v>167.20833333333334</v>
      </c>
      <c r="AS582" s="76"/>
      <c r="AT582" s="76"/>
    </row>
    <row r="583" spans="1:46" ht="15.75" customHeight="1" x14ac:dyDescent="0.25">
      <c r="A583" s="70"/>
      <c r="B583" s="16">
        <v>12</v>
      </c>
      <c r="C583" s="16" t="s">
        <v>39</v>
      </c>
      <c r="D583" s="17">
        <v>22</v>
      </c>
      <c r="E583" s="18">
        <f ca="1">IFERROR(__xludf.DUMMYFUNCTION("COUNT(IMPORTRANGE(""https://docs.google.com/spreadsheets/d/1TAY2D35yAzyl8a_p5CuZehQvmatfj0b0Q8ICl8GtJBY/edit"",""22!d2:d29""))"),22)</f>
        <v>22</v>
      </c>
      <c r="F583" s="23">
        <f ca="1">IFERROR(__xludf.DUMMYFUNCTION("SUM(IMPORTRANGE(""https://docs.google.com/spreadsheets/d/1TAY2D35yAzyl8a_p5CuZehQvmatfj0b0Q8ICl8GtJBY/edit"",""22!Q2:Q29""))"),4255.131)</f>
        <v>4255.1310000000003</v>
      </c>
      <c r="G583" s="18">
        <f ca="1">IFERROR(__xludf.DUMMYFUNCTION("IMPORTRANGE(""https://docs.google.com/spreadsheets/d/1TAY2D35yAzyl8a_p5CuZehQvmatfj0b0Q8ICl8GtJBY/edit"",""22!e36"")"),1031)</f>
        <v>1031</v>
      </c>
      <c r="H583" s="18">
        <f ca="1">IFERROR(__xludf.DUMMYFUNCTION("(IMPORTRANGE(""https://docs.google.com/spreadsheets/d/1TAY2D35yAzyl8a_p5CuZehQvmatfj0b0Q8ICl8GtJBY/edit"",""22!e37""))"),0)</f>
        <v>0</v>
      </c>
      <c r="I583" s="18">
        <f t="shared" ca="1" si="1587"/>
        <v>1031</v>
      </c>
      <c r="J583" s="18">
        <f ca="1">IFERROR(__xludf.DUMMYFUNCTION("IMPORTRANGE(""https://docs.google.com/spreadsheets/d/1TAY2D35yAzyl8a_p5CuZehQvmatfj0b0Q8ICl8GtJBY/edit"",""22!e40"")"),1781)</f>
        <v>1781</v>
      </c>
      <c r="K583" s="18">
        <f ca="1">IFERROR(__xludf.DUMMYFUNCTION("IMPORTRANGE(""https://docs.google.com/spreadsheets/d/1TAY2D35yAzyl8a_p5CuZehQvmatfj0b0Q8ICl8GtJBY/edit"",""22!e41"")"),0)</f>
        <v>0</v>
      </c>
      <c r="L583" s="18">
        <f t="shared" ca="1" si="1617"/>
        <v>1781</v>
      </c>
      <c r="M583" s="18">
        <f t="shared" ca="1" si="1589"/>
        <v>2812</v>
      </c>
      <c r="N583" s="19">
        <f t="shared" ca="1" si="1590"/>
        <v>193.41504545454546</v>
      </c>
      <c r="O583" s="16">
        <v>3569</v>
      </c>
      <c r="P583" s="20">
        <f t="shared" ca="1" si="1591"/>
        <v>0.78789576912300363</v>
      </c>
      <c r="Q583" s="21">
        <v>1.5</v>
      </c>
      <c r="R583" s="20">
        <f t="shared" ca="1" si="1592"/>
        <v>0.44056614629882523</v>
      </c>
      <c r="S583" s="22">
        <f t="shared" ca="1" si="1593"/>
        <v>0.66084921944823782</v>
      </c>
      <c r="T583" s="21">
        <f ca="1">F583/21.463</f>
        <v>198.25425150258584</v>
      </c>
      <c r="U583" s="21">
        <f t="shared" ca="1" si="1594"/>
        <v>9.0115568864811753</v>
      </c>
      <c r="V583" s="18">
        <f t="shared" ca="1" si="1595"/>
        <v>127.81818181818181</v>
      </c>
      <c r="W583" s="76"/>
      <c r="X583" s="8">
        <v>5</v>
      </c>
      <c r="Y583" s="8" t="s">
        <v>40</v>
      </c>
      <c r="Z583" s="8">
        <f t="shared" ref="Z583:AI583" si="1622">SUM(D587)</f>
        <v>24</v>
      </c>
      <c r="AA583" s="9">
        <f t="shared" ca="1" si="1622"/>
        <v>24</v>
      </c>
      <c r="AB583" s="10">
        <f t="shared" ca="1" si="1622"/>
        <v>4366.6670000000004</v>
      </c>
      <c r="AC583" s="9">
        <f t="shared" ca="1" si="1622"/>
        <v>2521</v>
      </c>
      <c r="AD583" s="9">
        <f t="shared" ca="1" si="1622"/>
        <v>0</v>
      </c>
      <c r="AE583" s="9">
        <f t="shared" ca="1" si="1622"/>
        <v>2521</v>
      </c>
      <c r="AF583" s="9">
        <f t="shared" ca="1" si="1622"/>
        <v>3317</v>
      </c>
      <c r="AG583" s="9">
        <f t="shared" ca="1" si="1622"/>
        <v>0</v>
      </c>
      <c r="AH583" s="9">
        <f t="shared" ca="1" si="1622"/>
        <v>3317</v>
      </c>
      <c r="AI583" s="9">
        <f t="shared" ca="1" si="1622"/>
        <v>5838</v>
      </c>
      <c r="AJ583" s="11">
        <f t="shared" ca="1" si="1607"/>
        <v>181.94445833333336</v>
      </c>
      <c r="AK583" s="8">
        <f t="shared" ref="AK583:AK584" si="1623">SUM(O587)</f>
        <v>8239</v>
      </c>
      <c r="AL583" s="12">
        <f t="shared" ca="1" si="1609"/>
        <v>0.70858113848768056</v>
      </c>
      <c r="AM583" s="13">
        <f t="shared" ref="AM583:AM584" si="1624">SUM(Q587)</f>
        <v>1.5</v>
      </c>
      <c r="AN583" s="12">
        <f t="shared" ca="1" si="1611"/>
        <v>0.89129764188567606</v>
      </c>
      <c r="AO583" s="14">
        <f t="shared" ca="1" si="1612"/>
        <v>1.3369464628285141</v>
      </c>
      <c r="AP583" s="13">
        <f t="shared" ref="AP583:AQ583" ca="1" si="1625">SUM(T587)</f>
        <v>153.52343283057343</v>
      </c>
      <c r="AQ583" s="13">
        <f t="shared" ca="1" si="1625"/>
        <v>6.3968097012738925</v>
      </c>
      <c r="AR583" s="9">
        <f t="shared" ca="1" si="1614"/>
        <v>243.25</v>
      </c>
      <c r="AS583" s="76"/>
      <c r="AT583" s="76"/>
    </row>
    <row r="584" spans="1:46" ht="15.75" customHeight="1" x14ac:dyDescent="0.25">
      <c r="A584" s="70"/>
      <c r="B584" s="16">
        <v>12</v>
      </c>
      <c r="C584" s="16" t="s">
        <v>41</v>
      </c>
      <c r="D584" s="17">
        <v>20</v>
      </c>
      <c r="E584" s="18">
        <f ca="1">IFERROR(__xludf.DUMMYFUNCTION("COUNT(IMPORTRANGE(""https://docs.google.com/spreadsheets/d/1VAsUtLQHi7oV9NsI9EIHPnO1bcPJHeRgSbMoxSvPBME/edit"",""22!d2:d25""))"),20)</f>
        <v>20</v>
      </c>
      <c r="F584" s="23">
        <f ca="1">IFERROR(__xludf.DUMMYFUNCTION("SUM(IMPORTRANGE(""https://docs.google.com/spreadsheets/d/1VAsUtLQHi7oV9NsI9EIHPnO1bcPJHeRgSbMoxSvPBME/edit"",""22!Q2:Q25""))"),3904.312)</f>
        <v>3904.3119999999999</v>
      </c>
      <c r="G584" s="18">
        <f ca="1">IFERROR(__xludf.DUMMYFUNCTION("IMPORTRANGE(""https://docs.google.com/spreadsheets/d/1VAsUtLQHi7oV9NsI9EIHPnO1bcPJHeRgSbMoxSvPBME/edit"",""22!e32"")"),841)</f>
        <v>841</v>
      </c>
      <c r="H584" s="18">
        <f ca="1">IFERROR(__xludf.DUMMYFUNCTION("IMPORTRANGE(""https://docs.google.com/spreadsheets/d/1VAsUtLQHi7oV9NsI9EIHPnO1bcPJHeRgSbMoxSvPBME/edit"",""22!e33"")"),0)</f>
        <v>0</v>
      </c>
      <c r="I584" s="18">
        <f t="shared" ca="1" si="1587"/>
        <v>841</v>
      </c>
      <c r="J584" s="18">
        <f ca="1">IFERROR(__xludf.DUMMYFUNCTION("IMPORTRANGE(""https://docs.google.com/spreadsheets/d/1VAsUtLQHi7oV9NsI9EIHPnO1bcPJHeRgSbMoxSvPBME/edit"",""22!e36"")"),1274)</f>
        <v>1274</v>
      </c>
      <c r="K584" s="18">
        <f ca="1">IFERROR(__xludf.DUMMYFUNCTION("IMPORTRANGE(""https://docs.google.com/spreadsheets/d/1VAsUtLQHi7oV9NsI9EIHPnO1bcPJHeRgSbMoxSvPBME/edit"",""22!e37"")"),0)</f>
        <v>0</v>
      </c>
      <c r="L584" s="18">
        <f t="shared" ca="1" si="1617"/>
        <v>1274</v>
      </c>
      <c r="M584" s="18">
        <f t="shared" ca="1" si="1589"/>
        <v>2115</v>
      </c>
      <c r="N584" s="19">
        <f t="shared" ca="1" si="1590"/>
        <v>195.21559999999999</v>
      </c>
      <c r="O584" s="16">
        <v>3801</v>
      </c>
      <c r="P584" s="20">
        <f t="shared" ca="1" si="1591"/>
        <v>0.55643251775848457</v>
      </c>
      <c r="Q584" s="21">
        <v>1.5</v>
      </c>
      <c r="R584" s="20">
        <f t="shared" ca="1" si="1592"/>
        <v>0.36113917125475625</v>
      </c>
      <c r="S584" s="22">
        <f t="shared" ca="1" si="1593"/>
        <v>0.54170875688213438</v>
      </c>
      <c r="T584" s="21">
        <f ca="1">F584/29.628</f>
        <v>131.77777777777777</v>
      </c>
      <c r="U584" s="21">
        <f t="shared" ca="1" si="1594"/>
        <v>6.5888888888888886</v>
      </c>
      <c r="V584" s="18">
        <f t="shared" ca="1" si="1595"/>
        <v>105.75</v>
      </c>
      <c r="W584" s="76"/>
      <c r="X584" s="8">
        <v>6</v>
      </c>
      <c r="Y584" s="8" t="s">
        <v>42</v>
      </c>
      <c r="Z584" s="8">
        <f t="shared" ref="Z584:AI584" si="1626">SUM(D588)</f>
        <v>26</v>
      </c>
      <c r="AA584" s="9">
        <f t="shared" ca="1" si="1626"/>
        <v>26</v>
      </c>
      <c r="AB584" s="10">
        <f t="shared" ca="1" si="1626"/>
        <v>5118.6869999999899</v>
      </c>
      <c r="AC584" s="9">
        <f t="shared" ca="1" si="1626"/>
        <v>2226</v>
      </c>
      <c r="AD584" s="9">
        <f t="shared" ca="1" si="1626"/>
        <v>0</v>
      </c>
      <c r="AE584" s="9">
        <f t="shared" ca="1" si="1626"/>
        <v>2226</v>
      </c>
      <c r="AF584" s="9">
        <f t="shared" ca="1" si="1626"/>
        <v>3245</v>
      </c>
      <c r="AG584" s="9">
        <f t="shared" ca="1" si="1626"/>
        <v>0</v>
      </c>
      <c r="AH584" s="9">
        <f t="shared" ca="1" si="1626"/>
        <v>3245</v>
      </c>
      <c r="AI584" s="9">
        <f t="shared" ca="1" si="1626"/>
        <v>5471</v>
      </c>
      <c r="AJ584" s="11">
        <f t="shared" ca="1" si="1607"/>
        <v>196.87257692307654</v>
      </c>
      <c r="AK584" s="8">
        <f t="shared" si="1623"/>
        <v>9877</v>
      </c>
      <c r="AL584" s="12">
        <f t="shared" ca="1" si="1609"/>
        <v>0.5539131315176673</v>
      </c>
      <c r="AM584" s="13">
        <f t="shared" si="1624"/>
        <v>1.5</v>
      </c>
      <c r="AN584" s="12">
        <f t="shared" ca="1" si="1611"/>
        <v>0.71255252242095291</v>
      </c>
      <c r="AO584" s="14">
        <f t="shared" ca="1" si="1612"/>
        <v>1.0688287836314294</v>
      </c>
      <c r="AP584" s="13">
        <f t="shared" ref="AP584:AQ584" ca="1" si="1627">SUM(T588)</f>
        <v>195.70586885872643</v>
      </c>
      <c r="AQ584" s="13">
        <f t="shared" ca="1" si="1627"/>
        <v>7.5271488022587087</v>
      </c>
      <c r="AR584" s="9">
        <f t="shared" ca="1" si="1614"/>
        <v>210.42307692307693</v>
      </c>
      <c r="AS584" s="76"/>
      <c r="AT584" s="76"/>
    </row>
    <row r="585" spans="1:46" ht="15.75" customHeight="1" x14ac:dyDescent="0.25">
      <c r="A585" s="70"/>
      <c r="B585" s="16">
        <v>13</v>
      </c>
      <c r="C585" s="16" t="s">
        <v>43</v>
      </c>
      <c r="D585" s="17">
        <v>24</v>
      </c>
      <c r="E585" s="18">
        <f ca="1">IFERROR(__xludf.DUMMYFUNCTION("COUNT(IMPORTRANGE(""https://docs.google.com/spreadsheets/d/1p9Y_DGk7-TpRBFth-ljZceOIGCjQ0ylUeUq6xqnsZ-Q/edit"",""22!d2:d31""))"),24)</f>
        <v>24</v>
      </c>
      <c r="F585" s="23">
        <f ca="1">IFERROR(__xludf.DUMMYFUNCTION("SUM(IMPORTRANGE(""https://docs.google.com/spreadsheets/d/1p9Y_DGk7-TpRBFth-ljZceOIGCjQ0ylUeUq6xqnsZ-Q/edit"",""22!Q2:Q31""))"),4759.693)</f>
        <v>4759.6930000000002</v>
      </c>
      <c r="G585" s="18">
        <f ca="1">IFERROR(__xludf.DUMMYFUNCTION("IMPORTRANGE(""https://docs.google.com/spreadsheets/d/1p9Y_DGk7-TpRBFth-ljZceOIGCjQ0ylUeUq6xqnsZ-Q/edit"",""22!e38"")"),1332)</f>
        <v>1332</v>
      </c>
      <c r="H585" s="18">
        <f ca="1">IFERROR(__xludf.DUMMYFUNCTION("IMPORTRANGE(""https://docs.google.com/spreadsheets/d/1p9Y_DGk7-TpRBFth-ljZceOIGCjQ0ylUeUq6xqnsZ-Q/edit"",""22!e39"")"),0)</f>
        <v>0</v>
      </c>
      <c r="I585" s="18">
        <f t="shared" ca="1" si="1587"/>
        <v>1332</v>
      </c>
      <c r="J585" s="18">
        <f ca="1">IFERROR(__xludf.DUMMYFUNCTION("IMPORTRANGE(""https://docs.google.com/spreadsheets/d/1p9Y_DGk7-TpRBFth-ljZceOIGCjQ0ylUeUq6xqnsZ-Q/edit"",""22!e42"")"),2547)</f>
        <v>2547</v>
      </c>
      <c r="K585" s="18">
        <f ca="1">IFERROR(__xludf.DUMMYFUNCTION("IMPORTRANGE(""https://docs.google.com/spreadsheets/d/1p9Y_DGk7-TpRBFth-ljZceOIGCjQ0ylUeUq6xqnsZ-Q/edit"",""22!e43"")"),134)</f>
        <v>134</v>
      </c>
      <c r="L585" s="18">
        <f t="shared" ca="1" si="1617"/>
        <v>2681</v>
      </c>
      <c r="M585" s="18">
        <f t="shared" ca="1" si="1589"/>
        <v>4013</v>
      </c>
      <c r="N585" s="19">
        <f t="shared" ca="1" si="1590"/>
        <v>198.32054166666668</v>
      </c>
      <c r="O585" s="16">
        <v>8345</v>
      </c>
      <c r="P585" s="20">
        <f t="shared" ca="1" si="1591"/>
        <v>0.48088675853804674</v>
      </c>
      <c r="Q585" s="21">
        <v>1.5</v>
      </c>
      <c r="R585" s="20">
        <f t="shared" ca="1" si="1592"/>
        <v>0.56208106979448746</v>
      </c>
      <c r="S585" s="22">
        <f t="shared" ca="1" si="1593"/>
        <v>0.84312160469173114</v>
      </c>
      <c r="T585" s="21">
        <f ca="1">F585/41.205</f>
        <v>115.5125106176435</v>
      </c>
      <c r="U585" s="21">
        <f t="shared" ca="1" si="1594"/>
        <v>4.8130212757351458</v>
      </c>
      <c r="V585" s="18">
        <f t="shared" ca="1" si="1595"/>
        <v>167.20833333333334</v>
      </c>
      <c r="W585" s="76"/>
      <c r="X585" s="24" t="s">
        <v>33</v>
      </c>
      <c r="Y585" s="24">
        <v>6</v>
      </c>
      <c r="Z585" s="24">
        <f t="shared" ref="Z585:AI585" si="1628">SUM(Z579:Z584)</f>
        <v>180</v>
      </c>
      <c r="AA585" s="25">
        <f t="shared" ca="1" si="1628"/>
        <v>178</v>
      </c>
      <c r="AB585" s="27">
        <f t="shared" ca="1" si="1628"/>
        <v>34575.313999999984</v>
      </c>
      <c r="AC585" s="25">
        <f t="shared" ca="1" si="1628"/>
        <v>12197</v>
      </c>
      <c r="AD585" s="25">
        <f t="shared" ca="1" si="1628"/>
        <v>164</v>
      </c>
      <c r="AE585" s="25">
        <f t="shared" ca="1" si="1628"/>
        <v>12361</v>
      </c>
      <c r="AF585" s="25">
        <f t="shared" ca="1" si="1628"/>
        <v>17677</v>
      </c>
      <c r="AG585" s="25">
        <f t="shared" ca="1" si="1628"/>
        <v>187</v>
      </c>
      <c r="AH585" s="25">
        <f t="shared" ca="1" si="1628"/>
        <v>17864</v>
      </c>
      <c r="AI585" s="25">
        <f t="shared" ca="1" si="1628"/>
        <v>30225</v>
      </c>
      <c r="AJ585" s="27">
        <f t="shared" ca="1" si="1607"/>
        <v>194.24333707865159</v>
      </c>
      <c r="AK585" s="24">
        <f>SUM(AK579:AK584)</f>
        <v>53273</v>
      </c>
      <c r="AL585" s="28">
        <f t="shared" ca="1" si="1609"/>
        <v>0.56736057665233797</v>
      </c>
      <c r="AM585" s="29">
        <v>1.5</v>
      </c>
      <c r="AN585" s="28">
        <f t="shared" ca="1" si="1611"/>
        <v>0.58278574129507577</v>
      </c>
      <c r="AO585" s="30">
        <f t="shared" ca="1" si="1612"/>
        <v>0.87417861194261359</v>
      </c>
      <c r="AP585" s="29">
        <f ca="1">SUM(AP579:AP584)</f>
        <v>1137.1996653354142</v>
      </c>
      <c r="AQ585" s="29">
        <f ca="1">AP585/AA585</f>
        <v>6.3887621648056978</v>
      </c>
      <c r="AR585" s="25">
        <f t="shared" ca="1" si="1614"/>
        <v>169.80337078651687</v>
      </c>
      <c r="AS585" s="76"/>
      <c r="AT585" s="76"/>
    </row>
    <row r="586" spans="1:46" ht="15.75" customHeight="1" x14ac:dyDescent="0.25">
      <c r="A586" s="70"/>
      <c r="B586" s="16">
        <v>14</v>
      </c>
      <c r="C586" s="16" t="s">
        <v>27</v>
      </c>
      <c r="D586" s="17">
        <v>24</v>
      </c>
      <c r="E586" s="18">
        <f ca="1">IFERROR(__xludf.DUMMYFUNCTION("COUNT(IMPORTRANGE(""https://docs.google.com/spreadsheets/d/1zJUDEKztv_fercXA0LYNw155qdzS7TJGhWLhquaW5IY/edit"",""22!d2:d31""))"),22)</f>
        <v>22</v>
      </c>
      <c r="F586" s="23">
        <f ca="1">IFERROR(__xludf.DUMMYFUNCTION("SUM(IMPORTRANGE(""https://docs.google.com/spreadsheets/d/1zJUDEKztv_fercXA0LYNw155qdzS7TJGhWLhquaW5IY/edit"",""22!Q2:Q31""))"),4086.79499999999)</f>
        <v>4086.7949999999901</v>
      </c>
      <c r="G586" s="18">
        <f ca="1">IFERROR(__xludf.DUMMYFUNCTION("IMPORTRANGE(""https://docs.google.com/spreadsheets/d/1zJUDEKztv_fercXA0LYNw155qdzS7TJGhWLhquaW5IY/edit"",""22!e38"")"),1703)</f>
        <v>1703</v>
      </c>
      <c r="H586" s="18">
        <f ca="1">IFERROR(__xludf.DUMMYFUNCTION("IMPORTRANGE(""https://docs.google.com/spreadsheets/d/1zJUDEKztv_fercXA0LYNw155qdzS7TJGhWLhquaW5IY/edit"",""22!e39"")"),0)</f>
        <v>0</v>
      </c>
      <c r="I586" s="18">
        <f t="shared" ca="1" si="1587"/>
        <v>1703</v>
      </c>
      <c r="J586" s="18">
        <f ca="1">IFERROR(__xludf.DUMMYFUNCTION("IMPORTRANGE(""https://docs.google.com/spreadsheets/d/1zJUDEKztv_fercXA0LYNw155qdzS7TJGhWLhquaW5IY/edit"",""22!e42"")"),2290)</f>
        <v>2290</v>
      </c>
      <c r="K586" s="18">
        <f ca="1">IFERROR(__xludf.DUMMYFUNCTION("IMPORTRANGE(""https://docs.google.com/spreadsheets/d/1zJUDEKztv_fercXA0LYNw155qdzS7TJGhWLhquaW5IY/edit"",""22!e43"")"),0)</f>
        <v>0</v>
      </c>
      <c r="L586" s="18">
        <f t="shared" ca="1" si="1617"/>
        <v>2290</v>
      </c>
      <c r="M586" s="18">
        <f t="shared" ca="1" si="1589"/>
        <v>3993</v>
      </c>
      <c r="N586" s="19">
        <f t="shared" ca="1" si="1590"/>
        <v>185.76340909090865</v>
      </c>
      <c r="O586" s="16">
        <v>8101</v>
      </c>
      <c r="P586" s="20">
        <f t="shared" ca="1" si="1591"/>
        <v>0.49290211085051228</v>
      </c>
      <c r="Q586" s="21">
        <v>1.5</v>
      </c>
      <c r="R586" s="20">
        <f t="shared" ca="1" si="1592"/>
        <v>0.65136616835442107</v>
      </c>
      <c r="S586" s="22">
        <f t="shared" ca="1" si="1593"/>
        <v>0.97704925253163166</v>
      </c>
      <c r="T586" s="21">
        <f ca="1">F586/19.985</f>
        <v>204.49311983987943</v>
      </c>
      <c r="U586" s="21">
        <f t="shared" ca="1" si="1594"/>
        <v>9.2951418109036101</v>
      </c>
      <c r="V586" s="18">
        <f t="shared" ca="1" si="1595"/>
        <v>181.5</v>
      </c>
      <c r="W586" s="76"/>
      <c r="X586" s="97" t="s">
        <v>44</v>
      </c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9"/>
      <c r="AS586" s="76"/>
      <c r="AT586" s="76"/>
    </row>
    <row r="587" spans="1:46" ht="15.75" customHeight="1" x14ac:dyDescent="0.25">
      <c r="A587" s="70"/>
      <c r="B587" s="16">
        <v>15</v>
      </c>
      <c r="C587" s="16" t="s">
        <v>40</v>
      </c>
      <c r="D587" s="17">
        <v>24</v>
      </c>
      <c r="E587" s="18">
        <f ca="1">IFERROR(__xludf.DUMMYFUNCTION("COUNT(IMPORTRANGE(""https://docs.google.com/spreadsheets/d/15GJA66Ucb-8RQ5vWVpq5HYaWoZZFX82SCeHChBujbrI/edit"",""22!d2:d31""))"),24)</f>
        <v>24</v>
      </c>
      <c r="F587" s="23">
        <f ca="1">IFERROR(__xludf.DUMMYFUNCTION("SUM(IMPORTRANGE(""https://docs.google.com/spreadsheets/d/15GJA66Ucb-8RQ5vWVpq5HYaWoZZFX82SCeHChBujbrI/edit"",""22!Q2:Q31""))"),4366.667)</f>
        <v>4366.6670000000004</v>
      </c>
      <c r="G587" s="18">
        <f ca="1">IFERROR(__xludf.DUMMYFUNCTION("IMPORTRANGE(""https://docs.google.com/spreadsheets/d/15GJA66Ucb-8RQ5vWVpq5HYaWoZZFX82SCeHChBujbrI/edit"",""22!e38"")"),2521)</f>
        <v>2521</v>
      </c>
      <c r="H587" s="18">
        <f ca="1">IFERROR(__xludf.DUMMYFUNCTION("IMPORTRANGE(""https://docs.google.com/spreadsheets/d/15GJA66Ucb-8RQ5vWVpq5HYaWoZZFX82SCeHChBujbrI/edit"",""22!e39"")"),0)</f>
        <v>0</v>
      </c>
      <c r="I587" s="18">
        <f t="shared" ca="1" si="1587"/>
        <v>2521</v>
      </c>
      <c r="J587" s="18">
        <f ca="1">IFERROR(__xludf.DUMMYFUNCTION("IMPORTRANGE(""https://docs.google.com/spreadsheets/d/15GJA66Ucb-8RQ5vWVpq5HYaWoZZFX82SCeHChBujbrI/edit"",""22!e42"")"),3317)</f>
        <v>3317</v>
      </c>
      <c r="K587" s="18">
        <f ca="1">IFERROR(__xludf.DUMMYFUNCTION("IMPORTRANGE(""https://docs.google.com/spreadsheets/d/15GJA66Ucb-8RQ5vWVpq5HYaWoZZFX82SCeHChBujbrI/edit"",""22!e43"")"),0)</f>
        <v>0</v>
      </c>
      <c r="L587" s="18">
        <f t="shared" ca="1" si="1617"/>
        <v>3317</v>
      </c>
      <c r="M587" s="18">
        <f t="shared" ca="1" si="1589"/>
        <v>5838</v>
      </c>
      <c r="N587" s="19">
        <f t="shared" ca="1" si="1590"/>
        <v>181.94445833333336</v>
      </c>
      <c r="O587" s="16">
        <v>8239</v>
      </c>
      <c r="P587" s="20">
        <f t="shared" ca="1" si="1591"/>
        <v>0.70858113848768056</v>
      </c>
      <c r="Q587" s="21">
        <v>1.5</v>
      </c>
      <c r="R587" s="20">
        <f t="shared" ca="1" si="1592"/>
        <v>0.89129764188567606</v>
      </c>
      <c r="S587" s="22">
        <f t="shared" ca="1" si="1593"/>
        <v>1.3369464628285141</v>
      </c>
      <c r="T587" s="21">
        <f ca="1">F587/28.443</f>
        <v>153.52343283057343</v>
      </c>
      <c r="U587" s="21">
        <f t="shared" ca="1" si="1594"/>
        <v>6.3968097012738925</v>
      </c>
      <c r="V587" s="18">
        <f t="shared" ca="1" si="1595"/>
        <v>243.25</v>
      </c>
      <c r="W587" s="76"/>
      <c r="X587" s="1" t="s">
        <v>2</v>
      </c>
      <c r="Y587" s="1" t="s">
        <v>3</v>
      </c>
      <c r="Z587" s="1" t="s">
        <v>4</v>
      </c>
      <c r="AA587" s="1" t="s">
        <v>5</v>
      </c>
      <c r="AB587" s="2" t="s">
        <v>6</v>
      </c>
      <c r="AC587" s="1" t="s">
        <v>7</v>
      </c>
      <c r="AD587" s="1" t="s">
        <v>8</v>
      </c>
      <c r="AE587" s="1" t="s">
        <v>9</v>
      </c>
      <c r="AF587" s="1" t="s">
        <v>10</v>
      </c>
      <c r="AG587" s="1" t="s">
        <v>11</v>
      </c>
      <c r="AH587" s="1" t="s">
        <v>12</v>
      </c>
      <c r="AI587" s="1" t="s">
        <v>13</v>
      </c>
      <c r="AJ587" s="2" t="s">
        <v>14</v>
      </c>
      <c r="AK587" s="1" t="s">
        <v>15</v>
      </c>
      <c r="AL587" s="1" t="s">
        <v>16</v>
      </c>
      <c r="AM587" s="3" t="s">
        <v>17</v>
      </c>
      <c r="AN587" s="4" t="s">
        <v>18</v>
      </c>
      <c r="AO587" s="5" t="s">
        <v>19</v>
      </c>
      <c r="AP587" s="6" t="s">
        <v>20</v>
      </c>
      <c r="AQ587" s="6" t="s">
        <v>21</v>
      </c>
      <c r="AR587" s="7" t="s">
        <v>22</v>
      </c>
      <c r="AS587" s="76"/>
      <c r="AT587" s="76"/>
    </row>
    <row r="588" spans="1:46" ht="15.75" customHeight="1" x14ac:dyDescent="0.25">
      <c r="A588" s="70"/>
      <c r="B588" s="16">
        <v>16</v>
      </c>
      <c r="C588" s="16" t="s">
        <v>42</v>
      </c>
      <c r="D588" s="17">
        <v>26</v>
      </c>
      <c r="E588" s="18">
        <f ca="1">IFERROR(__xludf.DUMMYFUNCTION("COUNT(IMPORTRANGE(""https://docs.google.com/spreadsheets/d/14Tu_jFPEdrIQ6DHYu6vRvJKQsbXr-48NY1tKy4-8JKI/edit"",""22!d2:d34""))"),26)</f>
        <v>26</v>
      </c>
      <c r="F588" s="23">
        <f ca="1">IFERROR(__xludf.DUMMYFUNCTION("SUM(IMPORTRANGE(""https://docs.google.com/spreadsheets/d/14Tu_jFPEdrIQ6DHYu6vRvJKQsbXr-48NY1tKy4-8JKI/edit"",""22!Q2:Q34""))"),5118.68699999999)</f>
        <v>5118.6869999999899</v>
      </c>
      <c r="G588" s="18">
        <f ca="1">IFERROR(__xludf.DUMMYFUNCTION("IMPORTRANGE(""https://docs.google.com/spreadsheets/d/14Tu_jFPEdrIQ6DHYu6vRvJKQsbXr-48NY1tKy4-8JKI/edit"",""22!e41"")"),2226)</f>
        <v>2226</v>
      </c>
      <c r="H588" s="18">
        <f ca="1">IFERROR(__xludf.DUMMYFUNCTION("IMPORTRANGE(""https://docs.google.com/spreadsheets/d/14Tu_jFPEdrIQ6DHYu6vRvJKQsbXr-48NY1tKy4-8JKI/edit"",""22!e42"")"),0)</f>
        <v>0</v>
      </c>
      <c r="I588" s="18">
        <f t="shared" ca="1" si="1587"/>
        <v>2226</v>
      </c>
      <c r="J588" s="18">
        <f ca="1">IFERROR(__xludf.DUMMYFUNCTION("IMPORTRANGE(""https://docs.google.com/spreadsheets/d/14Tu_jFPEdrIQ6DHYu6vRvJKQsbXr-48NY1tKy4-8JKI/edit"",""22!e45"")"),3245)</f>
        <v>3245</v>
      </c>
      <c r="K588" s="18">
        <f ca="1">IFERROR(__xludf.DUMMYFUNCTION("IMPORTRANGE(""https://docs.google.com/spreadsheets/d/14Tu_jFPEdrIQ6DHYu6vRvJKQsbXr-48NY1tKy4-8JKI/edit"",""22!e46"")"),0)</f>
        <v>0</v>
      </c>
      <c r="L588" s="18">
        <f t="shared" ca="1" si="1617"/>
        <v>3245</v>
      </c>
      <c r="M588" s="18">
        <f t="shared" ca="1" si="1589"/>
        <v>5471</v>
      </c>
      <c r="N588" s="19">
        <f t="shared" ca="1" si="1590"/>
        <v>196.87257692307654</v>
      </c>
      <c r="O588" s="16">
        <v>9877</v>
      </c>
      <c r="P588" s="20">
        <f t="shared" ca="1" si="1591"/>
        <v>0.5539131315176673</v>
      </c>
      <c r="Q588" s="21">
        <v>1.5</v>
      </c>
      <c r="R588" s="20">
        <f t="shared" ca="1" si="1592"/>
        <v>0.71255252242095291</v>
      </c>
      <c r="S588" s="22">
        <f t="shared" ca="1" si="1593"/>
        <v>1.0688287836314294</v>
      </c>
      <c r="T588" s="21">
        <f ca="1">F588/26.155</f>
        <v>195.70586885872643</v>
      </c>
      <c r="U588" s="21">
        <f t="shared" ca="1" si="1594"/>
        <v>7.5271488022587087</v>
      </c>
      <c r="V588" s="18">
        <f t="shared" ca="1" si="1595"/>
        <v>210.42307692307693</v>
      </c>
      <c r="W588" s="76"/>
      <c r="X588" s="8">
        <v>1</v>
      </c>
      <c r="Y588" s="8" t="s">
        <v>26</v>
      </c>
      <c r="Z588" s="8">
        <f t="shared" ref="Z588:AI588" si="1629">SUM(D573)</f>
        <v>16</v>
      </c>
      <c r="AA588" s="9">
        <f t="shared" ca="1" si="1629"/>
        <v>16</v>
      </c>
      <c r="AB588" s="11">
        <f t="shared" ca="1" si="1629"/>
        <v>3179.0430000000001</v>
      </c>
      <c r="AC588" s="9">
        <f t="shared" ca="1" si="1629"/>
        <v>1522</v>
      </c>
      <c r="AD588" s="9">
        <f t="shared" ca="1" si="1629"/>
        <v>0</v>
      </c>
      <c r="AE588" s="9">
        <f t="shared" ca="1" si="1629"/>
        <v>1522</v>
      </c>
      <c r="AF588" s="9">
        <f t="shared" ca="1" si="1629"/>
        <v>2117</v>
      </c>
      <c r="AG588" s="9">
        <f t="shared" ca="1" si="1629"/>
        <v>0</v>
      </c>
      <c r="AH588" s="9">
        <f t="shared" ca="1" si="1629"/>
        <v>2117</v>
      </c>
      <c r="AI588" s="9">
        <f t="shared" ca="1" si="1629"/>
        <v>3639</v>
      </c>
      <c r="AJ588" s="11">
        <f t="shared" ref="AJ588:AJ594" ca="1" si="1630">AB588/AA588</f>
        <v>198.69018750000001</v>
      </c>
      <c r="AK588" s="8">
        <f>SUM(O573)</f>
        <v>5161</v>
      </c>
      <c r="AL588" s="12">
        <f t="shared" ref="AL588:AL594" ca="1" si="1631">AI588/AK588</f>
        <v>0.70509591164503005</v>
      </c>
      <c r="AM588" s="13">
        <f>SUM(Q573)</f>
        <v>1.5</v>
      </c>
      <c r="AN588" s="12">
        <f t="shared" ref="AN588:AN594" ca="1" si="1632">AO588/AM588</f>
        <v>0.76312273850967094</v>
      </c>
      <c r="AO588" s="14">
        <f t="shared" ref="AO588:AO594" ca="1" si="1633">AI588/AB588</f>
        <v>1.1446841077645065</v>
      </c>
      <c r="AP588" s="13">
        <f t="shared" ref="AP588:AQ588" ca="1" si="1634">SUM(T573)</f>
        <v>220.5371488033299</v>
      </c>
      <c r="AQ588" s="13">
        <f t="shared" ca="1" si="1634"/>
        <v>13.783571800208119</v>
      </c>
      <c r="AR588" s="9">
        <f t="shared" ref="AR588:AR594" ca="1" si="1635">AI588/AA588</f>
        <v>227.4375</v>
      </c>
      <c r="AS588" s="76"/>
      <c r="AT588" s="76"/>
    </row>
    <row r="589" spans="1:46" ht="15.75" customHeight="1" x14ac:dyDescent="0.25">
      <c r="A589" s="70"/>
      <c r="B589" s="16">
        <v>17</v>
      </c>
      <c r="C589" s="16" t="s">
        <v>29</v>
      </c>
      <c r="D589" s="17">
        <v>24</v>
      </c>
      <c r="E589" s="18">
        <f ca="1">IFERROR(__xludf.DUMMYFUNCTION("COUNT(IMPORTRANGE(""https://docs.google.com/spreadsheets/d/1ja_RQYsP0p5wRrACHojay4CW1wLx0QdS5tSwp-vYQ-s/edit"",""22!d2:d31""))"),24)</f>
        <v>24</v>
      </c>
      <c r="F589" s="23">
        <f ca="1">IFERROR(__xludf.DUMMYFUNCTION("SUM(IMPORTRANGE(""https://docs.google.com/spreadsheets/d/1ja_RQYsP0p5wRrACHojay4CW1wLx0QdS5tSwp-vYQ-s/edit"",""22!Q2:Q31""))"),4874.34399999999)</f>
        <v>4874.34399999999</v>
      </c>
      <c r="G589" s="18">
        <f ca="1">IFERROR(__xludf.DUMMYFUNCTION("IMPORTRANGE(""https://docs.google.com/spreadsheets/d/1ja_RQYsP0p5wRrACHojay4CW1wLx0QdS5tSwp-vYQ-s/edit"",""22!e38"")"),2077)</f>
        <v>2077</v>
      </c>
      <c r="H589" s="18">
        <f ca="1">IFERROR(__xludf.DUMMYFUNCTION("IMPORTRANGE(""https://docs.google.com/spreadsheets/d/1ja_RQYsP0p5wRrACHojay4CW1wLx0QdS5tSwp-vYQ-s/edit"",""22!e39"")"),0)</f>
        <v>0</v>
      </c>
      <c r="I589" s="18">
        <f t="shared" ca="1" si="1587"/>
        <v>2077</v>
      </c>
      <c r="J589" s="18">
        <f ca="1">IFERROR(__xludf.DUMMYFUNCTION("IMPORTRANGE(""https://docs.google.com/spreadsheets/d/1ja_RQYsP0p5wRrACHojay4CW1wLx0QdS5tSwp-vYQ-s/edit"",""22!e42"")"),3033)</f>
        <v>3033</v>
      </c>
      <c r="K589" s="18">
        <f ca="1">IFERROR(__xludf.DUMMYFUNCTION("IMPORTRANGE(""https://docs.google.com/spreadsheets/d/1ja_RQYsP0p5wRrACHojay4CW1wLx0QdS5tSwp-vYQ-s/edit"",""22!e43"")"),0)</f>
        <v>0</v>
      </c>
      <c r="L589" s="18">
        <f t="shared" ca="1" si="1617"/>
        <v>3033</v>
      </c>
      <c r="M589" s="18">
        <f t="shared" ca="1" si="1589"/>
        <v>5110</v>
      </c>
      <c r="N589" s="19">
        <f t="shared" ca="1" si="1590"/>
        <v>203.09766666666624</v>
      </c>
      <c r="O589" s="16">
        <v>9201</v>
      </c>
      <c r="P589" s="20">
        <f t="shared" ca="1" si="1591"/>
        <v>0.55537441582436686</v>
      </c>
      <c r="Q589" s="21">
        <v>1.5</v>
      </c>
      <c r="R589" s="20">
        <f t="shared" ca="1" si="1592"/>
        <v>0.69889746531362451</v>
      </c>
      <c r="S589" s="22">
        <f t="shared" ca="1" si="1593"/>
        <v>1.0483461979704367</v>
      </c>
      <c r="T589" s="21">
        <f ca="1">F589/26.491</f>
        <v>183.99999999999963</v>
      </c>
      <c r="U589" s="21">
        <f t="shared" ca="1" si="1594"/>
        <v>7.666666666666651</v>
      </c>
      <c r="V589" s="18">
        <f t="shared" ca="1" si="1595"/>
        <v>212.91666666666666</v>
      </c>
      <c r="W589" s="76"/>
      <c r="X589" s="8">
        <v>2</v>
      </c>
      <c r="Y589" s="8" t="s">
        <v>32</v>
      </c>
      <c r="Z589" s="8">
        <f t="shared" ref="Z589:AI589" si="1636">SUM(D576)</f>
        <v>33</v>
      </c>
      <c r="AA589" s="9">
        <f t="shared" ca="1" si="1636"/>
        <v>32</v>
      </c>
      <c r="AB589" s="10">
        <f t="shared" ca="1" si="1636"/>
        <v>5946.0929999999898</v>
      </c>
      <c r="AC589" s="8">
        <f t="shared" ca="1" si="1636"/>
        <v>3355</v>
      </c>
      <c r="AD589" s="8">
        <f t="shared" ca="1" si="1636"/>
        <v>0</v>
      </c>
      <c r="AE589" s="9">
        <f t="shared" ca="1" si="1636"/>
        <v>3355</v>
      </c>
      <c r="AF589" s="8">
        <f t="shared" ca="1" si="1636"/>
        <v>4134</v>
      </c>
      <c r="AG589" s="8">
        <f t="shared" ca="1" si="1636"/>
        <v>100</v>
      </c>
      <c r="AH589" s="9">
        <f t="shared" ca="1" si="1636"/>
        <v>4234</v>
      </c>
      <c r="AI589" s="9">
        <f t="shared" ca="1" si="1636"/>
        <v>7589</v>
      </c>
      <c r="AJ589" s="11">
        <f t="shared" ca="1" si="1630"/>
        <v>185.81540624999968</v>
      </c>
      <c r="AK589" s="8">
        <f>SUM(O576)</f>
        <v>13817</v>
      </c>
      <c r="AL589" s="12">
        <f t="shared" ca="1" si="1631"/>
        <v>0.54925092277629006</v>
      </c>
      <c r="AM589" s="13">
        <f>SUM(Q576)</f>
        <v>1.5</v>
      </c>
      <c r="AN589" s="12">
        <f t="shared" ca="1" si="1632"/>
        <v>0.85086683530401253</v>
      </c>
      <c r="AO589" s="14">
        <f t="shared" ca="1" si="1633"/>
        <v>1.2763002529560188</v>
      </c>
      <c r="AP589" s="13">
        <f t="shared" ref="AP589:AQ589" ca="1" si="1637">SUM(T576)</f>
        <v>236.9999999999996</v>
      </c>
      <c r="AQ589" s="13">
        <f t="shared" ca="1" si="1637"/>
        <v>7.4062499999999876</v>
      </c>
      <c r="AR589" s="9">
        <f t="shared" ca="1" si="1635"/>
        <v>237.15625</v>
      </c>
      <c r="AS589" s="76"/>
      <c r="AT589" s="76"/>
    </row>
    <row r="590" spans="1:46" ht="15.75" customHeight="1" x14ac:dyDescent="0.25">
      <c r="A590" s="70"/>
      <c r="B590" s="16">
        <v>18</v>
      </c>
      <c r="C590" s="16" t="s">
        <v>31</v>
      </c>
      <c r="D590" s="17">
        <v>12</v>
      </c>
      <c r="E590" s="18">
        <f ca="1">IFERROR(__xludf.DUMMYFUNCTION("COUNT(IMPORTRANGE(""https://docs.google.com/spreadsheets/d/1ObnK1oSznTOmyW9Zcd2kxExl7TOnO2MNq_0giEKc_mE/edit"",""22!d2:d16""))"),12)</f>
        <v>12</v>
      </c>
      <c r="F590" s="19">
        <f ca="1">IFERROR(__xludf.DUMMYFUNCTION("SUM(IMPORTRANGE(""https://docs.google.com/spreadsheets/d/1ObnK1oSznTOmyW9Zcd2kxExl7TOnO2MNq_0giEKc_mE/edit"",""22!Q2:Q16""))"),2303.645)</f>
        <v>2303.645</v>
      </c>
      <c r="G590" s="18">
        <f ca="1">IFERROR(__xludf.DUMMYFUNCTION("IMPORTRANGE(""https://docs.google.com/spreadsheets/d/1ObnK1oSznTOmyW9Zcd2kxExl7TOnO2MNq_0giEKc_mE/edit"",""22!e23"")"),736)</f>
        <v>736</v>
      </c>
      <c r="H590" s="18">
        <f ca="1">IFERROR(__xludf.DUMMYFUNCTION("IMPORTRANGE(""https://docs.google.com/spreadsheets/d/1ObnK1oSznTOmyW9Zcd2kxExl7TOnO2MNq_0giEKc_mE/edit"",""22!e24"")"),10)</f>
        <v>10</v>
      </c>
      <c r="I590" s="18">
        <f t="shared" ca="1" si="1587"/>
        <v>746</v>
      </c>
      <c r="J590" s="18">
        <f ca="1">IFERROR(__xludf.DUMMYFUNCTION("IMPORTRANGE(""https://docs.google.com/spreadsheets/d/1ObnK1oSznTOmyW9Zcd2kxExl7TOnO2MNq_0giEKc_mE/edit"",""22!e27"")"),794)</f>
        <v>794</v>
      </c>
      <c r="K590" s="18">
        <f ca="1">IFERROR(__xludf.DUMMYFUNCTION("IMPORTRANGE(""https://docs.google.com/spreadsheets/d/1ObnK1oSznTOmyW9Zcd2kxExl7TOnO2MNq_0giEKc_mE/edit"",""22!e28"")"),0)</f>
        <v>0</v>
      </c>
      <c r="L590" s="18">
        <f t="shared" ca="1" si="1617"/>
        <v>794</v>
      </c>
      <c r="M590" s="18">
        <f t="shared" ca="1" si="1589"/>
        <v>1540</v>
      </c>
      <c r="N590" s="19">
        <f t="shared" ca="1" si="1590"/>
        <v>191.97041666666667</v>
      </c>
      <c r="O590" s="16">
        <v>2717</v>
      </c>
      <c r="P590" s="20">
        <f t="shared" ca="1" si="1591"/>
        <v>0.5668016194331984</v>
      </c>
      <c r="Q590" s="21">
        <v>1.5</v>
      </c>
      <c r="R590" s="20">
        <f t="shared" ca="1" si="1592"/>
        <v>0.44567052070378321</v>
      </c>
      <c r="S590" s="22">
        <f t="shared" ca="1" si="1593"/>
        <v>0.66850578105567482</v>
      </c>
      <c r="T590" s="21">
        <f ca="1">F590/43.465</f>
        <v>52.999999999999993</v>
      </c>
      <c r="U590" s="21">
        <f t="shared" ca="1" si="1594"/>
        <v>4.4166666666666661</v>
      </c>
      <c r="V590" s="18">
        <f t="shared" ca="1" si="1595"/>
        <v>128.33333333333334</v>
      </c>
      <c r="W590" s="76"/>
      <c r="X590" s="8">
        <v>3</v>
      </c>
      <c r="Y590" s="8" t="s">
        <v>36</v>
      </c>
      <c r="Z590" s="8">
        <f t="shared" ref="Z590:AI590" si="1638">SUM(D581)</f>
        <v>23</v>
      </c>
      <c r="AA590" s="9">
        <f t="shared" ca="1" si="1638"/>
        <v>23</v>
      </c>
      <c r="AB590" s="10">
        <f t="shared" ca="1" si="1638"/>
        <v>4540.2149999999901</v>
      </c>
      <c r="AC590" s="9">
        <f t="shared" ca="1" si="1638"/>
        <v>1080</v>
      </c>
      <c r="AD590" s="9">
        <f t="shared" ca="1" si="1638"/>
        <v>0</v>
      </c>
      <c r="AE590" s="9">
        <f t="shared" ca="1" si="1638"/>
        <v>1080</v>
      </c>
      <c r="AF590" s="9">
        <f t="shared" ca="1" si="1638"/>
        <v>1731</v>
      </c>
      <c r="AG590" s="9">
        <f t="shared" ca="1" si="1638"/>
        <v>0</v>
      </c>
      <c r="AH590" s="9">
        <f t="shared" ca="1" si="1638"/>
        <v>1731</v>
      </c>
      <c r="AI590" s="9">
        <f t="shared" ca="1" si="1638"/>
        <v>2811</v>
      </c>
      <c r="AJ590" s="11">
        <f t="shared" ca="1" si="1630"/>
        <v>197.40065217391262</v>
      </c>
      <c r="AK590" s="8">
        <f t="shared" ref="AK590:AK593" si="1639">SUM(O581)</f>
        <v>4796</v>
      </c>
      <c r="AL590" s="12">
        <f t="shared" ca="1" si="1631"/>
        <v>0.58611342785654708</v>
      </c>
      <c r="AM590" s="13">
        <f t="shared" ref="AM590:AM593" si="1640">SUM(Q581)</f>
        <v>1.5</v>
      </c>
      <c r="AN590" s="12">
        <f t="shared" ca="1" si="1632"/>
        <v>0.41275578359174708</v>
      </c>
      <c r="AO590" s="14">
        <f t="shared" ca="1" si="1633"/>
        <v>0.61913367538762065</v>
      </c>
      <c r="AP590" s="13">
        <f t="shared" ref="AP590:AQ590" ca="1" si="1641">SUM(T581)</f>
        <v>121.35069759982868</v>
      </c>
      <c r="AQ590" s="13">
        <f t="shared" ca="1" si="1641"/>
        <v>5.2761172869490727</v>
      </c>
      <c r="AR590" s="9">
        <f t="shared" ca="1" si="1635"/>
        <v>122.21739130434783</v>
      </c>
      <c r="AS590" s="76"/>
      <c r="AT590" s="76"/>
    </row>
    <row r="591" spans="1:46" ht="15.75" customHeight="1" x14ac:dyDescent="0.2">
      <c r="A591" s="70"/>
      <c r="B591" s="98" t="s">
        <v>33</v>
      </c>
      <c r="C591" s="98">
        <v>18</v>
      </c>
      <c r="D591" s="98">
        <f t="shared" ref="D591:M591" si="1642">SUM(D573:D590)</f>
        <v>470</v>
      </c>
      <c r="E591" s="74">
        <f t="shared" ca="1" si="1642"/>
        <v>463</v>
      </c>
      <c r="F591" s="99">
        <f t="shared" ca="1" si="1642"/>
        <v>89636.770999999935</v>
      </c>
      <c r="G591" s="74">
        <f t="shared" ca="1" si="1642"/>
        <v>29475</v>
      </c>
      <c r="H591" s="74">
        <f t="shared" ca="1" si="1642"/>
        <v>659</v>
      </c>
      <c r="I591" s="74">
        <f t="shared" ca="1" si="1642"/>
        <v>30134</v>
      </c>
      <c r="J591" s="74">
        <f t="shared" ca="1" si="1642"/>
        <v>43322</v>
      </c>
      <c r="K591" s="74">
        <f t="shared" ca="1" si="1642"/>
        <v>540</v>
      </c>
      <c r="L591" s="74">
        <f t="shared" ca="1" si="1642"/>
        <v>43862</v>
      </c>
      <c r="M591" s="74">
        <f t="shared" ca="1" si="1642"/>
        <v>73996</v>
      </c>
      <c r="N591" s="99">
        <f t="shared" ca="1" si="1590"/>
        <v>193.59993736501065</v>
      </c>
      <c r="O591" s="98">
        <f>SUM(O573:O590)</f>
        <v>126399</v>
      </c>
      <c r="P591" s="69">
        <f t="shared" ca="1" si="1591"/>
        <v>0.58541602386094826</v>
      </c>
      <c r="Q591" s="72">
        <v>1.5</v>
      </c>
      <c r="R591" s="69">
        <f t="shared" ca="1" si="1592"/>
        <v>0.5503396219690545</v>
      </c>
      <c r="S591" s="73">
        <f t="shared" ca="1" si="1593"/>
        <v>0.8255094329535817</v>
      </c>
      <c r="T591" s="72">
        <f ca="1">SUM(T573:T590)</f>
        <v>3301.9734053573256</v>
      </c>
      <c r="U591" s="72">
        <f t="shared" ca="1" si="1594"/>
        <v>7.131692020210207</v>
      </c>
      <c r="V591" s="74">
        <f t="shared" ca="1" si="1595"/>
        <v>159.81857451403889</v>
      </c>
      <c r="W591" s="76"/>
      <c r="X591" s="8">
        <v>4</v>
      </c>
      <c r="Y591" s="8" t="s">
        <v>37</v>
      </c>
      <c r="Z591" s="8">
        <f t="shared" ref="Z591:AI591" si="1643">SUM(D582)</f>
        <v>24</v>
      </c>
      <c r="AA591" s="9">
        <f t="shared" ca="1" si="1643"/>
        <v>23</v>
      </c>
      <c r="AB591" s="10">
        <f t="shared" ca="1" si="1643"/>
        <v>4459.9380000000001</v>
      </c>
      <c r="AC591" s="9">
        <f t="shared" ca="1" si="1643"/>
        <v>1195</v>
      </c>
      <c r="AD591" s="9">
        <f t="shared" ca="1" si="1643"/>
        <v>65</v>
      </c>
      <c r="AE591" s="9">
        <f t="shared" ca="1" si="1643"/>
        <v>1260</v>
      </c>
      <c r="AF591" s="9">
        <f t="shared" ca="1" si="1643"/>
        <v>2620</v>
      </c>
      <c r="AG591" s="9">
        <f t="shared" ca="1" si="1643"/>
        <v>0</v>
      </c>
      <c r="AH591" s="9">
        <f t="shared" ca="1" si="1643"/>
        <v>2620</v>
      </c>
      <c r="AI591" s="9">
        <f t="shared" ca="1" si="1643"/>
        <v>3880</v>
      </c>
      <c r="AJ591" s="11">
        <f t="shared" ca="1" si="1630"/>
        <v>193.91034782608696</v>
      </c>
      <c r="AK591" s="8">
        <f t="shared" si="1639"/>
        <v>5887</v>
      </c>
      <c r="AL591" s="12">
        <f t="shared" ca="1" si="1631"/>
        <v>0.65907932733140817</v>
      </c>
      <c r="AM591" s="13">
        <f t="shared" si="1640"/>
        <v>1.5</v>
      </c>
      <c r="AN591" s="12">
        <f t="shared" ca="1" si="1632"/>
        <v>0.57997816711054428</v>
      </c>
      <c r="AO591" s="14">
        <f t="shared" ca="1" si="1633"/>
        <v>0.86996725066581637</v>
      </c>
      <c r="AP591" s="13">
        <f t="shared" ref="AP591:AQ591" ca="1" si="1644">SUM(T582)</f>
        <v>179.89424007744432</v>
      </c>
      <c r="AQ591" s="13">
        <f t="shared" ca="1" si="1644"/>
        <v>7.8214886990193184</v>
      </c>
      <c r="AR591" s="9">
        <f t="shared" ca="1" si="1635"/>
        <v>168.69565217391303</v>
      </c>
      <c r="AS591" s="76"/>
      <c r="AT591" s="76"/>
    </row>
    <row r="592" spans="1:46" ht="15.75" customHeight="1" x14ac:dyDescent="0.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6"/>
      <c r="X592" s="8">
        <v>5</v>
      </c>
      <c r="Y592" s="8" t="s">
        <v>39</v>
      </c>
      <c r="Z592" s="8">
        <f t="shared" ref="Z592:AI592" si="1645">SUM(D583)</f>
        <v>22</v>
      </c>
      <c r="AA592" s="9">
        <f t="shared" ca="1" si="1645"/>
        <v>22</v>
      </c>
      <c r="AB592" s="10">
        <f t="shared" ca="1" si="1645"/>
        <v>4255.1310000000003</v>
      </c>
      <c r="AC592" s="9">
        <f t="shared" ca="1" si="1645"/>
        <v>1031</v>
      </c>
      <c r="AD592" s="9">
        <f t="shared" ca="1" si="1645"/>
        <v>0</v>
      </c>
      <c r="AE592" s="9">
        <f t="shared" ca="1" si="1645"/>
        <v>1031</v>
      </c>
      <c r="AF592" s="9">
        <f t="shared" ca="1" si="1645"/>
        <v>1781</v>
      </c>
      <c r="AG592" s="9">
        <f t="shared" ca="1" si="1645"/>
        <v>0</v>
      </c>
      <c r="AH592" s="9">
        <f t="shared" ca="1" si="1645"/>
        <v>1781</v>
      </c>
      <c r="AI592" s="9">
        <f t="shared" ca="1" si="1645"/>
        <v>2812</v>
      </c>
      <c r="AJ592" s="11">
        <f t="shared" ca="1" si="1630"/>
        <v>193.41504545454546</v>
      </c>
      <c r="AK592" s="8">
        <f t="shared" si="1639"/>
        <v>3569</v>
      </c>
      <c r="AL592" s="12">
        <f t="shared" ca="1" si="1631"/>
        <v>0.78789576912300363</v>
      </c>
      <c r="AM592" s="13">
        <f t="shared" si="1640"/>
        <v>1.5</v>
      </c>
      <c r="AN592" s="12">
        <f t="shared" ca="1" si="1632"/>
        <v>0.44056614629882523</v>
      </c>
      <c r="AO592" s="14">
        <f t="shared" ca="1" si="1633"/>
        <v>0.66084921944823782</v>
      </c>
      <c r="AP592" s="13">
        <f t="shared" ref="AP592:AQ592" ca="1" si="1646">SUM(T583)</f>
        <v>198.25425150258584</v>
      </c>
      <c r="AQ592" s="13">
        <f t="shared" ca="1" si="1646"/>
        <v>9.0115568864811753</v>
      </c>
      <c r="AR592" s="9">
        <f t="shared" ca="1" si="1635"/>
        <v>127.81818181818181</v>
      </c>
      <c r="AS592" s="76"/>
      <c r="AT592" s="76"/>
    </row>
    <row r="593" spans="1:46" ht="15.75" customHeight="1" x14ac:dyDescent="0.2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6"/>
      <c r="X593" s="8">
        <v>6</v>
      </c>
      <c r="Y593" s="8" t="s">
        <v>41</v>
      </c>
      <c r="Z593" s="8">
        <f t="shared" ref="Z593:AI593" si="1647">SUM(D584)</f>
        <v>20</v>
      </c>
      <c r="AA593" s="9">
        <f t="shared" ca="1" si="1647"/>
        <v>20</v>
      </c>
      <c r="AB593" s="10">
        <f t="shared" ca="1" si="1647"/>
        <v>3904.3119999999999</v>
      </c>
      <c r="AC593" s="9">
        <f t="shared" ca="1" si="1647"/>
        <v>841</v>
      </c>
      <c r="AD593" s="9">
        <f t="shared" ca="1" si="1647"/>
        <v>0</v>
      </c>
      <c r="AE593" s="9">
        <f t="shared" ca="1" si="1647"/>
        <v>841</v>
      </c>
      <c r="AF593" s="9">
        <f t="shared" ca="1" si="1647"/>
        <v>1274</v>
      </c>
      <c r="AG593" s="9">
        <f t="shared" ca="1" si="1647"/>
        <v>0</v>
      </c>
      <c r="AH593" s="9">
        <f t="shared" ca="1" si="1647"/>
        <v>1274</v>
      </c>
      <c r="AI593" s="9">
        <f t="shared" ca="1" si="1647"/>
        <v>2115</v>
      </c>
      <c r="AJ593" s="11">
        <f t="shared" ca="1" si="1630"/>
        <v>195.21559999999999</v>
      </c>
      <c r="AK593" s="8">
        <f t="shared" si="1639"/>
        <v>3801</v>
      </c>
      <c r="AL593" s="12">
        <f t="shared" ca="1" si="1631"/>
        <v>0.55643251775848457</v>
      </c>
      <c r="AM593" s="13">
        <f t="shared" si="1640"/>
        <v>1.5</v>
      </c>
      <c r="AN593" s="12">
        <f t="shared" ca="1" si="1632"/>
        <v>0.36113917125475625</v>
      </c>
      <c r="AO593" s="14">
        <f t="shared" ca="1" si="1633"/>
        <v>0.54170875688213438</v>
      </c>
      <c r="AP593" s="13">
        <f t="shared" ref="AP593:AQ593" ca="1" si="1648">SUM(T584)</f>
        <v>131.77777777777777</v>
      </c>
      <c r="AQ593" s="13">
        <f t="shared" ca="1" si="1648"/>
        <v>6.5888888888888886</v>
      </c>
      <c r="AR593" s="9">
        <f t="shared" ca="1" si="1635"/>
        <v>105.75</v>
      </c>
      <c r="AS593" s="76"/>
      <c r="AT593" s="76"/>
    </row>
    <row r="594" spans="1:46" ht="15.75" customHeight="1" x14ac:dyDescent="0.25">
      <c r="A594" s="110" t="s">
        <v>45</v>
      </c>
      <c r="B594" s="76"/>
      <c r="C594" s="76"/>
      <c r="D594" s="75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24" t="s">
        <v>33</v>
      </c>
      <c r="Y594" s="24">
        <v>6</v>
      </c>
      <c r="Z594" s="24">
        <f t="shared" ref="Z594:AI594" si="1649">SUM(Z588:Z593)</f>
        <v>138</v>
      </c>
      <c r="AA594" s="25">
        <f t="shared" ca="1" si="1649"/>
        <v>136</v>
      </c>
      <c r="AB594" s="27">
        <f t="shared" ca="1" si="1649"/>
        <v>26284.731999999982</v>
      </c>
      <c r="AC594" s="25">
        <f t="shared" ca="1" si="1649"/>
        <v>9024</v>
      </c>
      <c r="AD594" s="25">
        <f t="shared" ca="1" si="1649"/>
        <v>65</v>
      </c>
      <c r="AE594" s="25">
        <f t="shared" ca="1" si="1649"/>
        <v>9089</v>
      </c>
      <c r="AF594" s="25">
        <f t="shared" ca="1" si="1649"/>
        <v>13657</v>
      </c>
      <c r="AG594" s="25">
        <f t="shared" ca="1" si="1649"/>
        <v>100</v>
      </c>
      <c r="AH594" s="25">
        <f t="shared" ca="1" si="1649"/>
        <v>13757</v>
      </c>
      <c r="AI594" s="25">
        <f t="shared" ca="1" si="1649"/>
        <v>22846</v>
      </c>
      <c r="AJ594" s="27">
        <f t="shared" ca="1" si="1630"/>
        <v>193.270088235294</v>
      </c>
      <c r="AK594" s="24">
        <f>SUM(AK588:AK593)</f>
        <v>37031</v>
      </c>
      <c r="AL594" s="28">
        <f t="shared" ca="1" si="1631"/>
        <v>0.6169425616375469</v>
      </c>
      <c r="AM594" s="29">
        <v>1.5</v>
      </c>
      <c r="AN594" s="28">
        <f t="shared" ca="1" si="1632"/>
        <v>0.57944918999618011</v>
      </c>
      <c r="AO594" s="30">
        <f t="shared" ca="1" si="1633"/>
        <v>0.86917378499427023</v>
      </c>
      <c r="AP594" s="29">
        <f ca="1">SUM(AP588:AP593)</f>
        <v>1088.8141157609662</v>
      </c>
      <c r="AQ594" s="29">
        <f ca="1">AP594/AA594</f>
        <v>8.0059861453012218</v>
      </c>
      <c r="AR594" s="25">
        <f t="shared" ca="1" si="1635"/>
        <v>167.98529411764707</v>
      </c>
      <c r="AS594" s="76"/>
      <c r="AT594" s="76"/>
    </row>
    <row r="595" spans="1:46" ht="15.75" customHeight="1" x14ac:dyDescent="0.2">
      <c r="A595" s="110" t="s">
        <v>45</v>
      </c>
      <c r="B595" s="76"/>
      <c r="C595" s="76"/>
      <c r="D595" s="75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7" t="s">
        <v>1</v>
      </c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9"/>
      <c r="AS595" s="76"/>
      <c r="AT595" s="76"/>
    </row>
    <row r="596" spans="1:46" ht="15.75" customHeight="1" x14ac:dyDescent="0.2">
      <c r="A596" s="113">
        <v>46257</v>
      </c>
      <c r="B596" s="80" t="s">
        <v>2</v>
      </c>
      <c r="C596" s="80" t="s">
        <v>3</v>
      </c>
      <c r="D596" s="80" t="s">
        <v>4</v>
      </c>
      <c r="E596" s="80" t="s">
        <v>5</v>
      </c>
      <c r="F596" s="81" t="s">
        <v>6</v>
      </c>
      <c r="G596" s="80" t="s">
        <v>7</v>
      </c>
      <c r="H596" s="80" t="s">
        <v>8</v>
      </c>
      <c r="I596" s="80" t="s">
        <v>9</v>
      </c>
      <c r="J596" s="80" t="s">
        <v>10</v>
      </c>
      <c r="K596" s="80" t="s">
        <v>11</v>
      </c>
      <c r="L596" s="80" t="s">
        <v>12</v>
      </c>
      <c r="M596" s="80" t="s">
        <v>13</v>
      </c>
      <c r="N596" s="81" t="s">
        <v>14</v>
      </c>
      <c r="O596" s="80" t="s">
        <v>15</v>
      </c>
      <c r="P596" s="80" t="s">
        <v>16</v>
      </c>
      <c r="Q596" s="80" t="s">
        <v>17</v>
      </c>
      <c r="R596" s="80" t="s">
        <v>18</v>
      </c>
      <c r="S596" s="106" t="s">
        <v>19</v>
      </c>
      <c r="T596" s="107" t="s">
        <v>20</v>
      </c>
      <c r="U596" s="107" t="s">
        <v>21</v>
      </c>
      <c r="V596" s="105" t="s">
        <v>22</v>
      </c>
      <c r="W596" s="76"/>
      <c r="X596" s="1" t="s">
        <v>2</v>
      </c>
      <c r="Y596" s="1" t="s">
        <v>3</v>
      </c>
      <c r="Z596" s="1" t="s">
        <v>4</v>
      </c>
      <c r="AA596" s="1" t="s">
        <v>5</v>
      </c>
      <c r="AB596" s="2" t="s">
        <v>6</v>
      </c>
      <c r="AC596" s="1" t="s">
        <v>7</v>
      </c>
      <c r="AD596" s="1" t="s">
        <v>8</v>
      </c>
      <c r="AE596" s="1" t="s">
        <v>9</v>
      </c>
      <c r="AF596" s="1" t="s">
        <v>10</v>
      </c>
      <c r="AG596" s="1" t="s">
        <v>11</v>
      </c>
      <c r="AH596" s="1" t="s">
        <v>12</v>
      </c>
      <c r="AI596" s="1" t="s">
        <v>13</v>
      </c>
      <c r="AJ596" s="2" t="s">
        <v>14</v>
      </c>
      <c r="AK596" s="1" t="s">
        <v>15</v>
      </c>
      <c r="AL596" s="1" t="s">
        <v>16</v>
      </c>
      <c r="AM596" s="3" t="s">
        <v>17</v>
      </c>
      <c r="AN596" s="4" t="s">
        <v>18</v>
      </c>
      <c r="AO596" s="5" t="s">
        <v>19</v>
      </c>
      <c r="AP596" s="6" t="s">
        <v>20</v>
      </c>
      <c r="AQ596" s="6" t="s">
        <v>21</v>
      </c>
      <c r="AR596" s="7" t="s">
        <v>22</v>
      </c>
      <c r="AS596" s="76"/>
      <c r="AT596" s="76"/>
    </row>
    <row r="597" spans="1:46" ht="15.75" customHeight="1" x14ac:dyDescent="0.2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6"/>
      <c r="X597" s="8">
        <v>1</v>
      </c>
      <c r="Y597" s="8" t="s">
        <v>23</v>
      </c>
      <c r="Z597" s="8">
        <f t="shared" ref="Z597:AI597" si="1650">SUM(D605)</f>
        <v>26</v>
      </c>
      <c r="AA597" s="9">
        <f t="shared" ca="1" si="1650"/>
        <v>25</v>
      </c>
      <c r="AB597" s="10">
        <f t="shared" ca="1" si="1650"/>
        <v>4993.5199999999904</v>
      </c>
      <c r="AC597" s="9">
        <f t="shared" ca="1" si="1650"/>
        <v>892</v>
      </c>
      <c r="AD597" s="9">
        <f t="shared" ca="1" si="1650"/>
        <v>0</v>
      </c>
      <c r="AE597" s="9">
        <f t="shared" ca="1" si="1650"/>
        <v>892</v>
      </c>
      <c r="AF597" s="9">
        <f t="shared" ca="1" si="1650"/>
        <v>2155</v>
      </c>
      <c r="AG597" s="9">
        <f t="shared" ca="1" si="1650"/>
        <v>0</v>
      </c>
      <c r="AH597" s="9">
        <f t="shared" ca="1" si="1650"/>
        <v>2155</v>
      </c>
      <c r="AI597" s="9">
        <f t="shared" ca="1" si="1650"/>
        <v>3047</v>
      </c>
      <c r="AJ597" s="11">
        <f t="shared" ref="AJ597:AJ599" ca="1" si="1651">AB597/AA597</f>
        <v>199.74079999999961</v>
      </c>
      <c r="AK597" s="8">
        <f>SUM(O605)</f>
        <v>6853</v>
      </c>
      <c r="AL597" s="12">
        <f t="shared" ref="AL597:AL603" ca="1" si="1652">AI597/AK597</f>
        <v>0.4446227929373997</v>
      </c>
      <c r="AM597" s="13">
        <f t="shared" ref="AM597:AM599" si="1653">SUM(Q605)</f>
        <v>1.5</v>
      </c>
      <c r="AN597" s="12">
        <f t="shared" ref="AN597:AN603" ca="1" si="1654">AO597/AM597</f>
        <v>0.40679387152416274</v>
      </c>
      <c r="AO597" s="14">
        <f t="shared" ref="AO597:AO603" ca="1" si="1655">AI597/AB597</f>
        <v>0.61019080728624409</v>
      </c>
      <c r="AP597" s="13">
        <f t="shared" ref="AP597:AQ597" ca="1" si="1656">SUM(T605)</f>
        <v>147.99999999999972</v>
      </c>
      <c r="AQ597" s="13">
        <f t="shared" ca="1" si="1656"/>
        <v>5.9199999999999884</v>
      </c>
      <c r="AR597" s="9">
        <f t="shared" ref="AR597:AR603" ca="1" si="1657">AI597/AA597</f>
        <v>121.88</v>
      </c>
      <c r="AS597" s="76"/>
      <c r="AT597" s="76"/>
    </row>
    <row r="598" spans="1:46" ht="15.75" customHeight="1" x14ac:dyDescent="0.2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6"/>
      <c r="X598" s="8">
        <v>2</v>
      </c>
      <c r="Y598" s="8" t="s">
        <v>24</v>
      </c>
      <c r="Z598" s="8">
        <f t="shared" ref="Z598:AI598" si="1658">SUM(D606)</f>
        <v>35</v>
      </c>
      <c r="AA598" s="9">
        <f t="shared" ca="1" si="1658"/>
        <v>35</v>
      </c>
      <c r="AB598" s="10">
        <f t="shared" ca="1" si="1658"/>
        <v>6759.3859999999904</v>
      </c>
      <c r="AC598" s="9">
        <f t="shared" ca="1" si="1658"/>
        <v>640</v>
      </c>
      <c r="AD598" s="9">
        <f t="shared" ca="1" si="1658"/>
        <v>0</v>
      </c>
      <c r="AE598" s="9">
        <f t="shared" ca="1" si="1658"/>
        <v>640</v>
      </c>
      <c r="AF598" s="9">
        <f t="shared" ca="1" si="1658"/>
        <v>821</v>
      </c>
      <c r="AG598" s="9">
        <f t="shared" ca="1" si="1658"/>
        <v>0</v>
      </c>
      <c r="AH598" s="9">
        <f t="shared" ca="1" si="1658"/>
        <v>821</v>
      </c>
      <c r="AI598" s="9">
        <f t="shared" ca="1" si="1658"/>
        <v>1461</v>
      </c>
      <c r="AJ598" s="11">
        <f t="shared" ca="1" si="1651"/>
        <v>193.12531428571401</v>
      </c>
      <c r="AK598" s="8">
        <v>1580</v>
      </c>
      <c r="AL598" s="12">
        <f t="shared" ca="1" si="1652"/>
        <v>0.92468354430379751</v>
      </c>
      <c r="AM598" s="13">
        <f t="shared" si="1653"/>
        <v>1.5</v>
      </c>
      <c r="AN598" s="12">
        <f t="shared" ca="1" si="1654"/>
        <v>0.14409592823963616</v>
      </c>
      <c r="AO598" s="14">
        <f t="shared" ca="1" si="1655"/>
        <v>0.21614389235945425</v>
      </c>
      <c r="AP598" s="13">
        <f t="shared" ref="AP598:AQ598" ca="1" si="1659">SUM(T606)</f>
        <v>252.16884909531768</v>
      </c>
      <c r="AQ598" s="13">
        <f t="shared" ca="1" si="1659"/>
        <v>7.2048242598662195</v>
      </c>
      <c r="AR598" s="9">
        <f t="shared" ca="1" si="1657"/>
        <v>41.74285714285714</v>
      </c>
      <c r="AS598" s="76"/>
      <c r="AT598" s="76"/>
    </row>
    <row r="599" spans="1:46" ht="15.75" customHeight="1" x14ac:dyDescent="0.2">
      <c r="A599" s="70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6"/>
      <c r="X599" s="8">
        <v>3</v>
      </c>
      <c r="Y599" s="8" t="s">
        <v>25</v>
      </c>
      <c r="Z599" s="8">
        <f t="shared" ref="Z599:AI599" si="1660">SUM(D607)</f>
        <v>26</v>
      </c>
      <c r="AA599" s="9">
        <f t="shared" ca="1" si="1660"/>
        <v>25</v>
      </c>
      <c r="AB599" s="10">
        <f t="shared" ca="1" si="1660"/>
        <v>4884.576</v>
      </c>
      <c r="AC599" s="9">
        <f t="shared" ca="1" si="1660"/>
        <v>1370</v>
      </c>
      <c r="AD599" s="9">
        <f t="shared" ca="1" si="1660"/>
        <v>212</v>
      </c>
      <c r="AE599" s="9">
        <f t="shared" ca="1" si="1660"/>
        <v>1582</v>
      </c>
      <c r="AF599" s="9">
        <f t="shared" ca="1" si="1660"/>
        <v>1902</v>
      </c>
      <c r="AG599" s="9">
        <f t="shared" ca="1" si="1660"/>
        <v>285</v>
      </c>
      <c r="AH599" s="9">
        <f t="shared" ca="1" si="1660"/>
        <v>2187</v>
      </c>
      <c r="AI599" s="9">
        <f t="shared" ca="1" si="1660"/>
        <v>3769</v>
      </c>
      <c r="AJ599" s="11">
        <f t="shared" ca="1" si="1651"/>
        <v>195.38303999999999</v>
      </c>
      <c r="AK599" s="8">
        <f>SUM(O607)</f>
        <v>6622</v>
      </c>
      <c r="AL599" s="12">
        <f t="shared" ca="1" si="1652"/>
        <v>0.56916339474479005</v>
      </c>
      <c r="AM599" s="13">
        <f t="shared" si="1653"/>
        <v>1.5</v>
      </c>
      <c r="AN599" s="12">
        <f t="shared" ca="1" si="1654"/>
        <v>0.5144083471455182</v>
      </c>
      <c r="AO599" s="14">
        <f t="shared" ca="1" si="1655"/>
        <v>0.77161252071827724</v>
      </c>
      <c r="AP599" s="13">
        <f t="shared" ref="AP599:AQ599" ca="1" si="1661">SUM(T607)</f>
        <v>204.88993288590603</v>
      </c>
      <c r="AQ599" s="13">
        <f t="shared" ca="1" si="1661"/>
        <v>8.1955973154362418</v>
      </c>
      <c r="AR599" s="9">
        <f t="shared" ca="1" si="1657"/>
        <v>150.76</v>
      </c>
      <c r="AS599" s="76"/>
      <c r="AT599" s="76"/>
    </row>
    <row r="600" spans="1:46" ht="15.75" customHeight="1" x14ac:dyDescent="0.25">
      <c r="A600" s="70"/>
      <c r="B600" s="16">
        <v>1</v>
      </c>
      <c r="C600" s="16" t="s">
        <v>26</v>
      </c>
      <c r="D600" s="17">
        <v>15</v>
      </c>
      <c r="E600" s="18">
        <f ca="1">IFERROR(__xludf.DUMMYFUNCTION("COUNT(IMPORTRANGE(""https://docs.google.com/spreadsheets/d/1iVFEBQOAONhqDIMRa2hQ7WkCQv0dJWSAmc0AzfvSCMg/edit"",""23!d2:d21""))"),14)</f>
        <v>14</v>
      </c>
      <c r="F600" s="19">
        <f ca="1">IFERROR(__xludf.DUMMYFUNCTION("SUM(IMPORTRANGE(""https://docs.google.com/spreadsheets/d/1iVFEBQOAONhqDIMRa2hQ7WkCQv0dJWSAmc0AzfvSCMg/edit"",""23!Q2:Q21""))"),2775.27)</f>
        <v>2775.27</v>
      </c>
      <c r="G600" s="18">
        <f ca="1">IFERROR(__xludf.DUMMYFUNCTION("IMPORTRANGE(""https://docs.google.com/spreadsheets/d/1iVFEBQOAONhqDIMRa2hQ7WkCQv0dJWSAmc0AzfvSCMg/edit"",""23!e28"")"),1096)</f>
        <v>1096</v>
      </c>
      <c r="H600" s="18">
        <f ca="1">IFERROR(__xludf.DUMMYFUNCTION("IMPORTRANGE(""https://docs.google.com/spreadsheets/d/1iVFEBQOAONhqDIMRa2hQ7WkCQv0dJWSAmc0AzfvSCMg/edit"",""23!e29"")"),0)</f>
        <v>0</v>
      </c>
      <c r="I600" s="18">
        <f t="shared" ref="I600:I617" ca="1" si="1662">SUM(G600:H600)</f>
        <v>1096</v>
      </c>
      <c r="J600" s="18">
        <f ca="1">IFERROR(__xludf.DUMMYFUNCTION("IMPORTRANGE(""https://docs.google.com/spreadsheets/d/1iVFEBQOAONhqDIMRa2hQ7WkCQv0dJWSAmc0AzfvSCMg/edit"",""23!e32"")"),1914)</f>
        <v>1914</v>
      </c>
      <c r="K600" s="18">
        <f ca="1">IFERROR(__xludf.DUMMYFUNCTION("IMPORTRANGE(""https://docs.google.com/spreadsheets/d/1iVFEBQOAONhqDIMRa2hQ7WkCQv0dJWSAmc0AzfvSCMg/edit"",""23!e33"")"),0)</f>
        <v>0</v>
      </c>
      <c r="L600" s="18">
        <f t="shared" ref="L600:L606" ca="1" si="1663">SUM(J600:K600)</f>
        <v>1914</v>
      </c>
      <c r="M600" s="18">
        <f t="shared" ref="M600:M617" ca="1" si="1664">SUM(I600+L600)</f>
        <v>3010</v>
      </c>
      <c r="N600" s="19">
        <f t="shared" ref="N600:N618" ca="1" si="1665">F600/E600</f>
        <v>198.23357142857142</v>
      </c>
      <c r="O600" s="16">
        <v>5161</v>
      </c>
      <c r="P600" s="20">
        <f t="shared" ref="P600:P618" ca="1" si="1666">M600/O600</f>
        <v>0.58322030614222053</v>
      </c>
      <c r="Q600" s="21">
        <v>1.5</v>
      </c>
      <c r="R600" s="20">
        <f t="shared" ref="R600:R618" ca="1" si="1667">S600/Q600</f>
        <v>0.7230527720426001</v>
      </c>
      <c r="S600" s="22">
        <f t="shared" ref="S600:S618" ca="1" si="1668">M600/F600</f>
        <v>1.0845791580639002</v>
      </c>
      <c r="T600" s="21">
        <f ca="1">F600/14.415</f>
        <v>192.52653485952135</v>
      </c>
      <c r="U600" s="21">
        <f t="shared" ref="U600:U618" ca="1" si="1669">T600/E600</f>
        <v>13.751895347108668</v>
      </c>
      <c r="V600" s="18">
        <f t="shared" ref="V600:V618" ca="1" si="1670">M600/E600</f>
        <v>215</v>
      </c>
      <c r="W600" s="76"/>
      <c r="X600" s="8">
        <v>4</v>
      </c>
      <c r="Y600" s="8" t="s">
        <v>27</v>
      </c>
      <c r="Z600" s="8">
        <f t="shared" ref="Z600:AK600" si="1671">SUM(D613)</f>
        <v>23</v>
      </c>
      <c r="AA600" s="9">
        <f t="shared" ca="1" si="1671"/>
        <v>22</v>
      </c>
      <c r="AB600" s="10">
        <f t="shared" ca="1" si="1671"/>
        <v>4086.7949999999901</v>
      </c>
      <c r="AC600" s="9">
        <f t="shared" ca="1" si="1671"/>
        <v>1457</v>
      </c>
      <c r="AD600" s="9">
        <f t="shared" ca="1" si="1671"/>
        <v>0</v>
      </c>
      <c r="AE600" s="9">
        <f t="shared" ca="1" si="1671"/>
        <v>1457</v>
      </c>
      <c r="AF600" s="9">
        <f t="shared" ca="1" si="1671"/>
        <v>2069</v>
      </c>
      <c r="AG600" s="9">
        <f t="shared" ca="1" si="1671"/>
        <v>0</v>
      </c>
      <c r="AH600" s="9">
        <f t="shared" ca="1" si="1671"/>
        <v>2069</v>
      </c>
      <c r="AI600" s="9">
        <f t="shared" ca="1" si="1671"/>
        <v>3526</v>
      </c>
      <c r="AJ600" s="11">
        <f t="shared" ca="1" si="1671"/>
        <v>185.76340909090865</v>
      </c>
      <c r="AK600" s="8">
        <f t="shared" si="1671"/>
        <v>8101</v>
      </c>
      <c r="AL600" s="12">
        <f t="shared" ca="1" si="1652"/>
        <v>0.43525490680162943</v>
      </c>
      <c r="AM600" s="13">
        <f>SUM(Q613)</f>
        <v>1.5</v>
      </c>
      <c r="AN600" s="12">
        <f t="shared" ca="1" si="1654"/>
        <v>0.57518585264655375</v>
      </c>
      <c r="AO600" s="14">
        <f t="shared" ca="1" si="1655"/>
        <v>0.86277877896983057</v>
      </c>
      <c r="AP600" s="13">
        <f t="shared" ref="AP600:AQ600" ca="1" si="1672">SUM(T613)</f>
        <v>204.49311983987943</v>
      </c>
      <c r="AQ600" s="13">
        <f t="shared" ca="1" si="1672"/>
        <v>9.2951418109036101</v>
      </c>
      <c r="AR600" s="9">
        <f t="shared" ca="1" si="1657"/>
        <v>160.27272727272728</v>
      </c>
      <c r="AS600" s="76"/>
      <c r="AT600" s="76"/>
    </row>
    <row r="601" spans="1:46" ht="15.75" customHeight="1" x14ac:dyDescent="0.25">
      <c r="A601" s="70"/>
      <c r="B601" s="16">
        <v>2</v>
      </c>
      <c r="C601" s="16" t="s">
        <v>28</v>
      </c>
      <c r="D601" s="17">
        <v>24</v>
      </c>
      <c r="E601" s="18">
        <f ca="1">IFERROR(__xludf.DUMMYFUNCTION("COUNT(IMPORTRANGE(""https://docs.google.com/spreadsheets/d/1tJCeYclgeJZ4Dc78t_SkhVjtacKW-5-VGim8X1rzUzk/edit"",""23!d2:d34""))"),24)</f>
        <v>24</v>
      </c>
      <c r="F601" s="19">
        <f ca="1">IFERROR(__xludf.DUMMYFUNCTION("SUM(IMPORTRANGE(""https://docs.google.com/spreadsheets/d/1tJCeYclgeJZ4Dc78t_SkhVjtacKW-5-VGim8X1rzUzk/edit"",""23!Q2:Q34""))"),4675.01299999999)</f>
        <v>4675.0129999999899</v>
      </c>
      <c r="G601" s="18">
        <f ca="1">IFERROR(__xludf.DUMMYFUNCTION("IMPORTRANGE(""https://docs.google.com/spreadsheets/d/1tJCeYclgeJZ4Dc78t_SkhVjtacKW-5-VGim8X1rzUzk/edit"",""23!e41"")"),1553)</f>
        <v>1553</v>
      </c>
      <c r="H601" s="18">
        <f ca="1">IFERROR(__xludf.DUMMYFUNCTION("IMPORTRANGE(""https://docs.google.com/spreadsheets/d/1tJCeYclgeJZ4Dc78t_SkhVjtacKW-5-VGim8X1rzUzk/edit"",""23!e42"")"),101)</f>
        <v>101</v>
      </c>
      <c r="I601" s="18">
        <f t="shared" ca="1" si="1662"/>
        <v>1654</v>
      </c>
      <c r="J601" s="18">
        <f ca="1">IFERROR(__xludf.DUMMYFUNCTION("IMPORTRANGE(""https://docs.google.com/spreadsheets/d/1tJCeYclgeJZ4Dc78t_SkhVjtacKW-5-VGim8X1rzUzk/edit"",""23!e45"")"),1576)</f>
        <v>1576</v>
      </c>
      <c r="K601" s="18">
        <f ca="1">IFERROR(__xludf.DUMMYFUNCTION("IMPORTRANGE(""https://docs.google.com/spreadsheets/d/1tJCeYclgeJZ4Dc78t_SkhVjtacKW-5-VGim8X1rzUzk/edit"",""23!e46"")"),130)</f>
        <v>130</v>
      </c>
      <c r="L601" s="18">
        <f t="shared" ca="1" si="1663"/>
        <v>1706</v>
      </c>
      <c r="M601" s="18">
        <f t="shared" ca="1" si="1664"/>
        <v>3360</v>
      </c>
      <c r="N601" s="19">
        <f t="shared" ca="1" si="1665"/>
        <v>194.79220833333292</v>
      </c>
      <c r="O601" s="16">
        <v>7315</v>
      </c>
      <c r="P601" s="20">
        <f t="shared" ca="1" si="1666"/>
        <v>0.45933014354066987</v>
      </c>
      <c r="Q601" s="21">
        <v>1.5</v>
      </c>
      <c r="R601" s="20">
        <f t="shared" ca="1" si="1667"/>
        <v>0.47914305265033591</v>
      </c>
      <c r="S601" s="22">
        <f t="shared" ca="1" si="1668"/>
        <v>0.71871457897550384</v>
      </c>
      <c r="T601" s="21">
        <f ca="1">F601/30.897</f>
        <v>151.3096093471855</v>
      </c>
      <c r="U601" s="21">
        <f t="shared" ca="1" si="1669"/>
        <v>6.3045670561327292</v>
      </c>
      <c r="V601" s="18">
        <f t="shared" ca="1" si="1670"/>
        <v>140</v>
      </c>
      <c r="W601" s="76"/>
      <c r="X601" s="8">
        <v>5</v>
      </c>
      <c r="Y601" s="8" t="s">
        <v>29</v>
      </c>
      <c r="Z601" s="8">
        <f t="shared" ref="Z601:AI601" si="1673">SUM(D616)</f>
        <v>23</v>
      </c>
      <c r="AA601" s="9">
        <f t="shared" ca="1" si="1673"/>
        <v>23</v>
      </c>
      <c r="AB601" s="10">
        <f t="shared" ca="1" si="1673"/>
        <v>4662.4159999999902</v>
      </c>
      <c r="AC601" s="9">
        <f t="shared" ca="1" si="1673"/>
        <v>1568</v>
      </c>
      <c r="AD601" s="9">
        <f t="shared" ca="1" si="1673"/>
        <v>45</v>
      </c>
      <c r="AE601" s="9">
        <f t="shared" ca="1" si="1673"/>
        <v>1613</v>
      </c>
      <c r="AF601" s="9">
        <f t="shared" ca="1" si="1673"/>
        <v>2297</v>
      </c>
      <c r="AG601" s="9">
        <f t="shared" ca="1" si="1673"/>
        <v>90</v>
      </c>
      <c r="AH601" s="9">
        <f t="shared" ca="1" si="1673"/>
        <v>2387</v>
      </c>
      <c r="AI601" s="9">
        <f t="shared" ca="1" si="1673"/>
        <v>4000</v>
      </c>
      <c r="AJ601" s="11">
        <f t="shared" ref="AJ601:AJ603" ca="1" si="1674">AB601/AA601</f>
        <v>202.71373913043436</v>
      </c>
      <c r="AK601" s="8">
        <f t="shared" ref="AK601:AK602" si="1675">SUM(O616)</f>
        <v>9201</v>
      </c>
      <c r="AL601" s="12">
        <f t="shared" ca="1" si="1652"/>
        <v>0.4347353548527334</v>
      </c>
      <c r="AM601" s="13">
        <f t="shared" ref="AM601:AM602" si="1676">SUM(Q616)</f>
        <v>1.5</v>
      </c>
      <c r="AN601" s="12">
        <f t="shared" ca="1" si="1654"/>
        <v>0.571949535748563</v>
      </c>
      <c r="AO601" s="14">
        <f t="shared" ca="1" si="1655"/>
        <v>0.85792430362284455</v>
      </c>
      <c r="AP601" s="13">
        <f t="shared" ref="AP601:AQ601" ca="1" si="1677">SUM(T616)</f>
        <v>175.99999999999963</v>
      </c>
      <c r="AQ601" s="13">
        <f t="shared" ca="1" si="1677"/>
        <v>7.6521739130434625</v>
      </c>
      <c r="AR601" s="9">
        <f t="shared" ca="1" si="1657"/>
        <v>173.91304347826087</v>
      </c>
      <c r="AS601" s="76"/>
      <c r="AT601" s="76"/>
    </row>
    <row r="602" spans="1:46" ht="15.75" customHeight="1" x14ac:dyDescent="0.25">
      <c r="A602" s="70"/>
      <c r="B602" s="16">
        <v>3</v>
      </c>
      <c r="C602" s="16" t="s">
        <v>30</v>
      </c>
      <c r="D602" s="17">
        <v>45</v>
      </c>
      <c r="E602" s="18">
        <f ca="1">IFERROR(__xludf.DUMMYFUNCTION("COUNT(IMPORTRANGE(""https://docs.google.com/spreadsheets/d/130gLEONC13J8KkQ6dk06x3bLRy_jCrAw2hXatQf2W50/edit"",""23!d2:d61""))"),45)</f>
        <v>45</v>
      </c>
      <c r="F602" s="23">
        <f ca="1">IFERROR(__xludf.DUMMYFUNCTION("SUM(IMPORTRANGE(""https://docs.google.com/spreadsheets/d/130gLEONC13J8KkQ6dk06x3bLRy_jCrAw2hXatQf2W50/edit"",""23!Q2:Q61""))"),8986.61299999999)</f>
        <v>8986.6129999999903</v>
      </c>
      <c r="G602" s="18">
        <f ca="1">IFERROR(__xludf.DUMMYFUNCTION("IMPORTRANGE(""https://docs.google.com/spreadsheets/d/130gLEONC13J8KkQ6dk06x3bLRy_jCrAw2hXatQf2W50/edit"",""23!e68"")"),1759)</f>
        <v>1759</v>
      </c>
      <c r="H602" s="18">
        <f ca="1">IFERROR(__xludf.DUMMYFUNCTION("IMPORTRANGE(""https://docs.google.com/spreadsheets/d/130gLEONC13J8KkQ6dk06x3bLRy_jCrAw2hXatQf2W50/edit"",""23!e69"")"),0)</f>
        <v>0</v>
      </c>
      <c r="I602" s="18">
        <f t="shared" ca="1" si="1662"/>
        <v>1759</v>
      </c>
      <c r="J602" s="18">
        <f ca="1">IFERROR(__xludf.DUMMYFUNCTION("IMPORTRANGE(""https://docs.google.com/spreadsheets/d/130gLEONC13J8KkQ6dk06x3bLRy_jCrAw2hXatQf2W50/edit"",""23!e72"")"),3756)</f>
        <v>3756</v>
      </c>
      <c r="K602" s="18">
        <f ca="1">IFERROR(__xludf.DUMMYFUNCTION("IMPORTRANGE(""https://docs.google.com/spreadsheets/d/130gLEONC13J8KkQ6dk06x3bLRy_jCrAw2hXatQf2W50/edit"",""23!e73"")"),88)</f>
        <v>88</v>
      </c>
      <c r="L602" s="18">
        <f t="shared" ca="1" si="1663"/>
        <v>3844</v>
      </c>
      <c r="M602" s="18">
        <f t="shared" ca="1" si="1664"/>
        <v>5603</v>
      </c>
      <c r="N602" s="19">
        <f t="shared" ca="1" si="1665"/>
        <v>199.70251111111091</v>
      </c>
      <c r="O602" s="16">
        <v>11164</v>
      </c>
      <c r="P602" s="20">
        <f t="shared" ca="1" si="1666"/>
        <v>0.50188104621999285</v>
      </c>
      <c r="Q602" s="21">
        <v>1.5</v>
      </c>
      <c r="R602" s="20">
        <f t="shared" ca="1" si="1667"/>
        <v>0.41565530120561966</v>
      </c>
      <c r="S602" s="22">
        <f t="shared" ca="1" si="1668"/>
        <v>0.6234829518084295</v>
      </c>
      <c r="T602" s="21">
        <f ca="1">F602/29.603</f>
        <v>303.57102320710703</v>
      </c>
      <c r="U602" s="21">
        <f t="shared" ca="1" si="1669"/>
        <v>6.7460227379357116</v>
      </c>
      <c r="V602" s="18">
        <f t="shared" ca="1" si="1670"/>
        <v>124.51111111111111</v>
      </c>
      <c r="W602" s="76"/>
      <c r="X602" s="8">
        <v>6</v>
      </c>
      <c r="Y602" s="8" t="s">
        <v>31</v>
      </c>
      <c r="Z602" s="8">
        <f t="shared" ref="Z602:AI602" si="1678">SUM(D617)</f>
        <v>11</v>
      </c>
      <c r="AA602" s="9">
        <f t="shared" ca="1" si="1678"/>
        <v>11</v>
      </c>
      <c r="AB602" s="11">
        <f t="shared" ca="1" si="1678"/>
        <v>2129.7849999999999</v>
      </c>
      <c r="AC602" s="9">
        <f t="shared" ca="1" si="1678"/>
        <v>424</v>
      </c>
      <c r="AD602" s="9">
        <f t="shared" ca="1" si="1678"/>
        <v>0</v>
      </c>
      <c r="AE602" s="9">
        <f t="shared" ca="1" si="1678"/>
        <v>424</v>
      </c>
      <c r="AF602" s="9">
        <f t="shared" ca="1" si="1678"/>
        <v>563</v>
      </c>
      <c r="AG602" s="9">
        <f t="shared" ca="1" si="1678"/>
        <v>0</v>
      </c>
      <c r="AH602" s="9">
        <f t="shared" ca="1" si="1678"/>
        <v>563</v>
      </c>
      <c r="AI602" s="9">
        <f t="shared" ca="1" si="1678"/>
        <v>987</v>
      </c>
      <c r="AJ602" s="11">
        <f t="shared" ca="1" si="1674"/>
        <v>193.61681818181816</v>
      </c>
      <c r="AK602" s="8">
        <f t="shared" si="1675"/>
        <v>2717</v>
      </c>
      <c r="AL602" s="12">
        <f t="shared" ca="1" si="1652"/>
        <v>0.36326831063673171</v>
      </c>
      <c r="AM602" s="13">
        <f t="shared" si="1676"/>
        <v>1.5</v>
      </c>
      <c r="AN602" s="12">
        <f t="shared" ca="1" si="1654"/>
        <v>0.3089513730259158</v>
      </c>
      <c r="AO602" s="14">
        <f t="shared" ca="1" si="1655"/>
        <v>0.4634270595388737</v>
      </c>
      <c r="AP602" s="13">
        <f t="shared" ref="AP602:AQ602" ca="1" si="1679">SUM(T617)</f>
        <v>48.999999999999993</v>
      </c>
      <c r="AQ602" s="13">
        <f t="shared" ca="1" si="1679"/>
        <v>4.4545454545454541</v>
      </c>
      <c r="AR602" s="9">
        <f t="shared" ca="1" si="1657"/>
        <v>89.727272727272734</v>
      </c>
      <c r="AS602" s="76"/>
      <c r="AT602" s="76"/>
    </row>
    <row r="603" spans="1:46" ht="15.75" customHeight="1" x14ac:dyDescent="0.25">
      <c r="A603" s="70"/>
      <c r="B603" s="16">
        <v>4</v>
      </c>
      <c r="C603" s="16" t="s">
        <v>32</v>
      </c>
      <c r="D603" s="17">
        <v>32</v>
      </c>
      <c r="E603" s="18">
        <f ca="1">IFERROR(__xludf.DUMMYFUNCTION("COUNT(IMPORTRANGE(""https://docs.google.com/spreadsheets/d/1gYHli7FuKQLm2Q-5LMR0UtkD-gRRA_p8s-phLPLDLgc/edit"",""23!d2:d43""))"),31)</f>
        <v>31</v>
      </c>
      <c r="F603" s="23">
        <f ca="1">IFERROR(__xludf.DUMMYFUNCTION("SUM(IMPORTRANGE(""https://docs.google.com/spreadsheets/d/1gYHli7FuKQLm2Q-5LMR0UtkD-gRRA_p8s-phLPLDLgc/edit"",""23!Q2:Q43""))"),6034.97899999999)</f>
        <v>6034.9789999999903</v>
      </c>
      <c r="G603" s="16">
        <f ca="1">IFERROR(__xludf.DUMMYFUNCTION("IMPORTRANGE(""https://docs.google.com/spreadsheets/d/1gYHli7FuKQLm2Q-5LMR0UtkD-gRRA_p8s-phLPLDLgc/edit"",""23!e50"")"),2816)</f>
        <v>2816</v>
      </c>
      <c r="H603" s="16">
        <f ca="1">IFERROR(__xludf.DUMMYFUNCTION("IMPORTRANGE(""https://docs.google.com/spreadsheets/d/1gYHli7FuKQLm2Q-5LMR0UtkD-gRRA_p8s-phLPLDLgc/edit"",""23!e51"")"),0)</f>
        <v>0</v>
      </c>
      <c r="I603" s="18">
        <f t="shared" ca="1" si="1662"/>
        <v>2816</v>
      </c>
      <c r="J603" s="16">
        <f ca="1">IFERROR(__xludf.DUMMYFUNCTION("IMPORTRANGE(""https://docs.google.com/spreadsheets/d/1gYHli7FuKQLm2Q-5LMR0UtkD-gRRA_p8s-phLPLDLgc/edit"",""23!e54"")"),3456)</f>
        <v>3456</v>
      </c>
      <c r="K603" s="16">
        <f ca="1">IFERROR(__xludf.DUMMYFUNCTION("IMPORTRANGE(""https://docs.google.com/spreadsheets/d/1gYHli7FuKQLm2Q-5LMR0UtkD-gRRA_p8s-phLPLDLgc/edit"",""23!e55"")"),89)</f>
        <v>89</v>
      </c>
      <c r="L603" s="18">
        <f t="shared" ca="1" si="1663"/>
        <v>3545</v>
      </c>
      <c r="M603" s="18">
        <f t="shared" ca="1" si="1664"/>
        <v>6361</v>
      </c>
      <c r="N603" s="19">
        <f t="shared" ca="1" si="1665"/>
        <v>194.67674193548356</v>
      </c>
      <c r="O603" s="16">
        <v>13817</v>
      </c>
      <c r="P603" s="20">
        <f t="shared" ca="1" si="1666"/>
        <v>0.46037490048490992</v>
      </c>
      <c r="Q603" s="21">
        <v>1.5</v>
      </c>
      <c r="R603" s="20">
        <f t="shared" ca="1" si="1667"/>
        <v>0.70268126312729073</v>
      </c>
      <c r="S603" s="22">
        <f t="shared" ca="1" si="1668"/>
        <v>1.0540218946909361</v>
      </c>
      <c r="T603" s="21">
        <f ca="1">F603/25.089</f>
        <v>240.54282753397865</v>
      </c>
      <c r="U603" s="21">
        <f t="shared" ca="1" si="1669"/>
        <v>7.7594460494831825</v>
      </c>
      <c r="V603" s="18">
        <f t="shared" ca="1" si="1670"/>
        <v>205.19354838709677</v>
      </c>
      <c r="W603" s="76"/>
      <c r="X603" s="24" t="s">
        <v>33</v>
      </c>
      <c r="Y603" s="24">
        <v>6</v>
      </c>
      <c r="Z603" s="24">
        <f t="shared" ref="Z603:AI603" si="1680">SUM(Z597:Z602)</f>
        <v>144</v>
      </c>
      <c r="AA603" s="25">
        <f t="shared" ca="1" si="1680"/>
        <v>141</v>
      </c>
      <c r="AB603" s="26">
        <f t="shared" ca="1" si="1680"/>
        <v>27516.477999999963</v>
      </c>
      <c r="AC603" s="25">
        <f t="shared" ca="1" si="1680"/>
        <v>6351</v>
      </c>
      <c r="AD603" s="25">
        <f t="shared" ca="1" si="1680"/>
        <v>257</v>
      </c>
      <c r="AE603" s="25">
        <f t="shared" ca="1" si="1680"/>
        <v>6608</v>
      </c>
      <c r="AF603" s="25">
        <f t="shared" ca="1" si="1680"/>
        <v>9807</v>
      </c>
      <c r="AG603" s="25">
        <f t="shared" ca="1" si="1680"/>
        <v>375</v>
      </c>
      <c r="AH603" s="25">
        <f t="shared" ca="1" si="1680"/>
        <v>10182</v>
      </c>
      <c r="AI603" s="25">
        <f t="shared" ca="1" si="1680"/>
        <v>16790</v>
      </c>
      <c r="AJ603" s="27">
        <f t="shared" ca="1" si="1674"/>
        <v>195.15232624113449</v>
      </c>
      <c r="AK603" s="24">
        <f>SUM(AK597:AK602)</f>
        <v>35074</v>
      </c>
      <c r="AL603" s="28">
        <f t="shared" ca="1" si="1652"/>
        <v>0.47870217254946684</v>
      </c>
      <c r="AM603" s="29">
        <v>1.5</v>
      </c>
      <c r="AN603" s="28">
        <f t="shared" ca="1" si="1654"/>
        <v>0.40678655652563345</v>
      </c>
      <c r="AO603" s="30">
        <f t="shared" ca="1" si="1655"/>
        <v>0.61017983478845017</v>
      </c>
      <c r="AP603" s="29">
        <f ca="1">SUM(AP597:AP602)</f>
        <v>1034.5519018211025</v>
      </c>
      <c r="AQ603" s="29">
        <f ca="1">AP603/AA603</f>
        <v>7.3372475306461178</v>
      </c>
      <c r="AR603" s="25">
        <f t="shared" ca="1" si="1657"/>
        <v>119.07801418439716</v>
      </c>
      <c r="AS603" s="76"/>
      <c r="AT603" s="76"/>
    </row>
    <row r="604" spans="1:46" ht="15.75" customHeight="1" x14ac:dyDescent="0.25">
      <c r="A604" s="70"/>
      <c r="B604" s="16">
        <v>5</v>
      </c>
      <c r="C604" s="16" t="s">
        <v>34</v>
      </c>
      <c r="D604" s="17">
        <v>30</v>
      </c>
      <c r="E604" s="18">
        <f ca="1">IFERROR(__xludf.DUMMYFUNCTION("COUNT(IMPORTRANGE(""https://docs.google.com/spreadsheets/d/1ptS0qWBCKWkc9h2aXWT_YgMhN7yIv5WgAHRbF8l9Zpo/edit"",""23!d2:d41""))"),29)</f>
        <v>29</v>
      </c>
      <c r="F604" s="23">
        <f ca="1">IFERROR(__xludf.DUMMYFUNCTION("SUM(IMPORTRANGE(""https://docs.google.com/spreadsheets/d/1ptS0qWBCKWkc9h2aXWT_YgMhN7yIv5WgAHRbF8l9Zpo/edit"",""23!Q2:Q41""))"),5711.217)</f>
        <v>5711.2169999999996</v>
      </c>
      <c r="G604" s="18">
        <f ca="1">IFERROR(__xludf.DUMMYFUNCTION("IMPORTRANGE(""https://docs.google.com/spreadsheets/d/1ptS0qWBCKWkc9h2aXWT_YgMhN7yIv5WgAHRbF8l9Zpo/edit"",""23!e48"")"),1682)</f>
        <v>1682</v>
      </c>
      <c r="H604" s="18">
        <f ca="1">IFERROR(__xludf.DUMMYFUNCTION("IMPORTRANGE(""https://docs.google.com/spreadsheets/d/1ptS0qWBCKWkc9h2aXWT_YgMhN7yIv5WgAHRbF8l9Zpo/edit"",""23!e49"")"),0)</f>
        <v>0</v>
      </c>
      <c r="I604" s="18">
        <f t="shared" ca="1" si="1662"/>
        <v>1682</v>
      </c>
      <c r="J604" s="18">
        <f ca="1">IFERROR(__xludf.DUMMYFUNCTION("IMPORTRANGE(""https://docs.google.com/spreadsheets/d/1ptS0qWBCKWkc9h2aXWT_YgMhN7yIv5WgAHRbF8l9Zpo/edit"",""23!e52"")"),2298)</f>
        <v>2298</v>
      </c>
      <c r="K604" s="18">
        <f ca="1">IFERROR(__xludf.DUMMYFUNCTION("IMPORTRANGE(""https://docs.google.com/spreadsheets/d/1ptS0qWBCKWkc9h2aXWT_YgMhN7yIv5WgAHRbF8l9Zpo/edit"",""23!e53"")"),0)</f>
        <v>0</v>
      </c>
      <c r="L604" s="18">
        <f t="shared" ca="1" si="1663"/>
        <v>2298</v>
      </c>
      <c r="M604" s="18">
        <f t="shared" ca="1" si="1664"/>
        <v>3980</v>
      </c>
      <c r="N604" s="19">
        <f t="shared" ca="1" si="1665"/>
        <v>196.93851724137929</v>
      </c>
      <c r="O604" s="16">
        <v>9354</v>
      </c>
      <c r="P604" s="20">
        <f t="shared" ca="1" si="1666"/>
        <v>0.42548642292067562</v>
      </c>
      <c r="Q604" s="21">
        <v>1.5</v>
      </c>
      <c r="R604" s="20">
        <f t="shared" ca="1" si="1667"/>
        <v>0.46458282592542594</v>
      </c>
      <c r="S604" s="22">
        <f t="shared" ca="1" si="1668"/>
        <v>0.69687423888813893</v>
      </c>
      <c r="T604" s="21">
        <f ca="1">F604/30.713</f>
        <v>185.95438413701038</v>
      </c>
      <c r="U604" s="21">
        <f t="shared" ca="1" si="1669"/>
        <v>6.4122201426555305</v>
      </c>
      <c r="V604" s="18">
        <f t="shared" ca="1" si="1670"/>
        <v>137.24137931034483</v>
      </c>
      <c r="W604" s="76"/>
      <c r="X604" s="100" t="s">
        <v>35</v>
      </c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9"/>
      <c r="AS604" s="76"/>
      <c r="AT604" s="76"/>
    </row>
    <row r="605" spans="1:46" ht="15.75" customHeight="1" x14ac:dyDescent="0.25">
      <c r="A605" s="70"/>
      <c r="B605" s="16">
        <v>6</v>
      </c>
      <c r="C605" s="16" t="s">
        <v>23</v>
      </c>
      <c r="D605" s="17">
        <v>26</v>
      </c>
      <c r="E605" s="18">
        <f ca="1">IFERROR(__xludf.DUMMYFUNCTION("COUNT(IMPORTRANGE(""https://docs.google.com/spreadsheets/d/1829CoYW82aTBBUgqkPnJa94KlBWI-DowAnP4ENQCmaQ/edit"",""23!d2:d36""))"),25)</f>
        <v>25</v>
      </c>
      <c r="F605" s="23">
        <f ca="1">IFERROR(__xludf.DUMMYFUNCTION("SUM(IMPORTRANGE(""https://docs.google.com/spreadsheets/d/1829CoYW82aTBBUgqkPnJa94KlBWI-DowAnP4ENQCmaQ/edit"",""23!Q2:Q36""))"),4993.51999999999)</f>
        <v>4993.5199999999904</v>
      </c>
      <c r="G605" s="18">
        <f ca="1">IFERROR(__xludf.DUMMYFUNCTION("IMPORTRANGE(""https://docs.google.com/spreadsheets/d/1829CoYW82aTBBUgqkPnJa94KlBWI-DowAnP4ENQCmaQ/edit"",""23!e43"")"),892)</f>
        <v>892</v>
      </c>
      <c r="H605" s="18">
        <f ca="1">IFERROR(__xludf.DUMMYFUNCTION("IMPORTRANGE(""https://docs.google.com/spreadsheets/d/1829CoYW82aTBBUgqkPnJa94KlBWI-DowAnP4ENQCmaQ/edit"",""23!e44"")"),0)</f>
        <v>0</v>
      </c>
      <c r="I605" s="18">
        <f t="shared" ca="1" si="1662"/>
        <v>892</v>
      </c>
      <c r="J605" s="18">
        <f ca="1">IFERROR(__xludf.DUMMYFUNCTION("IMPORTRANGE(""https://docs.google.com/spreadsheets/d/1829CoYW82aTBBUgqkPnJa94KlBWI-DowAnP4ENQCmaQ/edit"",""23!e47"")"),2155)</f>
        <v>2155</v>
      </c>
      <c r="K605" s="18">
        <f ca="1">IFERROR(__xludf.DUMMYFUNCTION("IMPORTRANGE(""https://docs.google.com/spreadsheets/d/1829CoYW82aTBBUgqkPnJa94KlBWI-DowAnP4ENQCmaQ/edit"",""23!e48"")"),0)</f>
        <v>0</v>
      </c>
      <c r="L605" s="18">
        <f t="shared" ca="1" si="1663"/>
        <v>2155</v>
      </c>
      <c r="M605" s="18">
        <f t="shared" ca="1" si="1664"/>
        <v>3047</v>
      </c>
      <c r="N605" s="19">
        <f t="shared" ca="1" si="1665"/>
        <v>199.74079999999961</v>
      </c>
      <c r="O605" s="16">
        <v>6853</v>
      </c>
      <c r="P605" s="20">
        <f t="shared" ca="1" si="1666"/>
        <v>0.4446227929373997</v>
      </c>
      <c r="Q605" s="21">
        <v>1.5</v>
      </c>
      <c r="R605" s="20">
        <f t="shared" ca="1" si="1667"/>
        <v>0.40679387152416274</v>
      </c>
      <c r="S605" s="22">
        <f t="shared" ca="1" si="1668"/>
        <v>0.61019080728624409</v>
      </c>
      <c r="T605" s="21">
        <f ca="1">F605/33.74</f>
        <v>147.99999999999972</v>
      </c>
      <c r="U605" s="21">
        <f t="shared" ca="1" si="1669"/>
        <v>5.9199999999999884</v>
      </c>
      <c r="V605" s="18">
        <f t="shared" ca="1" si="1670"/>
        <v>121.88</v>
      </c>
      <c r="W605" s="76"/>
      <c r="X605" s="1" t="s">
        <v>2</v>
      </c>
      <c r="Y605" s="1" t="s">
        <v>3</v>
      </c>
      <c r="Z605" s="1" t="s">
        <v>4</v>
      </c>
      <c r="AA605" s="1" t="s">
        <v>5</v>
      </c>
      <c r="AB605" s="2" t="s">
        <v>6</v>
      </c>
      <c r="AC605" s="1" t="s">
        <v>7</v>
      </c>
      <c r="AD605" s="1" t="s">
        <v>8</v>
      </c>
      <c r="AE605" s="1" t="s">
        <v>9</v>
      </c>
      <c r="AF605" s="1" t="s">
        <v>10</v>
      </c>
      <c r="AG605" s="1" t="s">
        <v>11</v>
      </c>
      <c r="AH605" s="1" t="s">
        <v>12</v>
      </c>
      <c r="AI605" s="1" t="s">
        <v>13</v>
      </c>
      <c r="AJ605" s="2" t="s">
        <v>14</v>
      </c>
      <c r="AK605" s="1" t="s">
        <v>15</v>
      </c>
      <c r="AL605" s="1" t="s">
        <v>16</v>
      </c>
      <c r="AM605" s="3" t="s">
        <v>17</v>
      </c>
      <c r="AN605" s="4" t="s">
        <v>18</v>
      </c>
      <c r="AO605" s="5" t="s">
        <v>19</v>
      </c>
      <c r="AP605" s="6" t="s">
        <v>20</v>
      </c>
      <c r="AQ605" s="6" t="s">
        <v>21</v>
      </c>
      <c r="AR605" s="7" t="s">
        <v>22</v>
      </c>
      <c r="AS605" s="76"/>
      <c r="AT605" s="76"/>
    </row>
    <row r="606" spans="1:46" ht="15.75" customHeight="1" x14ac:dyDescent="0.25">
      <c r="A606" s="70"/>
      <c r="B606" s="16">
        <v>7</v>
      </c>
      <c r="C606" s="16" t="s">
        <v>24</v>
      </c>
      <c r="D606" s="17">
        <v>35</v>
      </c>
      <c r="E606" s="31">
        <f ca="1">IFERROR(__xludf.DUMMYFUNCTION("COUNT(IMPORTRANGE(""https://docs.google.com/spreadsheets/d/1E2x4oDZxEIsuC5nl-5Z0--MoN8b1dt9SbpRcCfNP84Q/edit"",""23!d2:d45""))"),35)</f>
        <v>35</v>
      </c>
      <c r="F606" s="32">
        <f ca="1">IFERROR(__xludf.DUMMYFUNCTION("SUM(IMPORTRANGE(""https://docs.google.com/spreadsheets/d/1E2x4oDZxEIsuC5nl-5Z0--MoN8b1dt9SbpRcCfNP84Q/edit"",""23!Q2:Q45""))"),6759.38599999999)</f>
        <v>6759.3859999999904</v>
      </c>
      <c r="G606" s="31">
        <f ca="1">IFERROR(__xludf.DUMMYFUNCTION("IMPORTRANGE(""https://docs.google.com/spreadsheets/d/1E2x4oDZxEIsuC5nl-5Z0--MoN8b1dt9SbpRcCfNP84Q/edit"",""23!e53"")"),640)</f>
        <v>640</v>
      </c>
      <c r="H606" s="31">
        <f ca="1">IFERROR(__xludf.DUMMYFUNCTION("IMPORTRANGE(""https://docs.google.com/spreadsheets/d/1E2x4oDZxEIsuC5nl-5Z0--MoN8b1dt9SbpRcCfNP84Q/edit"",""23!e54"")"),0)</f>
        <v>0</v>
      </c>
      <c r="I606" s="31">
        <f t="shared" ca="1" si="1662"/>
        <v>640</v>
      </c>
      <c r="J606" s="31">
        <f ca="1">IFERROR(__xludf.DUMMYFUNCTION("IMPORTRANGE(""https://docs.google.com/spreadsheets/d/1E2x4oDZxEIsuC5nl-5Z0--MoN8b1dt9SbpRcCfNP84Q/edit"",""23!e57"")"),821)</f>
        <v>821</v>
      </c>
      <c r="K606" s="31">
        <f ca="1">IFERROR(__xludf.DUMMYFUNCTION("IMPORTRANGE(""https://docs.google.com/spreadsheets/d/1E2x4oDZxEIsuC5nl-5Z0--MoN8b1dt9SbpRcCfNP84Q/edit"",""23!e58"")"),0)</f>
        <v>0</v>
      </c>
      <c r="L606" s="18">
        <f t="shared" ca="1" si="1663"/>
        <v>821</v>
      </c>
      <c r="M606" s="18">
        <f t="shared" ca="1" si="1664"/>
        <v>1461</v>
      </c>
      <c r="N606" s="19">
        <f t="shared" ca="1" si="1665"/>
        <v>193.12531428571401</v>
      </c>
      <c r="O606" s="16">
        <v>1580</v>
      </c>
      <c r="P606" s="20">
        <f t="shared" ca="1" si="1666"/>
        <v>0.92468354430379751</v>
      </c>
      <c r="Q606" s="21">
        <v>1.5</v>
      </c>
      <c r="R606" s="20">
        <f t="shared" ca="1" si="1667"/>
        <v>0.14409592823963616</v>
      </c>
      <c r="S606" s="22">
        <f t="shared" ca="1" si="1668"/>
        <v>0.21614389235945425</v>
      </c>
      <c r="T606" s="21">
        <f ca="1">F606/26.805</f>
        <v>252.16884909531768</v>
      </c>
      <c r="U606" s="21">
        <f t="shared" ca="1" si="1669"/>
        <v>7.2048242598662195</v>
      </c>
      <c r="V606" s="18">
        <f t="shared" ca="1" si="1670"/>
        <v>41.74285714285714</v>
      </c>
      <c r="W606" s="76"/>
      <c r="X606" s="8">
        <v>1</v>
      </c>
      <c r="Y606" s="8" t="s">
        <v>28</v>
      </c>
      <c r="Z606" s="8">
        <f t="shared" ref="Z606:AI606" si="1681">SUM(D601)</f>
        <v>24</v>
      </c>
      <c r="AA606" s="9">
        <f t="shared" ca="1" si="1681"/>
        <v>24</v>
      </c>
      <c r="AB606" s="11">
        <f t="shared" ca="1" si="1681"/>
        <v>4675.0129999999899</v>
      </c>
      <c r="AC606" s="9">
        <f t="shared" ca="1" si="1681"/>
        <v>1553</v>
      </c>
      <c r="AD606" s="9">
        <f t="shared" ca="1" si="1681"/>
        <v>101</v>
      </c>
      <c r="AE606" s="9">
        <f t="shared" ca="1" si="1681"/>
        <v>1654</v>
      </c>
      <c r="AF606" s="9">
        <f t="shared" ca="1" si="1681"/>
        <v>1576</v>
      </c>
      <c r="AG606" s="9">
        <f t="shared" ca="1" si="1681"/>
        <v>130</v>
      </c>
      <c r="AH606" s="9">
        <f t="shared" ca="1" si="1681"/>
        <v>1706</v>
      </c>
      <c r="AI606" s="9">
        <f t="shared" ca="1" si="1681"/>
        <v>3360</v>
      </c>
      <c r="AJ606" s="11">
        <f t="shared" ref="AJ606:AJ612" ca="1" si="1682">AB606/AA606</f>
        <v>194.79220833333292</v>
      </c>
      <c r="AK606" s="8">
        <f t="shared" ref="AK606:AK607" si="1683">SUM(O601)</f>
        <v>7315</v>
      </c>
      <c r="AL606" s="12">
        <f t="shared" ref="AL606:AL612" ca="1" si="1684">AI606/AK606</f>
        <v>0.45933014354066987</v>
      </c>
      <c r="AM606" s="13">
        <f t="shared" ref="AM606:AM607" si="1685">SUM(Q601)</f>
        <v>1.5</v>
      </c>
      <c r="AN606" s="12">
        <f t="shared" ref="AN606:AN612" ca="1" si="1686">AO606/AM606</f>
        <v>0.47914305265033591</v>
      </c>
      <c r="AO606" s="14">
        <f t="shared" ref="AO606:AO612" ca="1" si="1687">AI606/AB606</f>
        <v>0.71871457897550384</v>
      </c>
      <c r="AP606" s="13">
        <f t="shared" ref="AP606:AQ606" ca="1" si="1688">SUM(T601)</f>
        <v>151.3096093471855</v>
      </c>
      <c r="AQ606" s="13">
        <f t="shared" ca="1" si="1688"/>
        <v>6.3045670561327292</v>
      </c>
      <c r="AR606" s="9">
        <f t="shared" ref="AR606:AR612" ca="1" si="1689">AI606/AA606</f>
        <v>140</v>
      </c>
      <c r="AS606" s="76"/>
      <c r="AT606" s="76"/>
    </row>
    <row r="607" spans="1:46" ht="15.75" customHeight="1" x14ac:dyDescent="0.25">
      <c r="A607" s="70"/>
      <c r="B607" s="16">
        <v>8</v>
      </c>
      <c r="C607" s="16" t="s">
        <v>25</v>
      </c>
      <c r="D607" s="34">
        <v>26</v>
      </c>
      <c r="E607" s="18">
        <f ca="1">IFERROR(__xludf.DUMMYFUNCTION("COUNT(IMPORTRANGE(""https://docs.google.com/spreadsheets/d/1KbRFOEYB0B44J_NSh1MwYQ1sLDlZXUHI-wuMLcZDn5k/edit"",""23!d2:D33""))"),25)</f>
        <v>25</v>
      </c>
      <c r="F607" s="23">
        <f ca="1">IFERROR(__xludf.DUMMYFUNCTION("SUM(IMPORTRANGE(""https://docs.google.com/spreadsheets/d/1KbRFOEYB0B44J_NSh1MwYQ1sLDlZXUHI-wuMLcZDn5k/edit"",""23!Q2:Q33""))"),4884.576)</f>
        <v>4884.576</v>
      </c>
      <c r="G607" s="18">
        <f ca="1">IFERROR(__xludf.DUMMYFUNCTION("IMPORTRANGE(""https://docs.google.com/spreadsheets/d/1KbRFOEYB0B44J_NSh1MwYQ1sLDlZXUHI-wuMLcZDn5k/edit"",""23!e40"")"),1370)</f>
        <v>1370</v>
      </c>
      <c r="H607" s="18">
        <f ca="1">IFERROR(__xludf.DUMMYFUNCTION("IMPORTRANGE(""https://docs.google.com/spreadsheets/d/1KbRFOEYB0B44J_NSh1MwYQ1sLDlZXUHI-wuMLcZDn5k/edit"",""23!e41"")"),212)</f>
        <v>212</v>
      </c>
      <c r="I607" s="18">
        <f t="shared" ca="1" si="1662"/>
        <v>1582</v>
      </c>
      <c r="J607" s="18">
        <f ca="1">IFERROR(__xludf.DUMMYFUNCTION("IMPORTRANGE(""https://docs.google.com/spreadsheets/d/1KbRFOEYB0B44J_NSh1MwYQ1sLDlZXUHI-wuMLcZDn5k/edit"",""23!e44"")"),1902)</f>
        <v>1902</v>
      </c>
      <c r="K607" s="18">
        <f ca="1">IFERROR(__xludf.DUMMYFUNCTION("IMPORTRANGE(""https://docs.google.com/spreadsheets/d/1KbRFOEYB0B44J_NSh1MwYQ1sLDlZXUHI-wuMLcZDn5k/edit"",""23!e45"")"),285)</f>
        <v>285</v>
      </c>
      <c r="L607" s="18">
        <f ca="1">J607+K607</f>
        <v>2187</v>
      </c>
      <c r="M607" s="18">
        <f t="shared" ca="1" si="1664"/>
        <v>3769</v>
      </c>
      <c r="N607" s="19">
        <f t="shared" ca="1" si="1665"/>
        <v>195.38303999999999</v>
      </c>
      <c r="O607" s="16">
        <v>6622</v>
      </c>
      <c r="P607" s="20">
        <f t="shared" ca="1" si="1666"/>
        <v>0.56916339474479005</v>
      </c>
      <c r="Q607" s="21">
        <v>1.5</v>
      </c>
      <c r="R607" s="20">
        <f t="shared" ca="1" si="1667"/>
        <v>0.5144083471455182</v>
      </c>
      <c r="S607" s="22">
        <f t="shared" ca="1" si="1668"/>
        <v>0.77161252071827724</v>
      </c>
      <c r="T607" s="21">
        <f ca="1">F607/23.84</f>
        <v>204.88993288590603</v>
      </c>
      <c r="U607" s="21">
        <f t="shared" ca="1" si="1669"/>
        <v>8.1955973154362418</v>
      </c>
      <c r="V607" s="18">
        <f t="shared" ca="1" si="1670"/>
        <v>150.76</v>
      </c>
      <c r="W607" s="76"/>
      <c r="X607" s="8">
        <v>2</v>
      </c>
      <c r="Y607" s="8" t="s">
        <v>30</v>
      </c>
      <c r="Z607" s="8">
        <f t="shared" ref="Z607:AI607" si="1690">SUM(D602)</f>
        <v>45</v>
      </c>
      <c r="AA607" s="9">
        <f t="shared" ca="1" si="1690"/>
        <v>45</v>
      </c>
      <c r="AB607" s="10">
        <f t="shared" ca="1" si="1690"/>
        <v>8986.6129999999903</v>
      </c>
      <c r="AC607" s="9">
        <f t="shared" ca="1" si="1690"/>
        <v>1759</v>
      </c>
      <c r="AD607" s="9">
        <f t="shared" ca="1" si="1690"/>
        <v>0</v>
      </c>
      <c r="AE607" s="9">
        <f t="shared" ca="1" si="1690"/>
        <v>1759</v>
      </c>
      <c r="AF607" s="9">
        <f t="shared" ca="1" si="1690"/>
        <v>3756</v>
      </c>
      <c r="AG607" s="9">
        <f t="shared" ca="1" si="1690"/>
        <v>88</v>
      </c>
      <c r="AH607" s="9">
        <f t="shared" ca="1" si="1690"/>
        <v>3844</v>
      </c>
      <c r="AI607" s="9">
        <f t="shared" ca="1" si="1690"/>
        <v>5603</v>
      </c>
      <c r="AJ607" s="11">
        <f t="shared" ca="1" si="1682"/>
        <v>199.70251111111091</v>
      </c>
      <c r="AK607" s="8">
        <f t="shared" si="1683"/>
        <v>11164</v>
      </c>
      <c r="AL607" s="12">
        <f t="shared" ca="1" si="1684"/>
        <v>0.50188104621999285</v>
      </c>
      <c r="AM607" s="13">
        <f t="shared" si="1685"/>
        <v>1.5</v>
      </c>
      <c r="AN607" s="12">
        <f t="shared" ca="1" si="1686"/>
        <v>0.41565530120561966</v>
      </c>
      <c r="AO607" s="14">
        <f t="shared" ca="1" si="1687"/>
        <v>0.6234829518084295</v>
      </c>
      <c r="AP607" s="13">
        <f t="shared" ref="AP607:AQ607" ca="1" si="1691">SUM(T602)</f>
        <v>303.57102320710703</v>
      </c>
      <c r="AQ607" s="13">
        <f t="shared" ca="1" si="1691"/>
        <v>6.7460227379357116</v>
      </c>
      <c r="AR607" s="9">
        <f t="shared" ca="1" si="1689"/>
        <v>124.51111111111111</v>
      </c>
      <c r="AS607" s="76"/>
      <c r="AT607" s="76"/>
    </row>
    <row r="608" spans="1:46" ht="15.75" customHeight="1" x14ac:dyDescent="0.25">
      <c r="A608" s="70"/>
      <c r="B608" s="16">
        <v>9</v>
      </c>
      <c r="C608" s="16" t="s">
        <v>36</v>
      </c>
      <c r="D608" s="34">
        <v>22</v>
      </c>
      <c r="E608" s="18">
        <f ca="1">IFERROR(__xludf.DUMMYFUNCTION("COUNT(IMPORTRANGE(""https://docs.google.com/spreadsheets/d/1VqqqRGfmmkT0JC4ILJva2p8P11jjV0FX-TSKAaqOigw/edit"",""23!d2:d31""))"),22)</f>
        <v>22</v>
      </c>
      <c r="F608" s="23">
        <f ca="1">IFERROR(__xludf.DUMMYFUNCTION("SUM(IMPORTRANGE(""https://docs.google.com/spreadsheets/d/1VqqqRGfmmkT0JC4ILJva2p8P11jjV0FX-TSKAaqOigw/edit"",""23!Q2:Q31""))"),4315.731)</f>
        <v>4315.7309999999998</v>
      </c>
      <c r="G608" s="18">
        <f ca="1">IFERROR(__xludf.DUMMYFUNCTION("IMPORTRANGE(""https://docs.google.com/spreadsheets/d/1VqqqRGfmmkT0JC4ILJva2p8P11jjV0FX-TSKAaqOigw/edit"",""23!e38"")"),903)</f>
        <v>903</v>
      </c>
      <c r="H608" s="18">
        <f ca="1">IFERROR(__xludf.DUMMYFUNCTION("IMPORTRANGE(""https://docs.google.com/spreadsheets/d/1VqqqRGfmmkT0JC4ILJva2p8P11jjV0FX-TSKAaqOigw/edit"",""23!e39"")"),0)</f>
        <v>0</v>
      </c>
      <c r="I608" s="18">
        <f t="shared" ca="1" si="1662"/>
        <v>903</v>
      </c>
      <c r="J608" s="18">
        <f ca="1">IFERROR(__xludf.DUMMYFUNCTION("IMPORTRANGE(""https://docs.google.com/spreadsheets/d/1VqqqRGfmmkT0JC4ILJva2p8P11jjV0FX-TSKAaqOigw/edit"",""23!e42"")"),1635)</f>
        <v>1635</v>
      </c>
      <c r="K608" s="18">
        <f ca="1">IFERROR(__xludf.DUMMYFUNCTION("IMPORTRANGE(""https://docs.google.com/spreadsheets/d/1VqqqRGfmmkT0JC4ILJva2p8P11jjV0FX-TSKAaqOigw/edit"",""23!e43"")"),0)</f>
        <v>0</v>
      </c>
      <c r="L608" s="18">
        <f t="shared" ref="L608:L617" ca="1" si="1692">SUM(J608:K608)</f>
        <v>1635</v>
      </c>
      <c r="M608" s="18">
        <f t="shared" ca="1" si="1664"/>
        <v>2538</v>
      </c>
      <c r="N608" s="19">
        <f t="shared" ca="1" si="1665"/>
        <v>196.16959090909089</v>
      </c>
      <c r="O608" s="16">
        <v>4796</v>
      </c>
      <c r="P608" s="20">
        <f t="shared" ca="1" si="1666"/>
        <v>0.52919099249374479</v>
      </c>
      <c r="Q608" s="21">
        <v>1.5</v>
      </c>
      <c r="R608" s="20">
        <f t="shared" ca="1" si="1667"/>
        <v>0.39205409234264138</v>
      </c>
      <c r="S608" s="22">
        <f t="shared" ca="1" si="1668"/>
        <v>0.58808113851396204</v>
      </c>
      <c r="T608" s="21">
        <f ca="1">F608/37.414</f>
        <v>115.35069759982893</v>
      </c>
      <c r="U608" s="21">
        <f t="shared" ca="1" si="1669"/>
        <v>5.2432135272649516</v>
      </c>
      <c r="V608" s="18">
        <f t="shared" ca="1" si="1670"/>
        <v>115.36363636363636</v>
      </c>
      <c r="W608" s="76"/>
      <c r="X608" s="8">
        <v>3</v>
      </c>
      <c r="Y608" s="8" t="s">
        <v>34</v>
      </c>
      <c r="Z608" s="8">
        <f t="shared" ref="Z608:AI608" si="1693">SUM(D604)</f>
        <v>30</v>
      </c>
      <c r="AA608" s="9">
        <f t="shared" ca="1" si="1693"/>
        <v>29</v>
      </c>
      <c r="AB608" s="10">
        <f t="shared" ca="1" si="1693"/>
        <v>5711.2169999999996</v>
      </c>
      <c r="AC608" s="9">
        <f t="shared" ca="1" si="1693"/>
        <v>1682</v>
      </c>
      <c r="AD608" s="9">
        <f t="shared" ca="1" si="1693"/>
        <v>0</v>
      </c>
      <c r="AE608" s="9">
        <f t="shared" ca="1" si="1693"/>
        <v>1682</v>
      </c>
      <c r="AF608" s="9">
        <f t="shared" ca="1" si="1693"/>
        <v>2298</v>
      </c>
      <c r="AG608" s="9">
        <f t="shared" ca="1" si="1693"/>
        <v>0</v>
      </c>
      <c r="AH608" s="9">
        <f t="shared" ca="1" si="1693"/>
        <v>2298</v>
      </c>
      <c r="AI608" s="9">
        <f t="shared" ca="1" si="1693"/>
        <v>3980</v>
      </c>
      <c r="AJ608" s="11">
        <f t="shared" ca="1" si="1682"/>
        <v>196.93851724137929</v>
      </c>
      <c r="AK608" s="8">
        <f>SUM(O604)</f>
        <v>9354</v>
      </c>
      <c r="AL608" s="12">
        <f t="shared" ca="1" si="1684"/>
        <v>0.42548642292067562</v>
      </c>
      <c r="AM608" s="13">
        <f>SUM(Q604)</f>
        <v>1.5</v>
      </c>
      <c r="AN608" s="12">
        <f t="shared" ca="1" si="1686"/>
        <v>0.46458282592542594</v>
      </c>
      <c r="AO608" s="14">
        <f t="shared" ca="1" si="1687"/>
        <v>0.69687423888813893</v>
      </c>
      <c r="AP608" s="13">
        <f t="shared" ref="AP608:AQ608" ca="1" si="1694">SUM(T604)</f>
        <v>185.95438413701038</v>
      </c>
      <c r="AQ608" s="13">
        <f t="shared" ca="1" si="1694"/>
        <v>6.4122201426555305</v>
      </c>
      <c r="AR608" s="9">
        <f t="shared" ca="1" si="1689"/>
        <v>137.24137931034483</v>
      </c>
      <c r="AS608" s="76"/>
      <c r="AT608" s="76"/>
    </row>
    <row r="609" spans="1:46" ht="15.75" customHeight="1" x14ac:dyDescent="0.25">
      <c r="A609" s="70"/>
      <c r="B609" s="16">
        <v>10</v>
      </c>
      <c r="C609" s="16" t="s">
        <v>37</v>
      </c>
      <c r="D609" s="17">
        <v>23</v>
      </c>
      <c r="E609" s="18">
        <f ca="1">IFERROR(__xludf.DUMMYFUNCTION("COUNT(IMPORTRANGE(""https://docs.google.com/spreadsheets/d/1IYeRjQd_D6MRqoBKNaky3aSEUloYCJc5XDnPAbdyetk/edit"",""23!d2:d31""))"),22)</f>
        <v>22</v>
      </c>
      <c r="F609" s="23">
        <f ca="1">IFERROR(__xludf.DUMMYFUNCTION("SUM(IMPORTRANGE(""https://docs.google.com/spreadsheets/d/1IYeRjQd_D6MRqoBKNaky3aSEUloYCJc5XDnPAbdyetk/edit"",""23!Q2:Q31""))"),4399.044)</f>
        <v>4399.0439999999999</v>
      </c>
      <c r="G609" s="18">
        <f ca="1">IFERROR(__xludf.DUMMYFUNCTION("(IMPORTRANGE(""https://docs.google.com/spreadsheets/d/1IYeRjQd_D6MRqoBKNaky3aSEUloYCJc5XDnPAbdyetk/edit"",""23!e38""))"),892)</f>
        <v>892</v>
      </c>
      <c r="H609" s="18">
        <f ca="1">IFERROR(__xludf.DUMMYFUNCTION("(IMPORTRANGE(""https://docs.google.com/spreadsheets/d/1IYeRjQd_D6MRqoBKNaky3aSEUloYCJc5XDnPAbdyetk/edit"",""23!e39""))"),0)</f>
        <v>0</v>
      </c>
      <c r="I609" s="18">
        <f t="shared" ca="1" si="1662"/>
        <v>892</v>
      </c>
      <c r="J609" s="18">
        <f ca="1">IFERROR(__xludf.DUMMYFUNCTION("(IMPORTRANGE(""https://docs.google.com/spreadsheets/d/1IYeRjQd_D6MRqoBKNaky3aSEUloYCJc5XDnPAbdyetk/edit"",""23!e42""))"),1878)</f>
        <v>1878</v>
      </c>
      <c r="K609" s="18">
        <f ca="1">IFERROR(__xludf.DUMMYFUNCTION("(IMPORTRANGE(""https://docs.google.com/spreadsheets/d/1IYeRjQd_D6MRqoBKNaky3aSEUloYCJc5XDnPAbdyetk/edit"",""23!e43""))"),0)</f>
        <v>0</v>
      </c>
      <c r="L609" s="18">
        <f t="shared" ca="1" si="1692"/>
        <v>1878</v>
      </c>
      <c r="M609" s="18">
        <f t="shared" ca="1" si="1664"/>
        <v>2770</v>
      </c>
      <c r="N609" s="19">
        <f t="shared" ca="1" si="1665"/>
        <v>199.95654545454545</v>
      </c>
      <c r="O609" s="16">
        <v>5887</v>
      </c>
      <c r="P609" s="20">
        <f t="shared" ca="1" si="1666"/>
        <v>0.47052828265670121</v>
      </c>
      <c r="Q609" s="21">
        <v>1.5</v>
      </c>
      <c r="R609" s="20">
        <f t="shared" ca="1" si="1667"/>
        <v>0.41978817821932829</v>
      </c>
      <c r="S609" s="22">
        <f t="shared" ca="1" si="1668"/>
        <v>0.62968226732899246</v>
      </c>
      <c r="T609" s="21">
        <f ca="1">F609/24.792</f>
        <v>177.4380445304937</v>
      </c>
      <c r="U609" s="21">
        <f t="shared" ca="1" si="1669"/>
        <v>8.0653656604769868</v>
      </c>
      <c r="V609" s="18">
        <f t="shared" ca="1" si="1670"/>
        <v>125.90909090909091</v>
      </c>
      <c r="W609" s="76"/>
      <c r="X609" s="8">
        <v>4</v>
      </c>
      <c r="Y609" s="8" t="s">
        <v>38</v>
      </c>
      <c r="Z609" s="8">
        <f t="shared" ref="Z609:AI609" si="1695">SUM(D612)</f>
        <v>23</v>
      </c>
      <c r="AA609" s="9">
        <f t="shared" ca="1" si="1695"/>
        <v>23</v>
      </c>
      <c r="AB609" s="10">
        <f t="shared" ca="1" si="1695"/>
        <v>4573.7550000000001</v>
      </c>
      <c r="AC609" s="9">
        <f t="shared" ca="1" si="1695"/>
        <v>1384</v>
      </c>
      <c r="AD609" s="9">
        <f t="shared" ca="1" si="1695"/>
        <v>0</v>
      </c>
      <c r="AE609" s="9">
        <f t="shared" ca="1" si="1695"/>
        <v>1384</v>
      </c>
      <c r="AF609" s="9">
        <f t="shared" ca="1" si="1695"/>
        <v>2110</v>
      </c>
      <c r="AG609" s="9">
        <f t="shared" ca="1" si="1695"/>
        <v>216</v>
      </c>
      <c r="AH609" s="9">
        <f t="shared" ca="1" si="1695"/>
        <v>2326</v>
      </c>
      <c r="AI609" s="9">
        <f t="shared" ca="1" si="1695"/>
        <v>3710</v>
      </c>
      <c r="AJ609" s="11">
        <f t="shared" ca="1" si="1682"/>
        <v>198.85891304347825</v>
      </c>
      <c r="AK609" s="8">
        <v>7324</v>
      </c>
      <c r="AL609" s="12">
        <f t="shared" ca="1" si="1684"/>
        <v>0.50655379574003279</v>
      </c>
      <c r="AM609" s="13">
        <f>SUM(Q612)</f>
        <v>1.5</v>
      </c>
      <c r="AN609" s="12">
        <f t="shared" ca="1" si="1686"/>
        <v>0.54076646723170196</v>
      </c>
      <c r="AO609" s="14">
        <f t="shared" ca="1" si="1687"/>
        <v>0.811149700847553</v>
      </c>
      <c r="AP609" s="13">
        <f t="shared" ref="AP609:AQ609" ca="1" si="1696">SUM(T612)</f>
        <v>111.00000000000001</v>
      </c>
      <c r="AQ609" s="13">
        <f t="shared" ca="1" si="1696"/>
        <v>4.8260869565217401</v>
      </c>
      <c r="AR609" s="9">
        <f t="shared" ca="1" si="1689"/>
        <v>161.30434782608697</v>
      </c>
      <c r="AS609" s="76"/>
      <c r="AT609" s="76"/>
    </row>
    <row r="610" spans="1:46" ht="15.75" customHeight="1" x14ac:dyDescent="0.25">
      <c r="A610" s="70"/>
      <c r="B610" s="16">
        <v>12</v>
      </c>
      <c r="C610" s="16" t="s">
        <v>39</v>
      </c>
      <c r="D610" s="17">
        <v>21</v>
      </c>
      <c r="E610" s="18">
        <f ca="1">IFERROR(__xludf.DUMMYFUNCTION("COUNT(IMPORTRANGE(""https://docs.google.com/spreadsheets/d/1TAY2D35yAzyl8a_p5CuZehQvmatfj0b0Q8ICl8GtJBY/edit"",""23!d2:d29""))"),21)</f>
        <v>21</v>
      </c>
      <c r="F610" s="23">
        <f ca="1">IFERROR(__xludf.DUMMYFUNCTION("SUM(IMPORTRANGE(""https://docs.google.com/spreadsheets/d/1TAY2D35yAzyl8a_p5CuZehQvmatfj0b0Q8ICl8GtJBY/edit"",""23!Q2:Q29""))"),4136.175)</f>
        <v>4136.1750000000002</v>
      </c>
      <c r="G610" s="18">
        <f ca="1">IFERROR(__xludf.DUMMYFUNCTION("IMPORTRANGE(""https://docs.google.com/spreadsheets/d/1TAY2D35yAzyl8a_p5CuZehQvmatfj0b0Q8ICl8GtJBY/edit"",""23!e36"")"),804)</f>
        <v>804</v>
      </c>
      <c r="H610" s="18">
        <f ca="1">IFERROR(__xludf.DUMMYFUNCTION("(IMPORTRANGE(""https://docs.google.com/spreadsheets/d/1TAY2D35yAzyl8a_p5CuZehQvmatfj0b0Q8ICl8GtJBY/edit"",""23!e37""))"),0)</f>
        <v>0</v>
      </c>
      <c r="I610" s="18">
        <f t="shared" ca="1" si="1662"/>
        <v>804</v>
      </c>
      <c r="J610" s="18">
        <f ca="1">IFERROR(__xludf.DUMMYFUNCTION("IMPORTRANGE(""https://docs.google.com/spreadsheets/d/1TAY2D35yAzyl8a_p5CuZehQvmatfj0b0Q8ICl8GtJBY/edit"",""23!e40"")"),1431)</f>
        <v>1431</v>
      </c>
      <c r="K610" s="18">
        <f ca="1">IFERROR(__xludf.DUMMYFUNCTION("IMPORTRANGE(""https://docs.google.com/spreadsheets/d/1TAY2D35yAzyl8a_p5CuZehQvmatfj0b0Q8ICl8GtJBY/edit"",""23!e41"")"),0)</f>
        <v>0</v>
      </c>
      <c r="L610" s="18">
        <f t="shared" ca="1" si="1692"/>
        <v>1431</v>
      </c>
      <c r="M610" s="18">
        <f t="shared" ca="1" si="1664"/>
        <v>2235</v>
      </c>
      <c r="N610" s="19">
        <f t="shared" ca="1" si="1665"/>
        <v>196.96071428571429</v>
      </c>
      <c r="O610" s="16">
        <v>3569</v>
      </c>
      <c r="P610" s="20">
        <f t="shared" ca="1" si="1666"/>
        <v>0.62622583356682548</v>
      </c>
      <c r="Q610" s="21">
        <v>1.5</v>
      </c>
      <c r="R610" s="20">
        <f t="shared" ca="1" si="1667"/>
        <v>0.36023620857434707</v>
      </c>
      <c r="S610" s="22">
        <f t="shared" ca="1" si="1668"/>
        <v>0.54035431286152058</v>
      </c>
      <c r="T610" s="21">
        <f ca="1">F610/21.463</f>
        <v>192.71187625215487</v>
      </c>
      <c r="U610" s="21">
        <f t="shared" ca="1" si="1669"/>
        <v>9.1767560120073739</v>
      </c>
      <c r="V610" s="18">
        <f t="shared" ca="1" si="1670"/>
        <v>106.42857142857143</v>
      </c>
      <c r="W610" s="76"/>
      <c r="X610" s="8">
        <v>5</v>
      </c>
      <c r="Y610" s="8" t="s">
        <v>40</v>
      </c>
      <c r="Z610" s="8">
        <f t="shared" ref="Z610:AI610" si="1697">SUM(D614)</f>
        <v>23</v>
      </c>
      <c r="AA610" s="9">
        <f t="shared" ca="1" si="1697"/>
        <v>23</v>
      </c>
      <c r="AB610" s="10">
        <f t="shared" ca="1" si="1697"/>
        <v>4380.2219999999998</v>
      </c>
      <c r="AC610" s="9">
        <f t="shared" ca="1" si="1697"/>
        <v>1973</v>
      </c>
      <c r="AD610" s="9">
        <f t="shared" ca="1" si="1697"/>
        <v>0</v>
      </c>
      <c r="AE610" s="9">
        <f t="shared" ca="1" si="1697"/>
        <v>1973</v>
      </c>
      <c r="AF610" s="9">
        <f t="shared" ca="1" si="1697"/>
        <v>2749</v>
      </c>
      <c r="AG610" s="9">
        <f t="shared" ca="1" si="1697"/>
        <v>35</v>
      </c>
      <c r="AH610" s="9">
        <f t="shared" ca="1" si="1697"/>
        <v>2784</v>
      </c>
      <c r="AI610" s="9">
        <f t="shared" ca="1" si="1697"/>
        <v>4757</v>
      </c>
      <c r="AJ610" s="11">
        <f t="shared" ca="1" si="1682"/>
        <v>190.44443478260868</v>
      </c>
      <c r="AK610" s="8">
        <f t="shared" ref="AK610:AK611" si="1698">SUM(O614)</f>
        <v>8239</v>
      </c>
      <c r="AL610" s="12">
        <f t="shared" ca="1" si="1684"/>
        <v>0.57737589513290444</v>
      </c>
      <c r="AM610" s="13">
        <f t="shared" ref="AM610:AM611" si="1699">SUM(Q614)</f>
        <v>1.5</v>
      </c>
      <c r="AN610" s="12">
        <f t="shared" ca="1" si="1686"/>
        <v>0.72401200974136326</v>
      </c>
      <c r="AO610" s="14">
        <f t="shared" ca="1" si="1687"/>
        <v>1.0860180146120448</v>
      </c>
      <c r="AP610" s="13">
        <f t="shared" ref="AP610:AQ610" ca="1" si="1700">SUM(T614)</f>
        <v>153.99999999999997</v>
      </c>
      <c r="AQ610" s="13">
        <f t="shared" ca="1" si="1700"/>
        <v>6.6956521739130421</v>
      </c>
      <c r="AR610" s="9">
        <f t="shared" ca="1" si="1689"/>
        <v>206.82608695652175</v>
      </c>
      <c r="AS610" s="76"/>
      <c r="AT610" s="76"/>
    </row>
    <row r="611" spans="1:46" ht="15.75" customHeight="1" x14ac:dyDescent="0.25">
      <c r="A611" s="70"/>
      <c r="B611" s="16">
        <v>12</v>
      </c>
      <c r="C611" s="16" t="s">
        <v>41</v>
      </c>
      <c r="D611" s="17">
        <v>19</v>
      </c>
      <c r="E611" s="18">
        <f ca="1">IFERROR(__xludf.DUMMYFUNCTION("COUNT(IMPORTRANGE(""https://docs.google.com/spreadsheets/d/1VAsUtLQHi7oV9NsI9EIHPnO1bcPJHeRgSbMoxSvPBME/edit"",""23!d2:d25""))"),19)</f>
        <v>19</v>
      </c>
      <c r="F611" s="23">
        <f ca="1">IFERROR(__xludf.DUMMYFUNCTION("SUM(IMPORTRANGE(""https://docs.google.com/spreadsheets/d/1VAsUtLQHi7oV9NsI9EIHPnO1bcPJHeRgSbMoxSvPBME/edit"",""23!Q2:Q25""))"),3802.26)</f>
        <v>3802.26</v>
      </c>
      <c r="G611" s="18">
        <f ca="1">IFERROR(__xludf.DUMMYFUNCTION("IMPORTRANGE(""https://docs.google.com/spreadsheets/d/1VAsUtLQHi7oV9NsI9EIHPnO1bcPJHeRgSbMoxSvPBME/edit"",""23!e32"")"),725)</f>
        <v>725</v>
      </c>
      <c r="H611" s="18">
        <f ca="1">IFERROR(__xludf.DUMMYFUNCTION("IMPORTRANGE(""https://docs.google.com/spreadsheets/d/1VAsUtLQHi7oV9NsI9EIHPnO1bcPJHeRgSbMoxSvPBME/edit"",""23!e33"")"),0)</f>
        <v>0</v>
      </c>
      <c r="I611" s="18">
        <f t="shared" ca="1" si="1662"/>
        <v>725</v>
      </c>
      <c r="J611" s="18">
        <f ca="1">IFERROR(__xludf.DUMMYFUNCTION("IMPORTRANGE(""https://docs.google.com/spreadsheets/d/1VAsUtLQHi7oV9NsI9EIHPnO1bcPJHeRgSbMoxSvPBME/edit"",""23!e36"")"),1070)</f>
        <v>1070</v>
      </c>
      <c r="K611" s="18">
        <f ca="1">IFERROR(__xludf.DUMMYFUNCTION("IMPORTRANGE(""https://docs.google.com/spreadsheets/d/1VAsUtLQHi7oV9NsI9EIHPnO1bcPJHeRgSbMoxSvPBME/edit"",""23!e37"")"),0)</f>
        <v>0</v>
      </c>
      <c r="L611" s="18">
        <f t="shared" ca="1" si="1692"/>
        <v>1070</v>
      </c>
      <c r="M611" s="18">
        <f t="shared" ca="1" si="1664"/>
        <v>1795</v>
      </c>
      <c r="N611" s="19">
        <f t="shared" ca="1" si="1665"/>
        <v>200.11894736842106</v>
      </c>
      <c r="O611" s="16">
        <v>3801</v>
      </c>
      <c r="P611" s="20">
        <f t="shared" ca="1" si="1666"/>
        <v>0.47224414627729544</v>
      </c>
      <c r="Q611" s="21">
        <v>1.5</v>
      </c>
      <c r="R611" s="20">
        <f t="shared" ca="1" si="1667"/>
        <v>0.31472510208840704</v>
      </c>
      <c r="S611" s="22">
        <f t="shared" ca="1" si="1668"/>
        <v>0.47208765313261059</v>
      </c>
      <c r="T611" s="21">
        <f ca="1">F611/29.628</f>
        <v>128.33333333333334</v>
      </c>
      <c r="U611" s="21">
        <f t="shared" ca="1" si="1669"/>
        <v>6.7543859649122808</v>
      </c>
      <c r="V611" s="18">
        <f t="shared" ca="1" si="1670"/>
        <v>94.473684210526315</v>
      </c>
      <c r="W611" s="76"/>
      <c r="X611" s="8">
        <v>6</v>
      </c>
      <c r="Y611" s="8" t="s">
        <v>42</v>
      </c>
      <c r="Z611" s="8">
        <f t="shared" ref="Z611:AI611" si="1701">SUM(D615)</f>
        <v>24</v>
      </c>
      <c r="AA611" s="9">
        <f t="shared" ca="1" si="1701"/>
        <v>23</v>
      </c>
      <c r="AB611" s="10">
        <f t="shared" ca="1" si="1701"/>
        <v>4489.4289999999901</v>
      </c>
      <c r="AC611" s="9">
        <f t="shared" ca="1" si="1701"/>
        <v>2128</v>
      </c>
      <c r="AD611" s="9">
        <f t="shared" ca="1" si="1701"/>
        <v>0</v>
      </c>
      <c r="AE611" s="9">
        <f t="shared" ca="1" si="1701"/>
        <v>2128</v>
      </c>
      <c r="AF611" s="9">
        <f t="shared" ca="1" si="1701"/>
        <v>2492</v>
      </c>
      <c r="AG611" s="9">
        <f t="shared" ca="1" si="1701"/>
        <v>176</v>
      </c>
      <c r="AH611" s="9">
        <f t="shared" ca="1" si="1701"/>
        <v>2668</v>
      </c>
      <c r="AI611" s="9">
        <f t="shared" ca="1" si="1701"/>
        <v>4796</v>
      </c>
      <c r="AJ611" s="11">
        <f t="shared" ca="1" si="1682"/>
        <v>195.19256521739086</v>
      </c>
      <c r="AK611" s="8">
        <f t="shared" si="1698"/>
        <v>9877</v>
      </c>
      <c r="AL611" s="12">
        <f t="shared" ca="1" si="1684"/>
        <v>0.48557254226992003</v>
      </c>
      <c r="AM611" s="13">
        <f t="shared" si="1699"/>
        <v>1.5</v>
      </c>
      <c r="AN611" s="12">
        <f t="shared" ca="1" si="1686"/>
        <v>0.71219153556796211</v>
      </c>
      <c r="AO611" s="14">
        <f t="shared" ca="1" si="1687"/>
        <v>1.0682873033519431</v>
      </c>
      <c r="AP611" s="13">
        <f t="shared" ref="AP611:AQ611" ca="1" si="1702">SUM(T615)</f>
        <v>171.64706557063622</v>
      </c>
      <c r="AQ611" s="13">
        <f t="shared" ca="1" si="1702"/>
        <v>7.4629158943754872</v>
      </c>
      <c r="AR611" s="9">
        <f t="shared" ca="1" si="1689"/>
        <v>208.52173913043478</v>
      </c>
      <c r="AS611" s="76"/>
      <c r="AT611" s="76"/>
    </row>
    <row r="612" spans="1:46" ht="15.75" customHeight="1" x14ac:dyDescent="0.25">
      <c r="A612" s="70"/>
      <c r="B612" s="16">
        <v>13</v>
      </c>
      <c r="C612" s="16" t="s">
        <v>43</v>
      </c>
      <c r="D612" s="17">
        <v>23</v>
      </c>
      <c r="E612" s="18">
        <f ca="1">IFERROR(__xludf.DUMMYFUNCTION("COUNT(IMPORTRANGE(""https://docs.google.com/spreadsheets/d/1p9Y_DGk7-TpRBFth-ljZceOIGCjQ0ylUeUq6xqnsZ-Q/edit"",""23!d2:d31""))"),23)</f>
        <v>23</v>
      </c>
      <c r="F612" s="23">
        <f ca="1">IFERROR(__xludf.DUMMYFUNCTION("SUM(IMPORTRANGE(""https://docs.google.com/spreadsheets/d/1p9Y_DGk7-TpRBFth-ljZceOIGCjQ0ylUeUq6xqnsZ-Q/edit"",""23!Q2:Q31""))"),4573.755)</f>
        <v>4573.7550000000001</v>
      </c>
      <c r="G612" s="18">
        <f ca="1">IFERROR(__xludf.DUMMYFUNCTION("IMPORTRANGE(""https://docs.google.com/spreadsheets/d/1p9Y_DGk7-TpRBFth-ljZceOIGCjQ0ylUeUq6xqnsZ-Q/edit"",""23!e38"")"),1384)</f>
        <v>1384</v>
      </c>
      <c r="H612" s="18">
        <f ca="1">IFERROR(__xludf.DUMMYFUNCTION("IMPORTRANGE(""https://docs.google.com/spreadsheets/d/1p9Y_DGk7-TpRBFth-ljZceOIGCjQ0ylUeUq6xqnsZ-Q/edit"",""23!e39"")"),0)</f>
        <v>0</v>
      </c>
      <c r="I612" s="18">
        <f t="shared" ca="1" si="1662"/>
        <v>1384</v>
      </c>
      <c r="J612" s="18">
        <f ca="1">IFERROR(__xludf.DUMMYFUNCTION("IMPORTRANGE(""https://docs.google.com/spreadsheets/d/1p9Y_DGk7-TpRBFth-ljZceOIGCjQ0ylUeUq6xqnsZ-Q/edit"",""23!e42"")"),2110)</f>
        <v>2110</v>
      </c>
      <c r="K612" s="18">
        <f ca="1">IFERROR(__xludf.DUMMYFUNCTION("IMPORTRANGE(""https://docs.google.com/spreadsheets/d/1p9Y_DGk7-TpRBFth-ljZceOIGCjQ0ylUeUq6xqnsZ-Q/edit"",""23!e43"")"),216)</f>
        <v>216</v>
      </c>
      <c r="L612" s="18">
        <f t="shared" ca="1" si="1692"/>
        <v>2326</v>
      </c>
      <c r="M612" s="18">
        <f t="shared" ca="1" si="1664"/>
        <v>3710</v>
      </c>
      <c r="N612" s="19">
        <f t="shared" ca="1" si="1665"/>
        <v>198.85891304347825</v>
      </c>
      <c r="O612" s="16">
        <v>8345</v>
      </c>
      <c r="P612" s="20">
        <f t="shared" ca="1" si="1666"/>
        <v>0.44457759137207908</v>
      </c>
      <c r="Q612" s="21">
        <v>1.5</v>
      </c>
      <c r="R612" s="20">
        <f t="shared" ca="1" si="1667"/>
        <v>0.54076646723170196</v>
      </c>
      <c r="S612" s="22">
        <f t="shared" ca="1" si="1668"/>
        <v>0.811149700847553</v>
      </c>
      <c r="T612" s="21">
        <f ca="1">F612/41.205</f>
        <v>111.00000000000001</v>
      </c>
      <c r="U612" s="21">
        <f t="shared" ca="1" si="1669"/>
        <v>4.8260869565217401</v>
      </c>
      <c r="V612" s="18">
        <f t="shared" ca="1" si="1670"/>
        <v>161.30434782608697</v>
      </c>
      <c r="W612" s="76"/>
      <c r="X612" s="24" t="s">
        <v>33</v>
      </c>
      <c r="Y612" s="24">
        <v>6</v>
      </c>
      <c r="Z612" s="24">
        <f t="shared" ref="Z612:AI612" si="1703">SUM(Z606:Z611)</f>
        <v>169</v>
      </c>
      <c r="AA612" s="25">
        <f t="shared" ca="1" si="1703"/>
        <v>167</v>
      </c>
      <c r="AB612" s="27">
        <f t="shared" ca="1" si="1703"/>
        <v>32816.248999999967</v>
      </c>
      <c r="AC612" s="25">
        <f t="shared" ca="1" si="1703"/>
        <v>10479</v>
      </c>
      <c r="AD612" s="25">
        <f t="shared" ca="1" si="1703"/>
        <v>101</v>
      </c>
      <c r="AE612" s="25">
        <f t="shared" ca="1" si="1703"/>
        <v>10580</v>
      </c>
      <c r="AF612" s="25">
        <f t="shared" ca="1" si="1703"/>
        <v>14981</v>
      </c>
      <c r="AG612" s="25">
        <f t="shared" ca="1" si="1703"/>
        <v>645</v>
      </c>
      <c r="AH612" s="25">
        <f t="shared" ca="1" si="1703"/>
        <v>15626</v>
      </c>
      <c r="AI612" s="25">
        <f t="shared" ca="1" si="1703"/>
        <v>26206</v>
      </c>
      <c r="AJ612" s="27">
        <f t="shared" ca="1" si="1682"/>
        <v>196.50448502993993</v>
      </c>
      <c r="AK612" s="24">
        <f>SUM(AK606:AK611)</f>
        <v>53273</v>
      </c>
      <c r="AL612" s="28">
        <f t="shared" ca="1" si="1684"/>
        <v>0.49191898334991457</v>
      </c>
      <c r="AM612" s="29">
        <v>1.5</v>
      </c>
      <c r="AN612" s="28">
        <f t="shared" ca="1" si="1686"/>
        <v>0.53237853804274471</v>
      </c>
      <c r="AO612" s="30">
        <f t="shared" ca="1" si="1687"/>
        <v>0.79856780706411712</v>
      </c>
      <c r="AP612" s="29">
        <f ca="1">SUM(AP606:AP611)</f>
        <v>1077.4820822619392</v>
      </c>
      <c r="AQ612" s="29">
        <f ca="1">AP612/AA612</f>
        <v>6.4519885165385586</v>
      </c>
      <c r="AR612" s="25">
        <f t="shared" ca="1" si="1689"/>
        <v>156.92215568862275</v>
      </c>
      <c r="AS612" s="76"/>
      <c r="AT612" s="76"/>
    </row>
    <row r="613" spans="1:46" ht="15.75" customHeight="1" x14ac:dyDescent="0.25">
      <c r="A613" s="70"/>
      <c r="B613" s="16">
        <v>14</v>
      </c>
      <c r="C613" s="16" t="s">
        <v>27</v>
      </c>
      <c r="D613" s="17">
        <v>23</v>
      </c>
      <c r="E613" s="18">
        <f ca="1">IFERROR(__xludf.DUMMYFUNCTION("COUNT(IMPORTRANGE(""https://docs.google.com/spreadsheets/d/1zJUDEKztv_fercXA0LYNw155qdzS7TJGhWLhquaW5IY/edit"",""23!d2:d31""))"),22)</f>
        <v>22</v>
      </c>
      <c r="F613" s="23">
        <f ca="1">IFERROR(__xludf.DUMMYFUNCTION("SUM(IMPORTRANGE(""https://docs.google.com/spreadsheets/d/1zJUDEKztv_fercXA0LYNw155qdzS7TJGhWLhquaW5IY/edit"",""23!Q2:Q31""))"),4086.79499999999)</f>
        <v>4086.7949999999901</v>
      </c>
      <c r="G613" s="18">
        <f ca="1">IFERROR(__xludf.DUMMYFUNCTION("IMPORTRANGE(""https://docs.google.com/spreadsheets/d/1zJUDEKztv_fercXA0LYNw155qdzS7TJGhWLhquaW5IY/edit"",""23!e38"")"),1457)</f>
        <v>1457</v>
      </c>
      <c r="H613" s="18">
        <f ca="1">IFERROR(__xludf.DUMMYFUNCTION("IMPORTRANGE(""https://docs.google.com/spreadsheets/d/1zJUDEKztv_fercXA0LYNw155qdzS7TJGhWLhquaW5IY/edit"",""23!e39"")"),0)</f>
        <v>0</v>
      </c>
      <c r="I613" s="18">
        <f t="shared" ca="1" si="1662"/>
        <v>1457</v>
      </c>
      <c r="J613" s="18">
        <f ca="1">IFERROR(__xludf.DUMMYFUNCTION("IMPORTRANGE(""https://docs.google.com/spreadsheets/d/1zJUDEKztv_fercXA0LYNw155qdzS7TJGhWLhquaW5IY/edit"",""23!e42"")"),2069)</f>
        <v>2069</v>
      </c>
      <c r="K613" s="18">
        <f ca="1">IFERROR(__xludf.DUMMYFUNCTION("IMPORTRANGE(""https://docs.google.com/spreadsheets/d/1zJUDEKztv_fercXA0LYNw155qdzS7TJGhWLhquaW5IY/edit"",""23!e43"")"),0)</f>
        <v>0</v>
      </c>
      <c r="L613" s="18">
        <f t="shared" ca="1" si="1692"/>
        <v>2069</v>
      </c>
      <c r="M613" s="18">
        <f t="shared" ca="1" si="1664"/>
        <v>3526</v>
      </c>
      <c r="N613" s="19">
        <f t="shared" ca="1" si="1665"/>
        <v>185.76340909090865</v>
      </c>
      <c r="O613" s="16">
        <v>8101</v>
      </c>
      <c r="P613" s="20">
        <f t="shared" ca="1" si="1666"/>
        <v>0.43525490680162943</v>
      </c>
      <c r="Q613" s="21">
        <v>1.5</v>
      </c>
      <c r="R613" s="20">
        <f t="shared" ca="1" si="1667"/>
        <v>0.57518585264655375</v>
      </c>
      <c r="S613" s="22">
        <f t="shared" ca="1" si="1668"/>
        <v>0.86277877896983057</v>
      </c>
      <c r="T613" s="21">
        <f ca="1">F613/19.985</f>
        <v>204.49311983987943</v>
      </c>
      <c r="U613" s="21">
        <f t="shared" ca="1" si="1669"/>
        <v>9.2951418109036101</v>
      </c>
      <c r="V613" s="18">
        <f t="shared" ca="1" si="1670"/>
        <v>160.27272727272728</v>
      </c>
      <c r="W613" s="76"/>
      <c r="X613" s="97" t="s">
        <v>44</v>
      </c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9"/>
      <c r="AS613" s="76"/>
      <c r="AT613" s="76"/>
    </row>
    <row r="614" spans="1:46" ht="15.75" customHeight="1" x14ac:dyDescent="0.25">
      <c r="A614" s="70"/>
      <c r="B614" s="16">
        <v>15</v>
      </c>
      <c r="C614" s="16" t="s">
        <v>40</v>
      </c>
      <c r="D614" s="17">
        <v>23</v>
      </c>
      <c r="E614" s="18">
        <f ca="1">IFERROR(__xludf.DUMMYFUNCTION("COUNT(IMPORTRANGE(""https://docs.google.com/spreadsheets/d/15GJA66Ucb-8RQ5vWVpq5HYaWoZZFX82SCeHChBujbrI/edit"",""23!d2:d31""))"),23)</f>
        <v>23</v>
      </c>
      <c r="F614" s="23">
        <f ca="1">IFERROR(__xludf.DUMMYFUNCTION("SUM(IMPORTRANGE(""https://docs.google.com/spreadsheets/d/15GJA66Ucb-8RQ5vWVpq5HYaWoZZFX82SCeHChBujbrI/edit"",""23!Q2:Q31""))"),4380.222)</f>
        <v>4380.2219999999998</v>
      </c>
      <c r="G614" s="18">
        <f ca="1">IFERROR(__xludf.DUMMYFUNCTION("IMPORTRANGE(""https://docs.google.com/spreadsheets/d/15GJA66Ucb-8RQ5vWVpq5HYaWoZZFX82SCeHChBujbrI/edit"",""23!e38"")"),1973)</f>
        <v>1973</v>
      </c>
      <c r="H614" s="18">
        <f ca="1">IFERROR(__xludf.DUMMYFUNCTION("IMPORTRANGE(""https://docs.google.com/spreadsheets/d/15GJA66Ucb-8RQ5vWVpq5HYaWoZZFX82SCeHChBujbrI/edit"",""23!e39"")"),0)</f>
        <v>0</v>
      </c>
      <c r="I614" s="18">
        <f t="shared" ca="1" si="1662"/>
        <v>1973</v>
      </c>
      <c r="J614" s="18">
        <f ca="1">IFERROR(__xludf.DUMMYFUNCTION("IMPORTRANGE(""https://docs.google.com/spreadsheets/d/15GJA66Ucb-8RQ5vWVpq5HYaWoZZFX82SCeHChBujbrI/edit"",""23!e42"")"),2749)</f>
        <v>2749</v>
      </c>
      <c r="K614" s="18">
        <f ca="1">IFERROR(__xludf.DUMMYFUNCTION("IMPORTRANGE(""https://docs.google.com/spreadsheets/d/15GJA66Ucb-8RQ5vWVpq5HYaWoZZFX82SCeHChBujbrI/edit"",""23!e43"")"),35)</f>
        <v>35</v>
      </c>
      <c r="L614" s="18">
        <f t="shared" ca="1" si="1692"/>
        <v>2784</v>
      </c>
      <c r="M614" s="18">
        <f t="shared" ca="1" si="1664"/>
        <v>4757</v>
      </c>
      <c r="N614" s="19">
        <f t="shared" ca="1" si="1665"/>
        <v>190.44443478260868</v>
      </c>
      <c r="O614" s="16">
        <v>8239</v>
      </c>
      <c r="P614" s="20">
        <f t="shared" ca="1" si="1666"/>
        <v>0.57737589513290444</v>
      </c>
      <c r="Q614" s="21">
        <v>1.5</v>
      </c>
      <c r="R614" s="20">
        <f t="shared" ca="1" si="1667"/>
        <v>0.72401200974136326</v>
      </c>
      <c r="S614" s="22">
        <f t="shared" ca="1" si="1668"/>
        <v>1.0860180146120448</v>
      </c>
      <c r="T614" s="21">
        <f ca="1">F614/28.443</f>
        <v>153.99999999999997</v>
      </c>
      <c r="U614" s="21">
        <f t="shared" ca="1" si="1669"/>
        <v>6.6956521739130421</v>
      </c>
      <c r="V614" s="18">
        <f t="shared" ca="1" si="1670"/>
        <v>206.82608695652175</v>
      </c>
      <c r="W614" s="76"/>
      <c r="X614" s="1" t="s">
        <v>2</v>
      </c>
      <c r="Y614" s="1" t="s">
        <v>3</v>
      </c>
      <c r="Z614" s="1" t="s">
        <v>4</v>
      </c>
      <c r="AA614" s="1" t="s">
        <v>5</v>
      </c>
      <c r="AB614" s="2" t="s">
        <v>6</v>
      </c>
      <c r="AC614" s="1" t="s">
        <v>7</v>
      </c>
      <c r="AD614" s="1" t="s">
        <v>8</v>
      </c>
      <c r="AE614" s="1" t="s">
        <v>9</v>
      </c>
      <c r="AF614" s="1" t="s">
        <v>10</v>
      </c>
      <c r="AG614" s="1" t="s">
        <v>11</v>
      </c>
      <c r="AH614" s="1" t="s">
        <v>12</v>
      </c>
      <c r="AI614" s="1" t="s">
        <v>13</v>
      </c>
      <c r="AJ614" s="2" t="s">
        <v>14</v>
      </c>
      <c r="AK614" s="1" t="s">
        <v>15</v>
      </c>
      <c r="AL614" s="1" t="s">
        <v>16</v>
      </c>
      <c r="AM614" s="3" t="s">
        <v>17</v>
      </c>
      <c r="AN614" s="4" t="s">
        <v>18</v>
      </c>
      <c r="AO614" s="5" t="s">
        <v>19</v>
      </c>
      <c r="AP614" s="6" t="s">
        <v>20</v>
      </c>
      <c r="AQ614" s="6" t="s">
        <v>21</v>
      </c>
      <c r="AR614" s="7" t="s">
        <v>22</v>
      </c>
      <c r="AS614" s="76"/>
      <c r="AT614" s="76"/>
    </row>
    <row r="615" spans="1:46" ht="15.75" customHeight="1" x14ac:dyDescent="0.25">
      <c r="A615" s="70"/>
      <c r="B615" s="16">
        <v>16</v>
      </c>
      <c r="C615" s="16" t="s">
        <v>42</v>
      </c>
      <c r="D615" s="17">
        <v>24</v>
      </c>
      <c r="E615" s="18">
        <f ca="1">IFERROR(__xludf.DUMMYFUNCTION("COUNT(IMPORTRANGE(""https://docs.google.com/spreadsheets/d/14Tu_jFPEdrIQ6DHYu6vRvJKQsbXr-48NY1tKy4-8JKI/edit"",""23!d2:d34""))"),23)</f>
        <v>23</v>
      </c>
      <c r="F615" s="23">
        <f ca="1">IFERROR(__xludf.DUMMYFUNCTION("SUM(IMPORTRANGE(""https://docs.google.com/spreadsheets/d/14Tu_jFPEdrIQ6DHYu6vRvJKQsbXr-48NY1tKy4-8JKI/edit"",""23!Q2:Q34""))"),4489.42899999999)</f>
        <v>4489.4289999999901</v>
      </c>
      <c r="G615" s="18">
        <f ca="1">IFERROR(__xludf.DUMMYFUNCTION("IMPORTRANGE(""https://docs.google.com/spreadsheets/d/14Tu_jFPEdrIQ6DHYu6vRvJKQsbXr-48NY1tKy4-8JKI/edit"",""23!e41"")"),2128)</f>
        <v>2128</v>
      </c>
      <c r="H615" s="18">
        <f ca="1">IFERROR(__xludf.DUMMYFUNCTION("IMPORTRANGE(""https://docs.google.com/spreadsheets/d/14Tu_jFPEdrIQ6DHYu6vRvJKQsbXr-48NY1tKy4-8JKI/edit"",""23!e42"")"),0)</f>
        <v>0</v>
      </c>
      <c r="I615" s="18">
        <f t="shared" ca="1" si="1662"/>
        <v>2128</v>
      </c>
      <c r="J615" s="18">
        <f ca="1">IFERROR(__xludf.DUMMYFUNCTION("IMPORTRANGE(""https://docs.google.com/spreadsheets/d/14Tu_jFPEdrIQ6DHYu6vRvJKQsbXr-48NY1tKy4-8JKI/edit"",""23!e45"")"),2492)</f>
        <v>2492</v>
      </c>
      <c r="K615" s="18">
        <f ca="1">IFERROR(__xludf.DUMMYFUNCTION("IMPORTRANGE(""https://docs.google.com/spreadsheets/d/14Tu_jFPEdrIQ6DHYu6vRvJKQsbXr-48NY1tKy4-8JKI/edit"",""23!e46"")"),176)</f>
        <v>176</v>
      </c>
      <c r="L615" s="18">
        <f t="shared" ca="1" si="1692"/>
        <v>2668</v>
      </c>
      <c r="M615" s="18">
        <f t="shared" ca="1" si="1664"/>
        <v>4796</v>
      </c>
      <c r="N615" s="19">
        <f t="shared" ca="1" si="1665"/>
        <v>195.19256521739086</v>
      </c>
      <c r="O615" s="16">
        <v>9877</v>
      </c>
      <c r="P615" s="20">
        <f t="shared" ca="1" si="1666"/>
        <v>0.48557254226992003</v>
      </c>
      <c r="Q615" s="21">
        <v>1.5</v>
      </c>
      <c r="R615" s="20">
        <f t="shared" ca="1" si="1667"/>
        <v>0.71219153556796211</v>
      </c>
      <c r="S615" s="22">
        <f t="shared" ca="1" si="1668"/>
        <v>1.0682873033519431</v>
      </c>
      <c r="T615" s="21">
        <f ca="1">F615/26.155</f>
        <v>171.64706557063622</v>
      </c>
      <c r="U615" s="21">
        <f t="shared" ca="1" si="1669"/>
        <v>7.4629158943754872</v>
      </c>
      <c r="V615" s="18">
        <f t="shared" ca="1" si="1670"/>
        <v>208.52173913043478</v>
      </c>
      <c r="W615" s="76"/>
      <c r="X615" s="8">
        <v>1</v>
      </c>
      <c r="Y615" s="8" t="s">
        <v>26</v>
      </c>
      <c r="Z615" s="8">
        <f t="shared" ref="Z615:AI615" si="1704">SUM(D600)</f>
        <v>15</v>
      </c>
      <c r="AA615" s="9">
        <f t="shared" ca="1" si="1704"/>
        <v>14</v>
      </c>
      <c r="AB615" s="11">
        <f t="shared" ca="1" si="1704"/>
        <v>2775.27</v>
      </c>
      <c r="AC615" s="9">
        <f t="shared" ca="1" si="1704"/>
        <v>1096</v>
      </c>
      <c r="AD615" s="9">
        <f t="shared" ca="1" si="1704"/>
        <v>0</v>
      </c>
      <c r="AE615" s="9">
        <f t="shared" ca="1" si="1704"/>
        <v>1096</v>
      </c>
      <c r="AF615" s="9">
        <f t="shared" ca="1" si="1704"/>
        <v>1914</v>
      </c>
      <c r="AG615" s="9">
        <f t="shared" ca="1" si="1704"/>
        <v>0</v>
      </c>
      <c r="AH615" s="9">
        <f t="shared" ca="1" si="1704"/>
        <v>1914</v>
      </c>
      <c r="AI615" s="9">
        <f t="shared" ca="1" si="1704"/>
        <v>3010</v>
      </c>
      <c r="AJ615" s="11">
        <f t="shared" ref="AJ615:AJ621" ca="1" si="1705">AB615/AA615</f>
        <v>198.23357142857142</v>
      </c>
      <c r="AK615" s="8">
        <f>SUM(O600)</f>
        <v>5161</v>
      </c>
      <c r="AL615" s="12">
        <f t="shared" ref="AL615:AL621" ca="1" si="1706">AI615/AK615</f>
        <v>0.58322030614222053</v>
      </c>
      <c r="AM615" s="13">
        <f>SUM(Q600)</f>
        <v>1.5</v>
      </c>
      <c r="AN615" s="12">
        <f t="shared" ref="AN615:AN621" ca="1" si="1707">AO615/AM615</f>
        <v>0.7230527720426001</v>
      </c>
      <c r="AO615" s="14">
        <f t="shared" ref="AO615:AO621" ca="1" si="1708">AI615/AB615</f>
        <v>1.0845791580639002</v>
      </c>
      <c r="AP615" s="13">
        <f t="shared" ref="AP615:AQ615" ca="1" si="1709">SUM(T600)</f>
        <v>192.52653485952135</v>
      </c>
      <c r="AQ615" s="13">
        <f t="shared" ca="1" si="1709"/>
        <v>13.751895347108668</v>
      </c>
      <c r="AR615" s="9">
        <f t="shared" ref="AR615:AR621" ca="1" si="1710">AI615/AA615</f>
        <v>215</v>
      </c>
      <c r="AS615" s="76"/>
      <c r="AT615" s="76"/>
    </row>
    <row r="616" spans="1:46" ht="15.75" customHeight="1" x14ac:dyDescent="0.25">
      <c r="A616" s="70"/>
      <c r="B616" s="16">
        <v>17</v>
      </c>
      <c r="C616" s="16" t="s">
        <v>29</v>
      </c>
      <c r="D616" s="17">
        <v>23</v>
      </c>
      <c r="E616" s="18">
        <f ca="1">IFERROR(__xludf.DUMMYFUNCTION("COUNT(IMPORTRANGE(""https://docs.google.com/spreadsheets/d/1ja_RQYsP0p5wRrACHojay4CW1wLx0QdS5tSwp-vYQ-s/edit"",""23!d2:d31""))"),23)</f>
        <v>23</v>
      </c>
      <c r="F616" s="23">
        <f ca="1">IFERROR(__xludf.DUMMYFUNCTION("SUM(IMPORTRANGE(""https://docs.google.com/spreadsheets/d/1ja_RQYsP0p5wRrACHojay4CW1wLx0QdS5tSwp-vYQ-s/edit"",""23!Q2:Q31""))"),4662.41599999999)</f>
        <v>4662.4159999999902</v>
      </c>
      <c r="G616" s="18">
        <f ca="1">IFERROR(__xludf.DUMMYFUNCTION("IMPORTRANGE(""https://docs.google.com/spreadsheets/d/1ja_RQYsP0p5wRrACHojay4CW1wLx0QdS5tSwp-vYQ-s/edit"",""23!e38"")"),1568)</f>
        <v>1568</v>
      </c>
      <c r="H616" s="18">
        <f ca="1">IFERROR(__xludf.DUMMYFUNCTION("IMPORTRANGE(""https://docs.google.com/spreadsheets/d/1ja_RQYsP0p5wRrACHojay4CW1wLx0QdS5tSwp-vYQ-s/edit"",""23!e39"")"),45)</f>
        <v>45</v>
      </c>
      <c r="I616" s="18">
        <f t="shared" ca="1" si="1662"/>
        <v>1613</v>
      </c>
      <c r="J616" s="18">
        <f ca="1">IFERROR(__xludf.DUMMYFUNCTION("IMPORTRANGE(""https://docs.google.com/spreadsheets/d/1ja_RQYsP0p5wRrACHojay4CW1wLx0QdS5tSwp-vYQ-s/edit"",""23!e42"")"),2297)</f>
        <v>2297</v>
      </c>
      <c r="K616" s="18">
        <f ca="1">IFERROR(__xludf.DUMMYFUNCTION("IMPORTRANGE(""https://docs.google.com/spreadsheets/d/1ja_RQYsP0p5wRrACHojay4CW1wLx0QdS5tSwp-vYQ-s/edit"",""23!e43"")"),90)</f>
        <v>90</v>
      </c>
      <c r="L616" s="18">
        <f t="shared" ca="1" si="1692"/>
        <v>2387</v>
      </c>
      <c r="M616" s="18">
        <f t="shared" ca="1" si="1664"/>
        <v>4000</v>
      </c>
      <c r="N616" s="19">
        <f t="shared" ca="1" si="1665"/>
        <v>202.71373913043436</v>
      </c>
      <c r="O616" s="16">
        <v>9201</v>
      </c>
      <c r="P616" s="20">
        <f t="shared" ca="1" si="1666"/>
        <v>0.4347353548527334</v>
      </c>
      <c r="Q616" s="21">
        <v>1.5</v>
      </c>
      <c r="R616" s="20">
        <f t="shared" ca="1" si="1667"/>
        <v>0.571949535748563</v>
      </c>
      <c r="S616" s="22">
        <f t="shared" ca="1" si="1668"/>
        <v>0.85792430362284455</v>
      </c>
      <c r="T616" s="21">
        <f ca="1">F616/26.491</f>
        <v>175.99999999999963</v>
      </c>
      <c r="U616" s="21">
        <f t="shared" ca="1" si="1669"/>
        <v>7.6521739130434625</v>
      </c>
      <c r="V616" s="18">
        <f t="shared" ca="1" si="1670"/>
        <v>173.91304347826087</v>
      </c>
      <c r="W616" s="76"/>
      <c r="X616" s="8">
        <v>2</v>
      </c>
      <c r="Y616" s="8" t="s">
        <v>32</v>
      </c>
      <c r="Z616" s="8">
        <f t="shared" ref="Z616:AI616" si="1711">SUM(D603)</f>
        <v>32</v>
      </c>
      <c r="AA616" s="9">
        <f t="shared" ca="1" si="1711"/>
        <v>31</v>
      </c>
      <c r="AB616" s="10">
        <f t="shared" ca="1" si="1711"/>
        <v>6034.9789999999903</v>
      </c>
      <c r="AC616" s="8">
        <f t="shared" ca="1" si="1711"/>
        <v>2816</v>
      </c>
      <c r="AD616" s="8">
        <f t="shared" ca="1" si="1711"/>
        <v>0</v>
      </c>
      <c r="AE616" s="9">
        <f t="shared" ca="1" si="1711"/>
        <v>2816</v>
      </c>
      <c r="AF616" s="8">
        <f t="shared" ca="1" si="1711"/>
        <v>3456</v>
      </c>
      <c r="AG616" s="8">
        <f t="shared" ca="1" si="1711"/>
        <v>89</v>
      </c>
      <c r="AH616" s="9">
        <f t="shared" ca="1" si="1711"/>
        <v>3545</v>
      </c>
      <c r="AI616" s="9">
        <f t="shared" ca="1" si="1711"/>
        <v>6361</v>
      </c>
      <c r="AJ616" s="11">
        <f t="shared" ca="1" si="1705"/>
        <v>194.67674193548356</v>
      </c>
      <c r="AK616" s="8">
        <f>SUM(O603)</f>
        <v>13817</v>
      </c>
      <c r="AL616" s="12">
        <f t="shared" ca="1" si="1706"/>
        <v>0.46037490048490992</v>
      </c>
      <c r="AM616" s="13">
        <f>SUM(Q603)</f>
        <v>1.5</v>
      </c>
      <c r="AN616" s="12">
        <f t="shared" ca="1" si="1707"/>
        <v>0.70268126312729073</v>
      </c>
      <c r="AO616" s="14">
        <f t="shared" ca="1" si="1708"/>
        <v>1.0540218946909361</v>
      </c>
      <c r="AP616" s="13">
        <f t="shared" ref="AP616:AQ616" ca="1" si="1712">SUM(T603)</f>
        <v>240.54282753397865</v>
      </c>
      <c r="AQ616" s="13">
        <f t="shared" ca="1" si="1712"/>
        <v>7.7594460494831825</v>
      </c>
      <c r="AR616" s="9">
        <f t="shared" ca="1" si="1710"/>
        <v>205.19354838709677</v>
      </c>
      <c r="AS616" s="76"/>
      <c r="AT616" s="76"/>
    </row>
    <row r="617" spans="1:46" ht="15.75" customHeight="1" x14ac:dyDescent="0.25">
      <c r="A617" s="70"/>
      <c r="B617" s="16">
        <v>18</v>
      </c>
      <c r="C617" s="16" t="s">
        <v>31</v>
      </c>
      <c r="D617" s="17">
        <v>11</v>
      </c>
      <c r="E617" s="18">
        <f ca="1">IFERROR(__xludf.DUMMYFUNCTION("COUNT(IMPORTRANGE(""https://docs.google.com/spreadsheets/d/1ObnK1oSznTOmyW9Zcd2kxExl7TOnO2MNq_0giEKc_mE/edit"",""23!d2:d16""))"),11)</f>
        <v>11</v>
      </c>
      <c r="F617" s="19">
        <f ca="1">IFERROR(__xludf.DUMMYFUNCTION("SUM(IMPORTRANGE(""https://docs.google.com/spreadsheets/d/1ObnK1oSznTOmyW9Zcd2kxExl7TOnO2MNq_0giEKc_mE/edit"",""23!Q2:Q16""))"),2129.785)</f>
        <v>2129.7849999999999</v>
      </c>
      <c r="G617" s="18">
        <f ca="1">IFERROR(__xludf.DUMMYFUNCTION("IMPORTRANGE(""https://docs.google.com/spreadsheets/d/1ObnK1oSznTOmyW9Zcd2kxExl7TOnO2MNq_0giEKc_mE/edit"",""23!e23"")"),424)</f>
        <v>424</v>
      </c>
      <c r="H617" s="18">
        <f ca="1">IFERROR(__xludf.DUMMYFUNCTION("IMPORTRANGE(""https://docs.google.com/spreadsheets/d/1ObnK1oSznTOmyW9Zcd2kxExl7TOnO2MNq_0giEKc_mE/edit"",""23!e24"")"),0)</f>
        <v>0</v>
      </c>
      <c r="I617" s="18">
        <f t="shared" ca="1" si="1662"/>
        <v>424</v>
      </c>
      <c r="J617" s="18">
        <f ca="1">IFERROR(__xludf.DUMMYFUNCTION("IMPORTRANGE(""https://docs.google.com/spreadsheets/d/1ObnK1oSznTOmyW9Zcd2kxExl7TOnO2MNq_0giEKc_mE/edit"",""23!e27"")"),563)</f>
        <v>563</v>
      </c>
      <c r="K617" s="18">
        <f ca="1">IFERROR(__xludf.DUMMYFUNCTION("IMPORTRANGE(""https://docs.google.com/spreadsheets/d/1ObnK1oSznTOmyW9Zcd2kxExl7TOnO2MNq_0giEKc_mE/edit"",""23!e28"")"),0)</f>
        <v>0</v>
      </c>
      <c r="L617" s="18">
        <f t="shared" ca="1" si="1692"/>
        <v>563</v>
      </c>
      <c r="M617" s="18">
        <f t="shared" ca="1" si="1664"/>
        <v>987</v>
      </c>
      <c r="N617" s="19">
        <f t="shared" ca="1" si="1665"/>
        <v>193.61681818181816</v>
      </c>
      <c r="O617" s="16">
        <v>2717</v>
      </c>
      <c r="P617" s="20">
        <f t="shared" ca="1" si="1666"/>
        <v>0.36326831063673171</v>
      </c>
      <c r="Q617" s="21">
        <v>1.5</v>
      </c>
      <c r="R617" s="20">
        <f t="shared" ca="1" si="1667"/>
        <v>0.3089513730259158</v>
      </c>
      <c r="S617" s="22">
        <f t="shared" ca="1" si="1668"/>
        <v>0.4634270595388737</v>
      </c>
      <c r="T617" s="21">
        <f ca="1">F617/43.465</f>
        <v>48.999999999999993</v>
      </c>
      <c r="U617" s="21">
        <f t="shared" ca="1" si="1669"/>
        <v>4.4545454545454541</v>
      </c>
      <c r="V617" s="18">
        <f t="shared" ca="1" si="1670"/>
        <v>89.727272727272734</v>
      </c>
      <c r="W617" s="76"/>
      <c r="X617" s="8">
        <v>3</v>
      </c>
      <c r="Y617" s="8" t="s">
        <v>36</v>
      </c>
      <c r="Z617" s="8">
        <f t="shared" ref="Z617:AI617" si="1713">SUM(D608)</f>
        <v>22</v>
      </c>
      <c r="AA617" s="9">
        <f t="shared" ca="1" si="1713"/>
        <v>22</v>
      </c>
      <c r="AB617" s="10">
        <f t="shared" ca="1" si="1713"/>
        <v>4315.7309999999998</v>
      </c>
      <c r="AC617" s="9">
        <f t="shared" ca="1" si="1713"/>
        <v>903</v>
      </c>
      <c r="AD617" s="9">
        <f t="shared" ca="1" si="1713"/>
        <v>0</v>
      </c>
      <c r="AE617" s="9">
        <f t="shared" ca="1" si="1713"/>
        <v>903</v>
      </c>
      <c r="AF617" s="9">
        <f t="shared" ca="1" si="1713"/>
        <v>1635</v>
      </c>
      <c r="AG617" s="9">
        <f t="shared" ca="1" si="1713"/>
        <v>0</v>
      </c>
      <c r="AH617" s="9">
        <f t="shared" ca="1" si="1713"/>
        <v>1635</v>
      </c>
      <c r="AI617" s="9">
        <f t="shared" ca="1" si="1713"/>
        <v>2538</v>
      </c>
      <c r="AJ617" s="11">
        <f t="shared" ca="1" si="1705"/>
        <v>196.16959090909089</v>
      </c>
      <c r="AK617" s="8">
        <f t="shared" ref="AK617:AK620" si="1714">SUM(O608)</f>
        <v>4796</v>
      </c>
      <c r="AL617" s="12">
        <f t="shared" ca="1" si="1706"/>
        <v>0.52919099249374479</v>
      </c>
      <c r="AM617" s="13">
        <f t="shared" ref="AM617:AM620" si="1715">SUM(Q608)</f>
        <v>1.5</v>
      </c>
      <c r="AN617" s="12">
        <f t="shared" ca="1" si="1707"/>
        <v>0.39205409234264138</v>
      </c>
      <c r="AO617" s="14">
        <f t="shared" ca="1" si="1708"/>
        <v>0.58808113851396204</v>
      </c>
      <c r="AP617" s="13">
        <f t="shared" ref="AP617:AQ617" ca="1" si="1716">SUM(T608)</f>
        <v>115.35069759982893</v>
      </c>
      <c r="AQ617" s="13">
        <f t="shared" ca="1" si="1716"/>
        <v>5.2432135272649516</v>
      </c>
      <c r="AR617" s="9">
        <f t="shared" ca="1" si="1710"/>
        <v>115.36363636363636</v>
      </c>
      <c r="AS617" s="76"/>
      <c r="AT617" s="76"/>
    </row>
    <row r="618" spans="1:46" ht="15.75" customHeight="1" x14ac:dyDescent="0.2">
      <c r="A618" s="70"/>
      <c r="B618" s="98" t="s">
        <v>33</v>
      </c>
      <c r="C618" s="98">
        <v>18</v>
      </c>
      <c r="D618" s="98">
        <f t="shared" ref="D618:M618" si="1717">SUM(D600:D617)</f>
        <v>445</v>
      </c>
      <c r="E618" s="74">
        <f t="shared" ca="1" si="1717"/>
        <v>437</v>
      </c>
      <c r="F618" s="99">
        <f t="shared" ca="1" si="1717"/>
        <v>85796.185999999929</v>
      </c>
      <c r="G618" s="74">
        <f t="shared" ca="1" si="1717"/>
        <v>24066</v>
      </c>
      <c r="H618" s="74">
        <f t="shared" ca="1" si="1717"/>
        <v>358</v>
      </c>
      <c r="I618" s="74">
        <f t="shared" ca="1" si="1717"/>
        <v>24424</v>
      </c>
      <c r="J618" s="74">
        <f t="shared" ca="1" si="1717"/>
        <v>36172</v>
      </c>
      <c r="K618" s="74">
        <f t="shared" ca="1" si="1717"/>
        <v>1109</v>
      </c>
      <c r="L618" s="74">
        <f t="shared" ca="1" si="1717"/>
        <v>37281</v>
      </c>
      <c r="M618" s="74">
        <f t="shared" ca="1" si="1717"/>
        <v>61705</v>
      </c>
      <c r="N618" s="99">
        <f t="shared" ca="1" si="1665"/>
        <v>196.32994508009136</v>
      </c>
      <c r="O618" s="98">
        <f>SUM(O600:O617)</f>
        <v>126399</v>
      </c>
      <c r="P618" s="69">
        <f t="shared" ca="1" si="1666"/>
        <v>0.48817633050894388</v>
      </c>
      <c r="Q618" s="72">
        <v>1.5</v>
      </c>
      <c r="R618" s="69">
        <f t="shared" ca="1" si="1667"/>
        <v>0.47946964293572097</v>
      </c>
      <c r="S618" s="73">
        <f t="shared" ca="1" si="1668"/>
        <v>0.71920446440358143</v>
      </c>
      <c r="T618" s="72">
        <f ca="1">SUM(T600:T617)</f>
        <v>3158.9372981923525</v>
      </c>
      <c r="U618" s="72">
        <f t="shared" ca="1" si="1669"/>
        <v>7.2286894695477173</v>
      </c>
      <c r="V618" s="74">
        <f t="shared" ca="1" si="1670"/>
        <v>141.20137299771167</v>
      </c>
      <c r="W618" s="76"/>
      <c r="X618" s="8">
        <v>4</v>
      </c>
      <c r="Y618" s="8" t="s">
        <v>37</v>
      </c>
      <c r="Z618" s="8">
        <f t="shared" ref="Z618:AI618" si="1718">SUM(D609)</f>
        <v>23</v>
      </c>
      <c r="AA618" s="9">
        <f t="shared" ca="1" si="1718"/>
        <v>22</v>
      </c>
      <c r="AB618" s="10">
        <f t="shared" ca="1" si="1718"/>
        <v>4399.0439999999999</v>
      </c>
      <c r="AC618" s="9">
        <f t="shared" ca="1" si="1718"/>
        <v>892</v>
      </c>
      <c r="AD618" s="9">
        <f t="shared" ca="1" si="1718"/>
        <v>0</v>
      </c>
      <c r="AE618" s="9">
        <f t="shared" ca="1" si="1718"/>
        <v>892</v>
      </c>
      <c r="AF618" s="9">
        <f t="shared" ca="1" si="1718"/>
        <v>1878</v>
      </c>
      <c r="AG618" s="9">
        <f t="shared" ca="1" si="1718"/>
        <v>0</v>
      </c>
      <c r="AH618" s="9">
        <f t="shared" ca="1" si="1718"/>
        <v>1878</v>
      </c>
      <c r="AI618" s="9">
        <f t="shared" ca="1" si="1718"/>
        <v>2770</v>
      </c>
      <c r="AJ618" s="11">
        <f t="shared" ca="1" si="1705"/>
        <v>199.95654545454545</v>
      </c>
      <c r="AK618" s="8">
        <f t="shared" si="1714"/>
        <v>5887</v>
      </c>
      <c r="AL618" s="12">
        <f t="shared" ca="1" si="1706"/>
        <v>0.47052828265670121</v>
      </c>
      <c r="AM618" s="13">
        <f t="shared" si="1715"/>
        <v>1.5</v>
      </c>
      <c r="AN618" s="12">
        <f t="shared" ca="1" si="1707"/>
        <v>0.41978817821932829</v>
      </c>
      <c r="AO618" s="14">
        <f t="shared" ca="1" si="1708"/>
        <v>0.62968226732899246</v>
      </c>
      <c r="AP618" s="13">
        <f t="shared" ref="AP618:AQ618" ca="1" si="1719">SUM(T609)</f>
        <v>177.4380445304937</v>
      </c>
      <c r="AQ618" s="13">
        <f t="shared" ca="1" si="1719"/>
        <v>8.0653656604769868</v>
      </c>
      <c r="AR618" s="9">
        <f t="shared" ca="1" si="1710"/>
        <v>125.90909090909091</v>
      </c>
      <c r="AS618" s="76"/>
      <c r="AT618" s="76"/>
    </row>
    <row r="619" spans="1:46" ht="15.75" customHeight="1" x14ac:dyDescent="0.2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6"/>
      <c r="X619" s="8">
        <v>5</v>
      </c>
      <c r="Y619" s="8" t="s">
        <v>39</v>
      </c>
      <c r="Z619" s="8">
        <f t="shared" ref="Z619:AI619" si="1720">SUM(D610)</f>
        <v>21</v>
      </c>
      <c r="AA619" s="9">
        <f t="shared" ca="1" si="1720"/>
        <v>21</v>
      </c>
      <c r="AB619" s="10">
        <f t="shared" ca="1" si="1720"/>
        <v>4136.1750000000002</v>
      </c>
      <c r="AC619" s="9">
        <f t="shared" ca="1" si="1720"/>
        <v>804</v>
      </c>
      <c r="AD619" s="9">
        <f t="shared" ca="1" si="1720"/>
        <v>0</v>
      </c>
      <c r="AE619" s="9">
        <f t="shared" ca="1" si="1720"/>
        <v>804</v>
      </c>
      <c r="AF619" s="9">
        <f t="shared" ca="1" si="1720"/>
        <v>1431</v>
      </c>
      <c r="AG619" s="9">
        <f t="shared" ca="1" si="1720"/>
        <v>0</v>
      </c>
      <c r="AH619" s="9">
        <f t="shared" ca="1" si="1720"/>
        <v>1431</v>
      </c>
      <c r="AI619" s="9">
        <f t="shared" ca="1" si="1720"/>
        <v>2235</v>
      </c>
      <c r="AJ619" s="11">
        <f t="shared" ca="1" si="1705"/>
        <v>196.96071428571429</v>
      </c>
      <c r="AK619" s="8">
        <f t="shared" si="1714"/>
        <v>3569</v>
      </c>
      <c r="AL619" s="12">
        <f t="shared" ca="1" si="1706"/>
        <v>0.62622583356682548</v>
      </c>
      <c r="AM619" s="13">
        <f t="shared" si="1715"/>
        <v>1.5</v>
      </c>
      <c r="AN619" s="12">
        <f t="shared" ca="1" si="1707"/>
        <v>0.36023620857434707</v>
      </c>
      <c r="AO619" s="14">
        <f t="shared" ca="1" si="1708"/>
        <v>0.54035431286152058</v>
      </c>
      <c r="AP619" s="13">
        <f t="shared" ref="AP619:AQ619" ca="1" si="1721">SUM(T610)</f>
        <v>192.71187625215487</v>
      </c>
      <c r="AQ619" s="13">
        <f t="shared" ca="1" si="1721"/>
        <v>9.1767560120073739</v>
      </c>
      <c r="AR619" s="9">
        <f t="shared" ca="1" si="1710"/>
        <v>106.42857142857143</v>
      </c>
      <c r="AS619" s="76"/>
      <c r="AT619" s="76"/>
    </row>
    <row r="620" spans="1:46" ht="15.75" customHeight="1" x14ac:dyDescent="0.2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6"/>
      <c r="X620" s="8">
        <v>6</v>
      </c>
      <c r="Y620" s="8" t="s">
        <v>41</v>
      </c>
      <c r="Z620" s="8">
        <f t="shared" ref="Z620:AI620" si="1722">SUM(D611)</f>
        <v>19</v>
      </c>
      <c r="AA620" s="9">
        <f t="shared" ca="1" si="1722"/>
        <v>19</v>
      </c>
      <c r="AB620" s="10">
        <f t="shared" ca="1" si="1722"/>
        <v>3802.26</v>
      </c>
      <c r="AC620" s="9">
        <f t="shared" ca="1" si="1722"/>
        <v>725</v>
      </c>
      <c r="AD620" s="9">
        <f t="shared" ca="1" si="1722"/>
        <v>0</v>
      </c>
      <c r="AE620" s="9">
        <f t="shared" ca="1" si="1722"/>
        <v>725</v>
      </c>
      <c r="AF620" s="9">
        <f t="shared" ca="1" si="1722"/>
        <v>1070</v>
      </c>
      <c r="AG620" s="9">
        <f t="shared" ca="1" si="1722"/>
        <v>0</v>
      </c>
      <c r="AH620" s="9">
        <f t="shared" ca="1" si="1722"/>
        <v>1070</v>
      </c>
      <c r="AI620" s="9">
        <f t="shared" ca="1" si="1722"/>
        <v>1795</v>
      </c>
      <c r="AJ620" s="11">
        <f t="shared" ca="1" si="1705"/>
        <v>200.11894736842106</v>
      </c>
      <c r="AK620" s="8">
        <f t="shared" si="1714"/>
        <v>3801</v>
      </c>
      <c r="AL620" s="12">
        <f t="shared" ca="1" si="1706"/>
        <v>0.47224414627729544</v>
      </c>
      <c r="AM620" s="13">
        <f t="shared" si="1715"/>
        <v>1.5</v>
      </c>
      <c r="AN620" s="12">
        <f t="shared" ca="1" si="1707"/>
        <v>0.31472510208840704</v>
      </c>
      <c r="AO620" s="14">
        <f t="shared" ca="1" si="1708"/>
        <v>0.47208765313261059</v>
      </c>
      <c r="AP620" s="13">
        <f t="shared" ref="AP620:AQ620" ca="1" si="1723">SUM(T611)</f>
        <v>128.33333333333334</v>
      </c>
      <c r="AQ620" s="13">
        <f t="shared" ca="1" si="1723"/>
        <v>6.7543859649122808</v>
      </c>
      <c r="AR620" s="9">
        <f t="shared" ca="1" si="1710"/>
        <v>94.473684210526315</v>
      </c>
      <c r="AS620" s="76"/>
      <c r="AT620" s="76"/>
    </row>
    <row r="621" spans="1:46" ht="15.75" customHeight="1" x14ac:dyDescent="0.25">
      <c r="A621" s="110" t="s">
        <v>45</v>
      </c>
      <c r="B621" s="76"/>
      <c r="C621" s="76"/>
      <c r="D621" s="75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24" t="s">
        <v>33</v>
      </c>
      <c r="Y621" s="24">
        <v>6</v>
      </c>
      <c r="Z621" s="24">
        <f t="shared" ref="Z621:AI621" si="1724">SUM(Z615:Z620)</f>
        <v>132</v>
      </c>
      <c r="AA621" s="25">
        <f t="shared" ca="1" si="1724"/>
        <v>129</v>
      </c>
      <c r="AB621" s="27">
        <f t="shared" ca="1" si="1724"/>
        <v>25463.458999999988</v>
      </c>
      <c r="AC621" s="25">
        <f t="shared" ca="1" si="1724"/>
        <v>7236</v>
      </c>
      <c r="AD621" s="25">
        <f t="shared" ca="1" si="1724"/>
        <v>0</v>
      </c>
      <c r="AE621" s="25">
        <f t="shared" ca="1" si="1724"/>
        <v>7236</v>
      </c>
      <c r="AF621" s="25">
        <f t="shared" ca="1" si="1724"/>
        <v>11384</v>
      </c>
      <c r="AG621" s="25">
        <f t="shared" ca="1" si="1724"/>
        <v>89</v>
      </c>
      <c r="AH621" s="25">
        <f t="shared" ca="1" si="1724"/>
        <v>11473</v>
      </c>
      <c r="AI621" s="25">
        <f t="shared" ca="1" si="1724"/>
        <v>18709</v>
      </c>
      <c r="AJ621" s="27">
        <f t="shared" ca="1" si="1705"/>
        <v>197.39115503875959</v>
      </c>
      <c r="AK621" s="24">
        <f>SUM(AK615:AK620)</f>
        <v>37031</v>
      </c>
      <c r="AL621" s="28">
        <f t="shared" ca="1" si="1706"/>
        <v>0.50522535173233241</v>
      </c>
      <c r="AM621" s="29">
        <v>1.5</v>
      </c>
      <c r="AN621" s="28">
        <f t="shared" ca="1" si="1707"/>
        <v>0.48982609419508449</v>
      </c>
      <c r="AO621" s="30">
        <f t="shared" ca="1" si="1708"/>
        <v>0.73473914129262674</v>
      </c>
      <c r="AP621" s="29">
        <f ca="1">SUM(AP615:AP620)</f>
        <v>1046.9033141093107</v>
      </c>
      <c r="AQ621" s="29">
        <f ca="1">AP621/AA621</f>
        <v>8.115529566738843</v>
      </c>
      <c r="AR621" s="25">
        <f t="shared" ca="1" si="1710"/>
        <v>145.03100775193798</v>
      </c>
      <c r="AS621" s="76"/>
      <c r="AT621" s="76"/>
    </row>
    <row r="622" spans="1:46" ht="15.75" customHeight="1" x14ac:dyDescent="0.2">
      <c r="A622" s="110" t="s">
        <v>45</v>
      </c>
      <c r="B622" s="76"/>
      <c r="C622" s="76"/>
      <c r="D622" s="75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7" t="s">
        <v>1</v>
      </c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9"/>
      <c r="AS622" s="76"/>
      <c r="AT622" s="76"/>
    </row>
    <row r="623" spans="1:46" ht="15.75" customHeight="1" x14ac:dyDescent="0.2">
      <c r="A623" s="109">
        <v>46258</v>
      </c>
      <c r="B623" s="80" t="s">
        <v>2</v>
      </c>
      <c r="C623" s="80" t="s">
        <v>3</v>
      </c>
      <c r="D623" s="80" t="s">
        <v>4</v>
      </c>
      <c r="E623" s="80" t="s">
        <v>5</v>
      </c>
      <c r="F623" s="81" t="s">
        <v>6</v>
      </c>
      <c r="G623" s="80" t="s">
        <v>7</v>
      </c>
      <c r="H623" s="80" t="s">
        <v>8</v>
      </c>
      <c r="I623" s="80" t="s">
        <v>9</v>
      </c>
      <c r="J623" s="80" t="s">
        <v>10</v>
      </c>
      <c r="K623" s="80" t="s">
        <v>11</v>
      </c>
      <c r="L623" s="80" t="s">
        <v>12</v>
      </c>
      <c r="M623" s="80" t="s">
        <v>13</v>
      </c>
      <c r="N623" s="81" t="s">
        <v>14</v>
      </c>
      <c r="O623" s="80" t="s">
        <v>15</v>
      </c>
      <c r="P623" s="80" t="s">
        <v>16</v>
      </c>
      <c r="Q623" s="80" t="s">
        <v>17</v>
      </c>
      <c r="R623" s="80" t="s">
        <v>18</v>
      </c>
      <c r="S623" s="106" t="s">
        <v>19</v>
      </c>
      <c r="T623" s="107" t="s">
        <v>20</v>
      </c>
      <c r="U623" s="107" t="s">
        <v>21</v>
      </c>
      <c r="V623" s="105" t="s">
        <v>22</v>
      </c>
      <c r="W623" s="76"/>
      <c r="X623" s="1" t="s">
        <v>2</v>
      </c>
      <c r="Y623" s="1" t="s">
        <v>3</v>
      </c>
      <c r="Z623" s="1" t="s">
        <v>4</v>
      </c>
      <c r="AA623" s="1" t="s">
        <v>5</v>
      </c>
      <c r="AB623" s="2" t="s">
        <v>6</v>
      </c>
      <c r="AC623" s="1" t="s">
        <v>7</v>
      </c>
      <c r="AD623" s="1" t="s">
        <v>8</v>
      </c>
      <c r="AE623" s="1" t="s">
        <v>9</v>
      </c>
      <c r="AF623" s="1" t="s">
        <v>10</v>
      </c>
      <c r="AG623" s="1" t="s">
        <v>11</v>
      </c>
      <c r="AH623" s="1" t="s">
        <v>12</v>
      </c>
      <c r="AI623" s="1" t="s">
        <v>13</v>
      </c>
      <c r="AJ623" s="2" t="s">
        <v>14</v>
      </c>
      <c r="AK623" s="1" t="s">
        <v>15</v>
      </c>
      <c r="AL623" s="1" t="s">
        <v>16</v>
      </c>
      <c r="AM623" s="3" t="s">
        <v>17</v>
      </c>
      <c r="AN623" s="4" t="s">
        <v>18</v>
      </c>
      <c r="AO623" s="5" t="s">
        <v>19</v>
      </c>
      <c r="AP623" s="6" t="s">
        <v>20</v>
      </c>
      <c r="AQ623" s="6" t="s">
        <v>21</v>
      </c>
      <c r="AR623" s="7" t="s">
        <v>22</v>
      </c>
      <c r="AS623" s="76"/>
      <c r="AT623" s="76"/>
    </row>
    <row r="624" spans="1:46" ht="15.75" customHeight="1" x14ac:dyDescent="0.2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6"/>
      <c r="X624" s="8">
        <v>1</v>
      </c>
      <c r="Y624" s="8" t="s">
        <v>23</v>
      </c>
      <c r="Z624" s="8">
        <f t="shared" ref="Z624:AI624" si="1725">SUM(D632)</f>
        <v>35</v>
      </c>
      <c r="AA624" s="9">
        <f t="shared" ca="1" si="1725"/>
        <v>35</v>
      </c>
      <c r="AB624" s="10">
        <f t="shared" ca="1" si="1725"/>
        <v>6882.95999999999</v>
      </c>
      <c r="AC624" s="9">
        <f t="shared" ca="1" si="1725"/>
        <v>1698</v>
      </c>
      <c r="AD624" s="9">
        <f t="shared" ca="1" si="1725"/>
        <v>0</v>
      </c>
      <c r="AE624" s="9">
        <f t="shared" ca="1" si="1725"/>
        <v>1698</v>
      </c>
      <c r="AF624" s="9">
        <f t="shared" ca="1" si="1725"/>
        <v>3182</v>
      </c>
      <c r="AG624" s="9">
        <f t="shared" ca="1" si="1725"/>
        <v>0</v>
      </c>
      <c r="AH624" s="9">
        <f t="shared" ca="1" si="1725"/>
        <v>3182</v>
      </c>
      <c r="AI624" s="9">
        <f t="shared" ca="1" si="1725"/>
        <v>4880</v>
      </c>
      <c r="AJ624" s="11">
        <f t="shared" ref="AJ624:AJ626" ca="1" si="1726">AB624/AA624</f>
        <v>196.65599999999972</v>
      </c>
      <c r="AK624" s="8">
        <f>SUM(O632)</f>
        <v>6853</v>
      </c>
      <c r="AL624" s="12">
        <f t="shared" ref="AL624:AL630" ca="1" si="1727">AI624/AK624</f>
        <v>0.71209689187217273</v>
      </c>
      <c r="AM624" s="13">
        <f t="shared" ref="AM624:AM626" si="1728">SUM(Q632)</f>
        <v>1.5</v>
      </c>
      <c r="AN624" s="12">
        <f t="shared" ref="AN624:AN630" ca="1" si="1729">AO624/AM624</f>
        <v>0.47266486124186952</v>
      </c>
      <c r="AO624" s="14">
        <f t="shared" ref="AO624:AO630" ca="1" si="1730">AI624/AB624</f>
        <v>0.70899729186280425</v>
      </c>
      <c r="AP624" s="13">
        <f t="shared" ref="AP624:AQ624" ca="1" si="1731">SUM(T632)</f>
        <v>203.99999999999969</v>
      </c>
      <c r="AQ624" s="13">
        <f t="shared" ca="1" si="1731"/>
        <v>5.8285714285714194</v>
      </c>
      <c r="AR624" s="9">
        <f t="shared" ref="AR624:AR630" ca="1" si="1732">AI624/AA624</f>
        <v>139.42857142857142</v>
      </c>
      <c r="AS624" s="76"/>
      <c r="AT624" s="76"/>
    </row>
    <row r="625" spans="1:46" ht="15.75" customHeight="1" x14ac:dyDescent="0.2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6"/>
      <c r="X625" s="8">
        <v>2</v>
      </c>
      <c r="Y625" s="8" t="s">
        <v>24</v>
      </c>
      <c r="Z625" s="8">
        <f t="shared" ref="Z625:AI625" si="1733">SUM(D633)</f>
        <v>44</v>
      </c>
      <c r="AA625" s="9">
        <f t="shared" ca="1" si="1733"/>
        <v>43</v>
      </c>
      <c r="AB625" s="10">
        <f t="shared" ca="1" si="1733"/>
        <v>8679.80799999999</v>
      </c>
      <c r="AC625" s="9">
        <f t="shared" ca="1" si="1733"/>
        <v>1118</v>
      </c>
      <c r="AD625" s="9">
        <f t="shared" ca="1" si="1733"/>
        <v>0</v>
      </c>
      <c r="AE625" s="9">
        <f t="shared" ca="1" si="1733"/>
        <v>1118</v>
      </c>
      <c r="AF625" s="9">
        <f t="shared" ca="1" si="1733"/>
        <v>1297</v>
      </c>
      <c r="AG625" s="9">
        <f t="shared" ca="1" si="1733"/>
        <v>0</v>
      </c>
      <c r="AH625" s="9">
        <f t="shared" ca="1" si="1733"/>
        <v>1297</v>
      </c>
      <c r="AI625" s="9">
        <f t="shared" ca="1" si="1733"/>
        <v>2415</v>
      </c>
      <c r="AJ625" s="11">
        <f t="shared" ca="1" si="1726"/>
        <v>201.85599999999977</v>
      </c>
      <c r="AK625" s="8">
        <v>1580</v>
      </c>
      <c r="AL625" s="15">
        <f t="shared" ca="1" si="1727"/>
        <v>1.5284810126582278</v>
      </c>
      <c r="AM625" s="13">
        <f t="shared" si="1728"/>
        <v>1.5</v>
      </c>
      <c r="AN625" s="12">
        <f t="shared" ca="1" si="1729"/>
        <v>0.18548797392753411</v>
      </c>
      <c r="AO625" s="14">
        <f t="shared" ca="1" si="1730"/>
        <v>0.27823196089130114</v>
      </c>
      <c r="AP625" s="13">
        <f t="shared" ref="AP625:AQ625" ca="1" si="1734">SUM(T633)</f>
        <v>323.81301995896251</v>
      </c>
      <c r="AQ625" s="13">
        <f t="shared" ca="1" si="1734"/>
        <v>7.5305353478828492</v>
      </c>
      <c r="AR625" s="9">
        <f t="shared" ca="1" si="1732"/>
        <v>56.162790697674417</v>
      </c>
      <c r="AS625" s="76"/>
      <c r="AT625" s="76"/>
    </row>
    <row r="626" spans="1:46" ht="15.75" customHeight="1" x14ac:dyDescent="0.2">
      <c r="A626" s="70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6"/>
      <c r="X626" s="8">
        <v>3</v>
      </c>
      <c r="Y626" s="8" t="s">
        <v>25</v>
      </c>
      <c r="Z626" s="8">
        <f t="shared" ref="Z626:AI626" si="1735">SUM(D634)</f>
        <v>32</v>
      </c>
      <c r="AA626" s="9">
        <f t="shared" ca="1" si="1735"/>
        <v>31</v>
      </c>
      <c r="AB626" s="10">
        <f t="shared" ca="1" si="1735"/>
        <v>5628.0079999999998</v>
      </c>
      <c r="AC626" s="9">
        <f t="shared" ca="1" si="1735"/>
        <v>2386</v>
      </c>
      <c r="AD626" s="9">
        <f t="shared" ca="1" si="1735"/>
        <v>298</v>
      </c>
      <c r="AE626" s="9">
        <f t="shared" ca="1" si="1735"/>
        <v>2684</v>
      </c>
      <c r="AF626" s="9">
        <f t="shared" ca="1" si="1735"/>
        <v>3015</v>
      </c>
      <c r="AG626" s="9">
        <f t="shared" ca="1" si="1735"/>
        <v>337</v>
      </c>
      <c r="AH626" s="9">
        <f t="shared" ca="1" si="1735"/>
        <v>3352</v>
      </c>
      <c r="AI626" s="9">
        <f t="shared" ca="1" si="1735"/>
        <v>6036</v>
      </c>
      <c r="AJ626" s="11">
        <f t="shared" ca="1" si="1726"/>
        <v>181.54864516129032</v>
      </c>
      <c r="AK626" s="8">
        <f>SUM(O634)</f>
        <v>6622</v>
      </c>
      <c r="AL626" s="12">
        <f t="shared" ca="1" si="1727"/>
        <v>0.91150709755360915</v>
      </c>
      <c r="AM626" s="13">
        <f t="shared" si="1728"/>
        <v>1.5</v>
      </c>
      <c r="AN626" s="12">
        <f t="shared" ca="1" si="1729"/>
        <v>0.7149954299993887</v>
      </c>
      <c r="AO626" s="14">
        <f t="shared" ca="1" si="1730"/>
        <v>1.0724931449990831</v>
      </c>
      <c r="AP626" s="13">
        <f t="shared" ref="AP626:AQ626" ca="1" si="1736">SUM(T634)</f>
        <v>236.07416107382551</v>
      </c>
      <c r="AQ626" s="13">
        <f t="shared" ca="1" si="1736"/>
        <v>7.6152955185105</v>
      </c>
      <c r="AR626" s="9">
        <f t="shared" ca="1" si="1732"/>
        <v>194.70967741935485</v>
      </c>
      <c r="AS626" s="76"/>
      <c r="AT626" s="76"/>
    </row>
    <row r="627" spans="1:46" ht="15.75" customHeight="1" x14ac:dyDescent="0.25">
      <c r="A627" s="70"/>
      <c r="B627" s="16">
        <v>1</v>
      </c>
      <c r="C627" s="16" t="s">
        <v>26</v>
      </c>
      <c r="D627" s="17">
        <v>20</v>
      </c>
      <c r="E627" s="18">
        <f ca="1">IFERROR(__xludf.DUMMYFUNCTION("COUNT(IMPORTRANGE(""https://docs.google.com/spreadsheets/d/1iVFEBQOAONhqDIMRa2hQ7WkCQv0dJWSAmc0AzfvSCMg/edit"",""24!d2:d21""))"),19)</f>
        <v>19</v>
      </c>
      <c r="F627" s="19">
        <f ca="1">IFERROR(__xludf.DUMMYFUNCTION("SUM(IMPORTRANGE(""https://docs.google.com/spreadsheets/d/1iVFEBQOAONhqDIMRa2hQ7WkCQv0dJWSAmc0AzfvSCMg/edit"",""24!Q2:Q21""))"),3820.587)</f>
        <v>3820.587</v>
      </c>
      <c r="G627" s="18">
        <f ca="1">IFERROR(__xludf.DUMMYFUNCTION("IMPORTRANGE(""https://docs.google.com/spreadsheets/d/1iVFEBQOAONhqDIMRa2hQ7WkCQv0dJWSAmc0AzfvSCMg/edit"",""24!e28"")"),2099)</f>
        <v>2099</v>
      </c>
      <c r="H627" s="18">
        <f ca="1">IFERROR(__xludf.DUMMYFUNCTION("IMPORTRANGE(""https://docs.google.com/spreadsheets/d/1iVFEBQOAONhqDIMRa2hQ7WkCQv0dJWSAmc0AzfvSCMg/edit"",""24!e29"")"),0)</f>
        <v>0</v>
      </c>
      <c r="I627" s="18">
        <f t="shared" ref="I627:I644" ca="1" si="1737">SUM(G627:H627)</f>
        <v>2099</v>
      </c>
      <c r="J627" s="18">
        <f ca="1">IFERROR(__xludf.DUMMYFUNCTION("IMPORTRANGE(""https://docs.google.com/spreadsheets/d/1iVFEBQOAONhqDIMRa2hQ7WkCQv0dJWSAmc0AzfvSCMg/edit"",""24!e32"")"),2955)</f>
        <v>2955</v>
      </c>
      <c r="K627" s="18">
        <f ca="1">IFERROR(__xludf.DUMMYFUNCTION("IMPORTRANGE(""https://docs.google.com/spreadsheets/d/1iVFEBQOAONhqDIMRa2hQ7WkCQv0dJWSAmc0AzfvSCMg/edit"",""24!e33"")"),0)</f>
        <v>0</v>
      </c>
      <c r="L627" s="18">
        <f t="shared" ref="L627:L633" ca="1" si="1738">SUM(J627:K627)</f>
        <v>2955</v>
      </c>
      <c r="M627" s="18">
        <f t="shared" ref="M627:M644" ca="1" si="1739">SUM(I627+L627)</f>
        <v>5054</v>
      </c>
      <c r="N627" s="19">
        <f t="shared" ref="N627:N645" ca="1" si="1740">F627/E627</f>
        <v>201.08352631578947</v>
      </c>
      <c r="O627" s="16">
        <v>5161</v>
      </c>
      <c r="P627" s="20">
        <f t="shared" ref="P627:P645" ca="1" si="1741">M627/O627</f>
        <v>0.97926758380158885</v>
      </c>
      <c r="Q627" s="21">
        <v>1.5</v>
      </c>
      <c r="R627" s="20">
        <f t="shared" ref="R627:R645" ca="1" si="1742">S627/Q627</f>
        <v>0.88188891741853626</v>
      </c>
      <c r="S627" s="22">
        <f t="shared" ref="S627:S645" ca="1" si="1743">M627/F627</f>
        <v>1.3228333761278044</v>
      </c>
      <c r="T627" s="21">
        <f ca="1">F627/14.415</f>
        <v>265.04245577523415</v>
      </c>
      <c r="U627" s="21">
        <f t="shared" ref="U627:U645" ca="1" si="1744">T627/E627</f>
        <v>13.949602935538639</v>
      </c>
      <c r="V627" s="18">
        <f t="shared" ref="V627:V645" ca="1" si="1745">M627/E627</f>
        <v>266</v>
      </c>
      <c r="W627" s="76"/>
      <c r="X627" s="8">
        <v>4</v>
      </c>
      <c r="Y627" s="8" t="s">
        <v>27</v>
      </c>
      <c r="Z627" s="8">
        <f t="shared" ref="Z627:AK627" si="1746">SUM(D640)</f>
        <v>30</v>
      </c>
      <c r="AA627" s="9">
        <f t="shared" ca="1" si="1746"/>
        <v>28</v>
      </c>
      <c r="AB627" s="10">
        <f t="shared" ca="1" si="1746"/>
        <v>5351.8729999999996</v>
      </c>
      <c r="AC627" s="9">
        <f t="shared" ca="1" si="1746"/>
        <v>2550</v>
      </c>
      <c r="AD627" s="9">
        <f t="shared" ca="1" si="1746"/>
        <v>0</v>
      </c>
      <c r="AE627" s="9">
        <f t="shared" ca="1" si="1746"/>
        <v>2550</v>
      </c>
      <c r="AF627" s="9">
        <f t="shared" ca="1" si="1746"/>
        <v>3025</v>
      </c>
      <c r="AG627" s="9">
        <f t="shared" ca="1" si="1746"/>
        <v>0</v>
      </c>
      <c r="AH627" s="9">
        <f t="shared" ca="1" si="1746"/>
        <v>3025</v>
      </c>
      <c r="AI627" s="9">
        <f t="shared" ca="1" si="1746"/>
        <v>5575</v>
      </c>
      <c r="AJ627" s="11">
        <f t="shared" ca="1" si="1746"/>
        <v>191.1383214285714</v>
      </c>
      <c r="AK627" s="8">
        <f t="shared" si="1746"/>
        <v>8101</v>
      </c>
      <c r="AL627" s="12">
        <f t="shared" ca="1" si="1727"/>
        <v>0.68818664362424387</v>
      </c>
      <c r="AM627" s="13">
        <f>SUM(Q640)</f>
        <v>1.5</v>
      </c>
      <c r="AN627" s="12">
        <f t="shared" ca="1" si="1729"/>
        <v>0.69446092361808043</v>
      </c>
      <c r="AO627" s="14">
        <f t="shared" ca="1" si="1730"/>
        <v>1.0416913854271206</v>
      </c>
      <c r="AP627" s="13">
        <f t="shared" ref="AP627:AQ627" ca="1" si="1747">SUM(T640)</f>
        <v>267.79449587190391</v>
      </c>
      <c r="AQ627" s="13">
        <f t="shared" ca="1" si="1747"/>
        <v>9.5640891382822826</v>
      </c>
      <c r="AR627" s="9">
        <f t="shared" ca="1" si="1732"/>
        <v>199.10714285714286</v>
      </c>
      <c r="AS627" s="76"/>
      <c r="AT627" s="76"/>
    </row>
    <row r="628" spans="1:46" ht="15.75" customHeight="1" x14ac:dyDescent="0.25">
      <c r="A628" s="70"/>
      <c r="B628" s="16">
        <v>2</v>
      </c>
      <c r="C628" s="16" t="s">
        <v>28</v>
      </c>
      <c r="D628" s="17">
        <v>33</v>
      </c>
      <c r="E628" s="18">
        <f ca="1">IFERROR(__xludf.DUMMYFUNCTION("COUNT(IMPORTRANGE(""https://docs.google.com/spreadsheets/d/1tJCeYclgeJZ4Dc78t_SkhVjtacKW-5-VGim8X1rzUzk/edit"",""24!d2:d34""))"),33)</f>
        <v>33</v>
      </c>
      <c r="F628" s="19">
        <f ca="1">IFERROR(__xludf.DUMMYFUNCTION("SUM(IMPORTRANGE(""https://docs.google.com/spreadsheets/d/1tJCeYclgeJZ4Dc78t_SkhVjtacKW-5-VGim8X1rzUzk/edit"",""24!Q2:Q34""))"),6590.627)</f>
        <v>6590.6270000000004</v>
      </c>
      <c r="G628" s="18">
        <f ca="1">IFERROR(__xludf.DUMMYFUNCTION("IMPORTRANGE(""https://docs.google.com/spreadsheets/d/1tJCeYclgeJZ4Dc78t_SkhVjtacKW-5-VGim8X1rzUzk/edit"",""24!e41"")"),2680)</f>
        <v>2680</v>
      </c>
      <c r="H628" s="18">
        <f ca="1">IFERROR(__xludf.DUMMYFUNCTION("IMPORTRANGE(""https://docs.google.com/spreadsheets/d/1tJCeYclgeJZ4Dc78t_SkhVjtacKW-5-VGim8X1rzUzk/edit"",""24!e42"")"),157)</f>
        <v>157</v>
      </c>
      <c r="I628" s="18">
        <f t="shared" ca="1" si="1737"/>
        <v>2837</v>
      </c>
      <c r="J628" s="18">
        <f ca="1">IFERROR(__xludf.DUMMYFUNCTION("IMPORTRANGE(""https://docs.google.com/spreadsheets/d/1tJCeYclgeJZ4Dc78t_SkhVjtacKW-5-VGim8X1rzUzk/edit"",""24!e45"")"),2790)</f>
        <v>2790</v>
      </c>
      <c r="K628" s="18">
        <f ca="1">IFERROR(__xludf.DUMMYFUNCTION("IMPORTRANGE(""https://docs.google.com/spreadsheets/d/1tJCeYclgeJZ4Dc78t_SkhVjtacKW-5-VGim8X1rzUzk/edit"",""24!e46"")"),143)</f>
        <v>143</v>
      </c>
      <c r="L628" s="18">
        <f t="shared" ca="1" si="1738"/>
        <v>2933</v>
      </c>
      <c r="M628" s="18">
        <f t="shared" ca="1" si="1739"/>
        <v>5770</v>
      </c>
      <c r="N628" s="19">
        <f t="shared" ca="1" si="1740"/>
        <v>199.71596969696972</v>
      </c>
      <c r="O628" s="16">
        <v>7315</v>
      </c>
      <c r="P628" s="20">
        <f t="shared" ca="1" si="1741"/>
        <v>0.78879015721120982</v>
      </c>
      <c r="Q628" s="21">
        <v>1.5</v>
      </c>
      <c r="R628" s="20">
        <f t="shared" ca="1" si="1742"/>
        <v>0.58365716443468374</v>
      </c>
      <c r="S628" s="22">
        <f t="shared" ca="1" si="1743"/>
        <v>0.87548574665202561</v>
      </c>
      <c r="T628" s="21">
        <f ca="1">F628/30.897</f>
        <v>213.30960934718584</v>
      </c>
      <c r="U628" s="21">
        <f t="shared" ca="1" si="1744"/>
        <v>6.4639275559753289</v>
      </c>
      <c r="V628" s="18">
        <f t="shared" ca="1" si="1745"/>
        <v>174.84848484848484</v>
      </c>
      <c r="W628" s="76"/>
      <c r="X628" s="8">
        <v>5</v>
      </c>
      <c r="Y628" s="8" t="s">
        <v>29</v>
      </c>
      <c r="Z628" s="8">
        <f t="shared" ref="Z628:AI628" si="1748">SUM(D643)</f>
        <v>30</v>
      </c>
      <c r="AA628" s="9">
        <f t="shared" ca="1" si="1748"/>
        <v>30</v>
      </c>
      <c r="AB628" s="10">
        <f t="shared" ca="1" si="1748"/>
        <v>5960.4749999999904</v>
      </c>
      <c r="AC628" s="9">
        <f t="shared" ca="1" si="1748"/>
        <v>2556</v>
      </c>
      <c r="AD628" s="9">
        <f t="shared" ca="1" si="1748"/>
        <v>102</v>
      </c>
      <c r="AE628" s="9">
        <f t="shared" ca="1" si="1748"/>
        <v>2658</v>
      </c>
      <c r="AF628" s="9">
        <f t="shared" ca="1" si="1748"/>
        <v>4251</v>
      </c>
      <c r="AG628" s="9">
        <f t="shared" ca="1" si="1748"/>
        <v>0</v>
      </c>
      <c r="AH628" s="9">
        <f t="shared" ca="1" si="1748"/>
        <v>4251</v>
      </c>
      <c r="AI628" s="9">
        <f t="shared" ca="1" si="1748"/>
        <v>6909</v>
      </c>
      <c r="AJ628" s="11">
        <f t="shared" ref="AJ628:AJ630" ca="1" si="1749">AB628/AA628</f>
        <v>198.68249999999969</v>
      </c>
      <c r="AK628" s="8">
        <f t="shared" ref="AK628:AK629" si="1750">SUM(O643)</f>
        <v>9201</v>
      </c>
      <c r="AL628" s="12">
        <f t="shared" ca="1" si="1727"/>
        <v>0.75089664166938375</v>
      </c>
      <c r="AM628" s="13">
        <f t="shared" ref="AM628:AM629" si="1751">SUM(Q643)</f>
        <v>1.5</v>
      </c>
      <c r="AN628" s="12">
        <f t="shared" ca="1" si="1729"/>
        <v>0.77275720475297816</v>
      </c>
      <c r="AO628" s="14">
        <f t="shared" ca="1" si="1730"/>
        <v>1.1591358071294673</v>
      </c>
      <c r="AP628" s="13">
        <f t="shared" ref="AP628:AQ628" ca="1" si="1752">SUM(T643)</f>
        <v>224.99999999999963</v>
      </c>
      <c r="AQ628" s="13">
        <f t="shared" ca="1" si="1752"/>
        <v>7.4999999999999876</v>
      </c>
      <c r="AR628" s="9">
        <f t="shared" ca="1" si="1732"/>
        <v>230.3</v>
      </c>
      <c r="AS628" s="76"/>
      <c r="AT628" s="76"/>
    </row>
    <row r="629" spans="1:46" ht="15.75" customHeight="1" x14ac:dyDescent="0.25">
      <c r="A629" s="70"/>
      <c r="B629" s="16">
        <v>3</v>
      </c>
      <c r="C629" s="16" t="s">
        <v>30</v>
      </c>
      <c r="D629" s="17">
        <v>60</v>
      </c>
      <c r="E629" s="18">
        <f ca="1">IFERROR(__xludf.DUMMYFUNCTION("COUNT(IMPORTRANGE(""https://docs.google.com/spreadsheets/d/130gLEONC13J8KkQ6dk06x3bLRy_jCrAw2hXatQf2W50/edit"",""24!d2:d61""))"),60)</f>
        <v>60</v>
      </c>
      <c r="F629" s="23">
        <f ca="1">IFERROR(__xludf.DUMMYFUNCTION("SUM(IMPORTRANGE(""https://docs.google.com/spreadsheets/d/130gLEONC13J8KkQ6dk06x3bLRy_jCrAw2hXatQf2W50/edit"",""24!Q2:Q61""))"),11722.7879999999)</f>
        <v>11722.7879999999</v>
      </c>
      <c r="G629" s="18">
        <f ca="1">IFERROR(__xludf.DUMMYFUNCTION("IMPORTRANGE(""https://docs.google.com/spreadsheets/d/130gLEONC13J8KkQ6dk06x3bLRy_jCrAw2hXatQf2W50/edit"",""24!e68"")"),3816)</f>
        <v>3816</v>
      </c>
      <c r="H629" s="18">
        <f ca="1">IFERROR(__xludf.DUMMYFUNCTION("IMPORTRANGE(""https://docs.google.com/spreadsheets/d/130gLEONC13J8KkQ6dk06x3bLRy_jCrAw2hXatQf2W50/edit"",""24!e69"")"),0)</f>
        <v>0</v>
      </c>
      <c r="I629" s="18">
        <f t="shared" ca="1" si="1737"/>
        <v>3816</v>
      </c>
      <c r="J629" s="18">
        <f ca="1">IFERROR(__xludf.DUMMYFUNCTION("IMPORTRANGE(""https://docs.google.com/spreadsheets/d/130gLEONC13J8KkQ6dk06x3bLRy_jCrAw2hXatQf2W50/edit"",""24!e72"")"),5621)</f>
        <v>5621</v>
      </c>
      <c r="K629" s="18">
        <f ca="1">IFERROR(__xludf.DUMMYFUNCTION("IMPORTRANGE(""https://docs.google.com/spreadsheets/d/130gLEONC13J8KkQ6dk06x3bLRy_jCrAw2hXatQf2W50/edit"",""24!e73"")"),222)</f>
        <v>222</v>
      </c>
      <c r="L629" s="18">
        <f t="shared" ca="1" si="1738"/>
        <v>5843</v>
      </c>
      <c r="M629" s="18">
        <f t="shared" ca="1" si="1739"/>
        <v>9659</v>
      </c>
      <c r="N629" s="19">
        <f t="shared" ca="1" si="1740"/>
        <v>195.37979999999834</v>
      </c>
      <c r="O629" s="16">
        <v>11164</v>
      </c>
      <c r="P629" s="20">
        <f t="shared" ca="1" si="1741"/>
        <v>0.86519168756718023</v>
      </c>
      <c r="Q629" s="21">
        <v>1.5</v>
      </c>
      <c r="R629" s="20">
        <f t="shared" ca="1" si="1742"/>
        <v>0.54930050200800251</v>
      </c>
      <c r="S629" s="22">
        <f t="shared" ca="1" si="1743"/>
        <v>0.82395075301200382</v>
      </c>
      <c r="T629" s="21">
        <f ca="1">F629/29.603</f>
        <v>395.99999999999659</v>
      </c>
      <c r="U629" s="21">
        <f t="shared" ca="1" si="1744"/>
        <v>6.5999999999999428</v>
      </c>
      <c r="V629" s="18">
        <f t="shared" ca="1" si="1745"/>
        <v>160.98333333333332</v>
      </c>
      <c r="W629" s="76"/>
      <c r="X629" s="8">
        <v>6</v>
      </c>
      <c r="Y629" s="8" t="s">
        <v>31</v>
      </c>
      <c r="Z629" s="8">
        <f t="shared" ref="Z629:AI629" si="1753">SUM(D644)</f>
        <v>15</v>
      </c>
      <c r="AA629" s="9">
        <f t="shared" ca="1" si="1753"/>
        <v>13</v>
      </c>
      <c r="AB629" s="11">
        <f t="shared" ca="1" si="1753"/>
        <v>2607.9</v>
      </c>
      <c r="AC629" s="9">
        <f t="shared" ca="1" si="1753"/>
        <v>839</v>
      </c>
      <c r="AD629" s="9">
        <f t="shared" ca="1" si="1753"/>
        <v>0</v>
      </c>
      <c r="AE629" s="9">
        <f t="shared" ca="1" si="1753"/>
        <v>839</v>
      </c>
      <c r="AF629" s="9">
        <f t="shared" ca="1" si="1753"/>
        <v>937</v>
      </c>
      <c r="AG629" s="9">
        <f t="shared" ca="1" si="1753"/>
        <v>15</v>
      </c>
      <c r="AH629" s="9">
        <f t="shared" ca="1" si="1753"/>
        <v>952</v>
      </c>
      <c r="AI629" s="9">
        <f t="shared" ca="1" si="1753"/>
        <v>1791</v>
      </c>
      <c r="AJ629" s="11">
        <f t="shared" ca="1" si="1749"/>
        <v>200.6076923076923</v>
      </c>
      <c r="AK629" s="8">
        <f t="shared" si="1750"/>
        <v>2717</v>
      </c>
      <c r="AL629" s="12">
        <f t="shared" ca="1" si="1727"/>
        <v>0.6591829223408171</v>
      </c>
      <c r="AM629" s="13">
        <f t="shared" si="1751"/>
        <v>1.5</v>
      </c>
      <c r="AN629" s="12">
        <f t="shared" ca="1" si="1729"/>
        <v>0.4578396410905326</v>
      </c>
      <c r="AO629" s="14">
        <f t="shared" ca="1" si="1730"/>
        <v>0.68675946163579893</v>
      </c>
      <c r="AP629" s="13">
        <f t="shared" ref="AP629:AQ629" ca="1" si="1754">SUM(T644)</f>
        <v>60</v>
      </c>
      <c r="AQ629" s="13">
        <f t="shared" ca="1" si="1754"/>
        <v>4.615384615384615</v>
      </c>
      <c r="AR629" s="9">
        <f t="shared" ca="1" si="1732"/>
        <v>137.76923076923077</v>
      </c>
      <c r="AS629" s="76"/>
      <c r="AT629" s="76"/>
    </row>
    <row r="630" spans="1:46" ht="15.75" customHeight="1" x14ac:dyDescent="0.25">
      <c r="A630" s="70"/>
      <c r="B630" s="16">
        <v>4</v>
      </c>
      <c r="C630" s="16" t="s">
        <v>32</v>
      </c>
      <c r="D630" s="17">
        <v>42</v>
      </c>
      <c r="E630" s="18">
        <f ca="1">IFERROR(__xludf.DUMMYFUNCTION("COUNT(IMPORTRANGE(""https://docs.google.com/spreadsheets/d/1gYHli7FuKQLm2Q-5LMR0UtkD-gRRA_p8s-phLPLDLgc/edit"",""24!d2:d43""))"),40)</f>
        <v>40</v>
      </c>
      <c r="F630" s="23">
        <f ca="1">IFERROR(__xludf.DUMMYFUNCTION("SUM(IMPORTRANGE(""https://docs.google.com/spreadsheets/d/1gYHli7FuKQLm2Q-5LMR0UtkD-gRRA_p8s-phLPLDLgc/edit"",""24!Q2:Q43""))"),7704.47199999999)</f>
        <v>7704.4719999999897</v>
      </c>
      <c r="G630" s="16">
        <f ca="1">IFERROR(__xludf.DUMMYFUNCTION("IMPORTRANGE(""https://docs.google.com/spreadsheets/d/1gYHli7FuKQLm2Q-5LMR0UtkD-gRRA_p8s-phLPLDLgc/edit"",""24!e50"")"),4506)</f>
        <v>4506</v>
      </c>
      <c r="H630" s="16">
        <f ca="1">IFERROR(__xludf.DUMMYFUNCTION("IMPORTRANGE(""https://docs.google.com/spreadsheets/d/1gYHli7FuKQLm2Q-5LMR0UtkD-gRRA_p8s-phLPLDLgc/edit"",""24!e51"")"),0)</f>
        <v>0</v>
      </c>
      <c r="I630" s="18">
        <f t="shared" ca="1" si="1737"/>
        <v>4506</v>
      </c>
      <c r="J630" s="16">
        <f ca="1">IFERROR(__xludf.DUMMYFUNCTION("IMPORTRANGE(""https://docs.google.com/spreadsheets/d/1gYHli7FuKQLm2Q-5LMR0UtkD-gRRA_p8s-phLPLDLgc/edit"",""24!e54"")"),5720)</f>
        <v>5720</v>
      </c>
      <c r="K630" s="16">
        <f ca="1">IFERROR(__xludf.DUMMYFUNCTION("IMPORTRANGE(""https://docs.google.com/spreadsheets/d/1gYHli7FuKQLm2Q-5LMR0UtkD-gRRA_p8s-phLPLDLgc/edit"",""24!e55"")"),0)</f>
        <v>0</v>
      </c>
      <c r="L630" s="18">
        <f t="shared" ca="1" si="1738"/>
        <v>5720</v>
      </c>
      <c r="M630" s="18">
        <f t="shared" ca="1" si="1739"/>
        <v>10226</v>
      </c>
      <c r="N630" s="19">
        <f t="shared" ca="1" si="1740"/>
        <v>192.61179999999973</v>
      </c>
      <c r="O630" s="16">
        <v>13817</v>
      </c>
      <c r="P630" s="20">
        <f t="shared" ca="1" si="1741"/>
        <v>0.74010277194760077</v>
      </c>
      <c r="Q630" s="21">
        <v>1.5</v>
      </c>
      <c r="R630" s="20">
        <f t="shared" ca="1" si="1742"/>
        <v>0.88485406051619664</v>
      </c>
      <c r="S630" s="22">
        <f t="shared" ca="1" si="1743"/>
        <v>1.3272810907742949</v>
      </c>
      <c r="T630" s="21">
        <f ca="1">F630/25.089</f>
        <v>307.0856550679577</v>
      </c>
      <c r="U630" s="21">
        <f t="shared" ca="1" si="1744"/>
        <v>7.6771413766989429</v>
      </c>
      <c r="V630" s="18">
        <f t="shared" ca="1" si="1745"/>
        <v>255.65</v>
      </c>
      <c r="W630" s="76"/>
      <c r="X630" s="24" t="s">
        <v>33</v>
      </c>
      <c r="Y630" s="24">
        <v>6</v>
      </c>
      <c r="Z630" s="24">
        <f t="shared" ref="Z630:AI630" si="1755">SUM(Z624:Z629)</f>
        <v>186</v>
      </c>
      <c r="AA630" s="25">
        <f t="shared" ca="1" si="1755"/>
        <v>180</v>
      </c>
      <c r="AB630" s="26">
        <f t="shared" ca="1" si="1755"/>
        <v>35111.023999999969</v>
      </c>
      <c r="AC630" s="25">
        <f t="shared" ca="1" si="1755"/>
        <v>11147</v>
      </c>
      <c r="AD630" s="25">
        <f t="shared" ca="1" si="1755"/>
        <v>400</v>
      </c>
      <c r="AE630" s="25">
        <f t="shared" ca="1" si="1755"/>
        <v>11547</v>
      </c>
      <c r="AF630" s="25">
        <f t="shared" ca="1" si="1755"/>
        <v>15707</v>
      </c>
      <c r="AG630" s="25">
        <f t="shared" ca="1" si="1755"/>
        <v>352</v>
      </c>
      <c r="AH630" s="25">
        <f t="shared" ca="1" si="1755"/>
        <v>16059</v>
      </c>
      <c r="AI630" s="25">
        <f t="shared" ca="1" si="1755"/>
        <v>27606</v>
      </c>
      <c r="AJ630" s="27">
        <f t="shared" ca="1" si="1749"/>
        <v>195.06124444444427</v>
      </c>
      <c r="AK630" s="24">
        <f>SUM(AK624:AK629)</f>
        <v>35074</v>
      </c>
      <c r="AL630" s="28">
        <f t="shared" ca="1" si="1727"/>
        <v>0.787078747790386</v>
      </c>
      <c r="AM630" s="29">
        <v>1.5</v>
      </c>
      <c r="AN630" s="28">
        <f t="shared" ca="1" si="1729"/>
        <v>0.52416585742415311</v>
      </c>
      <c r="AO630" s="30">
        <f t="shared" ca="1" si="1730"/>
        <v>0.78624878613622962</v>
      </c>
      <c r="AP630" s="29">
        <f ca="1">SUM(AP624:AP629)</f>
        <v>1316.6816769046911</v>
      </c>
      <c r="AQ630" s="29">
        <f ca="1">AP630/AA630</f>
        <v>7.3148982050260623</v>
      </c>
      <c r="AR630" s="25">
        <f t="shared" ca="1" si="1732"/>
        <v>153.36666666666667</v>
      </c>
      <c r="AS630" s="76"/>
      <c r="AT630" s="76"/>
    </row>
    <row r="631" spans="1:46" ht="15.75" customHeight="1" x14ac:dyDescent="0.25">
      <c r="A631" s="70"/>
      <c r="B631" s="16">
        <v>5</v>
      </c>
      <c r="C631" s="16" t="s">
        <v>34</v>
      </c>
      <c r="D631" s="17">
        <v>40</v>
      </c>
      <c r="E631" s="18">
        <f ca="1">IFERROR(__xludf.DUMMYFUNCTION("COUNT(IMPORTRANGE(""https://docs.google.com/spreadsheets/d/1ptS0qWBCKWkc9h2aXWT_YgMhN7yIv5WgAHRbF8l9Zpo/edit"",""24!d2:d41""))"),39)</f>
        <v>39</v>
      </c>
      <c r="F631" s="23">
        <f ca="1">IFERROR(__xludf.DUMMYFUNCTION("SUM(IMPORTRANGE(""https://docs.google.com/spreadsheets/d/1ptS0qWBCKWkc9h2aXWT_YgMhN7yIv5WgAHRbF8l9Zpo/edit"",""24!Q2:Q41""))"),7808.895)</f>
        <v>7808.8950000000004</v>
      </c>
      <c r="G631" s="18">
        <f ca="1">IFERROR(__xludf.DUMMYFUNCTION("IMPORTRANGE(""https://docs.google.com/spreadsheets/d/1ptS0qWBCKWkc9h2aXWT_YgMhN7yIv5WgAHRbF8l9Zpo/edit"",""24!e48"")"),2770)</f>
        <v>2770</v>
      </c>
      <c r="H631" s="18">
        <f ca="1">IFERROR(__xludf.DUMMYFUNCTION("IMPORTRANGE(""https://docs.google.com/spreadsheets/d/1ptS0qWBCKWkc9h2aXWT_YgMhN7yIv5WgAHRbF8l9Zpo/edit"",""24!e49"")"),0)</f>
        <v>0</v>
      </c>
      <c r="I631" s="18">
        <f t="shared" ca="1" si="1737"/>
        <v>2770</v>
      </c>
      <c r="J631" s="18">
        <f ca="1">IFERROR(__xludf.DUMMYFUNCTION("IMPORTRANGE(""https://docs.google.com/spreadsheets/d/1ptS0qWBCKWkc9h2aXWT_YgMhN7yIv5WgAHRbF8l9Zpo/edit"",""24!e52"")"),2904)</f>
        <v>2904</v>
      </c>
      <c r="K631" s="18">
        <f ca="1">IFERROR(__xludf.DUMMYFUNCTION("IMPORTRANGE(""https://docs.google.com/spreadsheets/d/1ptS0qWBCKWkc9h2aXWT_YgMhN7yIv5WgAHRbF8l9Zpo/edit"",""24!e53"")"),0)</f>
        <v>0</v>
      </c>
      <c r="L631" s="18">
        <f t="shared" ca="1" si="1738"/>
        <v>2904</v>
      </c>
      <c r="M631" s="18">
        <f t="shared" ca="1" si="1739"/>
        <v>5674</v>
      </c>
      <c r="N631" s="19">
        <f t="shared" ca="1" si="1740"/>
        <v>200.22807692307694</v>
      </c>
      <c r="O631" s="16">
        <v>9354</v>
      </c>
      <c r="P631" s="20">
        <f t="shared" ca="1" si="1741"/>
        <v>0.60658541800299337</v>
      </c>
      <c r="Q631" s="21">
        <v>1.5</v>
      </c>
      <c r="R631" s="20">
        <f t="shared" ca="1" si="1742"/>
        <v>0.48440485711059839</v>
      </c>
      <c r="S631" s="22">
        <f t="shared" ca="1" si="1743"/>
        <v>0.72660728566589761</v>
      </c>
      <c r="T631" s="21">
        <f ca="1">F631/30.713</f>
        <v>254.25373620291083</v>
      </c>
      <c r="U631" s="21">
        <f t="shared" ca="1" si="1744"/>
        <v>6.5193265693054059</v>
      </c>
      <c r="V631" s="18">
        <f t="shared" ca="1" si="1745"/>
        <v>145.48717948717947</v>
      </c>
      <c r="W631" s="76"/>
      <c r="X631" s="100" t="s">
        <v>35</v>
      </c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9"/>
      <c r="AS631" s="76"/>
      <c r="AT631" s="76"/>
    </row>
    <row r="632" spans="1:46" ht="15.75" customHeight="1" x14ac:dyDescent="0.25">
      <c r="A632" s="70"/>
      <c r="B632" s="16">
        <v>6</v>
      </c>
      <c r="C632" s="16" t="s">
        <v>23</v>
      </c>
      <c r="D632" s="17">
        <v>35</v>
      </c>
      <c r="E632" s="18">
        <f ca="1">IFERROR(__xludf.DUMMYFUNCTION("COUNT(IMPORTRANGE(""https://docs.google.com/spreadsheets/d/1829CoYW82aTBBUgqkPnJa94KlBWI-DowAnP4ENQCmaQ/edit"",""24!d2:d36""))"),35)</f>
        <v>35</v>
      </c>
      <c r="F632" s="23">
        <f ca="1">IFERROR(__xludf.DUMMYFUNCTION("SUM(IMPORTRANGE(""https://docs.google.com/spreadsheets/d/1829CoYW82aTBBUgqkPnJa94KlBWI-DowAnP4ENQCmaQ/edit"",""24!Q2:Q36""))"),6882.95999999999)</f>
        <v>6882.95999999999</v>
      </c>
      <c r="G632" s="18">
        <f ca="1">IFERROR(__xludf.DUMMYFUNCTION("IMPORTRANGE(""https://docs.google.com/spreadsheets/d/1829CoYW82aTBBUgqkPnJa94KlBWI-DowAnP4ENQCmaQ/edit"",""24!e43"")"),1698)</f>
        <v>1698</v>
      </c>
      <c r="H632" s="18">
        <f ca="1">IFERROR(__xludf.DUMMYFUNCTION("IMPORTRANGE(""https://docs.google.com/spreadsheets/d/1829CoYW82aTBBUgqkPnJa94KlBWI-DowAnP4ENQCmaQ/edit"",""24!e44"")"),0)</f>
        <v>0</v>
      </c>
      <c r="I632" s="18">
        <f t="shared" ca="1" si="1737"/>
        <v>1698</v>
      </c>
      <c r="J632" s="18">
        <f ca="1">IFERROR(__xludf.DUMMYFUNCTION("IMPORTRANGE(""https://docs.google.com/spreadsheets/d/1829CoYW82aTBBUgqkPnJa94KlBWI-DowAnP4ENQCmaQ/edit"",""24!e47"")"),3182)</f>
        <v>3182</v>
      </c>
      <c r="K632" s="18">
        <f ca="1">IFERROR(__xludf.DUMMYFUNCTION("IMPORTRANGE(""https://docs.google.com/spreadsheets/d/1829CoYW82aTBBUgqkPnJa94KlBWI-DowAnP4ENQCmaQ/edit"",""24!e48"")"),0)</f>
        <v>0</v>
      </c>
      <c r="L632" s="18">
        <f t="shared" ca="1" si="1738"/>
        <v>3182</v>
      </c>
      <c r="M632" s="18">
        <f t="shared" ca="1" si="1739"/>
        <v>4880</v>
      </c>
      <c r="N632" s="19">
        <f t="shared" ca="1" si="1740"/>
        <v>196.65599999999972</v>
      </c>
      <c r="O632" s="16">
        <v>6853</v>
      </c>
      <c r="P632" s="20">
        <f t="shared" ca="1" si="1741"/>
        <v>0.71209689187217273</v>
      </c>
      <c r="Q632" s="21">
        <v>1.5</v>
      </c>
      <c r="R632" s="20">
        <f t="shared" ca="1" si="1742"/>
        <v>0.47266486124186952</v>
      </c>
      <c r="S632" s="22">
        <f t="shared" ca="1" si="1743"/>
        <v>0.70899729186280425</v>
      </c>
      <c r="T632" s="21">
        <f ca="1">F632/33.74</f>
        <v>203.99999999999969</v>
      </c>
      <c r="U632" s="21">
        <f t="shared" ca="1" si="1744"/>
        <v>5.8285714285714194</v>
      </c>
      <c r="V632" s="18">
        <f t="shared" ca="1" si="1745"/>
        <v>139.42857142857142</v>
      </c>
      <c r="W632" s="76"/>
      <c r="X632" s="1" t="s">
        <v>2</v>
      </c>
      <c r="Y632" s="1" t="s">
        <v>3</v>
      </c>
      <c r="Z632" s="1" t="s">
        <v>4</v>
      </c>
      <c r="AA632" s="1" t="s">
        <v>5</v>
      </c>
      <c r="AB632" s="2" t="s">
        <v>6</v>
      </c>
      <c r="AC632" s="1" t="s">
        <v>7</v>
      </c>
      <c r="AD632" s="1" t="s">
        <v>8</v>
      </c>
      <c r="AE632" s="1" t="s">
        <v>9</v>
      </c>
      <c r="AF632" s="1" t="s">
        <v>10</v>
      </c>
      <c r="AG632" s="1" t="s">
        <v>11</v>
      </c>
      <c r="AH632" s="1" t="s">
        <v>12</v>
      </c>
      <c r="AI632" s="1" t="s">
        <v>13</v>
      </c>
      <c r="AJ632" s="2" t="s">
        <v>14</v>
      </c>
      <c r="AK632" s="1" t="s">
        <v>15</v>
      </c>
      <c r="AL632" s="1" t="s">
        <v>16</v>
      </c>
      <c r="AM632" s="3" t="s">
        <v>17</v>
      </c>
      <c r="AN632" s="4" t="s">
        <v>18</v>
      </c>
      <c r="AO632" s="5" t="s">
        <v>19</v>
      </c>
      <c r="AP632" s="6" t="s">
        <v>20</v>
      </c>
      <c r="AQ632" s="6" t="s">
        <v>21</v>
      </c>
      <c r="AR632" s="7" t="s">
        <v>22</v>
      </c>
      <c r="AS632" s="76"/>
      <c r="AT632" s="76"/>
    </row>
    <row r="633" spans="1:46" ht="15.75" customHeight="1" x14ac:dyDescent="0.25">
      <c r="A633" s="70"/>
      <c r="B633" s="16">
        <v>7</v>
      </c>
      <c r="C633" s="16" t="s">
        <v>24</v>
      </c>
      <c r="D633" s="17">
        <v>44</v>
      </c>
      <c r="E633" s="31">
        <f ca="1">IFERROR(__xludf.DUMMYFUNCTION("COUNT(IMPORTRANGE(""https://docs.google.com/spreadsheets/d/1E2x4oDZxEIsuC5nl-5Z0--MoN8b1dt9SbpRcCfNP84Q/edit"",""24!d2:d45""))"),43)</f>
        <v>43</v>
      </c>
      <c r="F633" s="32">
        <f ca="1">IFERROR(__xludf.DUMMYFUNCTION("SUM(IMPORTRANGE(""https://docs.google.com/spreadsheets/d/1E2x4oDZxEIsuC5nl-5Z0--MoN8b1dt9SbpRcCfNP84Q/edit"",""24!Q2:Q45""))"),8679.80799999999)</f>
        <v>8679.80799999999</v>
      </c>
      <c r="G633" s="31">
        <f ca="1">IFERROR(__xludf.DUMMYFUNCTION("IMPORTRANGE(""https://docs.google.com/spreadsheets/d/1E2x4oDZxEIsuC5nl-5Z0--MoN8b1dt9SbpRcCfNP84Q/edit"",""24!e53"")"),1118)</f>
        <v>1118</v>
      </c>
      <c r="H633" s="31">
        <f ca="1">IFERROR(__xludf.DUMMYFUNCTION("IMPORTRANGE(""https://docs.google.com/spreadsheets/d/1E2x4oDZxEIsuC5nl-5Z0--MoN8b1dt9SbpRcCfNP84Q/edit"",""24!e54"")"),0)</f>
        <v>0</v>
      </c>
      <c r="I633" s="31">
        <f t="shared" ca="1" si="1737"/>
        <v>1118</v>
      </c>
      <c r="J633" s="31">
        <f ca="1">IFERROR(__xludf.DUMMYFUNCTION("IMPORTRANGE(""https://docs.google.com/spreadsheets/d/1E2x4oDZxEIsuC5nl-5Z0--MoN8b1dt9SbpRcCfNP84Q/edit"",""24!e57"")"),1297)</f>
        <v>1297</v>
      </c>
      <c r="K633" s="31">
        <f ca="1">IFERROR(__xludf.DUMMYFUNCTION("IMPORTRANGE(""https://docs.google.com/spreadsheets/d/1E2x4oDZxEIsuC5nl-5Z0--MoN8b1dt9SbpRcCfNP84Q/edit"",""24!e58"")"),0)</f>
        <v>0</v>
      </c>
      <c r="L633" s="18">
        <f t="shared" ca="1" si="1738"/>
        <v>1297</v>
      </c>
      <c r="M633" s="18">
        <f t="shared" ca="1" si="1739"/>
        <v>2415</v>
      </c>
      <c r="N633" s="19">
        <f t="shared" ca="1" si="1740"/>
        <v>201.85599999999977</v>
      </c>
      <c r="O633" s="16">
        <v>1580</v>
      </c>
      <c r="P633" s="33">
        <f t="shared" ca="1" si="1741"/>
        <v>1.5284810126582278</v>
      </c>
      <c r="Q633" s="21">
        <v>1.5</v>
      </c>
      <c r="R633" s="20">
        <f t="shared" ca="1" si="1742"/>
        <v>0.18548797392753411</v>
      </c>
      <c r="S633" s="22">
        <f t="shared" ca="1" si="1743"/>
        <v>0.27823196089130114</v>
      </c>
      <c r="T633" s="21">
        <f ca="1">F633/26.805</f>
        <v>323.81301995896251</v>
      </c>
      <c r="U633" s="21">
        <f t="shared" ca="1" si="1744"/>
        <v>7.5305353478828492</v>
      </c>
      <c r="V633" s="18">
        <f t="shared" ca="1" si="1745"/>
        <v>56.162790697674417</v>
      </c>
      <c r="W633" s="76"/>
      <c r="X633" s="8">
        <v>1</v>
      </c>
      <c r="Y633" s="8" t="s">
        <v>28</v>
      </c>
      <c r="Z633" s="8">
        <f t="shared" ref="Z633:AI633" si="1756">SUM(D628)</f>
        <v>33</v>
      </c>
      <c r="AA633" s="9">
        <f t="shared" ca="1" si="1756"/>
        <v>33</v>
      </c>
      <c r="AB633" s="11">
        <f t="shared" ca="1" si="1756"/>
        <v>6590.6270000000004</v>
      </c>
      <c r="AC633" s="9">
        <f t="shared" ca="1" si="1756"/>
        <v>2680</v>
      </c>
      <c r="AD633" s="9">
        <f t="shared" ca="1" si="1756"/>
        <v>157</v>
      </c>
      <c r="AE633" s="9">
        <f t="shared" ca="1" si="1756"/>
        <v>2837</v>
      </c>
      <c r="AF633" s="9">
        <f t="shared" ca="1" si="1756"/>
        <v>2790</v>
      </c>
      <c r="AG633" s="9">
        <f t="shared" ca="1" si="1756"/>
        <v>143</v>
      </c>
      <c r="AH633" s="9">
        <f t="shared" ca="1" si="1756"/>
        <v>2933</v>
      </c>
      <c r="AI633" s="9">
        <f t="shared" ca="1" si="1756"/>
        <v>5770</v>
      </c>
      <c r="AJ633" s="11">
        <f t="shared" ref="AJ633:AJ639" ca="1" si="1757">AB633/AA633</f>
        <v>199.71596969696972</v>
      </c>
      <c r="AK633" s="8">
        <f t="shared" ref="AK633:AK634" si="1758">SUM(O628)</f>
        <v>7315</v>
      </c>
      <c r="AL633" s="12">
        <f t="shared" ref="AL633:AL639" ca="1" si="1759">AI633/AK633</f>
        <v>0.78879015721120982</v>
      </c>
      <c r="AM633" s="13">
        <f t="shared" ref="AM633:AM634" si="1760">SUM(Q628)</f>
        <v>1.5</v>
      </c>
      <c r="AN633" s="12">
        <f t="shared" ref="AN633:AN639" ca="1" si="1761">AO633/AM633</f>
        <v>0.58365716443468374</v>
      </c>
      <c r="AO633" s="14">
        <f t="shared" ref="AO633:AO639" ca="1" si="1762">AI633/AB633</f>
        <v>0.87548574665202561</v>
      </c>
      <c r="AP633" s="13">
        <f t="shared" ref="AP633:AQ633" ca="1" si="1763">SUM(T628)</f>
        <v>213.30960934718584</v>
      </c>
      <c r="AQ633" s="13">
        <f t="shared" ca="1" si="1763"/>
        <v>6.4639275559753289</v>
      </c>
      <c r="AR633" s="9">
        <f t="shared" ref="AR633:AR639" ca="1" si="1764">AI633/AA633</f>
        <v>174.84848484848484</v>
      </c>
      <c r="AS633" s="76"/>
      <c r="AT633" s="76"/>
    </row>
    <row r="634" spans="1:46" ht="15.75" customHeight="1" x14ac:dyDescent="0.25">
      <c r="A634" s="70"/>
      <c r="B634" s="16">
        <v>8</v>
      </c>
      <c r="C634" s="16" t="s">
        <v>25</v>
      </c>
      <c r="D634" s="34">
        <v>32</v>
      </c>
      <c r="E634" s="18">
        <f ca="1">IFERROR(__xludf.DUMMYFUNCTION("COUNT(IMPORTRANGE(""https://docs.google.com/spreadsheets/d/1KbRFOEYB0B44J_NSh1MwYQ1sLDlZXUHI-wuMLcZDn5k/edit"",""24!d2:D33""))"),31)</f>
        <v>31</v>
      </c>
      <c r="F634" s="23">
        <f ca="1">IFERROR(__xludf.DUMMYFUNCTION("SUM(IMPORTRANGE(""https://docs.google.com/spreadsheets/d/1KbRFOEYB0B44J_NSh1MwYQ1sLDlZXUHI-wuMLcZDn5k/edit"",""24!Q2:Q33""))"),5628.008)</f>
        <v>5628.0079999999998</v>
      </c>
      <c r="G634" s="18">
        <f ca="1">IFERROR(__xludf.DUMMYFUNCTION("IMPORTRANGE(""https://docs.google.com/spreadsheets/d/1KbRFOEYB0B44J_NSh1MwYQ1sLDlZXUHI-wuMLcZDn5k/edit"",""24!e40"")"),2386)</f>
        <v>2386</v>
      </c>
      <c r="H634" s="18">
        <f ca="1">IFERROR(__xludf.DUMMYFUNCTION("IMPORTRANGE(""https://docs.google.com/spreadsheets/d/1KbRFOEYB0B44J_NSh1MwYQ1sLDlZXUHI-wuMLcZDn5k/edit"",""24!e41"")"),298)</f>
        <v>298</v>
      </c>
      <c r="I634" s="18">
        <f t="shared" ca="1" si="1737"/>
        <v>2684</v>
      </c>
      <c r="J634" s="18">
        <f ca="1">IFERROR(__xludf.DUMMYFUNCTION("IMPORTRANGE(""https://docs.google.com/spreadsheets/d/1KbRFOEYB0B44J_NSh1MwYQ1sLDlZXUHI-wuMLcZDn5k/edit"",""24!e44"")"),3015)</f>
        <v>3015</v>
      </c>
      <c r="K634" s="18">
        <f ca="1">IFERROR(__xludf.DUMMYFUNCTION("IMPORTRANGE(""https://docs.google.com/spreadsheets/d/1KbRFOEYB0B44J_NSh1MwYQ1sLDlZXUHI-wuMLcZDn5k/edit"",""24!e45"")"),337)</f>
        <v>337</v>
      </c>
      <c r="L634" s="18">
        <f ca="1">J634+K634</f>
        <v>3352</v>
      </c>
      <c r="M634" s="18">
        <f t="shared" ca="1" si="1739"/>
        <v>6036</v>
      </c>
      <c r="N634" s="19">
        <f t="shared" ca="1" si="1740"/>
        <v>181.54864516129032</v>
      </c>
      <c r="O634" s="16">
        <v>6622</v>
      </c>
      <c r="P634" s="20">
        <f t="shared" ca="1" si="1741"/>
        <v>0.91150709755360915</v>
      </c>
      <c r="Q634" s="21">
        <v>1.5</v>
      </c>
      <c r="R634" s="20">
        <f t="shared" ca="1" si="1742"/>
        <v>0.7149954299993887</v>
      </c>
      <c r="S634" s="22">
        <f t="shared" ca="1" si="1743"/>
        <v>1.0724931449990831</v>
      </c>
      <c r="T634" s="21">
        <f ca="1">F634/23.84</f>
        <v>236.07416107382551</v>
      </c>
      <c r="U634" s="21">
        <f t="shared" ca="1" si="1744"/>
        <v>7.6152955185105</v>
      </c>
      <c r="V634" s="18">
        <f t="shared" ca="1" si="1745"/>
        <v>194.70967741935485</v>
      </c>
      <c r="W634" s="76"/>
      <c r="X634" s="8">
        <v>2</v>
      </c>
      <c r="Y634" s="8" t="s">
        <v>30</v>
      </c>
      <c r="Z634" s="8">
        <f t="shared" ref="Z634:AI634" si="1765">SUM(D629)</f>
        <v>60</v>
      </c>
      <c r="AA634" s="9">
        <f t="shared" ca="1" si="1765"/>
        <v>60</v>
      </c>
      <c r="AB634" s="10">
        <f t="shared" ca="1" si="1765"/>
        <v>11722.7879999999</v>
      </c>
      <c r="AC634" s="9">
        <f t="shared" ca="1" si="1765"/>
        <v>3816</v>
      </c>
      <c r="AD634" s="9">
        <f t="shared" ca="1" si="1765"/>
        <v>0</v>
      </c>
      <c r="AE634" s="9">
        <f t="shared" ca="1" si="1765"/>
        <v>3816</v>
      </c>
      <c r="AF634" s="9">
        <f t="shared" ca="1" si="1765"/>
        <v>5621</v>
      </c>
      <c r="AG634" s="9">
        <f t="shared" ca="1" si="1765"/>
        <v>222</v>
      </c>
      <c r="AH634" s="9">
        <f t="shared" ca="1" si="1765"/>
        <v>5843</v>
      </c>
      <c r="AI634" s="9">
        <f t="shared" ca="1" si="1765"/>
        <v>9659</v>
      </c>
      <c r="AJ634" s="11">
        <f t="shared" ca="1" si="1757"/>
        <v>195.37979999999834</v>
      </c>
      <c r="AK634" s="8">
        <f t="shared" si="1758"/>
        <v>11164</v>
      </c>
      <c r="AL634" s="12">
        <f t="shared" ca="1" si="1759"/>
        <v>0.86519168756718023</v>
      </c>
      <c r="AM634" s="13">
        <f t="shared" si="1760"/>
        <v>1.5</v>
      </c>
      <c r="AN634" s="12">
        <f t="shared" ca="1" si="1761"/>
        <v>0.54930050200800251</v>
      </c>
      <c r="AO634" s="14">
        <f t="shared" ca="1" si="1762"/>
        <v>0.82395075301200382</v>
      </c>
      <c r="AP634" s="13">
        <f t="shared" ref="AP634:AQ634" ca="1" si="1766">SUM(T629)</f>
        <v>395.99999999999659</v>
      </c>
      <c r="AQ634" s="13">
        <f t="shared" ca="1" si="1766"/>
        <v>6.5999999999999428</v>
      </c>
      <c r="AR634" s="9">
        <f t="shared" ca="1" si="1764"/>
        <v>160.98333333333332</v>
      </c>
      <c r="AS634" s="76"/>
      <c r="AT634" s="76"/>
    </row>
    <row r="635" spans="1:46" ht="15.75" customHeight="1" x14ac:dyDescent="0.25">
      <c r="A635" s="70"/>
      <c r="B635" s="16">
        <v>9</v>
      </c>
      <c r="C635" s="16" t="s">
        <v>36</v>
      </c>
      <c r="D635" s="34">
        <v>29</v>
      </c>
      <c r="E635" s="18">
        <f ca="1">IFERROR(__xludf.DUMMYFUNCTION("COUNT(IMPORTRANGE(""https://docs.google.com/spreadsheets/d/1VqqqRGfmmkT0JC4ILJva2p8P11jjV0FX-TSKAaqOigw/edit"",""24!d2:d31""))"),29)</f>
        <v>29</v>
      </c>
      <c r="F635" s="23">
        <f ca="1">IFERROR(__xludf.DUMMYFUNCTION("SUM(IMPORTRANGE(""https://docs.google.com/spreadsheets/d/1VqqqRGfmmkT0JC4ILJva2p8P11jjV0FX-TSKAaqOigw/edit"",""24!Q2:Q31""))"),5753.77599999999)</f>
        <v>5753.7759999999898</v>
      </c>
      <c r="G635" s="18">
        <f ca="1">IFERROR(__xludf.DUMMYFUNCTION("IMPORTRANGE(""https://docs.google.com/spreadsheets/d/1VqqqRGfmmkT0JC4ILJva2p8P11jjV0FX-TSKAaqOigw/edit"",""24!e38"")"),1626)</f>
        <v>1626</v>
      </c>
      <c r="H635" s="18">
        <f ca="1">IFERROR(__xludf.DUMMYFUNCTION("IMPORTRANGE(""https://docs.google.com/spreadsheets/d/1VqqqRGfmmkT0JC4ILJva2p8P11jjV0FX-TSKAaqOigw/edit"",""24!e39"")"),0)</f>
        <v>0</v>
      </c>
      <c r="I635" s="18">
        <f t="shared" ca="1" si="1737"/>
        <v>1626</v>
      </c>
      <c r="J635" s="18">
        <f ca="1">IFERROR(__xludf.DUMMYFUNCTION("IMPORTRANGE(""https://docs.google.com/spreadsheets/d/1VqqqRGfmmkT0JC4ILJva2p8P11jjV0FX-TSKAaqOigw/edit"",""24!e42"")"),2217)</f>
        <v>2217</v>
      </c>
      <c r="K635" s="18">
        <f ca="1">IFERROR(__xludf.DUMMYFUNCTION("IMPORTRANGE(""https://docs.google.com/spreadsheets/d/1VqqqRGfmmkT0JC4ILJva2p8P11jjV0FX-TSKAaqOigw/edit"",""24!e43"")"),0)</f>
        <v>0</v>
      </c>
      <c r="L635" s="18">
        <f t="shared" ref="L635:L644" ca="1" si="1767">SUM(J635:K635)</f>
        <v>2217</v>
      </c>
      <c r="M635" s="18">
        <f t="shared" ca="1" si="1739"/>
        <v>3843</v>
      </c>
      <c r="N635" s="19">
        <f t="shared" ca="1" si="1740"/>
        <v>198.40606896551688</v>
      </c>
      <c r="O635" s="16">
        <v>4796</v>
      </c>
      <c r="P635" s="20">
        <f t="shared" ca="1" si="1741"/>
        <v>0.80129274395329442</v>
      </c>
      <c r="Q635" s="21">
        <v>1.5</v>
      </c>
      <c r="R635" s="20">
        <f t="shared" ca="1" si="1742"/>
        <v>0.4452728086738178</v>
      </c>
      <c r="S635" s="22">
        <f t="shared" ca="1" si="1743"/>
        <v>0.6679092130107267</v>
      </c>
      <c r="T635" s="21">
        <f ca="1">F635/37.414</f>
        <v>153.7867108568982</v>
      </c>
      <c r="U635" s="21">
        <f t="shared" ca="1" si="1744"/>
        <v>5.302990029548214</v>
      </c>
      <c r="V635" s="18">
        <f t="shared" ca="1" si="1745"/>
        <v>132.51724137931035</v>
      </c>
      <c r="W635" s="76"/>
      <c r="X635" s="8">
        <v>3</v>
      </c>
      <c r="Y635" s="8" t="s">
        <v>34</v>
      </c>
      <c r="Z635" s="8">
        <f t="shared" ref="Z635:AI635" si="1768">SUM(D631)</f>
        <v>40</v>
      </c>
      <c r="AA635" s="9">
        <f t="shared" ca="1" si="1768"/>
        <v>39</v>
      </c>
      <c r="AB635" s="10">
        <f t="shared" ca="1" si="1768"/>
        <v>7808.8950000000004</v>
      </c>
      <c r="AC635" s="9">
        <f t="shared" ca="1" si="1768"/>
        <v>2770</v>
      </c>
      <c r="AD635" s="9">
        <f t="shared" ca="1" si="1768"/>
        <v>0</v>
      </c>
      <c r="AE635" s="9">
        <f t="shared" ca="1" si="1768"/>
        <v>2770</v>
      </c>
      <c r="AF635" s="9">
        <f t="shared" ca="1" si="1768"/>
        <v>2904</v>
      </c>
      <c r="AG635" s="9">
        <f t="shared" ca="1" si="1768"/>
        <v>0</v>
      </c>
      <c r="AH635" s="9">
        <f t="shared" ca="1" si="1768"/>
        <v>2904</v>
      </c>
      <c r="AI635" s="9">
        <f t="shared" ca="1" si="1768"/>
        <v>5674</v>
      </c>
      <c r="AJ635" s="11">
        <f t="shared" ca="1" si="1757"/>
        <v>200.22807692307694</v>
      </c>
      <c r="AK635" s="8">
        <f>SUM(O631)</f>
        <v>9354</v>
      </c>
      <c r="AL635" s="12">
        <f t="shared" ca="1" si="1759"/>
        <v>0.60658541800299337</v>
      </c>
      <c r="AM635" s="13">
        <f>SUM(Q631)</f>
        <v>1.5</v>
      </c>
      <c r="AN635" s="12">
        <f t="shared" ca="1" si="1761"/>
        <v>0.48440485711059839</v>
      </c>
      <c r="AO635" s="14">
        <f t="shared" ca="1" si="1762"/>
        <v>0.72660728566589761</v>
      </c>
      <c r="AP635" s="13">
        <f t="shared" ref="AP635:AQ635" ca="1" si="1769">SUM(T631)</f>
        <v>254.25373620291083</v>
      </c>
      <c r="AQ635" s="13">
        <f t="shared" ca="1" si="1769"/>
        <v>6.5193265693054059</v>
      </c>
      <c r="AR635" s="9">
        <f t="shared" ca="1" si="1764"/>
        <v>145.48717948717947</v>
      </c>
      <c r="AS635" s="76"/>
      <c r="AT635" s="76"/>
    </row>
    <row r="636" spans="1:46" ht="15.75" customHeight="1" x14ac:dyDescent="0.25">
      <c r="A636" s="70"/>
      <c r="B636" s="16">
        <v>10</v>
      </c>
      <c r="C636" s="16" t="s">
        <v>37</v>
      </c>
      <c r="D636" s="17">
        <v>30</v>
      </c>
      <c r="E636" s="18">
        <f ca="1">IFERROR(__xludf.DUMMYFUNCTION("COUNT(IMPORTRANGE(""https://docs.google.com/spreadsheets/d/1IYeRjQd_D6MRqoBKNaky3aSEUloYCJc5XDnPAbdyetk/edit"",""24!d2:d31""))"),28)</f>
        <v>28</v>
      </c>
      <c r="F636" s="23">
        <f ca="1">IFERROR(__xludf.DUMMYFUNCTION("SUM(IMPORTRANGE(""https://docs.google.com/spreadsheets/d/1IYeRjQd_D6MRqoBKNaky3aSEUloYCJc5XDnPAbdyetk/edit"",""24!Q2:Q31""))"),5415.516)</f>
        <v>5415.5159999999996</v>
      </c>
      <c r="G636" s="18">
        <f ca="1">IFERROR(__xludf.DUMMYFUNCTION("(IMPORTRANGE(""https://docs.google.com/spreadsheets/d/1IYeRjQd_D6MRqoBKNaky3aSEUloYCJc5XDnPAbdyetk/edit"",""24!e38""))"),2111)</f>
        <v>2111</v>
      </c>
      <c r="H636" s="18">
        <f ca="1">IFERROR(__xludf.DUMMYFUNCTION("(IMPORTRANGE(""https://docs.google.com/spreadsheets/d/1IYeRjQd_D6MRqoBKNaky3aSEUloYCJc5XDnPAbdyetk/edit"",""24!e39""))"),0)</f>
        <v>0</v>
      </c>
      <c r="I636" s="18">
        <f t="shared" ca="1" si="1737"/>
        <v>2111</v>
      </c>
      <c r="J636" s="18">
        <f ca="1">IFERROR(__xludf.DUMMYFUNCTION("(IMPORTRANGE(""https://docs.google.com/spreadsheets/d/1IYeRjQd_D6MRqoBKNaky3aSEUloYCJc5XDnPAbdyetk/edit"",""24!e42""))"),3079)</f>
        <v>3079</v>
      </c>
      <c r="K636" s="18">
        <f ca="1">IFERROR(__xludf.DUMMYFUNCTION("(IMPORTRANGE(""https://docs.google.com/spreadsheets/d/1IYeRjQd_D6MRqoBKNaky3aSEUloYCJc5XDnPAbdyetk/edit"",""24!e43""))"),0)</f>
        <v>0</v>
      </c>
      <c r="L636" s="18">
        <f t="shared" ca="1" si="1767"/>
        <v>3079</v>
      </c>
      <c r="M636" s="18">
        <f t="shared" ca="1" si="1739"/>
        <v>5190</v>
      </c>
      <c r="N636" s="19">
        <f t="shared" ca="1" si="1740"/>
        <v>193.4112857142857</v>
      </c>
      <c r="O636" s="16">
        <v>5887</v>
      </c>
      <c r="P636" s="20">
        <f t="shared" ca="1" si="1741"/>
        <v>0.88160353320876506</v>
      </c>
      <c r="Q636" s="21">
        <v>1.5</v>
      </c>
      <c r="R636" s="20">
        <f t="shared" ca="1" si="1742"/>
        <v>0.63890495384004042</v>
      </c>
      <c r="S636" s="22">
        <f t="shared" ca="1" si="1743"/>
        <v>0.95835743076006064</v>
      </c>
      <c r="T636" s="21">
        <f ca="1">F636/24.792</f>
        <v>218.43804453049367</v>
      </c>
      <c r="U636" s="21">
        <f t="shared" ca="1" si="1744"/>
        <v>7.8013587332319165</v>
      </c>
      <c r="V636" s="18">
        <f t="shared" ca="1" si="1745"/>
        <v>185.35714285714286</v>
      </c>
      <c r="W636" s="76"/>
      <c r="X636" s="8">
        <v>4</v>
      </c>
      <c r="Y636" s="8" t="s">
        <v>38</v>
      </c>
      <c r="Z636" s="8">
        <f t="shared" ref="Z636:AI636" si="1770">SUM(D639)</f>
        <v>30</v>
      </c>
      <c r="AA636" s="9">
        <f t="shared" ca="1" si="1770"/>
        <v>30</v>
      </c>
      <c r="AB636" s="10">
        <f t="shared" ca="1" si="1770"/>
        <v>6263.1599999999899</v>
      </c>
      <c r="AC636" s="9">
        <f t="shared" ca="1" si="1770"/>
        <v>2290</v>
      </c>
      <c r="AD636" s="9">
        <f t="shared" ca="1" si="1770"/>
        <v>0</v>
      </c>
      <c r="AE636" s="9">
        <f t="shared" ca="1" si="1770"/>
        <v>2290</v>
      </c>
      <c r="AF636" s="9">
        <f t="shared" ca="1" si="1770"/>
        <v>3091</v>
      </c>
      <c r="AG636" s="9">
        <f t="shared" ca="1" si="1770"/>
        <v>160</v>
      </c>
      <c r="AH636" s="9">
        <f t="shared" ca="1" si="1770"/>
        <v>3251</v>
      </c>
      <c r="AI636" s="9">
        <f t="shared" ca="1" si="1770"/>
        <v>5541</v>
      </c>
      <c r="AJ636" s="11">
        <f t="shared" ca="1" si="1757"/>
        <v>208.77199999999965</v>
      </c>
      <c r="AK636" s="8">
        <v>7324</v>
      </c>
      <c r="AL636" s="12">
        <f t="shared" ca="1" si="1759"/>
        <v>0.75655379574003279</v>
      </c>
      <c r="AM636" s="13">
        <f>SUM(Q639)</f>
        <v>1.5</v>
      </c>
      <c r="AN636" s="12">
        <f t="shared" ca="1" si="1761"/>
        <v>0.58979812107626273</v>
      </c>
      <c r="AO636" s="14">
        <f t="shared" ca="1" si="1762"/>
        <v>0.88469718161439415</v>
      </c>
      <c r="AP636" s="13">
        <f t="shared" ref="AP636:AQ636" ca="1" si="1771">SUM(T639)</f>
        <v>151.99999999999977</v>
      </c>
      <c r="AQ636" s="13">
        <f t="shared" ca="1" si="1771"/>
        <v>5.0666666666666593</v>
      </c>
      <c r="AR636" s="9">
        <f t="shared" ca="1" si="1764"/>
        <v>184.7</v>
      </c>
      <c r="AS636" s="76"/>
      <c r="AT636" s="76"/>
    </row>
    <row r="637" spans="1:46" ht="15.75" customHeight="1" x14ac:dyDescent="0.25">
      <c r="A637" s="70"/>
      <c r="B637" s="16">
        <v>12</v>
      </c>
      <c r="C637" s="16" t="s">
        <v>39</v>
      </c>
      <c r="D637" s="17">
        <v>28</v>
      </c>
      <c r="E637" s="18">
        <f ca="1">IFERROR(__xludf.DUMMYFUNCTION("COUNT(IMPORTRANGE(""https://docs.google.com/spreadsheets/d/1TAY2D35yAzyl8a_p5CuZehQvmatfj0b0Q8ICl8GtJBY/edit"",""24!d2:d29""))"),27)</f>
        <v>27</v>
      </c>
      <c r="F637" s="23">
        <f ca="1">IFERROR(__xludf.DUMMYFUNCTION("SUM(IMPORTRANGE(""https://docs.google.com/spreadsheets/d/1TAY2D35yAzyl8a_p5CuZehQvmatfj0b0Q8ICl8GtJBY/edit"",""24!Q2:Q29""))"),5296.996)</f>
        <v>5296.9960000000001</v>
      </c>
      <c r="G637" s="18">
        <f ca="1">IFERROR(__xludf.DUMMYFUNCTION("IMPORTRANGE(""https://docs.google.com/spreadsheets/d/1TAY2D35yAzyl8a_p5CuZehQvmatfj0b0Q8ICl8GtJBY/edit"",""24!e36"")"),1402)</f>
        <v>1402</v>
      </c>
      <c r="H637" s="18">
        <f ca="1">IFERROR(__xludf.DUMMYFUNCTION("(IMPORTRANGE(""https://docs.google.com/spreadsheets/d/1TAY2D35yAzyl8a_p5CuZehQvmatfj0b0Q8ICl8GtJBY/edit"",""24!e37""))"),0)</f>
        <v>0</v>
      </c>
      <c r="I637" s="18">
        <f t="shared" ca="1" si="1737"/>
        <v>1402</v>
      </c>
      <c r="J637" s="18">
        <f ca="1">IFERROR(__xludf.DUMMYFUNCTION("IMPORTRANGE(""https://docs.google.com/spreadsheets/d/1TAY2D35yAzyl8a_p5CuZehQvmatfj0b0Q8ICl8GtJBY/edit"",""24!e40"")"),1394)</f>
        <v>1394</v>
      </c>
      <c r="K637" s="18">
        <f ca="1">IFERROR(__xludf.DUMMYFUNCTION("IMPORTRANGE(""https://docs.google.com/spreadsheets/d/1TAY2D35yAzyl8a_p5CuZehQvmatfj0b0Q8ICl8GtJBY/edit"",""24!e41"")"),259)</f>
        <v>259</v>
      </c>
      <c r="L637" s="18">
        <f t="shared" ca="1" si="1767"/>
        <v>1653</v>
      </c>
      <c r="M637" s="18">
        <f t="shared" ca="1" si="1739"/>
        <v>3055</v>
      </c>
      <c r="N637" s="19">
        <f t="shared" ca="1" si="1740"/>
        <v>196.18503703703703</v>
      </c>
      <c r="O637" s="16">
        <v>3569</v>
      </c>
      <c r="P637" s="20">
        <f t="shared" ca="1" si="1741"/>
        <v>0.85598206780610819</v>
      </c>
      <c r="Q637" s="21">
        <v>1.5</v>
      </c>
      <c r="R637" s="20">
        <f t="shared" ca="1" si="1742"/>
        <v>0.38449465823018686</v>
      </c>
      <c r="S637" s="22">
        <f t="shared" ca="1" si="1743"/>
        <v>0.57674198734528026</v>
      </c>
      <c r="T637" s="21">
        <f ca="1">F637/21.463</f>
        <v>246.79662675301682</v>
      </c>
      <c r="U637" s="21">
        <f t="shared" ca="1" si="1744"/>
        <v>9.1406158056672897</v>
      </c>
      <c r="V637" s="18">
        <f t="shared" ca="1" si="1745"/>
        <v>113.14814814814815</v>
      </c>
      <c r="W637" s="76"/>
      <c r="X637" s="8">
        <v>5</v>
      </c>
      <c r="Y637" s="8" t="s">
        <v>40</v>
      </c>
      <c r="Z637" s="8">
        <f t="shared" ref="Z637:AI637" si="1772">SUM(D641)</f>
        <v>30</v>
      </c>
      <c r="AA637" s="9">
        <f t="shared" ca="1" si="1772"/>
        <v>30</v>
      </c>
      <c r="AB637" s="10">
        <f t="shared" ca="1" si="1772"/>
        <v>5773.9289999999901</v>
      </c>
      <c r="AC637" s="9">
        <f t="shared" ca="1" si="1772"/>
        <v>3194</v>
      </c>
      <c r="AD637" s="9">
        <f t="shared" ca="1" si="1772"/>
        <v>0</v>
      </c>
      <c r="AE637" s="9">
        <f t="shared" ca="1" si="1772"/>
        <v>3194</v>
      </c>
      <c r="AF637" s="9">
        <f t="shared" ca="1" si="1772"/>
        <v>3834</v>
      </c>
      <c r="AG637" s="9">
        <f t="shared" ca="1" si="1772"/>
        <v>0</v>
      </c>
      <c r="AH637" s="9">
        <f t="shared" ca="1" si="1772"/>
        <v>3834</v>
      </c>
      <c r="AI637" s="9">
        <f t="shared" ca="1" si="1772"/>
        <v>7028</v>
      </c>
      <c r="AJ637" s="11">
        <f t="shared" ca="1" si="1757"/>
        <v>192.46429999999967</v>
      </c>
      <c r="AK637" s="8">
        <f t="shared" ref="AK637:AK638" si="1773">SUM(O641)</f>
        <v>8239</v>
      </c>
      <c r="AL637" s="12">
        <f t="shared" ca="1" si="1759"/>
        <v>0.85301614273576887</v>
      </c>
      <c r="AM637" s="13">
        <f t="shared" ref="AM637:AM638" si="1774">SUM(Q641)</f>
        <v>1.5</v>
      </c>
      <c r="AN637" s="12">
        <f t="shared" ca="1" si="1761"/>
        <v>0.81146362093010527</v>
      </c>
      <c r="AO637" s="14">
        <f t="shared" ca="1" si="1762"/>
        <v>1.2171954313951578</v>
      </c>
      <c r="AP637" s="13">
        <f t="shared" ref="AP637:AQ637" ca="1" si="1775">SUM(T641)</f>
        <v>202.99999999999963</v>
      </c>
      <c r="AQ637" s="13">
        <f t="shared" ca="1" si="1775"/>
        <v>6.7666666666666542</v>
      </c>
      <c r="AR637" s="9">
        <f t="shared" ca="1" si="1764"/>
        <v>234.26666666666668</v>
      </c>
      <c r="AS637" s="76"/>
      <c r="AT637" s="76"/>
    </row>
    <row r="638" spans="1:46" ht="15.75" customHeight="1" x14ac:dyDescent="0.25">
      <c r="A638" s="70"/>
      <c r="B638" s="16">
        <v>12</v>
      </c>
      <c r="C638" s="16" t="s">
        <v>41</v>
      </c>
      <c r="D638" s="17">
        <v>24</v>
      </c>
      <c r="E638" s="18">
        <f ca="1">IFERROR(__xludf.DUMMYFUNCTION("COUNT(IMPORTRANGE(""https://docs.google.com/spreadsheets/d/1VAsUtLQHi7oV9NsI9EIHPnO1bcPJHeRgSbMoxSvPBME/edit"",""24!d2:d25""))"),24)</f>
        <v>24</v>
      </c>
      <c r="F638" s="23">
        <f ca="1">IFERROR(__xludf.DUMMYFUNCTION("SUM(IMPORTRANGE(""https://docs.google.com/spreadsheets/d/1VAsUtLQHi7oV9NsI9EIHPnO1bcPJHeRgSbMoxSvPBME/edit"",""24!Q2:Q25""))"),4793.152)</f>
        <v>4793.152</v>
      </c>
      <c r="G638" s="18">
        <f ca="1">IFERROR(__xludf.DUMMYFUNCTION("IMPORTRANGE(""https://docs.google.com/spreadsheets/d/1VAsUtLQHi7oV9NsI9EIHPnO1bcPJHeRgSbMoxSvPBME/edit"",""24!e32"")"),1260)</f>
        <v>1260</v>
      </c>
      <c r="H638" s="18">
        <f ca="1">IFERROR(__xludf.DUMMYFUNCTION("IMPORTRANGE(""https://docs.google.com/spreadsheets/d/1VAsUtLQHi7oV9NsI9EIHPnO1bcPJHeRgSbMoxSvPBME/edit"",""24!e33"")"),0)</f>
        <v>0</v>
      </c>
      <c r="I638" s="18">
        <f t="shared" ca="1" si="1737"/>
        <v>1260</v>
      </c>
      <c r="J638" s="18">
        <f ca="1">IFERROR(__xludf.DUMMYFUNCTION("IMPORTRANGE(""https://docs.google.com/spreadsheets/d/1VAsUtLQHi7oV9NsI9EIHPnO1bcPJHeRgSbMoxSvPBME/edit"",""24!e36"")"),1596)</f>
        <v>1596</v>
      </c>
      <c r="K638" s="18">
        <f ca="1">IFERROR(__xludf.DUMMYFUNCTION("IMPORTRANGE(""https://docs.google.com/spreadsheets/d/1VAsUtLQHi7oV9NsI9EIHPnO1bcPJHeRgSbMoxSvPBME/edit"",""24!e37"")"),50)</f>
        <v>50</v>
      </c>
      <c r="L638" s="18">
        <f t="shared" ca="1" si="1767"/>
        <v>1646</v>
      </c>
      <c r="M638" s="18">
        <f t="shared" ca="1" si="1739"/>
        <v>2906</v>
      </c>
      <c r="N638" s="19">
        <f t="shared" ca="1" si="1740"/>
        <v>199.71466666666666</v>
      </c>
      <c r="O638" s="16">
        <v>3801</v>
      </c>
      <c r="P638" s="20">
        <f t="shared" ca="1" si="1741"/>
        <v>0.76453564851354905</v>
      </c>
      <c r="Q638" s="21">
        <v>1.5</v>
      </c>
      <c r="R638" s="20">
        <f t="shared" ca="1" si="1742"/>
        <v>0.40418775230439868</v>
      </c>
      <c r="S638" s="22">
        <f t="shared" ca="1" si="1743"/>
        <v>0.60628162845659805</v>
      </c>
      <c r="T638" s="21">
        <f ca="1">F638/29.628</f>
        <v>161.77777777777777</v>
      </c>
      <c r="U638" s="21">
        <f t="shared" ca="1" si="1744"/>
        <v>6.7407407407407405</v>
      </c>
      <c r="V638" s="18">
        <f t="shared" ca="1" si="1745"/>
        <v>121.08333333333333</v>
      </c>
      <c r="W638" s="76"/>
      <c r="X638" s="8">
        <v>6</v>
      </c>
      <c r="Y638" s="8" t="s">
        <v>42</v>
      </c>
      <c r="Z638" s="8">
        <f t="shared" ref="Z638:AI638" si="1776">SUM(D642)</f>
        <v>33</v>
      </c>
      <c r="AA638" s="9">
        <f t="shared" ca="1" si="1776"/>
        <v>32</v>
      </c>
      <c r="AB638" s="10">
        <f t="shared" ca="1" si="1776"/>
        <v>6040.2669999999898</v>
      </c>
      <c r="AC638" s="9">
        <f t="shared" ca="1" si="1776"/>
        <v>3289</v>
      </c>
      <c r="AD638" s="9">
        <f t="shared" ca="1" si="1776"/>
        <v>0</v>
      </c>
      <c r="AE638" s="9">
        <f t="shared" ca="1" si="1776"/>
        <v>3289</v>
      </c>
      <c r="AF638" s="9">
        <f t="shared" ca="1" si="1776"/>
        <v>3893</v>
      </c>
      <c r="AG638" s="9">
        <f t="shared" ca="1" si="1776"/>
        <v>0</v>
      </c>
      <c r="AH638" s="9">
        <f t="shared" ca="1" si="1776"/>
        <v>3893</v>
      </c>
      <c r="AI638" s="9">
        <f t="shared" ca="1" si="1776"/>
        <v>7182</v>
      </c>
      <c r="AJ638" s="11">
        <f t="shared" ca="1" si="1757"/>
        <v>188.75834374999968</v>
      </c>
      <c r="AK638" s="8">
        <f t="shared" si="1773"/>
        <v>9877</v>
      </c>
      <c r="AL638" s="12">
        <f t="shared" ca="1" si="1759"/>
        <v>0.72714386959603117</v>
      </c>
      <c r="AM638" s="13">
        <f t="shared" si="1774"/>
        <v>1.5</v>
      </c>
      <c r="AN638" s="12">
        <f t="shared" ca="1" si="1761"/>
        <v>0.79268019112400301</v>
      </c>
      <c r="AO638" s="14">
        <f t="shared" ca="1" si="1762"/>
        <v>1.1890202866860045</v>
      </c>
      <c r="AP638" s="13">
        <f t="shared" ref="AP638:AQ638" ca="1" si="1777">SUM(T642)</f>
        <v>230.94119671190936</v>
      </c>
      <c r="AQ638" s="13">
        <f t="shared" ca="1" si="1777"/>
        <v>7.2169123972471674</v>
      </c>
      <c r="AR638" s="9">
        <f t="shared" ca="1" si="1764"/>
        <v>224.4375</v>
      </c>
      <c r="AS638" s="76"/>
      <c r="AT638" s="76"/>
    </row>
    <row r="639" spans="1:46" ht="15.75" customHeight="1" x14ac:dyDescent="0.25">
      <c r="A639" s="70"/>
      <c r="B639" s="16">
        <v>13</v>
      </c>
      <c r="C639" s="16" t="s">
        <v>43</v>
      </c>
      <c r="D639" s="17">
        <v>30</v>
      </c>
      <c r="E639" s="18">
        <f ca="1">IFERROR(__xludf.DUMMYFUNCTION("COUNT(IMPORTRANGE(""https://docs.google.com/spreadsheets/d/1p9Y_DGk7-TpRBFth-ljZceOIGCjQ0ylUeUq6xqnsZ-Q/edit"",""24!d2:d31""))"),30)</f>
        <v>30</v>
      </c>
      <c r="F639" s="23">
        <f ca="1">IFERROR(__xludf.DUMMYFUNCTION("SUM(IMPORTRANGE(""https://docs.google.com/spreadsheets/d/1p9Y_DGk7-TpRBFth-ljZceOIGCjQ0ylUeUq6xqnsZ-Q/edit"",""24!Q2:Q31""))"),6263.15999999999)</f>
        <v>6263.1599999999899</v>
      </c>
      <c r="G639" s="18">
        <f ca="1">IFERROR(__xludf.DUMMYFUNCTION("IMPORTRANGE(""https://docs.google.com/spreadsheets/d/1p9Y_DGk7-TpRBFth-ljZceOIGCjQ0ylUeUq6xqnsZ-Q/edit"",""24!e38"")"),2290)</f>
        <v>2290</v>
      </c>
      <c r="H639" s="18">
        <f ca="1">IFERROR(__xludf.DUMMYFUNCTION("IMPORTRANGE(""https://docs.google.com/spreadsheets/d/1p9Y_DGk7-TpRBFth-ljZceOIGCjQ0ylUeUq6xqnsZ-Q/edit"",""24!e39"")"),0)</f>
        <v>0</v>
      </c>
      <c r="I639" s="18">
        <f t="shared" ca="1" si="1737"/>
        <v>2290</v>
      </c>
      <c r="J639" s="18">
        <f ca="1">IFERROR(__xludf.DUMMYFUNCTION("IMPORTRANGE(""https://docs.google.com/spreadsheets/d/1p9Y_DGk7-TpRBFth-ljZceOIGCjQ0ylUeUq6xqnsZ-Q/edit"",""24!e42"")"),3091)</f>
        <v>3091</v>
      </c>
      <c r="K639" s="18">
        <f ca="1">IFERROR(__xludf.DUMMYFUNCTION("IMPORTRANGE(""https://docs.google.com/spreadsheets/d/1p9Y_DGk7-TpRBFth-ljZceOIGCjQ0ylUeUq6xqnsZ-Q/edit"",""24!e43"")"),160)</f>
        <v>160</v>
      </c>
      <c r="L639" s="18">
        <f t="shared" ca="1" si="1767"/>
        <v>3251</v>
      </c>
      <c r="M639" s="18">
        <f t="shared" ca="1" si="1739"/>
        <v>5541</v>
      </c>
      <c r="N639" s="19">
        <f t="shared" ca="1" si="1740"/>
        <v>208.77199999999965</v>
      </c>
      <c r="O639" s="16">
        <v>8345</v>
      </c>
      <c r="P639" s="20">
        <f t="shared" ca="1" si="1741"/>
        <v>0.66399041342121035</v>
      </c>
      <c r="Q639" s="21">
        <v>1.5</v>
      </c>
      <c r="R639" s="20">
        <f t="shared" ca="1" si="1742"/>
        <v>0.58979812107626273</v>
      </c>
      <c r="S639" s="22">
        <f t="shared" ca="1" si="1743"/>
        <v>0.88469718161439415</v>
      </c>
      <c r="T639" s="21">
        <f ca="1">F639/41.205</f>
        <v>151.99999999999977</v>
      </c>
      <c r="U639" s="21">
        <f t="shared" ca="1" si="1744"/>
        <v>5.0666666666666593</v>
      </c>
      <c r="V639" s="18">
        <f t="shared" ca="1" si="1745"/>
        <v>184.7</v>
      </c>
      <c r="W639" s="76"/>
      <c r="X639" s="24" t="s">
        <v>33</v>
      </c>
      <c r="Y639" s="24">
        <v>6</v>
      </c>
      <c r="Z639" s="24">
        <f t="shared" ref="Z639:AI639" si="1778">SUM(Z633:Z638)</f>
        <v>226</v>
      </c>
      <c r="AA639" s="25">
        <f t="shared" ca="1" si="1778"/>
        <v>224</v>
      </c>
      <c r="AB639" s="27">
        <f t="shared" ca="1" si="1778"/>
        <v>44199.665999999874</v>
      </c>
      <c r="AC639" s="25">
        <f t="shared" ca="1" si="1778"/>
        <v>18039</v>
      </c>
      <c r="AD639" s="25">
        <f t="shared" ca="1" si="1778"/>
        <v>157</v>
      </c>
      <c r="AE639" s="25">
        <f t="shared" ca="1" si="1778"/>
        <v>18196</v>
      </c>
      <c r="AF639" s="25">
        <f t="shared" ca="1" si="1778"/>
        <v>22133</v>
      </c>
      <c r="AG639" s="25">
        <f t="shared" ca="1" si="1778"/>
        <v>525</v>
      </c>
      <c r="AH639" s="25">
        <f t="shared" ca="1" si="1778"/>
        <v>22658</v>
      </c>
      <c r="AI639" s="25">
        <f t="shared" ca="1" si="1778"/>
        <v>40854</v>
      </c>
      <c r="AJ639" s="27">
        <f t="shared" ca="1" si="1757"/>
        <v>197.31993749999944</v>
      </c>
      <c r="AK639" s="24">
        <f>SUM(AK633:AK638)</f>
        <v>53273</v>
      </c>
      <c r="AL639" s="28">
        <f t="shared" ca="1" si="1759"/>
        <v>0.76688003303737351</v>
      </c>
      <c r="AM639" s="29">
        <v>1.5</v>
      </c>
      <c r="AN639" s="28">
        <f t="shared" ca="1" si="1761"/>
        <v>0.61620375140391503</v>
      </c>
      <c r="AO639" s="30">
        <f t="shared" ca="1" si="1762"/>
        <v>0.92430562710587261</v>
      </c>
      <c r="AP639" s="29">
        <f ca="1">SUM(AP633:AP638)</f>
        <v>1449.5045422620019</v>
      </c>
      <c r="AQ639" s="29">
        <f ca="1">AP639/AA639</f>
        <v>6.4710024208125088</v>
      </c>
      <c r="AR639" s="25">
        <f t="shared" ca="1" si="1764"/>
        <v>182.38392857142858</v>
      </c>
      <c r="AS639" s="76"/>
      <c r="AT639" s="76"/>
    </row>
    <row r="640" spans="1:46" ht="15.75" customHeight="1" x14ac:dyDescent="0.25">
      <c r="A640" s="70"/>
      <c r="B640" s="16">
        <v>14</v>
      </c>
      <c r="C640" s="16" t="s">
        <v>27</v>
      </c>
      <c r="D640" s="17">
        <v>30</v>
      </c>
      <c r="E640" s="18">
        <f ca="1">IFERROR(__xludf.DUMMYFUNCTION("COUNT(IMPORTRANGE(""https://docs.google.com/spreadsheets/d/1zJUDEKztv_fercXA0LYNw155qdzS7TJGhWLhquaW5IY/edit"",""24!d2:d31""))"),28)</f>
        <v>28</v>
      </c>
      <c r="F640" s="23">
        <f ca="1">IFERROR(__xludf.DUMMYFUNCTION("SUM(IMPORTRANGE(""https://docs.google.com/spreadsheets/d/1zJUDEKztv_fercXA0LYNw155qdzS7TJGhWLhquaW5IY/edit"",""24!Q2:Q31""))"),5351.873)</f>
        <v>5351.8729999999996</v>
      </c>
      <c r="G640" s="18">
        <f ca="1">IFERROR(__xludf.DUMMYFUNCTION("IMPORTRANGE(""https://docs.google.com/spreadsheets/d/1zJUDEKztv_fercXA0LYNw155qdzS7TJGhWLhquaW5IY/edit"",""24!e38"")"),2550)</f>
        <v>2550</v>
      </c>
      <c r="H640" s="18">
        <f ca="1">IFERROR(__xludf.DUMMYFUNCTION("IMPORTRANGE(""https://docs.google.com/spreadsheets/d/1zJUDEKztv_fercXA0LYNw155qdzS7TJGhWLhquaW5IY/edit"",""24!e39"")"),0)</f>
        <v>0</v>
      </c>
      <c r="I640" s="18">
        <f t="shared" ca="1" si="1737"/>
        <v>2550</v>
      </c>
      <c r="J640" s="18">
        <f ca="1">IFERROR(__xludf.DUMMYFUNCTION("IMPORTRANGE(""https://docs.google.com/spreadsheets/d/1zJUDEKztv_fercXA0LYNw155qdzS7TJGhWLhquaW5IY/edit"",""24!e42"")"),3025)</f>
        <v>3025</v>
      </c>
      <c r="K640" s="18">
        <f ca="1">IFERROR(__xludf.DUMMYFUNCTION("IMPORTRANGE(""https://docs.google.com/spreadsheets/d/1zJUDEKztv_fercXA0LYNw155qdzS7TJGhWLhquaW5IY/edit"",""24!e43"")"),0)</f>
        <v>0</v>
      </c>
      <c r="L640" s="18">
        <f t="shared" ca="1" si="1767"/>
        <v>3025</v>
      </c>
      <c r="M640" s="18">
        <f t="shared" ca="1" si="1739"/>
        <v>5575</v>
      </c>
      <c r="N640" s="19">
        <f t="shared" ca="1" si="1740"/>
        <v>191.1383214285714</v>
      </c>
      <c r="O640" s="16">
        <v>8101</v>
      </c>
      <c r="P640" s="20">
        <f t="shared" ca="1" si="1741"/>
        <v>0.68818664362424387</v>
      </c>
      <c r="Q640" s="21">
        <v>1.5</v>
      </c>
      <c r="R640" s="20">
        <f t="shared" ca="1" si="1742"/>
        <v>0.69446092361808043</v>
      </c>
      <c r="S640" s="22">
        <f t="shared" ca="1" si="1743"/>
        <v>1.0416913854271206</v>
      </c>
      <c r="T640" s="21">
        <f ca="1">F640/19.985</f>
        <v>267.79449587190391</v>
      </c>
      <c r="U640" s="21">
        <f t="shared" ca="1" si="1744"/>
        <v>9.5640891382822826</v>
      </c>
      <c r="V640" s="18">
        <f t="shared" ca="1" si="1745"/>
        <v>199.10714285714286</v>
      </c>
      <c r="W640" s="76"/>
      <c r="X640" s="97" t="s">
        <v>44</v>
      </c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9"/>
      <c r="AS640" s="76"/>
      <c r="AT640" s="76"/>
    </row>
    <row r="641" spans="1:46" ht="15.75" customHeight="1" x14ac:dyDescent="0.25">
      <c r="A641" s="70"/>
      <c r="B641" s="16">
        <v>15</v>
      </c>
      <c r="C641" s="16" t="s">
        <v>40</v>
      </c>
      <c r="D641" s="17">
        <v>30</v>
      </c>
      <c r="E641" s="18">
        <f ca="1">IFERROR(__xludf.DUMMYFUNCTION("COUNT(IMPORTRANGE(""https://docs.google.com/spreadsheets/d/15GJA66Ucb-8RQ5vWVpq5HYaWoZZFX82SCeHChBujbrI/edit"",""24!d2:d31""))"),30)</f>
        <v>30</v>
      </c>
      <c r="F641" s="23">
        <f ca="1">IFERROR(__xludf.DUMMYFUNCTION("SUM(IMPORTRANGE(""https://docs.google.com/spreadsheets/d/15GJA66Ucb-8RQ5vWVpq5HYaWoZZFX82SCeHChBujbrI/edit"",""24!Q2:Q31""))"),5773.92899999999)</f>
        <v>5773.9289999999901</v>
      </c>
      <c r="G641" s="18">
        <f ca="1">IFERROR(__xludf.DUMMYFUNCTION("IMPORTRANGE(""https://docs.google.com/spreadsheets/d/15GJA66Ucb-8RQ5vWVpq5HYaWoZZFX82SCeHChBujbrI/edit"",""24!e38"")"),3194)</f>
        <v>3194</v>
      </c>
      <c r="H641" s="18">
        <f ca="1">IFERROR(__xludf.DUMMYFUNCTION("IMPORTRANGE(""https://docs.google.com/spreadsheets/d/15GJA66Ucb-8RQ5vWVpq5HYaWoZZFX82SCeHChBujbrI/edit"",""24!e39"")"),0)</f>
        <v>0</v>
      </c>
      <c r="I641" s="18">
        <f t="shared" ca="1" si="1737"/>
        <v>3194</v>
      </c>
      <c r="J641" s="18">
        <f ca="1">IFERROR(__xludf.DUMMYFUNCTION("IMPORTRANGE(""https://docs.google.com/spreadsheets/d/15GJA66Ucb-8RQ5vWVpq5HYaWoZZFX82SCeHChBujbrI/edit"",""24!e42"")"),3834)</f>
        <v>3834</v>
      </c>
      <c r="K641" s="18">
        <f ca="1">IFERROR(__xludf.DUMMYFUNCTION("IMPORTRANGE(""https://docs.google.com/spreadsheets/d/15GJA66Ucb-8RQ5vWVpq5HYaWoZZFX82SCeHChBujbrI/edit"",""24!e43"")"),0)</f>
        <v>0</v>
      </c>
      <c r="L641" s="18">
        <f t="shared" ca="1" si="1767"/>
        <v>3834</v>
      </c>
      <c r="M641" s="18">
        <f t="shared" ca="1" si="1739"/>
        <v>7028</v>
      </c>
      <c r="N641" s="19">
        <f t="shared" ca="1" si="1740"/>
        <v>192.46429999999967</v>
      </c>
      <c r="O641" s="16">
        <v>8239</v>
      </c>
      <c r="P641" s="20">
        <f t="shared" ca="1" si="1741"/>
        <v>0.85301614273576887</v>
      </c>
      <c r="Q641" s="21">
        <v>1.5</v>
      </c>
      <c r="R641" s="20">
        <f t="shared" ca="1" si="1742"/>
        <v>0.81146362093010527</v>
      </c>
      <c r="S641" s="22">
        <f t="shared" ca="1" si="1743"/>
        <v>1.2171954313951578</v>
      </c>
      <c r="T641" s="21">
        <f ca="1">F641/28.443</f>
        <v>202.99999999999963</v>
      </c>
      <c r="U641" s="21">
        <f t="shared" ca="1" si="1744"/>
        <v>6.7666666666666542</v>
      </c>
      <c r="V641" s="18">
        <f t="shared" ca="1" si="1745"/>
        <v>234.26666666666668</v>
      </c>
      <c r="W641" s="76"/>
      <c r="X641" s="1" t="s">
        <v>2</v>
      </c>
      <c r="Y641" s="1" t="s">
        <v>3</v>
      </c>
      <c r="Z641" s="1" t="s">
        <v>4</v>
      </c>
      <c r="AA641" s="1" t="s">
        <v>5</v>
      </c>
      <c r="AB641" s="2" t="s">
        <v>6</v>
      </c>
      <c r="AC641" s="1" t="s">
        <v>7</v>
      </c>
      <c r="AD641" s="1" t="s">
        <v>8</v>
      </c>
      <c r="AE641" s="1" t="s">
        <v>9</v>
      </c>
      <c r="AF641" s="1" t="s">
        <v>10</v>
      </c>
      <c r="AG641" s="1" t="s">
        <v>11</v>
      </c>
      <c r="AH641" s="1" t="s">
        <v>12</v>
      </c>
      <c r="AI641" s="1" t="s">
        <v>13</v>
      </c>
      <c r="AJ641" s="2" t="s">
        <v>14</v>
      </c>
      <c r="AK641" s="1" t="s">
        <v>15</v>
      </c>
      <c r="AL641" s="1" t="s">
        <v>16</v>
      </c>
      <c r="AM641" s="3" t="s">
        <v>17</v>
      </c>
      <c r="AN641" s="4" t="s">
        <v>18</v>
      </c>
      <c r="AO641" s="5" t="s">
        <v>19</v>
      </c>
      <c r="AP641" s="6" t="s">
        <v>20</v>
      </c>
      <c r="AQ641" s="6" t="s">
        <v>21</v>
      </c>
      <c r="AR641" s="7" t="s">
        <v>22</v>
      </c>
      <c r="AS641" s="76"/>
      <c r="AT641" s="76"/>
    </row>
    <row r="642" spans="1:46" ht="15.75" customHeight="1" x14ac:dyDescent="0.25">
      <c r="A642" s="70"/>
      <c r="B642" s="16">
        <v>16</v>
      </c>
      <c r="C642" s="16" t="s">
        <v>42</v>
      </c>
      <c r="D642" s="17">
        <v>33</v>
      </c>
      <c r="E642" s="18">
        <f ca="1">IFERROR(__xludf.DUMMYFUNCTION("COUNT(IMPORTRANGE(""https://docs.google.com/spreadsheets/d/14Tu_jFPEdrIQ6DHYu6vRvJKQsbXr-48NY1tKy4-8JKI/edit"",""24!d2:d34""))"),32)</f>
        <v>32</v>
      </c>
      <c r="F642" s="23">
        <f ca="1">IFERROR(__xludf.DUMMYFUNCTION("SUM(IMPORTRANGE(""https://docs.google.com/spreadsheets/d/14Tu_jFPEdrIQ6DHYu6vRvJKQsbXr-48NY1tKy4-8JKI/edit"",""24!Q2:Q34""))"),6040.26699999999)</f>
        <v>6040.2669999999898</v>
      </c>
      <c r="G642" s="18">
        <f ca="1">IFERROR(__xludf.DUMMYFUNCTION("IMPORTRANGE(""https://docs.google.com/spreadsheets/d/14Tu_jFPEdrIQ6DHYu6vRvJKQsbXr-48NY1tKy4-8JKI/edit"",""24!e41"")"),3289)</f>
        <v>3289</v>
      </c>
      <c r="H642" s="18">
        <f ca="1">IFERROR(__xludf.DUMMYFUNCTION("IMPORTRANGE(""https://docs.google.com/spreadsheets/d/14Tu_jFPEdrIQ6DHYu6vRvJKQsbXr-48NY1tKy4-8JKI/edit"",""24!e42"")"),0)</f>
        <v>0</v>
      </c>
      <c r="I642" s="18">
        <f t="shared" ca="1" si="1737"/>
        <v>3289</v>
      </c>
      <c r="J642" s="18">
        <f ca="1">IFERROR(__xludf.DUMMYFUNCTION("IMPORTRANGE(""https://docs.google.com/spreadsheets/d/14Tu_jFPEdrIQ6DHYu6vRvJKQsbXr-48NY1tKy4-8JKI/edit"",""24!e45"")"),3893)</f>
        <v>3893</v>
      </c>
      <c r="K642" s="18">
        <f ca="1">IFERROR(__xludf.DUMMYFUNCTION("IMPORTRANGE(""https://docs.google.com/spreadsheets/d/14Tu_jFPEdrIQ6DHYu6vRvJKQsbXr-48NY1tKy4-8JKI/edit"",""24!e46"")"),0)</f>
        <v>0</v>
      </c>
      <c r="L642" s="18">
        <f t="shared" ca="1" si="1767"/>
        <v>3893</v>
      </c>
      <c r="M642" s="18">
        <f t="shared" ca="1" si="1739"/>
        <v>7182</v>
      </c>
      <c r="N642" s="19">
        <f t="shared" ca="1" si="1740"/>
        <v>188.75834374999968</v>
      </c>
      <c r="O642" s="16">
        <v>9877</v>
      </c>
      <c r="P642" s="20">
        <f t="shared" ca="1" si="1741"/>
        <v>0.72714386959603117</v>
      </c>
      <c r="Q642" s="21">
        <v>1.5</v>
      </c>
      <c r="R642" s="20">
        <f t="shared" ca="1" si="1742"/>
        <v>0.79268019112400301</v>
      </c>
      <c r="S642" s="22">
        <f t="shared" ca="1" si="1743"/>
        <v>1.1890202866860045</v>
      </c>
      <c r="T642" s="21">
        <f ca="1">F642/26.155</f>
        <v>230.94119671190936</v>
      </c>
      <c r="U642" s="21">
        <f t="shared" ca="1" si="1744"/>
        <v>7.2169123972471674</v>
      </c>
      <c r="V642" s="18">
        <f t="shared" ca="1" si="1745"/>
        <v>224.4375</v>
      </c>
      <c r="W642" s="76"/>
      <c r="X642" s="8">
        <v>1</v>
      </c>
      <c r="Y642" s="8" t="s">
        <v>26</v>
      </c>
      <c r="Z642" s="8">
        <f t="shared" ref="Z642:AI642" si="1779">SUM(D627)</f>
        <v>20</v>
      </c>
      <c r="AA642" s="9">
        <f t="shared" ca="1" si="1779"/>
        <v>19</v>
      </c>
      <c r="AB642" s="11">
        <f t="shared" ca="1" si="1779"/>
        <v>3820.587</v>
      </c>
      <c r="AC642" s="9">
        <f t="shared" ca="1" si="1779"/>
        <v>2099</v>
      </c>
      <c r="AD642" s="9">
        <f t="shared" ca="1" si="1779"/>
        <v>0</v>
      </c>
      <c r="AE642" s="9">
        <f t="shared" ca="1" si="1779"/>
        <v>2099</v>
      </c>
      <c r="AF642" s="9">
        <f t="shared" ca="1" si="1779"/>
        <v>2955</v>
      </c>
      <c r="AG642" s="9">
        <f t="shared" ca="1" si="1779"/>
        <v>0</v>
      </c>
      <c r="AH642" s="9">
        <f t="shared" ca="1" si="1779"/>
        <v>2955</v>
      </c>
      <c r="AI642" s="9">
        <f t="shared" ca="1" si="1779"/>
        <v>5054</v>
      </c>
      <c r="AJ642" s="11">
        <f t="shared" ref="AJ642:AJ648" ca="1" si="1780">AB642/AA642</f>
        <v>201.08352631578947</v>
      </c>
      <c r="AK642" s="8">
        <f>SUM(O627)</f>
        <v>5161</v>
      </c>
      <c r="AL642" s="12">
        <f t="shared" ref="AL642:AL648" ca="1" si="1781">AI642/AK642</f>
        <v>0.97926758380158885</v>
      </c>
      <c r="AM642" s="13">
        <f>SUM(Q627)</f>
        <v>1.5</v>
      </c>
      <c r="AN642" s="12">
        <f t="shared" ref="AN642:AN648" ca="1" si="1782">AO642/AM642</f>
        <v>0.88188891741853626</v>
      </c>
      <c r="AO642" s="14">
        <f t="shared" ref="AO642:AO648" ca="1" si="1783">AI642/AB642</f>
        <v>1.3228333761278044</v>
      </c>
      <c r="AP642" s="13">
        <f t="shared" ref="AP642:AQ642" ca="1" si="1784">SUM(T627)</f>
        <v>265.04245577523415</v>
      </c>
      <c r="AQ642" s="13">
        <f t="shared" ca="1" si="1784"/>
        <v>13.949602935538639</v>
      </c>
      <c r="AR642" s="9">
        <f t="shared" ref="AR642:AR648" ca="1" si="1785">AI642/AA642</f>
        <v>266</v>
      </c>
      <c r="AS642" s="76"/>
      <c r="AT642" s="76"/>
    </row>
    <row r="643" spans="1:46" ht="15.75" customHeight="1" x14ac:dyDescent="0.25">
      <c r="A643" s="70"/>
      <c r="B643" s="16">
        <v>17</v>
      </c>
      <c r="C643" s="16" t="s">
        <v>29</v>
      </c>
      <c r="D643" s="17">
        <v>30</v>
      </c>
      <c r="E643" s="18">
        <f ca="1">IFERROR(__xludf.DUMMYFUNCTION("COUNT(IMPORTRANGE(""https://docs.google.com/spreadsheets/d/1ja_RQYsP0p5wRrACHojay4CW1wLx0QdS5tSwp-vYQ-s/edit"",""24!d2:d31""))"),30)</f>
        <v>30</v>
      </c>
      <c r="F643" s="23">
        <f ca="1">IFERROR(__xludf.DUMMYFUNCTION("SUM(IMPORTRANGE(""https://docs.google.com/spreadsheets/d/1ja_RQYsP0p5wRrACHojay4CW1wLx0QdS5tSwp-vYQ-s/edit"",""24!Q2:Q31""))"),5960.47499999999)</f>
        <v>5960.4749999999904</v>
      </c>
      <c r="G643" s="18">
        <f ca="1">IFERROR(__xludf.DUMMYFUNCTION("IMPORTRANGE(""https://docs.google.com/spreadsheets/d/1ja_RQYsP0p5wRrACHojay4CW1wLx0QdS5tSwp-vYQ-s/edit"",""24!e38"")"),2556)</f>
        <v>2556</v>
      </c>
      <c r="H643" s="18">
        <f ca="1">IFERROR(__xludf.DUMMYFUNCTION("IMPORTRANGE(""https://docs.google.com/spreadsheets/d/1ja_RQYsP0p5wRrACHojay4CW1wLx0QdS5tSwp-vYQ-s/edit"",""24!e39"")"),102)</f>
        <v>102</v>
      </c>
      <c r="I643" s="18">
        <f t="shared" ca="1" si="1737"/>
        <v>2658</v>
      </c>
      <c r="J643" s="18">
        <f ca="1">IFERROR(__xludf.DUMMYFUNCTION("IMPORTRANGE(""https://docs.google.com/spreadsheets/d/1ja_RQYsP0p5wRrACHojay4CW1wLx0QdS5tSwp-vYQ-s/edit"",""24!e42"")"),4251)</f>
        <v>4251</v>
      </c>
      <c r="K643" s="18">
        <f ca="1">IFERROR(__xludf.DUMMYFUNCTION("IMPORTRANGE(""https://docs.google.com/spreadsheets/d/1ja_RQYsP0p5wRrACHojay4CW1wLx0QdS5tSwp-vYQ-s/edit"",""24!e43"")"),0)</f>
        <v>0</v>
      </c>
      <c r="L643" s="18">
        <f t="shared" ca="1" si="1767"/>
        <v>4251</v>
      </c>
      <c r="M643" s="18">
        <f t="shared" ca="1" si="1739"/>
        <v>6909</v>
      </c>
      <c r="N643" s="19">
        <f t="shared" ca="1" si="1740"/>
        <v>198.68249999999969</v>
      </c>
      <c r="O643" s="16">
        <v>9201</v>
      </c>
      <c r="P643" s="20">
        <f t="shared" ca="1" si="1741"/>
        <v>0.75089664166938375</v>
      </c>
      <c r="Q643" s="21">
        <v>1.5</v>
      </c>
      <c r="R643" s="20">
        <f t="shared" ca="1" si="1742"/>
        <v>0.77275720475297816</v>
      </c>
      <c r="S643" s="22">
        <f t="shared" ca="1" si="1743"/>
        <v>1.1591358071294673</v>
      </c>
      <c r="T643" s="21">
        <f ca="1">F643/26.491</f>
        <v>224.99999999999963</v>
      </c>
      <c r="U643" s="21">
        <f t="shared" ca="1" si="1744"/>
        <v>7.4999999999999876</v>
      </c>
      <c r="V643" s="18">
        <f t="shared" ca="1" si="1745"/>
        <v>230.3</v>
      </c>
      <c r="W643" s="76"/>
      <c r="X643" s="8">
        <v>2</v>
      </c>
      <c r="Y643" s="8" t="s">
        <v>32</v>
      </c>
      <c r="Z643" s="8">
        <f t="shared" ref="Z643:AI643" si="1786">SUM(D630)</f>
        <v>42</v>
      </c>
      <c r="AA643" s="9">
        <f t="shared" ca="1" si="1786"/>
        <v>40</v>
      </c>
      <c r="AB643" s="10">
        <f t="shared" ca="1" si="1786"/>
        <v>7704.4719999999897</v>
      </c>
      <c r="AC643" s="8">
        <f t="shared" ca="1" si="1786"/>
        <v>4506</v>
      </c>
      <c r="AD643" s="8">
        <f t="shared" ca="1" si="1786"/>
        <v>0</v>
      </c>
      <c r="AE643" s="9">
        <f t="shared" ca="1" si="1786"/>
        <v>4506</v>
      </c>
      <c r="AF643" s="8">
        <f t="shared" ca="1" si="1786"/>
        <v>5720</v>
      </c>
      <c r="AG643" s="8">
        <f t="shared" ca="1" si="1786"/>
        <v>0</v>
      </c>
      <c r="AH643" s="9">
        <f t="shared" ca="1" si="1786"/>
        <v>5720</v>
      </c>
      <c r="AI643" s="9">
        <f t="shared" ca="1" si="1786"/>
        <v>10226</v>
      </c>
      <c r="AJ643" s="11">
        <f t="shared" ca="1" si="1780"/>
        <v>192.61179999999973</v>
      </c>
      <c r="AK643" s="8">
        <f>SUM(O630)</f>
        <v>13817</v>
      </c>
      <c r="AL643" s="12">
        <f t="shared" ca="1" si="1781"/>
        <v>0.74010277194760077</v>
      </c>
      <c r="AM643" s="13">
        <f>SUM(Q630)</f>
        <v>1.5</v>
      </c>
      <c r="AN643" s="12">
        <f t="shared" ca="1" si="1782"/>
        <v>0.88485406051619664</v>
      </c>
      <c r="AO643" s="14">
        <f t="shared" ca="1" si="1783"/>
        <v>1.3272810907742949</v>
      </c>
      <c r="AP643" s="13">
        <f t="shared" ref="AP643:AQ643" ca="1" si="1787">SUM(T630)</f>
        <v>307.0856550679577</v>
      </c>
      <c r="AQ643" s="13">
        <f t="shared" ca="1" si="1787"/>
        <v>7.6771413766989429</v>
      </c>
      <c r="AR643" s="9">
        <f t="shared" ca="1" si="1785"/>
        <v>255.65</v>
      </c>
      <c r="AS643" s="76"/>
      <c r="AT643" s="76"/>
    </row>
    <row r="644" spans="1:46" ht="15.75" customHeight="1" x14ac:dyDescent="0.25">
      <c r="A644" s="70"/>
      <c r="B644" s="16">
        <v>18</v>
      </c>
      <c r="C644" s="16" t="s">
        <v>31</v>
      </c>
      <c r="D644" s="17">
        <v>15</v>
      </c>
      <c r="E644" s="18">
        <f ca="1">IFERROR(__xludf.DUMMYFUNCTION("COUNT(IMPORTRANGE(""https://docs.google.com/spreadsheets/d/1ObnK1oSznTOmyW9Zcd2kxExl7TOnO2MNq_0giEKc_mE/edit"",""24!d2:d16""))"),13)</f>
        <v>13</v>
      </c>
      <c r="F644" s="19">
        <f ca="1">IFERROR(__xludf.DUMMYFUNCTION("SUM(IMPORTRANGE(""https://docs.google.com/spreadsheets/d/1ObnK1oSznTOmyW9Zcd2kxExl7TOnO2MNq_0giEKc_mE/edit"",""24!Q2:Q16""))"),2607.9)</f>
        <v>2607.9</v>
      </c>
      <c r="G644" s="18">
        <f ca="1">IFERROR(__xludf.DUMMYFUNCTION("IMPORTRANGE(""https://docs.google.com/spreadsheets/d/1ObnK1oSznTOmyW9Zcd2kxExl7TOnO2MNq_0giEKc_mE/edit"",""24!e23"")"),839)</f>
        <v>839</v>
      </c>
      <c r="H644" s="18">
        <f ca="1">IFERROR(__xludf.DUMMYFUNCTION("IMPORTRANGE(""https://docs.google.com/spreadsheets/d/1ObnK1oSznTOmyW9Zcd2kxExl7TOnO2MNq_0giEKc_mE/edit"",""24!e24"")"),0)</f>
        <v>0</v>
      </c>
      <c r="I644" s="18">
        <f t="shared" ca="1" si="1737"/>
        <v>839</v>
      </c>
      <c r="J644" s="18">
        <f ca="1">IFERROR(__xludf.DUMMYFUNCTION("IMPORTRANGE(""https://docs.google.com/spreadsheets/d/1ObnK1oSznTOmyW9Zcd2kxExl7TOnO2MNq_0giEKc_mE/edit"",""24!e27"")"),937)</f>
        <v>937</v>
      </c>
      <c r="K644" s="18">
        <f ca="1">IFERROR(__xludf.DUMMYFUNCTION("IMPORTRANGE(""https://docs.google.com/spreadsheets/d/1ObnK1oSznTOmyW9Zcd2kxExl7TOnO2MNq_0giEKc_mE/edit"",""24!e28"")"),15)</f>
        <v>15</v>
      </c>
      <c r="L644" s="18">
        <f t="shared" ca="1" si="1767"/>
        <v>952</v>
      </c>
      <c r="M644" s="18">
        <f t="shared" ca="1" si="1739"/>
        <v>1791</v>
      </c>
      <c r="N644" s="19">
        <f t="shared" ca="1" si="1740"/>
        <v>200.6076923076923</v>
      </c>
      <c r="O644" s="16">
        <v>2717</v>
      </c>
      <c r="P644" s="20">
        <f t="shared" ca="1" si="1741"/>
        <v>0.6591829223408171</v>
      </c>
      <c r="Q644" s="21">
        <v>1.5</v>
      </c>
      <c r="R644" s="20">
        <f t="shared" ca="1" si="1742"/>
        <v>0.4578396410905326</v>
      </c>
      <c r="S644" s="22">
        <f t="shared" ca="1" si="1743"/>
        <v>0.68675946163579893</v>
      </c>
      <c r="T644" s="21">
        <f ca="1">F644/43.465</f>
        <v>60</v>
      </c>
      <c r="U644" s="21">
        <f t="shared" ca="1" si="1744"/>
        <v>4.615384615384615</v>
      </c>
      <c r="V644" s="18">
        <f t="shared" ca="1" si="1745"/>
        <v>137.76923076923077</v>
      </c>
      <c r="W644" s="76"/>
      <c r="X644" s="8">
        <v>3</v>
      </c>
      <c r="Y644" s="8" t="s">
        <v>36</v>
      </c>
      <c r="Z644" s="8">
        <f t="shared" ref="Z644:AI644" si="1788">SUM(D635)</f>
        <v>29</v>
      </c>
      <c r="AA644" s="9">
        <f t="shared" ca="1" si="1788"/>
        <v>29</v>
      </c>
      <c r="AB644" s="10">
        <f t="shared" ca="1" si="1788"/>
        <v>5753.7759999999898</v>
      </c>
      <c r="AC644" s="9">
        <f t="shared" ca="1" si="1788"/>
        <v>1626</v>
      </c>
      <c r="AD644" s="9">
        <f t="shared" ca="1" si="1788"/>
        <v>0</v>
      </c>
      <c r="AE644" s="9">
        <f t="shared" ca="1" si="1788"/>
        <v>1626</v>
      </c>
      <c r="AF644" s="9">
        <f t="shared" ca="1" si="1788"/>
        <v>2217</v>
      </c>
      <c r="AG644" s="9">
        <f t="shared" ca="1" si="1788"/>
        <v>0</v>
      </c>
      <c r="AH644" s="9">
        <f t="shared" ca="1" si="1788"/>
        <v>2217</v>
      </c>
      <c r="AI644" s="9">
        <f t="shared" ca="1" si="1788"/>
        <v>3843</v>
      </c>
      <c r="AJ644" s="11">
        <f t="shared" ca="1" si="1780"/>
        <v>198.40606896551688</v>
      </c>
      <c r="AK644" s="8">
        <f t="shared" ref="AK644:AK647" si="1789">SUM(O635)</f>
        <v>4796</v>
      </c>
      <c r="AL644" s="12">
        <f t="shared" ca="1" si="1781"/>
        <v>0.80129274395329442</v>
      </c>
      <c r="AM644" s="13">
        <f t="shared" ref="AM644:AM647" si="1790">SUM(Q635)</f>
        <v>1.5</v>
      </c>
      <c r="AN644" s="12">
        <f t="shared" ca="1" si="1782"/>
        <v>0.4452728086738178</v>
      </c>
      <c r="AO644" s="14">
        <f t="shared" ca="1" si="1783"/>
        <v>0.6679092130107267</v>
      </c>
      <c r="AP644" s="13">
        <f t="shared" ref="AP644:AQ644" ca="1" si="1791">SUM(T635)</f>
        <v>153.7867108568982</v>
      </c>
      <c r="AQ644" s="13">
        <f t="shared" ca="1" si="1791"/>
        <v>5.302990029548214</v>
      </c>
      <c r="AR644" s="9">
        <f t="shared" ca="1" si="1785"/>
        <v>132.51724137931035</v>
      </c>
      <c r="AS644" s="76"/>
      <c r="AT644" s="76"/>
    </row>
    <row r="645" spans="1:46" ht="15.75" customHeight="1" x14ac:dyDescent="0.2">
      <c r="A645" s="70"/>
      <c r="B645" s="98" t="s">
        <v>33</v>
      </c>
      <c r="C645" s="98">
        <v>18</v>
      </c>
      <c r="D645" s="98">
        <f t="shared" ref="D645:M645" si="1792">SUM(D627:D644)</f>
        <v>585</v>
      </c>
      <c r="E645" s="74">
        <f t="shared" ca="1" si="1792"/>
        <v>571</v>
      </c>
      <c r="F645" s="99">
        <f t="shared" ca="1" si="1792"/>
        <v>112095.18899999981</v>
      </c>
      <c r="G645" s="74">
        <f t="shared" ca="1" si="1792"/>
        <v>42190</v>
      </c>
      <c r="H645" s="74">
        <f t="shared" ca="1" si="1792"/>
        <v>557</v>
      </c>
      <c r="I645" s="74">
        <f t="shared" ca="1" si="1792"/>
        <v>42747</v>
      </c>
      <c r="J645" s="74">
        <f t="shared" ca="1" si="1792"/>
        <v>54801</v>
      </c>
      <c r="K645" s="74">
        <f t="shared" ca="1" si="1792"/>
        <v>1186</v>
      </c>
      <c r="L645" s="74">
        <f t="shared" ca="1" si="1792"/>
        <v>55987</v>
      </c>
      <c r="M645" s="74">
        <f t="shared" ca="1" si="1792"/>
        <v>98734</v>
      </c>
      <c r="N645" s="99">
        <f t="shared" ca="1" si="1740"/>
        <v>196.31381611208374</v>
      </c>
      <c r="O645" s="98">
        <f>SUM(O627:O644)</f>
        <v>126399</v>
      </c>
      <c r="P645" s="69">
        <f t="shared" ca="1" si="1741"/>
        <v>0.78112959754428435</v>
      </c>
      <c r="Q645" s="72">
        <v>1.5</v>
      </c>
      <c r="R645" s="69">
        <f t="shared" ca="1" si="1742"/>
        <v>0.5872033158057014</v>
      </c>
      <c r="S645" s="73">
        <f t="shared" ca="1" si="1743"/>
        <v>0.88080497370855204</v>
      </c>
      <c r="T645" s="72">
        <f ca="1">SUM(T627:T644)</f>
        <v>4119.1134899280714</v>
      </c>
      <c r="U645" s="72">
        <f t="shared" ca="1" si="1744"/>
        <v>7.2138590016253437</v>
      </c>
      <c r="V645" s="74">
        <f t="shared" ca="1" si="1745"/>
        <v>172.91418563922943</v>
      </c>
      <c r="W645" s="76"/>
      <c r="X645" s="8">
        <v>4</v>
      </c>
      <c r="Y645" s="8" t="s">
        <v>37</v>
      </c>
      <c r="Z645" s="8">
        <f t="shared" ref="Z645:AI645" si="1793">SUM(D636)</f>
        <v>30</v>
      </c>
      <c r="AA645" s="9">
        <f t="shared" ca="1" si="1793"/>
        <v>28</v>
      </c>
      <c r="AB645" s="10">
        <f t="shared" ca="1" si="1793"/>
        <v>5415.5159999999996</v>
      </c>
      <c r="AC645" s="9">
        <f t="shared" ca="1" si="1793"/>
        <v>2111</v>
      </c>
      <c r="AD645" s="9">
        <f t="shared" ca="1" si="1793"/>
        <v>0</v>
      </c>
      <c r="AE645" s="9">
        <f t="shared" ca="1" si="1793"/>
        <v>2111</v>
      </c>
      <c r="AF645" s="9">
        <f t="shared" ca="1" si="1793"/>
        <v>3079</v>
      </c>
      <c r="AG645" s="9">
        <f t="shared" ca="1" si="1793"/>
        <v>0</v>
      </c>
      <c r="AH645" s="9">
        <f t="shared" ca="1" si="1793"/>
        <v>3079</v>
      </c>
      <c r="AI645" s="9">
        <f t="shared" ca="1" si="1793"/>
        <v>5190</v>
      </c>
      <c r="AJ645" s="11">
        <f t="shared" ca="1" si="1780"/>
        <v>193.4112857142857</v>
      </c>
      <c r="AK645" s="8">
        <f t="shared" si="1789"/>
        <v>5887</v>
      </c>
      <c r="AL645" s="12">
        <f t="shared" ca="1" si="1781"/>
        <v>0.88160353320876506</v>
      </c>
      <c r="AM645" s="13">
        <f t="shared" si="1790"/>
        <v>1.5</v>
      </c>
      <c r="AN645" s="12">
        <f t="shared" ca="1" si="1782"/>
        <v>0.63890495384004042</v>
      </c>
      <c r="AO645" s="14">
        <f t="shared" ca="1" si="1783"/>
        <v>0.95835743076006064</v>
      </c>
      <c r="AP645" s="13">
        <f t="shared" ref="AP645:AQ645" ca="1" si="1794">SUM(T636)</f>
        <v>218.43804453049367</v>
      </c>
      <c r="AQ645" s="13">
        <f t="shared" ca="1" si="1794"/>
        <v>7.8013587332319165</v>
      </c>
      <c r="AR645" s="9">
        <f t="shared" ca="1" si="1785"/>
        <v>185.35714285714286</v>
      </c>
      <c r="AS645" s="76"/>
      <c r="AT645" s="76"/>
    </row>
    <row r="646" spans="1:46" ht="15.75" customHeight="1" x14ac:dyDescent="0.2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6"/>
      <c r="X646" s="8">
        <v>5</v>
      </c>
      <c r="Y646" s="8" t="s">
        <v>39</v>
      </c>
      <c r="Z646" s="8">
        <f t="shared" ref="Z646:AI646" si="1795">SUM(D637)</f>
        <v>28</v>
      </c>
      <c r="AA646" s="9">
        <f t="shared" ca="1" si="1795"/>
        <v>27</v>
      </c>
      <c r="AB646" s="10">
        <f t="shared" ca="1" si="1795"/>
        <v>5296.9960000000001</v>
      </c>
      <c r="AC646" s="9">
        <f t="shared" ca="1" si="1795"/>
        <v>1402</v>
      </c>
      <c r="AD646" s="9">
        <f t="shared" ca="1" si="1795"/>
        <v>0</v>
      </c>
      <c r="AE646" s="9">
        <f t="shared" ca="1" si="1795"/>
        <v>1402</v>
      </c>
      <c r="AF646" s="9">
        <f t="shared" ca="1" si="1795"/>
        <v>1394</v>
      </c>
      <c r="AG646" s="9">
        <f t="shared" ca="1" si="1795"/>
        <v>259</v>
      </c>
      <c r="AH646" s="9">
        <f t="shared" ca="1" si="1795"/>
        <v>1653</v>
      </c>
      <c r="AI646" s="9">
        <f t="shared" ca="1" si="1795"/>
        <v>3055</v>
      </c>
      <c r="AJ646" s="11">
        <f t="shared" ca="1" si="1780"/>
        <v>196.18503703703703</v>
      </c>
      <c r="AK646" s="8">
        <f t="shared" si="1789"/>
        <v>3569</v>
      </c>
      <c r="AL646" s="12">
        <f t="shared" ca="1" si="1781"/>
        <v>0.85598206780610819</v>
      </c>
      <c r="AM646" s="13">
        <f t="shared" si="1790"/>
        <v>1.5</v>
      </c>
      <c r="AN646" s="12">
        <f t="shared" ca="1" si="1782"/>
        <v>0.38449465823018686</v>
      </c>
      <c r="AO646" s="14">
        <f t="shared" ca="1" si="1783"/>
        <v>0.57674198734528026</v>
      </c>
      <c r="AP646" s="13">
        <f t="shared" ref="AP646:AQ646" ca="1" si="1796">SUM(T637)</f>
        <v>246.79662675301682</v>
      </c>
      <c r="AQ646" s="13">
        <f t="shared" ca="1" si="1796"/>
        <v>9.1406158056672897</v>
      </c>
      <c r="AR646" s="9">
        <f t="shared" ca="1" si="1785"/>
        <v>113.14814814814815</v>
      </c>
      <c r="AS646" s="76"/>
      <c r="AT646" s="76"/>
    </row>
    <row r="647" spans="1:46" ht="15.75" customHeight="1" x14ac:dyDescent="0.2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6"/>
      <c r="X647" s="8">
        <v>6</v>
      </c>
      <c r="Y647" s="8" t="s">
        <v>41</v>
      </c>
      <c r="Z647" s="8">
        <f t="shared" ref="Z647:AI647" si="1797">SUM(D638)</f>
        <v>24</v>
      </c>
      <c r="AA647" s="9">
        <f t="shared" ca="1" si="1797"/>
        <v>24</v>
      </c>
      <c r="AB647" s="10">
        <f t="shared" ca="1" si="1797"/>
        <v>4793.152</v>
      </c>
      <c r="AC647" s="9">
        <f t="shared" ca="1" si="1797"/>
        <v>1260</v>
      </c>
      <c r="AD647" s="9">
        <f t="shared" ca="1" si="1797"/>
        <v>0</v>
      </c>
      <c r="AE647" s="9">
        <f t="shared" ca="1" si="1797"/>
        <v>1260</v>
      </c>
      <c r="AF647" s="9">
        <f t="shared" ca="1" si="1797"/>
        <v>1596</v>
      </c>
      <c r="AG647" s="9">
        <f t="shared" ca="1" si="1797"/>
        <v>50</v>
      </c>
      <c r="AH647" s="9">
        <f t="shared" ca="1" si="1797"/>
        <v>1646</v>
      </c>
      <c r="AI647" s="9">
        <f t="shared" ca="1" si="1797"/>
        <v>2906</v>
      </c>
      <c r="AJ647" s="11">
        <f t="shared" ca="1" si="1780"/>
        <v>199.71466666666666</v>
      </c>
      <c r="AK647" s="8">
        <f t="shared" si="1789"/>
        <v>3801</v>
      </c>
      <c r="AL647" s="12">
        <f t="shared" ca="1" si="1781"/>
        <v>0.76453564851354905</v>
      </c>
      <c r="AM647" s="13">
        <f t="shared" si="1790"/>
        <v>1.5</v>
      </c>
      <c r="AN647" s="12">
        <f t="shared" ca="1" si="1782"/>
        <v>0.40418775230439868</v>
      </c>
      <c r="AO647" s="14">
        <f t="shared" ca="1" si="1783"/>
        <v>0.60628162845659805</v>
      </c>
      <c r="AP647" s="13">
        <f t="shared" ref="AP647:AQ647" ca="1" si="1798">SUM(T638)</f>
        <v>161.77777777777777</v>
      </c>
      <c r="AQ647" s="13">
        <f t="shared" ca="1" si="1798"/>
        <v>6.7407407407407405</v>
      </c>
      <c r="AR647" s="9">
        <f t="shared" ca="1" si="1785"/>
        <v>121.08333333333333</v>
      </c>
      <c r="AS647" s="76"/>
      <c r="AT647" s="76"/>
    </row>
    <row r="648" spans="1:46" ht="15.75" customHeight="1" x14ac:dyDescent="0.25">
      <c r="A648" s="110" t="s">
        <v>45</v>
      </c>
      <c r="B648" s="76"/>
      <c r="C648" s="76"/>
      <c r="D648" s="75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24" t="s">
        <v>33</v>
      </c>
      <c r="Y648" s="24">
        <v>6</v>
      </c>
      <c r="Z648" s="24">
        <f t="shared" ref="Z648:AI648" si="1799">SUM(Z642:Z647)</f>
        <v>173</v>
      </c>
      <c r="AA648" s="25">
        <f t="shared" ca="1" si="1799"/>
        <v>167</v>
      </c>
      <c r="AB648" s="27">
        <f t="shared" ca="1" si="1799"/>
        <v>32784.498999999982</v>
      </c>
      <c r="AC648" s="25">
        <f t="shared" ca="1" si="1799"/>
        <v>13004</v>
      </c>
      <c r="AD648" s="25">
        <f t="shared" ca="1" si="1799"/>
        <v>0</v>
      </c>
      <c r="AE648" s="25">
        <f t="shared" ca="1" si="1799"/>
        <v>13004</v>
      </c>
      <c r="AF648" s="25">
        <f t="shared" ca="1" si="1799"/>
        <v>16961</v>
      </c>
      <c r="AG648" s="25">
        <f t="shared" ca="1" si="1799"/>
        <v>309</v>
      </c>
      <c r="AH648" s="25">
        <f t="shared" ca="1" si="1799"/>
        <v>17270</v>
      </c>
      <c r="AI648" s="25">
        <f t="shared" ca="1" si="1799"/>
        <v>30274</v>
      </c>
      <c r="AJ648" s="27">
        <f t="shared" ca="1" si="1780"/>
        <v>196.31436526946098</v>
      </c>
      <c r="AK648" s="24">
        <f>SUM(AK642:AK647)</f>
        <v>37031</v>
      </c>
      <c r="AL648" s="28">
        <f t="shared" ca="1" si="1781"/>
        <v>0.81753125759498801</v>
      </c>
      <c r="AM648" s="29">
        <v>1.5</v>
      </c>
      <c r="AN648" s="28">
        <f t="shared" ca="1" si="1782"/>
        <v>0.61561613818367877</v>
      </c>
      <c r="AO648" s="30">
        <f t="shared" ca="1" si="1783"/>
        <v>0.92342420727551811</v>
      </c>
      <c r="AP648" s="29">
        <f ca="1">SUM(AP642:AP647)</f>
        <v>1352.9272707613784</v>
      </c>
      <c r="AQ648" s="29">
        <f ca="1">AP648/AA648</f>
        <v>8.1013609027627442</v>
      </c>
      <c r="AR648" s="25">
        <f t="shared" ca="1" si="1785"/>
        <v>181.28143712574851</v>
      </c>
      <c r="AS648" s="76"/>
      <c r="AT648" s="76"/>
    </row>
    <row r="649" spans="1:46" ht="15.75" customHeight="1" x14ac:dyDescent="0.2">
      <c r="A649" s="110" t="s">
        <v>45</v>
      </c>
      <c r="B649" s="76"/>
      <c r="C649" s="76"/>
      <c r="D649" s="75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7" t="s">
        <v>1</v>
      </c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9"/>
      <c r="AS649" s="76"/>
      <c r="AT649" s="76"/>
    </row>
    <row r="650" spans="1:46" ht="15.75" customHeight="1" x14ac:dyDescent="0.2">
      <c r="A650" s="113">
        <v>46259</v>
      </c>
      <c r="B650" s="80" t="s">
        <v>2</v>
      </c>
      <c r="C650" s="80" t="s">
        <v>3</v>
      </c>
      <c r="D650" s="80" t="s">
        <v>4</v>
      </c>
      <c r="E650" s="80" t="s">
        <v>5</v>
      </c>
      <c r="F650" s="81" t="s">
        <v>6</v>
      </c>
      <c r="G650" s="80" t="s">
        <v>7</v>
      </c>
      <c r="H650" s="80" t="s">
        <v>8</v>
      </c>
      <c r="I650" s="80" t="s">
        <v>9</v>
      </c>
      <c r="J650" s="80" t="s">
        <v>10</v>
      </c>
      <c r="K650" s="80" t="s">
        <v>11</v>
      </c>
      <c r="L650" s="80" t="s">
        <v>12</v>
      </c>
      <c r="M650" s="80" t="s">
        <v>13</v>
      </c>
      <c r="N650" s="81" t="s">
        <v>14</v>
      </c>
      <c r="O650" s="80" t="s">
        <v>15</v>
      </c>
      <c r="P650" s="80" t="s">
        <v>16</v>
      </c>
      <c r="Q650" s="80" t="s">
        <v>17</v>
      </c>
      <c r="R650" s="80" t="s">
        <v>18</v>
      </c>
      <c r="S650" s="106" t="s">
        <v>19</v>
      </c>
      <c r="T650" s="107" t="s">
        <v>20</v>
      </c>
      <c r="U650" s="107" t="s">
        <v>21</v>
      </c>
      <c r="V650" s="105" t="s">
        <v>22</v>
      </c>
      <c r="W650" s="76"/>
      <c r="X650" s="1" t="s">
        <v>2</v>
      </c>
      <c r="Y650" s="1" t="s">
        <v>3</v>
      </c>
      <c r="Z650" s="1" t="s">
        <v>4</v>
      </c>
      <c r="AA650" s="1" t="s">
        <v>5</v>
      </c>
      <c r="AB650" s="2" t="s">
        <v>6</v>
      </c>
      <c r="AC650" s="1" t="s">
        <v>7</v>
      </c>
      <c r="AD650" s="1" t="s">
        <v>8</v>
      </c>
      <c r="AE650" s="1" t="s">
        <v>9</v>
      </c>
      <c r="AF650" s="1" t="s">
        <v>10</v>
      </c>
      <c r="AG650" s="1" t="s">
        <v>11</v>
      </c>
      <c r="AH650" s="1" t="s">
        <v>12</v>
      </c>
      <c r="AI650" s="1" t="s">
        <v>13</v>
      </c>
      <c r="AJ650" s="2" t="s">
        <v>14</v>
      </c>
      <c r="AK650" s="1" t="s">
        <v>15</v>
      </c>
      <c r="AL650" s="1" t="s">
        <v>16</v>
      </c>
      <c r="AM650" s="3" t="s">
        <v>17</v>
      </c>
      <c r="AN650" s="4" t="s">
        <v>18</v>
      </c>
      <c r="AO650" s="5" t="s">
        <v>19</v>
      </c>
      <c r="AP650" s="6" t="s">
        <v>20</v>
      </c>
      <c r="AQ650" s="6" t="s">
        <v>21</v>
      </c>
      <c r="AR650" s="7" t="s">
        <v>22</v>
      </c>
      <c r="AS650" s="76"/>
      <c r="AT650" s="76"/>
    </row>
    <row r="651" spans="1:46" ht="15.75" customHeight="1" x14ac:dyDescent="0.2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6"/>
      <c r="X651" s="8">
        <v>1</v>
      </c>
      <c r="Y651" s="8" t="s">
        <v>23</v>
      </c>
      <c r="Z651" s="8">
        <f t="shared" ref="Z651:AI651" si="1800">SUM(D659)</f>
        <v>28</v>
      </c>
      <c r="AA651" s="9">
        <f t="shared" ca="1" si="1800"/>
        <v>27</v>
      </c>
      <c r="AB651" s="10">
        <f t="shared" ca="1" si="1800"/>
        <v>5364.6599999999899</v>
      </c>
      <c r="AC651" s="9">
        <f t="shared" ca="1" si="1800"/>
        <v>1290</v>
      </c>
      <c r="AD651" s="9">
        <f t="shared" ca="1" si="1800"/>
        <v>0</v>
      </c>
      <c r="AE651" s="9">
        <f t="shared" ca="1" si="1800"/>
        <v>1290</v>
      </c>
      <c r="AF651" s="9">
        <f t="shared" ca="1" si="1800"/>
        <v>1619</v>
      </c>
      <c r="AG651" s="9">
        <f t="shared" ca="1" si="1800"/>
        <v>0</v>
      </c>
      <c r="AH651" s="9">
        <f t="shared" ca="1" si="1800"/>
        <v>1619</v>
      </c>
      <c r="AI651" s="9">
        <f t="shared" ca="1" si="1800"/>
        <v>2909</v>
      </c>
      <c r="AJ651" s="11">
        <f t="shared" ref="AJ651:AJ653" ca="1" si="1801">AB651/AA651</f>
        <v>198.69111111111073</v>
      </c>
      <c r="AK651" s="8">
        <f>SUM(O659)</f>
        <v>6853</v>
      </c>
      <c r="AL651" s="12">
        <f t="shared" ref="AL651:AL657" ca="1" si="1802">AI651/AK651</f>
        <v>0.42448562673281776</v>
      </c>
      <c r="AM651" s="13">
        <f t="shared" ref="AM651:AM653" si="1803">SUM(Q659)</f>
        <v>1.5</v>
      </c>
      <c r="AN651" s="12">
        <f t="shared" ref="AN651:AN657" ca="1" si="1804">AO651/AM651</f>
        <v>0.3615016298019515</v>
      </c>
      <c r="AO651" s="14">
        <f t="shared" ref="AO651:AO657" ca="1" si="1805">AI651/AB651</f>
        <v>0.54225244470292722</v>
      </c>
      <c r="AP651" s="13">
        <f t="shared" ref="AP651:AQ651" ca="1" si="1806">SUM(T659)</f>
        <v>158.99999999999969</v>
      </c>
      <c r="AQ651" s="13">
        <f t="shared" ca="1" si="1806"/>
        <v>5.8888888888888777</v>
      </c>
      <c r="AR651" s="9">
        <f t="shared" ref="AR651:AR657" ca="1" si="1807">AI651/AA651</f>
        <v>107.74074074074075</v>
      </c>
      <c r="AS651" s="76"/>
      <c r="AT651" s="76"/>
    </row>
    <row r="652" spans="1:46" ht="15.75" customHeight="1" x14ac:dyDescent="0.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6"/>
      <c r="X652" s="8">
        <v>2</v>
      </c>
      <c r="Y652" s="8" t="s">
        <v>24</v>
      </c>
      <c r="Z652" s="8">
        <f t="shared" ref="Z652:AI652" si="1808">SUM(D660)</f>
        <v>37</v>
      </c>
      <c r="AA652" s="9">
        <f t="shared" ca="1" si="1808"/>
        <v>37</v>
      </c>
      <c r="AB652" s="10">
        <f t="shared" ca="1" si="1808"/>
        <v>7339.7219999999897</v>
      </c>
      <c r="AC652" s="9">
        <f t="shared" ca="1" si="1808"/>
        <v>728</v>
      </c>
      <c r="AD652" s="9">
        <f t="shared" ca="1" si="1808"/>
        <v>0</v>
      </c>
      <c r="AE652" s="9">
        <f t="shared" ca="1" si="1808"/>
        <v>728</v>
      </c>
      <c r="AF652" s="9">
        <f t="shared" ca="1" si="1808"/>
        <v>787</v>
      </c>
      <c r="AG652" s="9">
        <f t="shared" ca="1" si="1808"/>
        <v>0</v>
      </c>
      <c r="AH652" s="9">
        <f t="shared" ca="1" si="1808"/>
        <v>787</v>
      </c>
      <c r="AI652" s="9">
        <f t="shared" ca="1" si="1808"/>
        <v>1515</v>
      </c>
      <c r="AJ652" s="11">
        <f t="shared" ca="1" si="1801"/>
        <v>198.37086486486459</v>
      </c>
      <c r="AK652" s="8">
        <v>1580</v>
      </c>
      <c r="AL652" s="12">
        <f t="shared" ca="1" si="1802"/>
        <v>0.95886075949367089</v>
      </c>
      <c r="AM652" s="13">
        <f t="shared" si="1803"/>
        <v>1.5</v>
      </c>
      <c r="AN652" s="12">
        <f t="shared" ca="1" si="1804"/>
        <v>0.13760739166960292</v>
      </c>
      <c r="AO652" s="14">
        <f t="shared" ca="1" si="1805"/>
        <v>0.2064110875044044</v>
      </c>
      <c r="AP652" s="13">
        <f t="shared" ref="AP652:AQ652" ca="1" si="1809">SUM(T660)</f>
        <v>273.81913822048085</v>
      </c>
      <c r="AQ652" s="13">
        <f t="shared" ca="1" si="1809"/>
        <v>7.4005172492021849</v>
      </c>
      <c r="AR652" s="9">
        <f t="shared" ca="1" si="1807"/>
        <v>40.945945945945944</v>
      </c>
      <c r="AS652" s="76"/>
      <c r="AT652" s="76"/>
    </row>
    <row r="653" spans="1:46" ht="15.75" customHeight="1" x14ac:dyDescent="0.2">
      <c r="A653" s="70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6"/>
      <c r="X653" s="8">
        <v>3</v>
      </c>
      <c r="Y653" s="8" t="s">
        <v>25</v>
      </c>
      <c r="Z653" s="8">
        <f t="shared" ref="Z653:AI653" si="1810">SUM(D661)</f>
        <v>27</v>
      </c>
      <c r="AA653" s="9">
        <f t="shared" ca="1" si="1810"/>
        <v>27</v>
      </c>
      <c r="AB653" s="10">
        <f t="shared" ca="1" si="1810"/>
        <v>5160.4759999999997</v>
      </c>
      <c r="AC653" s="9">
        <f t="shared" ca="1" si="1810"/>
        <v>1331</v>
      </c>
      <c r="AD653" s="9">
        <f t="shared" ca="1" si="1810"/>
        <v>293</v>
      </c>
      <c r="AE653" s="9">
        <f t="shared" ca="1" si="1810"/>
        <v>1624</v>
      </c>
      <c r="AF653" s="9">
        <f t="shared" ca="1" si="1810"/>
        <v>1919</v>
      </c>
      <c r="AG653" s="9">
        <f t="shared" ca="1" si="1810"/>
        <v>249</v>
      </c>
      <c r="AH653" s="9">
        <f t="shared" ca="1" si="1810"/>
        <v>2168</v>
      </c>
      <c r="AI653" s="9">
        <f t="shared" ca="1" si="1810"/>
        <v>3792</v>
      </c>
      <c r="AJ653" s="11">
        <f t="shared" ca="1" si="1801"/>
        <v>191.12874074074074</v>
      </c>
      <c r="AK653" s="8">
        <f>SUM(O661)</f>
        <v>6622</v>
      </c>
      <c r="AL653" s="12">
        <f t="shared" ca="1" si="1802"/>
        <v>0.57263666565992144</v>
      </c>
      <c r="AM653" s="13">
        <f t="shared" si="1803"/>
        <v>1.5</v>
      </c>
      <c r="AN653" s="12">
        <f t="shared" ca="1" si="1804"/>
        <v>0.48987729038949124</v>
      </c>
      <c r="AO653" s="14">
        <f t="shared" ca="1" si="1805"/>
        <v>0.73481593558423686</v>
      </c>
      <c r="AP653" s="13">
        <f t="shared" ref="AP653:AQ653" ca="1" si="1811">SUM(T661)</f>
        <v>216.46291946308725</v>
      </c>
      <c r="AQ653" s="13">
        <f t="shared" ca="1" si="1811"/>
        <v>8.017145165299528</v>
      </c>
      <c r="AR653" s="9">
        <f t="shared" ca="1" si="1807"/>
        <v>140.44444444444446</v>
      </c>
      <c r="AS653" s="76"/>
      <c r="AT653" s="76"/>
    </row>
    <row r="654" spans="1:46" ht="15.75" customHeight="1" x14ac:dyDescent="0.25">
      <c r="A654" s="70"/>
      <c r="B654" s="16">
        <v>1</v>
      </c>
      <c r="C654" s="16" t="s">
        <v>26</v>
      </c>
      <c r="D654" s="17">
        <v>16</v>
      </c>
      <c r="E654" s="18">
        <f ca="1">IFERROR(__xludf.DUMMYFUNCTION("COUNT(IMPORTRANGE(""https://docs.google.com/spreadsheets/d/1iVFEBQOAONhqDIMRa2hQ7WkCQv0dJWSAmc0AzfvSCMg/edit"",""25!d2:d21""))"),15)</f>
        <v>15</v>
      </c>
      <c r="F654" s="19">
        <f ca="1">IFERROR(__xludf.DUMMYFUNCTION("SUM(IMPORTRANGE(""https://docs.google.com/spreadsheets/d/1iVFEBQOAONhqDIMRa2hQ7WkCQv0dJWSAmc0AzfvSCMg/edit"",""25!Q2:Q21""))"),2775.27)</f>
        <v>2775.27</v>
      </c>
      <c r="G654" s="18">
        <f ca="1">IFERROR(__xludf.DUMMYFUNCTION("IMPORTRANGE(""https://docs.google.com/spreadsheets/d/1iVFEBQOAONhqDIMRa2hQ7WkCQv0dJWSAmc0AzfvSCMg/edit"",""25!e28"")"),1176)</f>
        <v>1176</v>
      </c>
      <c r="H654" s="18">
        <f ca="1">IFERROR(__xludf.DUMMYFUNCTION("IMPORTRANGE(""https://docs.google.com/spreadsheets/d/1iVFEBQOAONhqDIMRa2hQ7WkCQv0dJWSAmc0AzfvSCMg/edit"",""25!e29"")"),0)</f>
        <v>0</v>
      </c>
      <c r="I654" s="18">
        <f t="shared" ref="I654:I671" ca="1" si="1812">SUM(G654:H654)</f>
        <v>1176</v>
      </c>
      <c r="J654" s="18">
        <f ca="1">IFERROR(__xludf.DUMMYFUNCTION("IMPORTRANGE(""https://docs.google.com/spreadsheets/d/1iVFEBQOAONhqDIMRa2hQ7WkCQv0dJWSAmc0AzfvSCMg/edit"",""25!e32"")"),1951)</f>
        <v>1951</v>
      </c>
      <c r="K654" s="18">
        <f ca="1">IFERROR(__xludf.DUMMYFUNCTION("IMPORTRANGE(""https://docs.google.com/spreadsheets/d/1iVFEBQOAONhqDIMRa2hQ7WkCQv0dJWSAmc0AzfvSCMg/edit"",""25!e33"")"),0)</f>
        <v>0</v>
      </c>
      <c r="L654" s="18">
        <f t="shared" ref="L654:L660" ca="1" si="1813">SUM(J654:K654)</f>
        <v>1951</v>
      </c>
      <c r="M654" s="18">
        <f t="shared" ref="M654:M671" ca="1" si="1814">SUM(I654+L654)</f>
        <v>3127</v>
      </c>
      <c r="N654" s="19">
        <f t="shared" ref="N654:N672" ca="1" si="1815">F654/E654</f>
        <v>185.018</v>
      </c>
      <c r="O654" s="16">
        <v>5161</v>
      </c>
      <c r="P654" s="20">
        <f t="shared" ref="P654:P672" ca="1" si="1816">M654/O654</f>
        <v>0.60589033133113734</v>
      </c>
      <c r="Q654" s="21">
        <v>1.5</v>
      </c>
      <c r="R654" s="20">
        <f t="shared" ref="R654:R672" ca="1" si="1817">S654/Q654</f>
        <v>0.75115814557382399</v>
      </c>
      <c r="S654" s="22">
        <f t="shared" ref="S654:S672" ca="1" si="1818">M654/F654</f>
        <v>1.126737218360736</v>
      </c>
      <c r="T654" s="21">
        <f ca="1">F654/14.415</f>
        <v>192.52653485952135</v>
      </c>
      <c r="U654" s="21">
        <f t="shared" ref="U654:U672" ca="1" si="1819">T654/E654</f>
        <v>12.835102323968091</v>
      </c>
      <c r="V654" s="18">
        <f t="shared" ref="V654:V672" ca="1" si="1820">M654/E654</f>
        <v>208.46666666666667</v>
      </c>
      <c r="W654" s="76"/>
      <c r="X654" s="8">
        <v>4</v>
      </c>
      <c r="Y654" s="8" t="s">
        <v>27</v>
      </c>
      <c r="Z654" s="8">
        <f t="shared" ref="Z654:AK654" si="1821">SUM(D667)</f>
        <v>24</v>
      </c>
      <c r="AA654" s="9">
        <f t="shared" ca="1" si="1821"/>
        <v>22</v>
      </c>
      <c r="AB654" s="10">
        <f t="shared" ca="1" si="1821"/>
        <v>4212.7279999999901</v>
      </c>
      <c r="AC654" s="9">
        <f t="shared" ca="1" si="1821"/>
        <v>1365</v>
      </c>
      <c r="AD654" s="9">
        <f t="shared" ca="1" si="1821"/>
        <v>0</v>
      </c>
      <c r="AE654" s="9">
        <f t="shared" ca="1" si="1821"/>
        <v>1365</v>
      </c>
      <c r="AF654" s="9">
        <f t="shared" ca="1" si="1821"/>
        <v>2156</v>
      </c>
      <c r="AG654" s="9">
        <f t="shared" ca="1" si="1821"/>
        <v>0</v>
      </c>
      <c r="AH654" s="9">
        <f t="shared" ca="1" si="1821"/>
        <v>2156</v>
      </c>
      <c r="AI654" s="9">
        <f t="shared" ca="1" si="1821"/>
        <v>3521</v>
      </c>
      <c r="AJ654" s="11">
        <f t="shared" ca="1" si="1821"/>
        <v>191.48763636363591</v>
      </c>
      <c r="AK654" s="8">
        <f t="shared" si="1821"/>
        <v>8101</v>
      </c>
      <c r="AL654" s="12">
        <f t="shared" ca="1" si="1802"/>
        <v>0.43463769904950006</v>
      </c>
      <c r="AM654" s="13">
        <f>SUM(Q667)</f>
        <v>1.5</v>
      </c>
      <c r="AN654" s="12">
        <f t="shared" ca="1" si="1804"/>
        <v>0.55720030662633302</v>
      </c>
      <c r="AO654" s="14">
        <f t="shared" ca="1" si="1805"/>
        <v>0.83580045993949958</v>
      </c>
      <c r="AP654" s="13">
        <f t="shared" ref="AP654:AQ654" ca="1" si="1822">SUM(T667)</f>
        <v>210.79449587190345</v>
      </c>
      <c r="AQ654" s="13">
        <f t="shared" ca="1" si="1822"/>
        <v>9.5815679941774299</v>
      </c>
      <c r="AR654" s="9">
        <f t="shared" ca="1" si="1807"/>
        <v>160.04545454545453</v>
      </c>
      <c r="AS654" s="76"/>
      <c r="AT654" s="76"/>
    </row>
    <row r="655" spans="1:46" ht="15.75" customHeight="1" x14ac:dyDescent="0.25">
      <c r="A655" s="70"/>
      <c r="B655" s="16">
        <v>2</v>
      </c>
      <c r="C655" s="16" t="s">
        <v>28</v>
      </c>
      <c r="D655" s="17">
        <v>26</v>
      </c>
      <c r="E655" s="18">
        <f ca="1">IFERROR(__xludf.DUMMYFUNCTION("COUNT(IMPORTRANGE(""https://docs.google.com/spreadsheets/d/1tJCeYclgeJZ4Dc78t_SkhVjtacKW-5-VGim8X1rzUzk/edit"",""25!d2:d34""))"),26)</f>
        <v>26</v>
      </c>
      <c r="F655" s="19">
        <f ca="1">IFERROR(__xludf.DUMMYFUNCTION("SUM(IMPORTRANGE(""https://docs.google.com/spreadsheets/d/1tJCeYclgeJZ4Dc78t_SkhVjtacKW-5-VGim8X1rzUzk/edit"",""25!Q2:Q34""))"),5093.29899999999)</f>
        <v>5093.29899999999</v>
      </c>
      <c r="G655" s="18">
        <f ca="1">IFERROR(__xludf.DUMMYFUNCTION("IMPORTRANGE(""https://docs.google.com/spreadsheets/d/1tJCeYclgeJZ4Dc78t_SkhVjtacKW-5-VGim8X1rzUzk/edit"",""25!e41"")"),1625)</f>
        <v>1625</v>
      </c>
      <c r="H655" s="18">
        <f ca="1">IFERROR(__xludf.DUMMYFUNCTION("IMPORTRANGE(""https://docs.google.com/spreadsheets/d/1tJCeYclgeJZ4Dc78t_SkhVjtacKW-5-VGim8X1rzUzk/edit"",""25!e42"")"),42)</f>
        <v>42</v>
      </c>
      <c r="I655" s="18">
        <f t="shared" ca="1" si="1812"/>
        <v>1667</v>
      </c>
      <c r="J655" s="18">
        <f ca="1">IFERROR(__xludf.DUMMYFUNCTION("IMPORTRANGE(""https://docs.google.com/spreadsheets/d/1tJCeYclgeJZ4Dc78t_SkhVjtacKW-5-VGim8X1rzUzk/edit"",""25!e45"")"),1801)</f>
        <v>1801</v>
      </c>
      <c r="K655" s="18">
        <f ca="1">IFERROR(__xludf.DUMMYFUNCTION("IMPORTRANGE(""https://docs.google.com/spreadsheets/d/1tJCeYclgeJZ4Dc78t_SkhVjtacKW-5-VGim8X1rzUzk/edit"",""25!e46"")"),53)</f>
        <v>53</v>
      </c>
      <c r="L655" s="18">
        <f t="shared" ca="1" si="1813"/>
        <v>1854</v>
      </c>
      <c r="M655" s="18">
        <f t="shared" ca="1" si="1814"/>
        <v>3521</v>
      </c>
      <c r="N655" s="19">
        <f t="shared" ca="1" si="1815"/>
        <v>195.896115384615</v>
      </c>
      <c r="O655" s="16">
        <v>7315</v>
      </c>
      <c r="P655" s="20">
        <f t="shared" ca="1" si="1816"/>
        <v>0.48133971291866029</v>
      </c>
      <c r="Q655" s="21">
        <v>1.5</v>
      </c>
      <c r="R655" s="20">
        <f t="shared" ca="1" si="1817"/>
        <v>0.46086698097506901</v>
      </c>
      <c r="S655" s="22">
        <f t="shared" ca="1" si="1818"/>
        <v>0.69130047146260354</v>
      </c>
      <c r="T655" s="21">
        <f ca="1">F655/30.897</f>
        <v>164.84768747774834</v>
      </c>
      <c r="U655" s="21">
        <f t="shared" ca="1" si="1819"/>
        <v>6.3402956722210897</v>
      </c>
      <c r="V655" s="18">
        <f t="shared" ca="1" si="1820"/>
        <v>135.42307692307693</v>
      </c>
      <c r="W655" s="76"/>
      <c r="X655" s="8">
        <v>5</v>
      </c>
      <c r="Y655" s="8" t="s">
        <v>29</v>
      </c>
      <c r="Z655" s="8">
        <f t="shared" ref="Z655:AI655" si="1823">SUM(D670)</f>
        <v>24</v>
      </c>
      <c r="AA655" s="9">
        <f t="shared" ca="1" si="1823"/>
        <v>23</v>
      </c>
      <c r="AB655" s="10">
        <f t="shared" ca="1" si="1823"/>
        <v>4476.9789999999903</v>
      </c>
      <c r="AC655" s="9">
        <f t="shared" ca="1" si="1823"/>
        <v>1477</v>
      </c>
      <c r="AD655" s="9">
        <f t="shared" ca="1" si="1823"/>
        <v>0</v>
      </c>
      <c r="AE655" s="9">
        <f t="shared" ca="1" si="1823"/>
        <v>1477</v>
      </c>
      <c r="AF655" s="9">
        <f t="shared" ca="1" si="1823"/>
        <v>2375</v>
      </c>
      <c r="AG655" s="9">
        <f t="shared" ca="1" si="1823"/>
        <v>0</v>
      </c>
      <c r="AH655" s="9">
        <f t="shared" ca="1" si="1823"/>
        <v>2375</v>
      </c>
      <c r="AI655" s="9">
        <f t="shared" ca="1" si="1823"/>
        <v>3852</v>
      </c>
      <c r="AJ655" s="11">
        <f t="shared" ref="AJ655:AJ657" ca="1" si="1824">AB655/AA655</f>
        <v>194.65126086956479</v>
      </c>
      <c r="AK655" s="8">
        <f t="shared" ref="AK655:AK656" si="1825">SUM(O670)</f>
        <v>9201</v>
      </c>
      <c r="AL655" s="12">
        <f t="shared" ca="1" si="1802"/>
        <v>0.41865014672318224</v>
      </c>
      <c r="AM655" s="13">
        <f t="shared" ref="AM655:AM656" si="1826">SUM(Q670)</f>
        <v>1.5</v>
      </c>
      <c r="AN655" s="12">
        <f t="shared" ca="1" si="1804"/>
        <v>0.5736010823369968</v>
      </c>
      <c r="AO655" s="14">
        <f t="shared" ca="1" si="1805"/>
        <v>0.86040162350549521</v>
      </c>
      <c r="AP655" s="13">
        <f t="shared" ref="AP655:AQ655" ca="1" si="1827">SUM(T670)</f>
        <v>168.99999999999963</v>
      </c>
      <c r="AQ655" s="13">
        <f t="shared" ca="1" si="1827"/>
        <v>7.3478260869565055</v>
      </c>
      <c r="AR655" s="9">
        <f t="shared" ca="1" si="1807"/>
        <v>167.47826086956522</v>
      </c>
      <c r="AS655" s="76"/>
      <c r="AT655" s="76"/>
    </row>
    <row r="656" spans="1:46" ht="15.75" customHeight="1" x14ac:dyDescent="0.25">
      <c r="A656" s="70"/>
      <c r="B656" s="16">
        <v>3</v>
      </c>
      <c r="C656" s="16" t="s">
        <v>30</v>
      </c>
      <c r="D656" s="17">
        <v>48</v>
      </c>
      <c r="E656" s="18">
        <f ca="1">IFERROR(__xludf.DUMMYFUNCTION("COUNT(IMPORTRANGE(""https://docs.google.com/spreadsheets/d/130gLEONC13J8KkQ6dk06x3bLRy_jCrAw2hXatQf2W50/edit"",""25!d2:d61""))"),48)</f>
        <v>48</v>
      </c>
      <c r="F656" s="23">
        <f ca="1">IFERROR(__xludf.DUMMYFUNCTION("SUM(IMPORTRANGE(""https://docs.google.com/spreadsheets/d/130gLEONC13J8KkQ6dk06x3bLRy_jCrAw2hXatQf2W50/edit"",""25!Q2:Q61""))"),9570.17899999999)</f>
        <v>9570.1789999999892</v>
      </c>
      <c r="G656" s="18">
        <f ca="1">IFERROR(__xludf.DUMMYFUNCTION("IMPORTRANGE(""https://docs.google.com/spreadsheets/d/130gLEONC13J8KkQ6dk06x3bLRy_jCrAw2hXatQf2W50/edit"",""25!e68"")"),2338)</f>
        <v>2338</v>
      </c>
      <c r="H656" s="18">
        <f ca="1">IFERROR(__xludf.DUMMYFUNCTION("IMPORTRANGE(""https://docs.google.com/spreadsheets/d/130gLEONC13J8KkQ6dk06x3bLRy_jCrAw2hXatQf2W50/edit"",""25!e69"")"),0)</f>
        <v>0</v>
      </c>
      <c r="I656" s="18">
        <f t="shared" ca="1" si="1812"/>
        <v>2338</v>
      </c>
      <c r="J656" s="18">
        <f ca="1">IFERROR(__xludf.DUMMYFUNCTION("IMPORTRANGE(""https://docs.google.com/spreadsheets/d/130gLEONC13J8KkQ6dk06x3bLRy_jCrAw2hXatQf2W50/edit"",""25!e72"")"),3725)</f>
        <v>3725</v>
      </c>
      <c r="K656" s="18">
        <f ca="1">IFERROR(__xludf.DUMMYFUNCTION("IMPORTRANGE(""https://docs.google.com/spreadsheets/d/130gLEONC13J8KkQ6dk06x3bLRy_jCrAw2hXatQf2W50/edit"",""25!e73"")"),340)</f>
        <v>340</v>
      </c>
      <c r="L656" s="18">
        <f t="shared" ca="1" si="1813"/>
        <v>4065</v>
      </c>
      <c r="M656" s="18">
        <f t="shared" ca="1" si="1814"/>
        <v>6403</v>
      </c>
      <c r="N656" s="19">
        <f t="shared" ca="1" si="1815"/>
        <v>199.37872916666643</v>
      </c>
      <c r="O656" s="16">
        <v>11164</v>
      </c>
      <c r="P656" s="20">
        <f t="shared" ca="1" si="1816"/>
        <v>0.57353994983876744</v>
      </c>
      <c r="Q656" s="21">
        <v>1.5</v>
      </c>
      <c r="R656" s="20">
        <f t="shared" ca="1" si="1817"/>
        <v>0.44603833080516792</v>
      </c>
      <c r="S656" s="22">
        <f t="shared" ca="1" si="1818"/>
        <v>0.6690574962077519</v>
      </c>
      <c r="T656" s="21">
        <f ca="1">F656/29.603</f>
        <v>323.28409282842915</v>
      </c>
      <c r="U656" s="21">
        <f t="shared" ca="1" si="1819"/>
        <v>6.735085267258941</v>
      </c>
      <c r="V656" s="18">
        <f t="shared" ca="1" si="1820"/>
        <v>133.39583333333334</v>
      </c>
      <c r="W656" s="76"/>
      <c r="X656" s="8">
        <v>6</v>
      </c>
      <c r="Y656" s="8" t="s">
        <v>31</v>
      </c>
      <c r="Z656" s="8">
        <f t="shared" ref="Z656:AI656" si="1828">SUM(D671)</f>
        <v>12</v>
      </c>
      <c r="AA656" s="9">
        <f t="shared" ca="1" si="1828"/>
        <v>11</v>
      </c>
      <c r="AB656" s="11">
        <f t="shared" ca="1" si="1828"/>
        <v>2260.1799999999998</v>
      </c>
      <c r="AC656" s="9">
        <f t="shared" ca="1" si="1828"/>
        <v>417</v>
      </c>
      <c r="AD656" s="9">
        <f t="shared" ca="1" si="1828"/>
        <v>0</v>
      </c>
      <c r="AE656" s="9">
        <f t="shared" ca="1" si="1828"/>
        <v>417</v>
      </c>
      <c r="AF656" s="9">
        <f t="shared" ca="1" si="1828"/>
        <v>624</v>
      </c>
      <c r="AG656" s="9">
        <f t="shared" ca="1" si="1828"/>
        <v>0</v>
      </c>
      <c r="AH656" s="9">
        <f t="shared" ca="1" si="1828"/>
        <v>624</v>
      </c>
      <c r="AI656" s="9">
        <f t="shared" ca="1" si="1828"/>
        <v>1041</v>
      </c>
      <c r="AJ656" s="11">
        <f t="shared" ca="1" si="1824"/>
        <v>205.47090909090909</v>
      </c>
      <c r="AK656" s="8">
        <f t="shared" si="1825"/>
        <v>2717</v>
      </c>
      <c r="AL656" s="12">
        <f t="shared" ca="1" si="1802"/>
        <v>0.38314317261685682</v>
      </c>
      <c r="AM656" s="13">
        <f t="shared" si="1826"/>
        <v>1.5</v>
      </c>
      <c r="AN656" s="12">
        <f t="shared" ca="1" si="1804"/>
        <v>0.30705519029457834</v>
      </c>
      <c r="AO656" s="14">
        <f t="shared" ca="1" si="1805"/>
        <v>0.46058278544186748</v>
      </c>
      <c r="AP656" s="13">
        <f t="shared" ref="AP656:AQ656" ca="1" si="1829">SUM(T671)</f>
        <v>51.999999999999993</v>
      </c>
      <c r="AQ656" s="13">
        <f t="shared" ca="1" si="1829"/>
        <v>4.7272727272727266</v>
      </c>
      <c r="AR656" s="9">
        <f t="shared" ca="1" si="1807"/>
        <v>94.63636363636364</v>
      </c>
      <c r="AS656" s="76"/>
      <c r="AT656" s="76"/>
    </row>
    <row r="657" spans="1:46" ht="15.75" customHeight="1" x14ac:dyDescent="0.25">
      <c r="A657" s="70"/>
      <c r="B657" s="16">
        <v>4</v>
      </c>
      <c r="C657" s="16" t="s">
        <v>32</v>
      </c>
      <c r="D657" s="17">
        <v>33</v>
      </c>
      <c r="E657" s="18">
        <f ca="1">IFERROR(__xludf.DUMMYFUNCTION("COUNT(IMPORTRANGE(""https://docs.google.com/spreadsheets/d/1gYHli7FuKQLm2Q-5LMR0UtkD-gRRA_p8s-phLPLDLgc/edit"",""25!d2:d43""))"),31)</f>
        <v>31</v>
      </c>
      <c r="F657" s="23">
        <f ca="1">IFERROR(__xludf.DUMMYFUNCTION("SUM(IMPORTRANGE(""https://docs.google.com/spreadsheets/d/1gYHli7FuKQLm2Q-5LMR0UtkD-gRRA_p8s-phLPLDLgc/edit"",""25!Q2:Q43""))"),6222.07199999999)</f>
        <v>6222.0719999999901</v>
      </c>
      <c r="G657" s="16">
        <f ca="1">IFERROR(__xludf.DUMMYFUNCTION("IMPORTRANGE(""https://docs.google.com/spreadsheets/d/1gYHli7FuKQLm2Q-5LMR0UtkD-gRRA_p8s-phLPLDLgc/edit"",""25!e50"")"),2870)</f>
        <v>2870</v>
      </c>
      <c r="H657" s="16">
        <f ca="1">IFERROR(__xludf.DUMMYFUNCTION("IMPORTRANGE(""https://docs.google.com/spreadsheets/d/1gYHli7FuKQLm2Q-5LMR0UtkD-gRRA_p8s-phLPLDLgc/edit"",""25!e51"")"),0)</f>
        <v>0</v>
      </c>
      <c r="I657" s="18">
        <f t="shared" ca="1" si="1812"/>
        <v>2870</v>
      </c>
      <c r="J657" s="16">
        <f ca="1">IFERROR(__xludf.DUMMYFUNCTION("IMPORTRANGE(""https://docs.google.com/spreadsheets/d/1gYHli7FuKQLm2Q-5LMR0UtkD-gRRA_p8s-phLPLDLgc/edit"",""25!e54"")"),4009)</f>
        <v>4009</v>
      </c>
      <c r="K657" s="16">
        <f ca="1">IFERROR(__xludf.DUMMYFUNCTION("IMPORTRANGE(""https://docs.google.com/spreadsheets/d/1gYHli7FuKQLm2Q-5LMR0UtkD-gRRA_p8s-phLPLDLgc/edit"",""25!e55"")"),0)</f>
        <v>0</v>
      </c>
      <c r="L657" s="18">
        <f t="shared" ca="1" si="1813"/>
        <v>4009</v>
      </c>
      <c r="M657" s="18">
        <f t="shared" ca="1" si="1814"/>
        <v>6879</v>
      </c>
      <c r="N657" s="19">
        <f t="shared" ca="1" si="1815"/>
        <v>200.71199999999968</v>
      </c>
      <c r="O657" s="16">
        <v>13817</v>
      </c>
      <c r="P657" s="20">
        <f t="shared" ca="1" si="1816"/>
        <v>0.49786494897589928</v>
      </c>
      <c r="Q657" s="21">
        <v>1.5</v>
      </c>
      <c r="R657" s="20">
        <f t="shared" ca="1" si="1817"/>
        <v>0.73705350886328658</v>
      </c>
      <c r="S657" s="22">
        <f t="shared" ca="1" si="1818"/>
        <v>1.1055802632949299</v>
      </c>
      <c r="T657" s="21">
        <f ca="1">F657/25.089</f>
        <v>247.99999999999963</v>
      </c>
      <c r="U657" s="21">
        <f t="shared" ca="1" si="1819"/>
        <v>7.9999999999999885</v>
      </c>
      <c r="V657" s="18">
        <f t="shared" ca="1" si="1820"/>
        <v>221.90322580645162</v>
      </c>
      <c r="W657" s="76"/>
      <c r="X657" s="24" t="s">
        <v>33</v>
      </c>
      <c r="Y657" s="24">
        <v>6</v>
      </c>
      <c r="Z657" s="24">
        <f t="shared" ref="Z657:AI657" si="1830">SUM(Z651:Z656)</f>
        <v>152</v>
      </c>
      <c r="AA657" s="25">
        <f t="shared" ca="1" si="1830"/>
        <v>147</v>
      </c>
      <c r="AB657" s="26">
        <f t="shared" ca="1" si="1830"/>
        <v>28814.744999999959</v>
      </c>
      <c r="AC657" s="25">
        <f t="shared" ca="1" si="1830"/>
        <v>6608</v>
      </c>
      <c r="AD657" s="25">
        <f t="shared" ca="1" si="1830"/>
        <v>293</v>
      </c>
      <c r="AE657" s="25">
        <f t="shared" ca="1" si="1830"/>
        <v>6901</v>
      </c>
      <c r="AF657" s="25">
        <f t="shared" ca="1" si="1830"/>
        <v>9480</v>
      </c>
      <c r="AG657" s="25">
        <f t="shared" ca="1" si="1830"/>
        <v>249</v>
      </c>
      <c r="AH657" s="25">
        <f t="shared" ca="1" si="1830"/>
        <v>9729</v>
      </c>
      <c r="AI657" s="25">
        <f t="shared" ca="1" si="1830"/>
        <v>16630</v>
      </c>
      <c r="AJ657" s="27">
        <f t="shared" ca="1" si="1824"/>
        <v>196.01867346938747</v>
      </c>
      <c r="AK657" s="24">
        <f>SUM(AK651:AK656)</f>
        <v>35074</v>
      </c>
      <c r="AL657" s="28">
        <f t="shared" ca="1" si="1802"/>
        <v>0.47414038889205679</v>
      </c>
      <c r="AM657" s="29">
        <v>1.5</v>
      </c>
      <c r="AN657" s="28">
        <f t="shared" ca="1" si="1804"/>
        <v>0.38475671628073344</v>
      </c>
      <c r="AO657" s="30">
        <f t="shared" ca="1" si="1805"/>
        <v>0.57713507442110012</v>
      </c>
      <c r="AP657" s="29">
        <f ca="1">SUM(AP651:AP656)</f>
        <v>1081.0765535554708</v>
      </c>
      <c r="AQ657" s="29">
        <f ca="1">AP657/AA657</f>
        <v>7.3542622690848356</v>
      </c>
      <c r="AR657" s="25">
        <f t="shared" ca="1" si="1807"/>
        <v>113.12925170068027</v>
      </c>
      <c r="AS657" s="76"/>
      <c r="AT657" s="76"/>
    </row>
    <row r="658" spans="1:46" ht="15.75" customHeight="1" x14ac:dyDescent="0.25">
      <c r="A658" s="70"/>
      <c r="B658" s="16">
        <v>5</v>
      </c>
      <c r="C658" s="16" t="s">
        <v>34</v>
      </c>
      <c r="D658" s="17">
        <v>32</v>
      </c>
      <c r="E658" s="18">
        <f ca="1">IFERROR(__xludf.DUMMYFUNCTION("COUNT(IMPORTRANGE(""https://docs.google.com/spreadsheets/d/1ptS0qWBCKWkc9h2aXWT_YgMhN7yIv5WgAHRbF8l9Zpo/edit"",""25!d2:d41""))"),32)</f>
        <v>32</v>
      </c>
      <c r="F658" s="23">
        <f ca="1">IFERROR(__xludf.DUMMYFUNCTION("SUM(IMPORTRANGE(""https://docs.google.com/spreadsheets/d/1ptS0qWBCKWkc9h2aXWT_YgMhN7yIv5WgAHRbF8l9Zpo/edit"",""25!Q2:Q41""))"),6319.974)</f>
        <v>6319.9740000000002</v>
      </c>
      <c r="G658" s="18">
        <f ca="1">IFERROR(__xludf.DUMMYFUNCTION("IMPORTRANGE(""https://docs.google.com/spreadsheets/d/1ptS0qWBCKWkc9h2aXWT_YgMhN7yIv5WgAHRbF8l9Zpo/edit"",""25!e48"")"),1764)</f>
        <v>1764</v>
      </c>
      <c r="H658" s="18">
        <f ca="1">IFERROR(__xludf.DUMMYFUNCTION("IMPORTRANGE(""https://docs.google.com/spreadsheets/d/1ptS0qWBCKWkc9h2aXWT_YgMhN7yIv5WgAHRbF8l9Zpo/edit"",""25!e49"")"),0)</f>
        <v>0</v>
      </c>
      <c r="I658" s="18">
        <f t="shared" ca="1" si="1812"/>
        <v>1764</v>
      </c>
      <c r="J658" s="18">
        <f ca="1">IFERROR(__xludf.DUMMYFUNCTION("IMPORTRANGE(""https://docs.google.com/spreadsheets/d/1ptS0qWBCKWkc9h2aXWT_YgMhN7yIv5WgAHRbF8l9Zpo/edit"",""25!e52"")"),2572)</f>
        <v>2572</v>
      </c>
      <c r="K658" s="18">
        <f ca="1">IFERROR(__xludf.DUMMYFUNCTION("IMPORTRANGE(""https://docs.google.com/spreadsheets/d/1ptS0qWBCKWkc9h2aXWT_YgMhN7yIv5WgAHRbF8l9Zpo/edit"",""25!e53"")"),0)</f>
        <v>0</v>
      </c>
      <c r="L658" s="18">
        <f t="shared" ca="1" si="1813"/>
        <v>2572</v>
      </c>
      <c r="M658" s="18">
        <f t="shared" ca="1" si="1814"/>
        <v>4336</v>
      </c>
      <c r="N658" s="19">
        <f t="shared" ca="1" si="1815"/>
        <v>197.49918750000001</v>
      </c>
      <c r="O658" s="16">
        <v>9354</v>
      </c>
      <c r="P658" s="20">
        <f t="shared" ca="1" si="1816"/>
        <v>0.46354500748342953</v>
      </c>
      <c r="Q658" s="21">
        <v>1.5</v>
      </c>
      <c r="R658" s="20">
        <f t="shared" ca="1" si="1817"/>
        <v>0.45738584789536579</v>
      </c>
      <c r="S658" s="22">
        <f t="shared" ca="1" si="1818"/>
        <v>0.68607877184304866</v>
      </c>
      <c r="T658" s="21">
        <f ca="1">F658/30.713</f>
        <v>205.77520919480349</v>
      </c>
      <c r="U658" s="21">
        <f t="shared" ca="1" si="1819"/>
        <v>6.4304752873376092</v>
      </c>
      <c r="V658" s="18">
        <f t="shared" ca="1" si="1820"/>
        <v>135.5</v>
      </c>
      <c r="W658" s="76"/>
      <c r="X658" s="100" t="s">
        <v>35</v>
      </c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9"/>
      <c r="AS658" s="76"/>
      <c r="AT658" s="76"/>
    </row>
    <row r="659" spans="1:46" ht="15.75" customHeight="1" x14ac:dyDescent="0.25">
      <c r="A659" s="70"/>
      <c r="B659" s="16">
        <v>6</v>
      </c>
      <c r="C659" s="16" t="s">
        <v>23</v>
      </c>
      <c r="D659" s="17">
        <v>28</v>
      </c>
      <c r="E659" s="18">
        <f ca="1">IFERROR(__xludf.DUMMYFUNCTION("COUNT(IMPORTRANGE(""https://docs.google.com/spreadsheets/d/1829CoYW82aTBBUgqkPnJa94KlBWI-DowAnP4ENQCmaQ/edit"",""25!d2:d36""))"),27)</f>
        <v>27</v>
      </c>
      <c r="F659" s="23">
        <f ca="1">IFERROR(__xludf.DUMMYFUNCTION("SUM(IMPORTRANGE(""https://docs.google.com/spreadsheets/d/1829CoYW82aTBBUgqkPnJa94KlBWI-DowAnP4ENQCmaQ/edit"",""25!Q2:Q36""))"),5364.65999999999)</f>
        <v>5364.6599999999899</v>
      </c>
      <c r="G659" s="18">
        <f ca="1">IFERROR(__xludf.DUMMYFUNCTION("IMPORTRANGE(""https://docs.google.com/spreadsheets/d/1829CoYW82aTBBUgqkPnJa94KlBWI-DowAnP4ENQCmaQ/edit"",""25!e43"")"),1290)</f>
        <v>1290</v>
      </c>
      <c r="H659" s="18">
        <f ca="1">IFERROR(__xludf.DUMMYFUNCTION("IMPORTRANGE(""https://docs.google.com/spreadsheets/d/1829CoYW82aTBBUgqkPnJa94KlBWI-DowAnP4ENQCmaQ/edit"",""25!e44"")"),0)</f>
        <v>0</v>
      </c>
      <c r="I659" s="18">
        <f t="shared" ca="1" si="1812"/>
        <v>1290</v>
      </c>
      <c r="J659" s="18">
        <f ca="1">IFERROR(__xludf.DUMMYFUNCTION("IMPORTRANGE(""https://docs.google.com/spreadsheets/d/1829CoYW82aTBBUgqkPnJa94KlBWI-DowAnP4ENQCmaQ/edit"",""25!e47"")"),1619)</f>
        <v>1619</v>
      </c>
      <c r="K659" s="18">
        <f ca="1">IFERROR(__xludf.DUMMYFUNCTION("IMPORTRANGE(""https://docs.google.com/spreadsheets/d/1829CoYW82aTBBUgqkPnJa94KlBWI-DowAnP4ENQCmaQ/edit"",""25!e48"")"),0)</f>
        <v>0</v>
      </c>
      <c r="L659" s="18">
        <f t="shared" ca="1" si="1813"/>
        <v>1619</v>
      </c>
      <c r="M659" s="18">
        <f t="shared" ca="1" si="1814"/>
        <v>2909</v>
      </c>
      <c r="N659" s="19">
        <f t="shared" ca="1" si="1815"/>
        <v>198.69111111111073</v>
      </c>
      <c r="O659" s="16">
        <v>6853</v>
      </c>
      <c r="P659" s="20">
        <f t="shared" ca="1" si="1816"/>
        <v>0.42448562673281776</v>
      </c>
      <c r="Q659" s="21">
        <v>1.5</v>
      </c>
      <c r="R659" s="20">
        <f t="shared" ca="1" si="1817"/>
        <v>0.3615016298019515</v>
      </c>
      <c r="S659" s="22">
        <f t="shared" ca="1" si="1818"/>
        <v>0.54225244470292722</v>
      </c>
      <c r="T659" s="21">
        <f ca="1">F659/33.74</f>
        <v>158.99999999999969</v>
      </c>
      <c r="U659" s="21">
        <f t="shared" ca="1" si="1819"/>
        <v>5.8888888888888777</v>
      </c>
      <c r="V659" s="18">
        <f t="shared" ca="1" si="1820"/>
        <v>107.74074074074075</v>
      </c>
      <c r="W659" s="76"/>
      <c r="X659" s="1" t="s">
        <v>2</v>
      </c>
      <c r="Y659" s="1" t="s">
        <v>3</v>
      </c>
      <c r="Z659" s="1" t="s">
        <v>4</v>
      </c>
      <c r="AA659" s="1" t="s">
        <v>5</v>
      </c>
      <c r="AB659" s="2" t="s">
        <v>6</v>
      </c>
      <c r="AC659" s="1" t="s">
        <v>7</v>
      </c>
      <c r="AD659" s="1" t="s">
        <v>8</v>
      </c>
      <c r="AE659" s="1" t="s">
        <v>9</v>
      </c>
      <c r="AF659" s="1" t="s">
        <v>10</v>
      </c>
      <c r="AG659" s="1" t="s">
        <v>11</v>
      </c>
      <c r="AH659" s="1" t="s">
        <v>12</v>
      </c>
      <c r="AI659" s="1" t="s">
        <v>13</v>
      </c>
      <c r="AJ659" s="2" t="s">
        <v>14</v>
      </c>
      <c r="AK659" s="1" t="s">
        <v>15</v>
      </c>
      <c r="AL659" s="1" t="s">
        <v>16</v>
      </c>
      <c r="AM659" s="3" t="s">
        <v>17</v>
      </c>
      <c r="AN659" s="4" t="s">
        <v>18</v>
      </c>
      <c r="AO659" s="5" t="s">
        <v>19</v>
      </c>
      <c r="AP659" s="6" t="s">
        <v>20</v>
      </c>
      <c r="AQ659" s="6" t="s">
        <v>21</v>
      </c>
      <c r="AR659" s="7" t="s">
        <v>22</v>
      </c>
      <c r="AS659" s="76"/>
      <c r="AT659" s="76"/>
    </row>
    <row r="660" spans="1:46" ht="15.75" customHeight="1" x14ac:dyDescent="0.25">
      <c r="A660" s="70"/>
      <c r="B660" s="16">
        <v>7</v>
      </c>
      <c r="C660" s="16" t="s">
        <v>24</v>
      </c>
      <c r="D660" s="17">
        <v>37</v>
      </c>
      <c r="E660" s="31">
        <f ca="1">IFERROR(__xludf.DUMMYFUNCTION("COUNT(IMPORTRANGE(""https://docs.google.com/spreadsheets/d/1E2x4oDZxEIsuC5nl-5Z0--MoN8b1dt9SbpRcCfNP84Q/edit"",""25!d2:d45""))"),37)</f>
        <v>37</v>
      </c>
      <c r="F660" s="32">
        <f ca="1">IFERROR(__xludf.DUMMYFUNCTION("SUM(IMPORTRANGE(""https://docs.google.com/spreadsheets/d/1E2x4oDZxEIsuC5nl-5Z0--MoN8b1dt9SbpRcCfNP84Q/edit"",""25!Q2:Q45""))"),7339.72199999999)</f>
        <v>7339.7219999999897</v>
      </c>
      <c r="G660" s="31">
        <f ca="1">IFERROR(__xludf.DUMMYFUNCTION("IMPORTRANGE(""https://docs.google.com/spreadsheets/d/1E2x4oDZxEIsuC5nl-5Z0--MoN8b1dt9SbpRcCfNP84Q/edit"",""25!e53"")"),728)</f>
        <v>728</v>
      </c>
      <c r="H660" s="31">
        <f ca="1">IFERROR(__xludf.DUMMYFUNCTION("IMPORTRANGE(""https://docs.google.com/spreadsheets/d/1E2x4oDZxEIsuC5nl-5Z0--MoN8b1dt9SbpRcCfNP84Q/edit"",""25!e54"")"),0)</f>
        <v>0</v>
      </c>
      <c r="I660" s="31">
        <f t="shared" ca="1" si="1812"/>
        <v>728</v>
      </c>
      <c r="J660" s="31">
        <f ca="1">IFERROR(__xludf.DUMMYFUNCTION("IMPORTRANGE(""https://docs.google.com/spreadsheets/d/1E2x4oDZxEIsuC5nl-5Z0--MoN8b1dt9SbpRcCfNP84Q/edit"",""25!e57"")"),787)</f>
        <v>787</v>
      </c>
      <c r="K660" s="31">
        <f ca="1">IFERROR(__xludf.DUMMYFUNCTION("IMPORTRANGE(""https://docs.google.com/spreadsheets/d/1E2x4oDZxEIsuC5nl-5Z0--MoN8b1dt9SbpRcCfNP84Q/edit"",""25!e58"")"),0)</f>
        <v>0</v>
      </c>
      <c r="L660" s="18">
        <f t="shared" ca="1" si="1813"/>
        <v>787</v>
      </c>
      <c r="M660" s="18">
        <f t="shared" ca="1" si="1814"/>
        <v>1515</v>
      </c>
      <c r="N660" s="19">
        <f t="shared" ca="1" si="1815"/>
        <v>198.37086486486459</v>
      </c>
      <c r="O660" s="16">
        <v>1580</v>
      </c>
      <c r="P660" s="20">
        <f t="shared" ca="1" si="1816"/>
        <v>0.95886075949367089</v>
      </c>
      <c r="Q660" s="21">
        <v>1.5</v>
      </c>
      <c r="R660" s="20">
        <f t="shared" ca="1" si="1817"/>
        <v>0.13760739166960292</v>
      </c>
      <c r="S660" s="22">
        <f t="shared" ca="1" si="1818"/>
        <v>0.2064110875044044</v>
      </c>
      <c r="T660" s="21">
        <f ca="1">F660/26.805</f>
        <v>273.81913822048085</v>
      </c>
      <c r="U660" s="21">
        <f t="shared" ca="1" si="1819"/>
        <v>7.4005172492021849</v>
      </c>
      <c r="V660" s="18">
        <f t="shared" ca="1" si="1820"/>
        <v>40.945945945945944</v>
      </c>
      <c r="W660" s="76"/>
      <c r="X660" s="8">
        <v>1</v>
      </c>
      <c r="Y660" s="8" t="s">
        <v>28</v>
      </c>
      <c r="Z660" s="8">
        <f t="shared" ref="Z660:AI660" si="1831">SUM(D655)</f>
        <v>26</v>
      </c>
      <c r="AA660" s="9">
        <f t="shared" ca="1" si="1831"/>
        <v>26</v>
      </c>
      <c r="AB660" s="11">
        <f t="shared" ca="1" si="1831"/>
        <v>5093.29899999999</v>
      </c>
      <c r="AC660" s="9">
        <f t="shared" ca="1" si="1831"/>
        <v>1625</v>
      </c>
      <c r="AD660" s="9">
        <f t="shared" ca="1" si="1831"/>
        <v>42</v>
      </c>
      <c r="AE660" s="9">
        <f t="shared" ca="1" si="1831"/>
        <v>1667</v>
      </c>
      <c r="AF660" s="9">
        <f t="shared" ca="1" si="1831"/>
        <v>1801</v>
      </c>
      <c r="AG660" s="9">
        <f t="shared" ca="1" si="1831"/>
        <v>53</v>
      </c>
      <c r="AH660" s="9">
        <f t="shared" ca="1" si="1831"/>
        <v>1854</v>
      </c>
      <c r="AI660" s="9">
        <f t="shared" ca="1" si="1831"/>
        <v>3521</v>
      </c>
      <c r="AJ660" s="11">
        <f t="shared" ref="AJ660:AJ666" ca="1" si="1832">AB660/AA660</f>
        <v>195.896115384615</v>
      </c>
      <c r="AK660" s="8">
        <f t="shared" ref="AK660:AK661" si="1833">SUM(O655)</f>
        <v>7315</v>
      </c>
      <c r="AL660" s="12">
        <f t="shared" ref="AL660:AL666" ca="1" si="1834">AI660/AK660</f>
        <v>0.48133971291866029</v>
      </c>
      <c r="AM660" s="13">
        <f t="shared" ref="AM660:AM661" si="1835">SUM(Q655)</f>
        <v>1.5</v>
      </c>
      <c r="AN660" s="12">
        <f t="shared" ref="AN660:AN666" ca="1" si="1836">AO660/AM660</f>
        <v>0.46086698097506901</v>
      </c>
      <c r="AO660" s="14">
        <f t="shared" ref="AO660:AO666" ca="1" si="1837">AI660/AB660</f>
        <v>0.69130047146260354</v>
      </c>
      <c r="AP660" s="13">
        <f t="shared" ref="AP660:AQ660" ca="1" si="1838">SUM(T655)</f>
        <v>164.84768747774834</v>
      </c>
      <c r="AQ660" s="13">
        <f t="shared" ca="1" si="1838"/>
        <v>6.3402956722210897</v>
      </c>
      <c r="AR660" s="9">
        <f t="shared" ref="AR660:AR666" ca="1" si="1839">AI660/AA660</f>
        <v>135.42307692307693</v>
      </c>
      <c r="AS660" s="76"/>
      <c r="AT660" s="76"/>
    </row>
    <row r="661" spans="1:46" ht="15.75" customHeight="1" x14ac:dyDescent="0.25">
      <c r="A661" s="70"/>
      <c r="B661" s="16">
        <v>8</v>
      </c>
      <c r="C661" s="16" t="s">
        <v>25</v>
      </c>
      <c r="D661" s="34">
        <v>27</v>
      </c>
      <c r="E661" s="18">
        <f ca="1">IFERROR(__xludf.DUMMYFUNCTION("COUNT(IMPORTRANGE(""https://docs.google.com/spreadsheets/d/1KbRFOEYB0B44J_NSh1MwYQ1sLDlZXUHI-wuMLcZDn5k/edit"",""25!d2:D33""))"),27)</f>
        <v>27</v>
      </c>
      <c r="F661" s="23">
        <f ca="1">IFERROR(__xludf.DUMMYFUNCTION("SUM(IMPORTRANGE(""https://docs.google.com/spreadsheets/d/1KbRFOEYB0B44J_NSh1MwYQ1sLDlZXUHI-wuMLcZDn5k/edit"",""25!Q2:Q33""))"),5160.476)</f>
        <v>5160.4759999999997</v>
      </c>
      <c r="G661" s="18">
        <f ca="1">IFERROR(__xludf.DUMMYFUNCTION("IMPORTRANGE(""https://docs.google.com/spreadsheets/d/1KbRFOEYB0B44J_NSh1MwYQ1sLDlZXUHI-wuMLcZDn5k/edit"",""25!e40"")"),1331)</f>
        <v>1331</v>
      </c>
      <c r="H661" s="18">
        <f ca="1">IFERROR(__xludf.DUMMYFUNCTION("IMPORTRANGE(""https://docs.google.com/spreadsheets/d/1KbRFOEYB0B44J_NSh1MwYQ1sLDlZXUHI-wuMLcZDn5k/edit"",""25!e41"")"),293)</f>
        <v>293</v>
      </c>
      <c r="I661" s="18">
        <f t="shared" ca="1" si="1812"/>
        <v>1624</v>
      </c>
      <c r="J661" s="18">
        <f ca="1">IFERROR(__xludf.DUMMYFUNCTION("IMPORTRANGE(""https://docs.google.com/spreadsheets/d/1KbRFOEYB0B44J_NSh1MwYQ1sLDlZXUHI-wuMLcZDn5k/edit"",""25!e44"")"),1919)</f>
        <v>1919</v>
      </c>
      <c r="K661" s="18">
        <f ca="1">IFERROR(__xludf.DUMMYFUNCTION("IMPORTRANGE(""https://docs.google.com/spreadsheets/d/1KbRFOEYB0B44J_NSh1MwYQ1sLDlZXUHI-wuMLcZDn5k/edit"",""25!e45"")"),249)</f>
        <v>249</v>
      </c>
      <c r="L661" s="18">
        <f ca="1">J661+K661</f>
        <v>2168</v>
      </c>
      <c r="M661" s="18">
        <f t="shared" ca="1" si="1814"/>
        <v>3792</v>
      </c>
      <c r="N661" s="19">
        <f t="shared" ca="1" si="1815"/>
        <v>191.12874074074074</v>
      </c>
      <c r="O661" s="16">
        <v>6622</v>
      </c>
      <c r="P661" s="20">
        <f t="shared" ca="1" si="1816"/>
        <v>0.57263666565992144</v>
      </c>
      <c r="Q661" s="21">
        <v>1.5</v>
      </c>
      <c r="R661" s="20">
        <f t="shared" ca="1" si="1817"/>
        <v>0.48987729038949124</v>
      </c>
      <c r="S661" s="22">
        <f t="shared" ca="1" si="1818"/>
        <v>0.73481593558423686</v>
      </c>
      <c r="T661" s="21">
        <f ca="1">F661/23.84</f>
        <v>216.46291946308725</v>
      </c>
      <c r="U661" s="21">
        <f t="shared" ca="1" si="1819"/>
        <v>8.017145165299528</v>
      </c>
      <c r="V661" s="18">
        <f t="shared" ca="1" si="1820"/>
        <v>140.44444444444446</v>
      </c>
      <c r="W661" s="76"/>
      <c r="X661" s="8">
        <v>2</v>
      </c>
      <c r="Y661" s="8" t="s">
        <v>30</v>
      </c>
      <c r="Z661" s="8">
        <f t="shared" ref="Z661:AI661" si="1840">SUM(D656)</f>
        <v>48</v>
      </c>
      <c r="AA661" s="9">
        <f t="shared" ca="1" si="1840"/>
        <v>48</v>
      </c>
      <c r="AB661" s="10">
        <f t="shared" ca="1" si="1840"/>
        <v>9570.1789999999892</v>
      </c>
      <c r="AC661" s="9">
        <f t="shared" ca="1" si="1840"/>
        <v>2338</v>
      </c>
      <c r="AD661" s="9">
        <f t="shared" ca="1" si="1840"/>
        <v>0</v>
      </c>
      <c r="AE661" s="9">
        <f t="shared" ca="1" si="1840"/>
        <v>2338</v>
      </c>
      <c r="AF661" s="9">
        <f t="shared" ca="1" si="1840"/>
        <v>3725</v>
      </c>
      <c r="AG661" s="9">
        <f t="shared" ca="1" si="1840"/>
        <v>340</v>
      </c>
      <c r="AH661" s="9">
        <f t="shared" ca="1" si="1840"/>
        <v>4065</v>
      </c>
      <c r="AI661" s="9">
        <f t="shared" ca="1" si="1840"/>
        <v>6403</v>
      </c>
      <c r="AJ661" s="11">
        <f t="shared" ca="1" si="1832"/>
        <v>199.37872916666643</v>
      </c>
      <c r="AK661" s="8">
        <f t="shared" si="1833"/>
        <v>11164</v>
      </c>
      <c r="AL661" s="12">
        <f t="shared" ca="1" si="1834"/>
        <v>0.57353994983876744</v>
      </c>
      <c r="AM661" s="13">
        <f t="shared" si="1835"/>
        <v>1.5</v>
      </c>
      <c r="AN661" s="12">
        <f t="shared" ca="1" si="1836"/>
        <v>0.44603833080516792</v>
      </c>
      <c r="AO661" s="14">
        <f t="shared" ca="1" si="1837"/>
        <v>0.6690574962077519</v>
      </c>
      <c r="AP661" s="13">
        <f t="shared" ref="AP661:AQ661" ca="1" si="1841">SUM(T656)</f>
        <v>323.28409282842915</v>
      </c>
      <c r="AQ661" s="13">
        <f t="shared" ca="1" si="1841"/>
        <v>6.735085267258941</v>
      </c>
      <c r="AR661" s="9">
        <f t="shared" ca="1" si="1839"/>
        <v>133.39583333333334</v>
      </c>
      <c r="AS661" s="76"/>
      <c r="AT661" s="76"/>
    </row>
    <row r="662" spans="1:46" ht="15.75" customHeight="1" x14ac:dyDescent="0.25">
      <c r="A662" s="70"/>
      <c r="B662" s="16">
        <v>9</v>
      </c>
      <c r="C662" s="16" t="s">
        <v>36</v>
      </c>
      <c r="D662" s="34">
        <v>23</v>
      </c>
      <c r="E662" s="18">
        <f ca="1">IFERROR(__xludf.DUMMYFUNCTION("COUNT(IMPORTRANGE(""https://docs.google.com/spreadsheets/d/1VqqqRGfmmkT0JC4ILJva2p8P11jjV0FX-TSKAaqOigw/edit"",""25!d2:d31""))"),23)</f>
        <v>23</v>
      </c>
      <c r="F662" s="23">
        <f ca="1">IFERROR(__xludf.DUMMYFUNCTION("SUM(IMPORTRANGE(""https://docs.google.com/spreadsheets/d/1VqqqRGfmmkT0JC4ILJva2p8P11jjV0FX-TSKAaqOigw/edit"",""25!Q2:Q31""))"),4483.29599999999)</f>
        <v>4483.2959999999903</v>
      </c>
      <c r="G662" s="18">
        <f ca="1">IFERROR(__xludf.DUMMYFUNCTION("IMPORTRANGE(""https://docs.google.com/spreadsheets/d/1VqqqRGfmmkT0JC4ILJva2p8P11jjV0FX-TSKAaqOigw/edit"",""25!e38"")"),1346)</f>
        <v>1346</v>
      </c>
      <c r="H662" s="18">
        <f ca="1">IFERROR(__xludf.DUMMYFUNCTION("IMPORTRANGE(""https://docs.google.com/spreadsheets/d/1VqqqRGfmmkT0JC4ILJva2p8P11jjV0FX-TSKAaqOigw/edit"",""25!e39"")"),0)</f>
        <v>0</v>
      </c>
      <c r="I662" s="18">
        <f t="shared" ca="1" si="1812"/>
        <v>1346</v>
      </c>
      <c r="J662" s="18">
        <f ca="1">IFERROR(__xludf.DUMMYFUNCTION("IMPORTRANGE(""https://docs.google.com/spreadsheets/d/1VqqqRGfmmkT0JC4ILJva2p8P11jjV0FX-TSKAaqOigw/edit"",""25!e42"")"),947)</f>
        <v>947</v>
      </c>
      <c r="K662" s="18">
        <f ca="1">IFERROR(__xludf.DUMMYFUNCTION("IMPORTRANGE(""https://docs.google.com/spreadsheets/d/1VqqqRGfmmkT0JC4ILJva2p8P11jjV0FX-TSKAaqOigw/edit"",""25!e43"")"),0)</f>
        <v>0</v>
      </c>
      <c r="L662" s="18">
        <f t="shared" ref="L662:L671" ca="1" si="1842">SUM(J662:K662)</f>
        <v>947</v>
      </c>
      <c r="M662" s="18">
        <f t="shared" ca="1" si="1814"/>
        <v>2293</v>
      </c>
      <c r="N662" s="19">
        <f t="shared" ca="1" si="1815"/>
        <v>194.92591304347783</v>
      </c>
      <c r="O662" s="16">
        <v>4796</v>
      </c>
      <c r="P662" s="20">
        <f t="shared" ca="1" si="1816"/>
        <v>0.4781067556296914</v>
      </c>
      <c r="Q662" s="21">
        <v>1.5</v>
      </c>
      <c r="R662" s="20">
        <f t="shared" ca="1" si="1817"/>
        <v>0.34096938204987359</v>
      </c>
      <c r="S662" s="22">
        <f t="shared" ca="1" si="1818"/>
        <v>0.51145407307481039</v>
      </c>
      <c r="T662" s="21">
        <f ca="1">F662/37.414</f>
        <v>119.82936868551853</v>
      </c>
      <c r="U662" s="21">
        <f t="shared" ca="1" si="1819"/>
        <v>5.2099725515442836</v>
      </c>
      <c r="V662" s="18">
        <f t="shared" ca="1" si="1820"/>
        <v>99.695652173913047</v>
      </c>
      <c r="W662" s="76"/>
      <c r="X662" s="8">
        <v>3</v>
      </c>
      <c r="Y662" s="8" t="s">
        <v>34</v>
      </c>
      <c r="Z662" s="8">
        <f t="shared" ref="Z662:AI662" si="1843">SUM(D658)</f>
        <v>32</v>
      </c>
      <c r="AA662" s="9">
        <f t="shared" ca="1" si="1843"/>
        <v>32</v>
      </c>
      <c r="AB662" s="10">
        <f t="shared" ca="1" si="1843"/>
        <v>6319.9740000000002</v>
      </c>
      <c r="AC662" s="9">
        <f t="shared" ca="1" si="1843"/>
        <v>1764</v>
      </c>
      <c r="AD662" s="9">
        <f t="shared" ca="1" si="1843"/>
        <v>0</v>
      </c>
      <c r="AE662" s="9">
        <f t="shared" ca="1" si="1843"/>
        <v>1764</v>
      </c>
      <c r="AF662" s="9">
        <f t="shared" ca="1" si="1843"/>
        <v>2572</v>
      </c>
      <c r="AG662" s="9">
        <f t="shared" ca="1" si="1843"/>
        <v>0</v>
      </c>
      <c r="AH662" s="9">
        <f t="shared" ca="1" si="1843"/>
        <v>2572</v>
      </c>
      <c r="AI662" s="9">
        <f t="shared" ca="1" si="1843"/>
        <v>4336</v>
      </c>
      <c r="AJ662" s="11">
        <f t="shared" ca="1" si="1832"/>
        <v>197.49918750000001</v>
      </c>
      <c r="AK662" s="8">
        <f>SUM(O658)</f>
        <v>9354</v>
      </c>
      <c r="AL662" s="12">
        <f t="shared" ca="1" si="1834"/>
        <v>0.46354500748342953</v>
      </c>
      <c r="AM662" s="13">
        <f>SUM(Q658)</f>
        <v>1.5</v>
      </c>
      <c r="AN662" s="12">
        <f t="shared" ca="1" si="1836"/>
        <v>0.45738584789536579</v>
      </c>
      <c r="AO662" s="14">
        <f t="shared" ca="1" si="1837"/>
        <v>0.68607877184304866</v>
      </c>
      <c r="AP662" s="13">
        <f t="shared" ref="AP662:AQ662" ca="1" si="1844">SUM(T658)</f>
        <v>205.77520919480349</v>
      </c>
      <c r="AQ662" s="13">
        <f t="shared" ca="1" si="1844"/>
        <v>6.4304752873376092</v>
      </c>
      <c r="AR662" s="9">
        <f t="shared" ca="1" si="1839"/>
        <v>135.5</v>
      </c>
      <c r="AS662" s="76"/>
      <c r="AT662" s="76"/>
    </row>
    <row r="663" spans="1:46" ht="15.75" customHeight="1" x14ac:dyDescent="0.25">
      <c r="A663" s="70"/>
      <c r="B663" s="16">
        <v>10</v>
      </c>
      <c r="C663" s="16" t="s">
        <v>37</v>
      </c>
      <c r="D663" s="17">
        <v>24</v>
      </c>
      <c r="E663" s="18">
        <f ca="1">IFERROR(__xludf.DUMMYFUNCTION("COUNT(IMPORTRANGE(""https://docs.google.com/spreadsheets/d/1IYeRjQd_D6MRqoBKNaky3aSEUloYCJc5XDnPAbdyetk/edit"",""25!d2:d31""))"),22)</f>
        <v>22</v>
      </c>
      <c r="F663" s="23">
        <f ca="1">IFERROR(__xludf.DUMMYFUNCTION("SUM(IMPORTRANGE(""https://docs.google.com/spreadsheets/d/1IYeRjQd_D6MRqoBKNaky3aSEUloYCJc5XDnPAbdyetk/edit"",""25!Q2:Q31""))"),4311.186)</f>
        <v>4311.1859999999997</v>
      </c>
      <c r="G663" s="18">
        <f ca="1">IFERROR(__xludf.DUMMYFUNCTION("(IMPORTRANGE(""https://docs.google.com/spreadsheets/d/1IYeRjQd_D6MRqoBKNaky3aSEUloYCJc5XDnPAbdyetk/edit"",""25!e38""))"),1044)</f>
        <v>1044</v>
      </c>
      <c r="H663" s="18">
        <f ca="1">IFERROR(__xludf.DUMMYFUNCTION("(IMPORTRANGE(""https://docs.google.com/spreadsheets/d/1IYeRjQd_D6MRqoBKNaky3aSEUloYCJc5XDnPAbdyetk/edit"",""25!e39""))"),0)</f>
        <v>0</v>
      </c>
      <c r="I663" s="18">
        <f t="shared" ca="1" si="1812"/>
        <v>1044</v>
      </c>
      <c r="J663" s="18">
        <f ca="1">IFERROR(__xludf.DUMMYFUNCTION("(IMPORTRANGE(""https://docs.google.com/spreadsheets/d/1IYeRjQd_D6MRqoBKNaky3aSEUloYCJc5XDnPAbdyetk/edit"",""25!e42""))"),1999)</f>
        <v>1999</v>
      </c>
      <c r="K663" s="18">
        <f ca="1">IFERROR(__xludf.DUMMYFUNCTION("(IMPORTRANGE(""https://docs.google.com/spreadsheets/d/1IYeRjQd_D6MRqoBKNaky3aSEUloYCJc5XDnPAbdyetk/edit"",""25!e43""))"),0)</f>
        <v>0</v>
      </c>
      <c r="L663" s="18">
        <f t="shared" ca="1" si="1842"/>
        <v>1999</v>
      </c>
      <c r="M663" s="18">
        <f t="shared" ca="1" si="1814"/>
        <v>3043</v>
      </c>
      <c r="N663" s="19">
        <f t="shared" ca="1" si="1815"/>
        <v>195.96299999999999</v>
      </c>
      <c r="O663" s="16">
        <v>5887</v>
      </c>
      <c r="P663" s="20">
        <f t="shared" ca="1" si="1816"/>
        <v>0.51690164769831837</v>
      </c>
      <c r="Q663" s="21">
        <v>1.5</v>
      </c>
      <c r="R663" s="20">
        <f t="shared" ca="1" si="1817"/>
        <v>0.47055883616867072</v>
      </c>
      <c r="S663" s="22">
        <f t="shared" ca="1" si="1818"/>
        <v>0.70583825425300606</v>
      </c>
      <c r="T663" s="21">
        <f ca="1">F663/24.792</f>
        <v>173.89424007744432</v>
      </c>
      <c r="U663" s="21">
        <f t="shared" ca="1" si="1819"/>
        <v>7.9042836398838325</v>
      </c>
      <c r="V663" s="18">
        <f t="shared" ca="1" si="1820"/>
        <v>138.31818181818181</v>
      </c>
      <c r="W663" s="76"/>
      <c r="X663" s="8">
        <v>4</v>
      </c>
      <c r="Y663" s="8" t="s">
        <v>38</v>
      </c>
      <c r="Z663" s="8">
        <f t="shared" ref="Z663:AI663" si="1845">SUM(D666)</f>
        <v>24</v>
      </c>
      <c r="AA663" s="9">
        <f t="shared" ca="1" si="1845"/>
        <v>24</v>
      </c>
      <c r="AB663" s="10">
        <f t="shared" ca="1" si="1845"/>
        <v>4409.9660000000003</v>
      </c>
      <c r="AC663" s="9">
        <f t="shared" ca="1" si="1845"/>
        <v>1418</v>
      </c>
      <c r="AD663" s="9">
        <f t="shared" ca="1" si="1845"/>
        <v>0</v>
      </c>
      <c r="AE663" s="9">
        <f t="shared" ca="1" si="1845"/>
        <v>1418</v>
      </c>
      <c r="AF663" s="9">
        <f t="shared" ca="1" si="1845"/>
        <v>1903</v>
      </c>
      <c r="AG663" s="9">
        <f t="shared" ca="1" si="1845"/>
        <v>366</v>
      </c>
      <c r="AH663" s="9">
        <f t="shared" ca="1" si="1845"/>
        <v>2269</v>
      </c>
      <c r="AI663" s="9">
        <f t="shared" ca="1" si="1845"/>
        <v>3687</v>
      </c>
      <c r="AJ663" s="11">
        <f t="shared" ca="1" si="1832"/>
        <v>183.74858333333336</v>
      </c>
      <c r="AK663" s="8">
        <v>7324</v>
      </c>
      <c r="AL663" s="12">
        <f t="shared" ca="1" si="1834"/>
        <v>0.50341343528126703</v>
      </c>
      <c r="AM663" s="13">
        <f>SUM(Q666)</f>
        <v>1.5</v>
      </c>
      <c r="AN663" s="12">
        <f t="shared" ca="1" si="1836"/>
        <v>0.55737391172630357</v>
      </c>
      <c r="AO663" s="14">
        <f t="shared" ca="1" si="1837"/>
        <v>0.8360608675894553</v>
      </c>
      <c r="AP663" s="13">
        <f t="shared" ref="AP663:AQ663" ca="1" si="1846">SUM(T666)</f>
        <v>107.025021235287</v>
      </c>
      <c r="AQ663" s="13">
        <f t="shared" ca="1" si="1846"/>
        <v>4.4593758848036247</v>
      </c>
      <c r="AR663" s="9">
        <f t="shared" ca="1" si="1839"/>
        <v>153.625</v>
      </c>
      <c r="AS663" s="76"/>
      <c r="AT663" s="76"/>
    </row>
    <row r="664" spans="1:46" ht="15.75" customHeight="1" x14ac:dyDescent="0.25">
      <c r="A664" s="70"/>
      <c r="B664" s="16">
        <v>12</v>
      </c>
      <c r="C664" s="16" t="s">
        <v>39</v>
      </c>
      <c r="D664" s="17">
        <v>22</v>
      </c>
      <c r="E664" s="18">
        <f ca="1">IFERROR(__xludf.DUMMYFUNCTION("COUNT(IMPORTRANGE(""https://docs.google.com/spreadsheets/d/1TAY2D35yAzyl8a_p5CuZehQvmatfj0b0Q8ICl8GtJBY/edit"",""25!d2:d29""))"),21)</f>
        <v>21</v>
      </c>
      <c r="F664" s="23">
        <f ca="1">IFERROR(__xludf.DUMMYFUNCTION("SUM(IMPORTRANGE(""https://docs.google.com/spreadsheets/d/1TAY2D35yAzyl8a_p5CuZehQvmatfj0b0Q8ICl8GtJBY/edit"",""25!Q2:Q29""))"),3954.649)</f>
        <v>3954.6489999999999</v>
      </c>
      <c r="G664" s="18">
        <f ca="1">IFERROR(__xludf.DUMMYFUNCTION("IMPORTRANGE(""https://docs.google.com/spreadsheets/d/1TAY2D35yAzyl8a_p5CuZehQvmatfj0b0Q8ICl8GtJBY/edit"",""25!e36"")"),801)</f>
        <v>801</v>
      </c>
      <c r="H664" s="18">
        <f ca="1">IFERROR(__xludf.DUMMYFUNCTION("(IMPORTRANGE(""https://docs.google.com/spreadsheets/d/1TAY2D35yAzyl8a_p5CuZehQvmatfj0b0Q8ICl8GtJBY/edit"",""25!e37""))"),0)</f>
        <v>0</v>
      </c>
      <c r="I664" s="18">
        <f t="shared" ca="1" si="1812"/>
        <v>801</v>
      </c>
      <c r="J664" s="18">
        <f ca="1">IFERROR(__xludf.DUMMYFUNCTION("IMPORTRANGE(""https://docs.google.com/spreadsheets/d/1TAY2D35yAzyl8a_p5CuZehQvmatfj0b0Q8ICl8GtJBY/edit"",""25!e40"")"),976)</f>
        <v>976</v>
      </c>
      <c r="K664" s="18">
        <f ca="1">IFERROR(__xludf.DUMMYFUNCTION("IMPORTRANGE(""https://docs.google.com/spreadsheets/d/1TAY2D35yAzyl8a_p5CuZehQvmatfj0b0Q8ICl8GtJBY/edit"",""25!e41"")"),126)</f>
        <v>126</v>
      </c>
      <c r="L664" s="18">
        <f t="shared" ca="1" si="1842"/>
        <v>1102</v>
      </c>
      <c r="M664" s="18">
        <f t="shared" ca="1" si="1814"/>
        <v>1903</v>
      </c>
      <c r="N664" s="19">
        <f t="shared" ca="1" si="1815"/>
        <v>188.31661904761904</v>
      </c>
      <c r="O664" s="16">
        <v>3569</v>
      </c>
      <c r="P664" s="20">
        <f t="shared" ca="1" si="1816"/>
        <v>0.53320257775287194</v>
      </c>
      <c r="Q664" s="21">
        <v>1.5</v>
      </c>
      <c r="R664" s="20">
        <f t="shared" ca="1" si="1817"/>
        <v>0.32080386063761074</v>
      </c>
      <c r="S664" s="22">
        <f t="shared" ca="1" si="1818"/>
        <v>0.48120579095641614</v>
      </c>
      <c r="T664" s="21">
        <f ca="1">F664/21.463</f>
        <v>184.25425150258584</v>
      </c>
      <c r="U664" s="21">
        <f t="shared" ca="1" si="1819"/>
        <v>8.7740119763136111</v>
      </c>
      <c r="V664" s="18">
        <f t="shared" ca="1" si="1820"/>
        <v>90.61904761904762</v>
      </c>
      <c r="W664" s="76"/>
      <c r="X664" s="8">
        <v>5</v>
      </c>
      <c r="Y664" s="8" t="s">
        <v>40</v>
      </c>
      <c r="Z664" s="8">
        <f t="shared" ref="Z664:AI664" si="1847">SUM(D668)</f>
        <v>24</v>
      </c>
      <c r="AA664" s="9">
        <f t="shared" ca="1" si="1847"/>
        <v>23</v>
      </c>
      <c r="AB664" s="10">
        <f t="shared" ca="1" si="1847"/>
        <v>4579.3230000000003</v>
      </c>
      <c r="AC664" s="9">
        <f t="shared" ca="1" si="1847"/>
        <v>2007</v>
      </c>
      <c r="AD664" s="9">
        <f t="shared" ca="1" si="1847"/>
        <v>0</v>
      </c>
      <c r="AE664" s="9">
        <f t="shared" ca="1" si="1847"/>
        <v>2007</v>
      </c>
      <c r="AF664" s="9">
        <f t="shared" ca="1" si="1847"/>
        <v>2807</v>
      </c>
      <c r="AG664" s="9">
        <f t="shared" ca="1" si="1847"/>
        <v>0</v>
      </c>
      <c r="AH664" s="9">
        <f t="shared" ca="1" si="1847"/>
        <v>2807</v>
      </c>
      <c r="AI664" s="9">
        <f t="shared" ca="1" si="1847"/>
        <v>4814</v>
      </c>
      <c r="AJ664" s="11">
        <f t="shared" ca="1" si="1832"/>
        <v>199.10100000000003</v>
      </c>
      <c r="AK664" s="8">
        <f t="shared" ref="AK664:AK665" si="1848">SUM(O668)</f>
        <v>8239</v>
      </c>
      <c r="AL664" s="12">
        <f t="shared" ca="1" si="1834"/>
        <v>0.58429421046243479</v>
      </c>
      <c r="AM664" s="13">
        <f t="shared" ref="AM664:AM665" si="1849">SUM(Q668)</f>
        <v>1.5</v>
      </c>
      <c r="AN664" s="12">
        <f t="shared" ca="1" si="1836"/>
        <v>0.70083139654777205</v>
      </c>
      <c r="AO664" s="14">
        <f t="shared" ca="1" si="1837"/>
        <v>1.0512470948216581</v>
      </c>
      <c r="AP664" s="13">
        <f t="shared" ref="AP664:AQ664" ca="1" si="1850">SUM(T668)</f>
        <v>161</v>
      </c>
      <c r="AQ664" s="13">
        <f t="shared" ca="1" si="1850"/>
        <v>7</v>
      </c>
      <c r="AR664" s="9">
        <f t="shared" ca="1" si="1839"/>
        <v>209.30434782608697</v>
      </c>
      <c r="AS664" s="76"/>
      <c r="AT664" s="76"/>
    </row>
    <row r="665" spans="1:46" ht="15.75" customHeight="1" x14ac:dyDescent="0.25">
      <c r="A665" s="70"/>
      <c r="B665" s="16">
        <v>12</v>
      </c>
      <c r="C665" s="16" t="s">
        <v>41</v>
      </c>
      <c r="D665" s="17">
        <v>20</v>
      </c>
      <c r="E665" s="18">
        <f ca="1">IFERROR(__xludf.DUMMYFUNCTION("COUNT(IMPORTRANGE(""https://docs.google.com/spreadsheets/d/1VAsUtLQHi7oV9NsI9EIHPnO1bcPJHeRgSbMoxSvPBME/edit"",""25!d2:d25""))"),20)</f>
        <v>20</v>
      </c>
      <c r="F665" s="23">
        <f ca="1">IFERROR(__xludf.DUMMYFUNCTION("SUM(IMPORTRANGE(""https://docs.google.com/spreadsheets/d/1VAsUtLQHi7oV9NsI9EIHPnO1bcPJHeRgSbMoxSvPBME/edit"",""25!Q2:Q25""))"),3993.196)</f>
        <v>3993.1959999999999</v>
      </c>
      <c r="G665" s="18">
        <f ca="1">IFERROR(__xludf.DUMMYFUNCTION("IMPORTRANGE(""https://docs.google.com/spreadsheets/d/1VAsUtLQHi7oV9NsI9EIHPnO1bcPJHeRgSbMoxSvPBME/edit"",""25!e32"")"),799)</f>
        <v>799</v>
      </c>
      <c r="H665" s="18">
        <f ca="1">IFERROR(__xludf.DUMMYFUNCTION("IMPORTRANGE(""https://docs.google.com/spreadsheets/d/1VAsUtLQHi7oV9NsI9EIHPnO1bcPJHeRgSbMoxSvPBME/edit"",""25!e33"")"),0)</f>
        <v>0</v>
      </c>
      <c r="I665" s="18">
        <f t="shared" ca="1" si="1812"/>
        <v>799</v>
      </c>
      <c r="J665" s="18">
        <f ca="1">IFERROR(__xludf.DUMMYFUNCTION("IMPORTRANGE(""https://docs.google.com/spreadsheets/d/1VAsUtLQHi7oV9NsI9EIHPnO1bcPJHeRgSbMoxSvPBME/edit"",""25!e36"")"),1010)</f>
        <v>1010</v>
      </c>
      <c r="K665" s="18">
        <f ca="1">IFERROR(__xludf.DUMMYFUNCTION("IMPORTRANGE(""https://docs.google.com/spreadsheets/d/1VAsUtLQHi7oV9NsI9EIHPnO1bcPJHeRgSbMoxSvPBME/edit"",""25!e37"")"),53)</f>
        <v>53</v>
      </c>
      <c r="L665" s="18">
        <f t="shared" ca="1" si="1842"/>
        <v>1063</v>
      </c>
      <c r="M665" s="18">
        <f t="shared" ca="1" si="1814"/>
        <v>1862</v>
      </c>
      <c r="N665" s="19">
        <f t="shared" ca="1" si="1815"/>
        <v>199.65979999999999</v>
      </c>
      <c r="O665" s="16">
        <v>3801</v>
      </c>
      <c r="P665" s="20">
        <f t="shared" ca="1" si="1816"/>
        <v>0.48987108655616945</v>
      </c>
      <c r="Q665" s="21">
        <v>1.5</v>
      </c>
      <c r="R665" s="20">
        <f t="shared" ca="1" si="1817"/>
        <v>0.31086210978207268</v>
      </c>
      <c r="S665" s="22">
        <f t="shared" ca="1" si="1818"/>
        <v>0.466293164673109</v>
      </c>
      <c r="T665" s="21">
        <f ca="1">F665/29.628</f>
        <v>134.77777777777777</v>
      </c>
      <c r="U665" s="21">
        <f t="shared" ca="1" si="1819"/>
        <v>6.7388888888888889</v>
      </c>
      <c r="V665" s="18">
        <f t="shared" ca="1" si="1820"/>
        <v>93.1</v>
      </c>
      <c r="W665" s="76"/>
      <c r="X665" s="8">
        <v>6</v>
      </c>
      <c r="Y665" s="8" t="s">
        <v>42</v>
      </c>
      <c r="Z665" s="8">
        <f t="shared" ref="Z665:AI665" si="1851">SUM(D669)</f>
        <v>26</v>
      </c>
      <c r="AA665" s="9">
        <f t="shared" ca="1" si="1851"/>
        <v>25</v>
      </c>
      <c r="AB665" s="10">
        <f t="shared" ca="1" si="1851"/>
        <v>4960.21899999999</v>
      </c>
      <c r="AC665" s="9">
        <f t="shared" ca="1" si="1851"/>
        <v>2049</v>
      </c>
      <c r="AD665" s="9">
        <f t="shared" ca="1" si="1851"/>
        <v>85</v>
      </c>
      <c r="AE665" s="9">
        <f t="shared" ca="1" si="1851"/>
        <v>2134</v>
      </c>
      <c r="AF665" s="9">
        <f t="shared" ca="1" si="1851"/>
        <v>2674</v>
      </c>
      <c r="AG665" s="9">
        <f t="shared" ca="1" si="1851"/>
        <v>131</v>
      </c>
      <c r="AH665" s="9">
        <f t="shared" ca="1" si="1851"/>
        <v>2805</v>
      </c>
      <c r="AI665" s="9">
        <f t="shared" ca="1" si="1851"/>
        <v>4939</v>
      </c>
      <c r="AJ665" s="11">
        <f t="shared" ca="1" si="1832"/>
        <v>198.4087599999996</v>
      </c>
      <c r="AK665" s="8">
        <f t="shared" si="1848"/>
        <v>9877</v>
      </c>
      <c r="AL665" s="12">
        <f t="shared" ca="1" si="1834"/>
        <v>0.50005062265870204</v>
      </c>
      <c r="AM665" s="13">
        <f t="shared" si="1849"/>
        <v>1.5</v>
      </c>
      <c r="AN665" s="12">
        <f t="shared" ca="1" si="1836"/>
        <v>0.66381477645778808</v>
      </c>
      <c r="AO665" s="14">
        <f t="shared" ca="1" si="1837"/>
        <v>0.99572216468668218</v>
      </c>
      <c r="AP665" s="13">
        <f t="shared" ref="AP665:AQ665" ca="1" si="1852">SUM(T669)</f>
        <v>189.64706557063619</v>
      </c>
      <c r="AQ665" s="13">
        <f t="shared" ca="1" si="1852"/>
        <v>7.5858826228254479</v>
      </c>
      <c r="AR665" s="9">
        <f t="shared" ca="1" si="1839"/>
        <v>197.56</v>
      </c>
      <c r="AS665" s="76"/>
      <c r="AT665" s="76"/>
    </row>
    <row r="666" spans="1:46" ht="15.75" customHeight="1" x14ac:dyDescent="0.25">
      <c r="A666" s="70"/>
      <c r="B666" s="16">
        <v>13</v>
      </c>
      <c r="C666" s="16" t="s">
        <v>43</v>
      </c>
      <c r="D666" s="17">
        <v>24</v>
      </c>
      <c r="E666" s="18">
        <f ca="1">IFERROR(__xludf.DUMMYFUNCTION("COUNT(IMPORTRANGE(""https://docs.google.com/spreadsheets/d/1p9Y_DGk7-TpRBFth-ljZceOIGCjQ0ylUeUq6xqnsZ-Q/edit"",""25!d2:d31""))"),24)</f>
        <v>24</v>
      </c>
      <c r="F666" s="23">
        <f ca="1">IFERROR(__xludf.DUMMYFUNCTION("SUM(IMPORTRANGE(""https://docs.google.com/spreadsheets/d/1p9Y_DGk7-TpRBFth-ljZceOIGCjQ0ylUeUq6xqnsZ-Q/edit"",""25!Q2:Q31""))"),4409.966)</f>
        <v>4409.9660000000003</v>
      </c>
      <c r="G666" s="18">
        <f ca="1">IFERROR(__xludf.DUMMYFUNCTION("IMPORTRANGE(""https://docs.google.com/spreadsheets/d/1p9Y_DGk7-TpRBFth-ljZceOIGCjQ0ylUeUq6xqnsZ-Q/edit"",""25!e38"")"),1418)</f>
        <v>1418</v>
      </c>
      <c r="H666" s="18">
        <f ca="1">IFERROR(__xludf.DUMMYFUNCTION("IMPORTRANGE(""https://docs.google.com/spreadsheets/d/1p9Y_DGk7-TpRBFth-ljZceOIGCjQ0ylUeUq6xqnsZ-Q/edit"",""25!e39"")"),0)</f>
        <v>0</v>
      </c>
      <c r="I666" s="18">
        <f t="shared" ca="1" si="1812"/>
        <v>1418</v>
      </c>
      <c r="J666" s="18">
        <f ca="1">IFERROR(__xludf.DUMMYFUNCTION("IMPORTRANGE(""https://docs.google.com/spreadsheets/d/1p9Y_DGk7-TpRBFth-ljZceOIGCjQ0ylUeUq6xqnsZ-Q/edit"",""25!e42"")"),1903)</f>
        <v>1903</v>
      </c>
      <c r="K666" s="18">
        <f ca="1">IFERROR(__xludf.DUMMYFUNCTION("IMPORTRANGE(""https://docs.google.com/spreadsheets/d/1p9Y_DGk7-TpRBFth-ljZceOIGCjQ0ylUeUq6xqnsZ-Q/edit"",""25!e43"")"),366)</f>
        <v>366</v>
      </c>
      <c r="L666" s="18">
        <f t="shared" ca="1" si="1842"/>
        <v>2269</v>
      </c>
      <c r="M666" s="18">
        <f t="shared" ca="1" si="1814"/>
        <v>3687</v>
      </c>
      <c r="N666" s="19">
        <f t="shared" ca="1" si="1815"/>
        <v>183.74858333333336</v>
      </c>
      <c r="O666" s="16">
        <v>8345</v>
      </c>
      <c r="P666" s="20">
        <f t="shared" ca="1" si="1816"/>
        <v>0.44182144997004197</v>
      </c>
      <c r="Q666" s="21">
        <v>1.5</v>
      </c>
      <c r="R666" s="20">
        <f t="shared" ca="1" si="1817"/>
        <v>0.55737391172630357</v>
      </c>
      <c r="S666" s="22">
        <f t="shared" ca="1" si="1818"/>
        <v>0.8360608675894553</v>
      </c>
      <c r="T666" s="21">
        <f ca="1">F666/41.205</f>
        <v>107.025021235287</v>
      </c>
      <c r="U666" s="21">
        <f t="shared" ca="1" si="1819"/>
        <v>4.4593758848036247</v>
      </c>
      <c r="V666" s="18">
        <f t="shared" ca="1" si="1820"/>
        <v>153.625</v>
      </c>
      <c r="W666" s="76"/>
      <c r="X666" s="24" t="s">
        <v>33</v>
      </c>
      <c r="Y666" s="24">
        <v>6</v>
      </c>
      <c r="Z666" s="24">
        <f t="shared" ref="Z666:AI666" si="1853">SUM(Z660:Z665)</f>
        <v>180</v>
      </c>
      <c r="AA666" s="25">
        <f t="shared" ca="1" si="1853"/>
        <v>178</v>
      </c>
      <c r="AB666" s="27">
        <f t="shared" ca="1" si="1853"/>
        <v>34932.95999999997</v>
      </c>
      <c r="AC666" s="25">
        <f t="shared" ca="1" si="1853"/>
        <v>11201</v>
      </c>
      <c r="AD666" s="25">
        <f t="shared" ca="1" si="1853"/>
        <v>127</v>
      </c>
      <c r="AE666" s="25">
        <f t="shared" ca="1" si="1853"/>
        <v>11328</v>
      </c>
      <c r="AF666" s="25">
        <f t="shared" ca="1" si="1853"/>
        <v>15482</v>
      </c>
      <c r="AG666" s="25">
        <f t="shared" ca="1" si="1853"/>
        <v>890</v>
      </c>
      <c r="AH666" s="25">
        <f t="shared" ca="1" si="1853"/>
        <v>16372</v>
      </c>
      <c r="AI666" s="25">
        <f t="shared" ca="1" si="1853"/>
        <v>27700</v>
      </c>
      <c r="AJ666" s="27">
        <f t="shared" ca="1" si="1832"/>
        <v>196.25258426966275</v>
      </c>
      <c r="AK666" s="24">
        <f>SUM(AK660:AK665)</f>
        <v>53273</v>
      </c>
      <c r="AL666" s="28">
        <f t="shared" ca="1" si="1834"/>
        <v>0.51996320837947929</v>
      </c>
      <c r="AM666" s="29">
        <v>1.5</v>
      </c>
      <c r="AN666" s="28">
        <f t="shared" ca="1" si="1836"/>
        <v>0.52863160369652851</v>
      </c>
      <c r="AO666" s="30">
        <f t="shared" ca="1" si="1837"/>
        <v>0.79294740554479282</v>
      </c>
      <c r="AP666" s="29">
        <f ca="1">SUM(AP660:AP665)</f>
        <v>1151.579076306904</v>
      </c>
      <c r="AQ666" s="29">
        <f ca="1">AP666/AA666</f>
        <v>6.4695453725106962</v>
      </c>
      <c r="AR666" s="25">
        <f t="shared" ca="1" si="1839"/>
        <v>155.61797752808988</v>
      </c>
      <c r="AS666" s="76"/>
      <c r="AT666" s="76"/>
    </row>
    <row r="667" spans="1:46" ht="15.75" customHeight="1" x14ac:dyDescent="0.25">
      <c r="A667" s="70"/>
      <c r="B667" s="16">
        <v>14</v>
      </c>
      <c r="C667" s="16" t="s">
        <v>27</v>
      </c>
      <c r="D667" s="17">
        <v>24</v>
      </c>
      <c r="E667" s="18">
        <f ca="1">IFERROR(__xludf.DUMMYFUNCTION("COUNT(IMPORTRANGE(""https://docs.google.com/spreadsheets/d/1zJUDEKztv_fercXA0LYNw155qdzS7TJGhWLhquaW5IY/edit"",""25!d2:d31""))"),22)</f>
        <v>22</v>
      </c>
      <c r="F667" s="23">
        <f ca="1">IFERROR(__xludf.DUMMYFUNCTION("SUM(IMPORTRANGE(""https://docs.google.com/spreadsheets/d/1zJUDEKztv_fercXA0LYNw155qdzS7TJGhWLhquaW5IY/edit"",""25!Q2:Q31""))"),4212.72799999999)</f>
        <v>4212.7279999999901</v>
      </c>
      <c r="G667" s="18">
        <f ca="1">IFERROR(__xludf.DUMMYFUNCTION("IMPORTRANGE(""https://docs.google.com/spreadsheets/d/1zJUDEKztv_fercXA0LYNw155qdzS7TJGhWLhquaW5IY/edit"",""25!e38"")"),1365)</f>
        <v>1365</v>
      </c>
      <c r="H667" s="18">
        <f ca="1">IFERROR(__xludf.DUMMYFUNCTION("IMPORTRANGE(""https://docs.google.com/spreadsheets/d/1zJUDEKztv_fercXA0LYNw155qdzS7TJGhWLhquaW5IY/edit"",""25!e39"")"),0)</f>
        <v>0</v>
      </c>
      <c r="I667" s="18">
        <f t="shared" ca="1" si="1812"/>
        <v>1365</v>
      </c>
      <c r="J667" s="18">
        <f ca="1">IFERROR(__xludf.DUMMYFUNCTION("IMPORTRANGE(""https://docs.google.com/spreadsheets/d/1zJUDEKztv_fercXA0LYNw155qdzS7TJGhWLhquaW5IY/edit"",""25!e42"")"),2156)</f>
        <v>2156</v>
      </c>
      <c r="K667" s="18">
        <f ca="1">IFERROR(__xludf.DUMMYFUNCTION("IMPORTRANGE(""https://docs.google.com/spreadsheets/d/1zJUDEKztv_fercXA0LYNw155qdzS7TJGhWLhquaW5IY/edit"",""25!e43"")"),0)</f>
        <v>0</v>
      </c>
      <c r="L667" s="18">
        <f t="shared" ca="1" si="1842"/>
        <v>2156</v>
      </c>
      <c r="M667" s="18">
        <f t="shared" ca="1" si="1814"/>
        <v>3521</v>
      </c>
      <c r="N667" s="19">
        <f t="shared" ca="1" si="1815"/>
        <v>191.48763636363591</v>
      </c>
      <c r="O667" s="16">
        <v>8101</v>
      </c>
      <c r="P667" s="20">
        <f t="shared" ca="1" si="1816"/>
        <v>0.43463769904950006</v>
      </c>
      <c r="Q667" s="21">
        <v>1.5</v>
      </c>
      <c r="R667" s="20">
        <f t="shared" ca="1" si="1817"/>
        <v>0.55720030662633302</v>
      </c>
      <c r="S667" s="22">
        <f t="shared" ca="1" si="1818"/>
        <v>0.83580045993949958</v>
      </c>
      <c r="T667" s="21">
        <f ca="1">F667/19.985</f>
        <v>210.79449587190345</v>
      </c>
      <c r="U667" s="21">
        <f t="shared" ca="1" si="1819"/>
        <v>9.5815679941774299</v>
      </c>
      <c r="V667" s="18">
        <f t="shared" ca="1" si="1820"/>
        <v>160.04545454545453</v>
      </c>
      <c r="W667" s="76"/>
      <c r="X667" s="97" t="s">
        <v>44</v>
      </c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9"/>
      <c r="AS667" s="76"/>
      <c r="AT667" s="76"/>
    </row>
    <row r="668" spans="1:46" ht="15.75" customHeight="1" x14ac:dyDescent="0.25">
      <c r="A668" s="70"/>
      <c r="B668" s="16">
        <v>15</v>
      </c>
      <c r="C668" s="16" t="s">
        <v>40</v>
      </c>
      <c r="D668" s="17">
        <v>24</v>
      </c>
      <c r="E668" s="18">
        <f ca="1">IFERROR(__xludf.DUMMYFUNCTION("COUNT(IMPORTRANGE(""https://docs.google.com/spreadsheets/d/15GJA66Ucb-8RQ5vWVpq5HYaWoZZFX82SCeHChBujbrI/edit"",""25!d2:d31""))"),23)</f>
        <v>23</v>
      </c>
      <c r="F668" s="23">
        <f ca="1">IFERROR(__xludf.DUMMYFUNCTION("SUM(IMPORTRANGE(""https://docs.google.com/spreadsheets/d/15GJA66Ucb-8RQ5vWVpq5HYaWoZZFX82SCeHChBujbrI/edit"",""25!Q2:Q31""))"),4579.323)</f>
        <v>4579.3230000000003</v>
      </c>
      <c r="G668" s="18">
        <f ca="1">IFERROR(__xludf.DUMMYFUNCTION("IMPORTRANGE(""https://docs.google.com/spreadsheets/d/15GJA66Ucb-8RQ5vWVpq5HYaWoZZFX82SCeHChBujbrI/edit"",""25!e38"")"),2007)</f>
        <v>2007</v>
      </c>
      <c r="H668" s="18">
        <f ca="1">IFERROR(__xludf.DUMMYFUNCTION("IMPORTRANGE(""https://docs.google.com/spreadsheets/d/15GJA66Ucb-8RQ5vWVpq5HYaWoZZFX82SCeHChBujbrI/edit"",""25!e39"")"),0)</f>
        <v>0</v>
      </c>
      <c r="I668" s="18">
        <f t="shared" ca="1" si="1812"/>
        <v>2007</v>
      </c>
      <c r="J668" s="18">
        <f ca="1">IFERROR(__xludf.DUMMYFUNCTION("IMPORTRANGE(""https://docs.google.com/spreadsheets/d/15GJA66Ucb-8RQ5vWVpq5HYaWoZZFX82SCeHChBujbrI/edit"",""25!e42"")"),2807)</f>
        <v>2807</v>
      </c>
      <c r="K668" s="18">
        <f ca="1">IFERROR(__xludf.DUMMYFUNCTION("IMPORTRANGE(""https://docs.google.com/spreadsheets/d/15GJA66Ucb-8RQ5vWVpq5HYaWoZZFX82SCeHChBujbrI/edit"",""25!e43"")"),0)</f>
        <v>0</v>
      </c>
      <c r="L668" s="18">
        <f t="shared" ca="1" si="1842"/>
        <v>2807</v>
      </c>
      <c r="M668" s="18">
        <f t="shared" ca="1" si="1814"/>
        <v>4814</v>
      </c>
      <c r="N668" s="19">
        <f t="shared" ca="1" si="1815"/>
        <v>199.10100000000003</v>
      </c>
      <c r="O668" s="16">
        <v>8239</v>
      </c>
      <c r="P668" s="20">
        <f t="shared" ca="1" si="1816"/>
        <v>0.58429421046243479</v>
      </c>
      <c r="Q668" s="21">
        <v>1.5</v>
      </c>
      <c r="R668" s="20">
        <f t="shared" ca="1" si="1817"/>
        <v>0.70083139654777205</v>
      </c>
      <c r="S668" s="22">
        <f t="shared" ca="1" si="1818"/>
        <v>1.0512470948216581</v>
      </c>
      <c r="T668" s="21">
        <f ca="1">F668/28.443</f>
        <v>161</v>
      </c>
      <c r="U668" s="21">
        <f t="shared" ca="1" si="1819"/>
        <v>7</v>
      </c>
      <c r="V668" s="18">
        <f t="shared" ca="1" si="1820"/>
        <v>209.30434782608697</v>
      </c>
      <c r="W668" s="76"/>
      <c r="X668" s="1" t="s">
        <v>2</v>
      </c>
      <c r="Y668" s="1" t="s">
        <v>3</v>
      </c>
      <c r="Z668" s="1" t="s">
        <v>4</v>
      </c>
      <c r="AA668" s="1" t="s">
        <v>5</v>
      </c>
      <c r="AB668" s="2" t="s">
        <v>6</v>
      </c>
      <c r="AC668" s="1" t="s">
        <v>7</v>
      </c>
      <c r="AD668" s="1" t="s">
        <v>8</v>
      </c>
      <c r="AE668" s="1" t="s">
        <v>9</v>
      </c>
      <c r="AF668" s="1" t="s">
        <v>10</v>
      </c>
      <c r="AG668" s="1" t="s">
        <v>11</v>
      </c>
      <c r="AH668" s="1" t="s">
        <v>12</v>
      </c>
      <c r="AI668" s="1" t="s">
        <v>13</v>
      </c>
      <c r="AJ668" s="2" t="s">
        <v>14</v>
      </c>
      <c r="AK668" s="1" t="s">
        <v>15</v>
      </c>
      <c r="AL668" s="1" t="s">
        <v>16</v>
      </c>
      <c r="AM668" s="3" t="s">
        <v>17</v>
      </c>
      <c r="AN668" s="4" t="s">
        <v>18</v>
      </c>
      <c r="AO668" s="5" t="s">
        <v>19</v>
      </c>
      <c r="AP668" s="6" t="s">
        <v>20</v>
      </c>
      <c r="AQ668" s="6" t="s">
        <v>21</v>
      </c>
      <c r="AR668" s="7" t="s">
        <v>22</v>
      </c>
      <c r="AS668" s="76"/>
      <c r="AT668" s="76"/>
    </row>
    <row r="669" spans="1:46" ht="15.75" customHeight="1" x14ac:dyDescent="0.25">
      <c r="A669" s="70"/>
      <c r="B669" s="16">
        <v>16</v>
      </c>
      <c r="C669" s="16" t="s">
        <v>42</v>
      </c>
      <c r="D669" s="17">
        <v>26</v>
      </c>
      <c r="E669" s="18">
        <f ca="1">IFERROR(__xludf.DUMMYFUNCTION("COUNT(IMPORTRANGE(""https://docs.google.com/spreadsheets/d/14Tu_jFPEdrIQ6DHYu6vRvJKQsbXr-48NY1tKy4-8JKI/edit"",""25!d2:d34""))"),25)</f>
        <v>25</v>
      </c>
      <c r="F669" s="23">
        <f ca="1">IFERROR(__xludf.DUMMYFUNCTION("SUM(IMPORTRANGE(""https://docs.google.com/spreadsheets/d/14Tu_jFPEdrIQ6DHYu6vRvJKQsbXr-48NY1tKy4-8JKI/edit"",""25!Q2:Q34""))"),4960.21899999999)</f>
        <v>4960.21899999999</v>
      </c>
      <c r="G669" s="18">
        <f ca="1">IFERROR(__xludf.DUMMYFUNCTION("IMPORTRANGE(""https://docs.google.com/spreadsheets/d/14Tu_jFPEdrIQ6DHYu6vRvJKQsbXr-48NY1tKy4-8JKI/edit"",""25!e41"")"),2049)</f>
        <v>2049</v>
      </c>
      <c r="H669" s="18">
        <f ca="1">IFERROR(__xludf.DUMMYFUNCTION("IMPORTRANGE(""https://docs.google.com/spreadsheets/d/14Tu_jFPEdrIQ6DHYu6vRvJKQsbXr-48NY1tKy4-8JKI/edit"",""25!e42"")"),85)</f>
        <v>85</v>
      </c>
      <c r="I669" s="18">
        <f t="shared" ca="1" si="1812"/>
        <v>2134</v>
      </c>
      <c r="J669" s="18">
        <f ca="1">IFERROR(__xludf.DUMMYFUNCTION("IMPORTRANGE(""https://docs.google.com/spreadsheets/d/14Tu_jFPEdrIQ6DHYu6vRvJKQsbXr-48NY1tKy4-8JKI/edit"",""25!e45"")"),2674)</f>
        <v>2674</v>
      </c>
      <c r="K669" s="18">
        <f ca="1">IFERROR(__xludf.DUMMYFUNCTION("IMPORTRANGE(""https://docs.google.com/spreadsheets/d/14Tu_jFPEdrIQ6DHYu6vRvJKQsbXr-48NY1tKy4-8JKI/edit"",""25!e46"")"),131)</f>
        <v>131</v>
      </c>
      <c r="L669" s="18">
        <f t="shared" ca="1" si="1842"/>
        <v>2805</v>
      </c>
      <c r="M669" s="18">
        <f t="shared" ca="1" si="1814"/>
        <v>4939</v>
      </c>
      <c r="N669" s="19">
        <f t="shared" ca="1" si="1815"/>
        <v>198.4087599999996</v>
      </c>
      <c r="O669" s="16">
        <v>9877</v>
      </c>
      <c r="P669" s="20">
        <f t="shared" ca="1" si="1816"/>
        <v>0.50005062265870204</v>
      </c>
      <c r="Q669" s="21">
        <v>1.5</v>
      </c>
      <c r="R669" s="20">
        <f t="shared" ca="1" si="1817"/>
        <v>0.66381477645778808</v>
      </c>
      <c r="S669" s="22">
        <f t="shared" ca="1" si="1818"/>
        <v>0.99572216468668218</v>
      </c>
      <c r="T669" s="21">
        <f ca="1">F669/26.155</f>
        <v>189.64706557063619</v>
      </c>
      <c r="U669" s="21">
        <f t="shared" ca="1" si="1819"/>
        <v>7.5858826228254479</v>
      </c>
      <c r="V669" s="18">
        <f t="shared" ca="1" si="1820"/>
        <v>197.56</v>
      </c>
      <c r="W669" s="76"/>
      <c r="X669" s="8">
        <v>1</v>
      </c>
      <c r="Y669" s="8" t="s">
        <v>26</v>
      </c>
      <c r="Z669" s="8">
        <f t="shared" ref="Z669:AI669" si="1854">SUM(D654)</f>
        <v>16</v>
      </c>
      <c r="AA669" s="9">
        <f t="shared" ca="1" si="1854"/>
        <v>15</v>
      </c>
      <c r="AB669" s="11">
        <f t="shared" ca="1" si="1854"/>
        <v>2775.27</v>
      </c>
      <c r="AC669" s="9">
        <f t="shared" ca="1" si="1854"/>
        <v>1176</v>
      </c>
      <c r="AD669" s="9">
        <f t="shared" ca="1" si="1854"/>
        <v>0</v>
      </c>
      <c r="AE669" s="9">
        <f t="shared" ca="1" si="1854"/>
        <v>1176</v>
      </c>
      <c r="AF669" s="9">
        <f t="shared" ca="1" si="1854"/>
        <v>1951</v>
      </c>
      <c r="AG669" s="9">
        <f t="shared" ca="1" si="1854"/>
        <v>0</v>
      </c>
      <c r="AH669" s="9">
        <f t="shared" ca="1" si="1854"/>
        <v>1951</v>
      </c>
      <c r="AI669" s="9">
        <f t="shared" ca="1" si="1854"/>
        <v>3127</v>
      </c>
      <c r="AJ669" s="11">
        <f t="shared" ref="AJ669:AJ675" ca="1" si="1855">AB669/AA669</f>
        <v>185.018</v>
      </c>
      <c r="AK669" s="8">
        <f>SUM(O654)</f>
        <v>5161</v>
      </c>
      <c r="AL669" s="12">
        <f t="shared" ref="AL669:AL675" ca="1" si="1856">AI669/AK669</f>
        <v>0.60589033133113734</v>
      </c>
      <c r="AM669" s="13">
        <f>SUM(Q654)</f>
        <v>1.5</v>
      </c>
      <c r="AN669" s="12">
        <f t="shared" ref="AN669:AN675" ca="1" si="1857">AO669/AM669</f>
        <v>0.75115814557382399</v>
      </c>
      <c r="AO669" s="14">
        <f t="shared" ref="AO669:AO675" ca="1" si="1858">AI669/AB669</f>
        <v>1.126737218360736</v>
      </c>
      <c r="AP669" s="13">
        <f t="shared" ref="AP669:AQ669" ca="1" si="1859">SUM(T654)</f>
        <v>192.52653485952135</v>
      </c>
      <c r="AQ669" s="13">
        <f t="shared" ca="1" si="1859"/>
        <v>12.835102323968091</v>
      </c>
      <c r="AR669" s="9">
        <f t="shared" ref="AR669:AR675" ca="1" si="1860">AI669/AA669</f>
        <v>208.46666666666667</v>
      </c>
      <c r="AS669" s="76"/>
      <c r="AT669" s="76"/>
    </row>
    <row r="670" spans="1:46" ht="15.75" customHeight="1" x14ac:dyDescent="0.25">
      <c r="A670" s="70"/>
      <c r="B670" s="16">
        <v>17</v>
      </c>
      <c r="C670" s="16" t="s">
        <v>29</v>
      </c>
      <c r="D670" s="17">
        <v>24</v>
      </c>
      <c r="E670" s="18">
        <f ca="1">IFERROR(__xludf.DUMMYFUNCTION("COUNT(IMPORTRANGE(""https://docs.google.com/spreadsheets/d/1ja_RQYsP0p5wRrACHojay4CW1wLx0QdS5tSwp-vYQ-s/edit"",""25!d2:d31""))"),23)</f>
        <v>23</v>
      </c>
      <c r="F670" s="23">
        <f ca="1">IFERROR(__xludf.DUMMYFUNCTION("SUM(IMPORTRANGE(""https://docs.google.com/spreadsheets/d/1ja_RQYsP0p5wRrACHojay4CW1wLx0QdS5tSwp-vYQ-s/edit"",""25!Q2:Q31""))"),4476.97899999999)</f>
        <v>4476.9789999999903</v>
      </c>
      <c r="G670" s="18">
        <f ca="1">IFERROR(__xludf.DUMMYFUNCTION("IMPORTRANGE(""https://docs.google.com/spreadsheets/d/1ja_RQYsP0p5wRrACHojay4CW1wLx0QdS5tSwp-vYQ-s/edit"",""25!e38"")"),1477)</f>
        <v>1477</v>
      </c>
      <c r="H670" s="18">
        <f ca="1">IFERROR(__xludf.DUMMYFUNCTION("IMPORTRANGE(""https://docs.google.com/spreadsheets/d/1ja_RQYsP0p5wRrACHojay4CW1wLx0QdS5tSwp-vYQ-s/edit"",""25!e39"")"),0)</f>
        <v>0</v>
      </c>
      <c r="I670" s="18">
        <f t="shared" ca="1" si="1812"/>
        <v>1477</v>
      </c>
      <c r="J670" s="18">
        <f ca="1">IFERROR(__xludf.DUMMYFUNCTION("IMPORTRANGE(""https://docs.google.com/spreadsheets/d/1ja_RQYsP0p5wRrACHojay4CW1wLx0QdS5tSwp-vYQ-s/edit"",""25!e42"")"),2375)</f>
        <v>2375</v>
      </c>
      <c r="K670" s="18">
        <f ca="1">IFERROR(__xludf.DUMMYFUNCTION("IMPORTRANGE(""https://docs.google.com/spreadsheets/d/1ja_RQYsP0p5wRrACHojay4CW1wLx0QdS5tSwp-vYQ-s/edit"",""25!e43"")"),0)</f>
        <v>0</v>
      </c>
      <c r="L670" s="18">
        <f t="shared" ca="1" si="1842"/>
        <v>2375</v>
      </c>
      <c r="M670" s="18">
        <f t="shared" ca="1" si="1814"/>
        <v>3852</v>
      </c>
      <c r="N670" s="19">
        <f t="shared" ca="1" si="1815"/>
        <v>194.65126086956479</v>
      </c>
      <c r="O670" s="16">
        <v>9201</v>
      </c>
      <c r="P670" s="20">
        <f t="shared" ca="1" si="1816"/>
        <v>0.41865014672318224</v>
      </c>
      <c r="Q670" s="21">
        <v>1.5</v>
      </c>
      <c r="R670" s="20">
        <f t="shared" ca="1" si="1817"/>
        <v>0.5736010823369968</v>
      </c>
      <c r="S670" s="22">
        <f t="shared" ca="1" si="1818"/>
        <v>0.86040162350549521</v>
      </c>
      <c r="T670" s="21">
        <f ca="1">F670/26.491</f>
        <v>168.99999999999963</v>
      </c>
      <c r="U670" s="21">
        <f t="shared" ca="1" si="1819"/>
        <v>7.3478260869565055</v>
      </c>
      <c r="V670" s="18">
        <f t="shared" ca="1" si="1820"/>
        <v>167.47826086956522</v>
      </c>
      <c r="W670" s="76"/>
      <c r="X670" s="8">
        <v>2</v>
      </c>
      <c r="Y670" s="8" t="s">
        <v>32</v>
      </c>
      <c r="Z670" s="8">
        <f t="shared" ref="Z670:AI670" si="1861">SUM(D657)</f>
        <v>33</v>
      </c>
      <c r="AA670" s="9">
        <f t="shared" ca="1" si="1861"/>
        <v>31</v>
      </c>
      <c r="AB670" s="10">
        <f t="shared" ca="1" si="1861"/>
        <v>6222.0719999999901</v>
      </c>
      <c r="AC670" s="8">
        <f t="shared" ca="1" si="1861"/>
        <v>2870</v>
      </c>
      <c r="AD670" s="8">
        <f t="shared" ca="1" si="1861"/>
        <v>0</v>
      </c>
      <c r="AE670" s="9">
        <f t="shared" ca="1" si="1861"/>
        <v>2870</v>
      </c>
      <c r="AF670" s="8">
        <f t="shared" ca="1" si="1861"/>
        <v>4009</v>
      </c>
      <c r="AG670" s="8">
        <f t="shared" ca="1" si="1861"/>
        <v>0</v>
      </c>
      <c r="AH670" s="9">
        <f t="shared" ca="1" si="1861"/>
        <v>4009</v>
      </c>
      <c r="AI670" s="9">
        <f t="shared" ca="1" si="1861"/>
        <v>6879</v>
      </c>
      <c r="AJ670" s="11">
        <f t="shared" ca="1" si="1855"/>
        <v>200.71199999999968</v>
      </c>
      <c r="AK670" s="8">
        <f>SUM(O657)</f>
        <v>13817</v>
      </c>
      <c r="AL670" s="12">
        <f t="shared" ca="1" si="1856"/>
        <v>0.49786494897589928</v>
      </c>
      <c r="AM670" s="13">
        <f>SUM(Q657)</f>
        <v>1.5</v>
      </c>
      <c r="AN670" s="12">
        <f t="shared" ca="1" si="1857"/>
        <v>0.73705350886328658</v>
      </c>
      <c r="AO670" s="14">
        <f t="shared" ca="1" si="1858"/>
        <v>1.1055802632949299</v>
      </c>
      <c r="AP670" s="13">
        <f t="shared" ref="AP670:AQ670" ca="1" si="1862">SUM(T657)</f>
        <v>247.99999999999963</v>
      </c>
      <c r="AQ670" s="13">
        <f t="shared" ca="1" si="1862"/>
        <v>7.9999999999999885</v>
      </c>
      <c r="AR670" s="9">
        <f t="shared" ca="1" si="1860"/>
        <v>221.90322580645162</v>
      </c>
      <c r="AS670" s="76"/>
      <c r="AT670" s="76"/>
    </row>
    <row r="671" spans="1:46" ht="15.75" customHeight="1" x14ac:dyDescent="0.25">
      <c r="A671" s="70"/>
      <c r="B671" s="16">
        <v>18</v>
      </c>
      <c r="C671" s="16" t="s">
        <v>31</v>
      </c>
      <c r="D671" s="17">
        <v>12</v>
      </c>
      <c r="E671" s="18">
        <f ca="1">IFERROR(__xludf.DUMMYFUNCTION("COUNT(IMPORTRANGE(""https://docs.google.com/spreadsheets/d/1ObnK1oSznTOmyW9Zcd2kxExl7TOnO2MNq_0giEKc_mE/edit"",""25!d2:d16""))"),11)</f>
        <v>11</v>
      </c>
      <c r="F671" s="19">
        <f ca="1">IFERROR(__xludf.DUMMYFUNCTION("SUM(IMPORTRANGE(""https://docs.google.com/spreadsheets/d/1ObnK1oSznTOmyW9Zcd2kxExl7TOnO2MNq_0giEKc_mE/edit"",""25!Q2:Q16""))"),2260.18)</f>
        <v>2260.1799999999998</v>
      </c>
      <c r="G671" s="18">
        <f ca="1">IFERROR(__xludf.DUMMYFUNCTION("IMPORTRANGE(""https://docs.google.com/spreadsheets/d/1ObnK1oSznTOmyW9Zcd2kxExl7TOnO2MNq_0giEKc_mE/edit"",""25!e23"")"),417)</f>
        <v>417</v>
      </c>
      <c r="H671" s="18">
        <f ca="1">IFERROR(__xludf.DUMMYFUNCTION("IMPORTRANGE(""https://docs.google.com/spreadsheets/d/1ObnK1oSznTOmyW9Zcd2kxExl7TOnO2MNq_0giEKc_mE/edit"",""25!e24"")"),0)</f>
        <v>0</v>
      </c>
      <c r="I671" s="18">
        <f t="shared" ca="1" si="1812"/>
        <v>417</v>
      </c>
      <c r="J671" s="18">
        <f ca="1">IFERROR(__xludf.DUMMYFUNCTION("IMPORTRANGE(""https://docs.google.com/spreadsheets/d/1ObnK1oSznTOmyW9Zcd2kxExl7TOnO2MNq_0giEKc_mE/edit"",""25!e27"")"),624)</f>
        <v>624</v>
      </c>
      <c r="K671" s="18">
        <f ca="1">IFERROR(__xludf.DUMMYFUNCTION("IMPORTRANGE(""https://docs.google.com/spreadsheets/d/1ObnK1oSznTOmyW9Zcd2kxExl7TOnO2MNq_0giEKc_mE/edit"",""25!e28"")"),0)</f>
        <v>0</v>
      </c>
      <c r="L671" s="18">
        <f t="shared" ca="1" si="1842"/>
        <v>624</v>
      </c>
      <c r="M671" s="18">
        <f t="shared" ca="1" si="1814"/>
        <v>1041</v>
      </c>
      <c r="N671" s="19">
        <f t="shared" ca="1" si="1815"/>
        <v>205.47090909090909</v>
      </c>
      <c r="O671" s="16">
        <v>2717</v>
      </c>
      <c r="P671" s="20">
        <f t="shared" ca="1" si="1816"/>
        <v>0.38314317261685682</v>
      </c>
      <c r="Q671" s="21">
        <v>1.5</v>
      </c>
      <c r="R671" s="20">
        <f t="shared" ca="1" si="1817"/>
        <v>0.30705519029457834</v>
      </c>
      <c r="S671" s="22">
        <f t="shared" ca="1" si="1818"/>
        <v>0.46058278544186748</v>
      </c>
      <c r="T671" s="21">
        <f ca="1">F671/43.465</f>
        <v>51.999999999999993</v>
      </c>
      <c r="U671" s="21">
        <f t="shared" ca="1" si="1819"/>
        <v>4.7272727272727266</v>
      </c>
      <c r="V671" s="18">
        <f t="shared" ca="1" si="1820"/>
        <v>94.63636363636364</v>
      </c>
      <c r="W671" s="76"/>
      <c r="X671" s="8">
        <v>3</v>
      </c>
      <c r="Y671" s="8" t="s">
        <v>36</v>
      </c>
      <c r="Z671" s="8">
        <f t="shared" ref="Z671:AI671" si="1863">SUM(D662)</f>
        <v>23</v>
      </c>
      <c r="AA671" s="9">
        <f t="shared" ca="1" si="1863"/>
        <v>23</v>
      </c>
      <c r="AB671" s="10">
        <f t="shared" ca="1" si="1863"/>
        <v>4483.2959999999903</v>
      </c>
      <c r="AC671" s="9">
        <f t="shared" ca="1" si="1863"/>
        <v>1346</v>
      </c>
      <c r="AD671" s="9">
        <f t="shared" ca="1" si="1863"/>
        <v>0</v>
      </c>
      <c r="AE671" s="9">
        <f t="shared" ca="1" si="1863"/>
        <v>1346</v>
      </c>
      <c r="AF671" s="9">
        <f t="shared" ca="1" si="1863"/>
        <v>947</v>
      </c>
      <c r="AG671" s="9">
        <f t="shared" ca="1" si="1863"/>
        <v>0</v>
      </c>
      <c r="AH671" s="9">
        <f t="shared" ca="1" si="1863"/>
        <v>947</v>
      </c>
      <c r="AI671" s="9">
        <f t="shared" ca="1" si="1863"/>
        <v>2293</v>
      </c>
      <c r="AJ671" s="11">
        <f t="shared" ca="1" si="1855"/>
        <v>194.92591304347783</v>
      </c>
      <c r="AK671" s="8">
        <f t="shared" ref="AK671:AK674" si="1864">SUM(O662)</f>
        <v>4796</v>
      </c>
      <c r="AL671" s="12">
        <f t="shared" ca="1" si="1856"/>
        <v>0.4781067556296914</v>
      </c>
      <c r="AM671" s="13">
        <f t="shared" ref="AM671:AM674" si="1865">SUM(Q662)</f>
        <v>1.5</v>
      </c>
      <c r="AN671" s="12">
        <f t="shared" ca="1" si="1857"/>
        <v>0.34096938204987359</v>
      </c>
      <c r="AO671" s="14">
        <f t="shared" ca="1" si="1858"/>
        <v>0.51145407307481039</v>
      </c>
      <c r="AP671" s="13">
        <f t="shared" ref="AP671:AQ671" ca="1" si="1866">SUM(T662)</f>
        <v>119.82936868551853</v>
      </c>
      <c r="AQ671" s="13">
        <f t="shared" ca="1" si="1866"/>
        <v>5.2099725515442836</v>
      </c>
      <c r="AR671" s="9">
        <f t="shared" ca="1" si="1860"/>
        <v>99.695652173913047</v>
      </c>
      <c r="AS671" s="76"/>
      <c r="AT671" s="76"/>
    </row>
    <row r="672" spans="1:46" ht="15.75" customHeight="1" x14ac:dyDescent="0.2">
      <c r="A672" s="70"/>
      <c r="B672" s="98" t="s">
        <v>33</v>
      </c>
      <c r="C672" s="98">
        <v>18</v>
      </c>
      <c r="D672" s="98">
        <f t="shared" ref="D672:M672" si="1867">SUM(D654:D671)</f>
        <v>470</v>
      </c>
      <c r="E672" s="74">
        <f t="shared" ca="1" si="1867"/>
        <v>457</v>
      </c>
      <c r="F672" s="99">
        <f t="shared" ca="1" si="1867"/>
        <v>89487.373999999894</v>
      </c>
      <c r="G672" s="74">
        <f t="shared" ca="1" si="1867"/>
        <v>25845</v>
      </c>
      <c r="H672" s="74">
        <f t="shared" ca="1" si="1867"/>
        <v>420</v>
      </c>
      <c r="I672" s="74">
        <f t="shared" ca="1" si="1867"/>
        <v>26265</v>
      </c>
      <c r="J672" s="74">
        <f t="shared" ca="1" si="1867"/>
        <v>35854</v>
      </c>
      <c r="K672" s="74">
        <f t="shared" ca="1" si="1867"/>
        <v>1318</v>
      </c>
      <c r="L672" s="74">
        <f t="shared" ca="1" si="1867"/>
        <v>37172</v>
      </c>
      <c r="M672" s="74">
        <f t="shared" ca="1" si="1867"/>
        <v>63437</v>
      </c>
      <c r="N672" s="99">
        <f t="shared" ca="1" si="1815"/>
        <v>195.81482275711136</v>
      </c>
      <c r="O672" s="98">
        <f>SUM(O654:O671)</f>
        <v>126399</v>
      </c>
      <c r="P672" s="69">
        <f t="shared" ca="1" si="1816"/>
        <v>0.50187897056147601</v>
      </c>
      <c r="Q672" s="72">
        <v>1.5</v>
      </c>
      <c r="R672" s="69">
        <f t="shared" ca="1" si="1817"/>
        <v>0.47259553435251528</v>
      </c>
      <c r="S672" s="73">
        <f t="shared" ca="1" si="1818"/>
        <v>0.70889330152877295</v>
      </c>
      <c r="T672" s="72">
        <f ca="1">SUM(T654:T671)</f>
        <v>3285.9378027652228</v>
      </c>
      <c r="U672" s="72">
        <f t="shared" ca="1" si="1819"/>
        <v>7.1902358922652576</v>
      </c>
      <c r="V672" s="74">
        <f t="shared" ca="1" si="1820"/>
        <v>138.81181619256017</v>
      </c>
      <c r="W672" s="76"/>
      <c r="X672" s="8">
        <v>4</v>
      </c>
      <c r="Y672" s="8" t="s">
        <v>37</v>
      </c>
      <c r="Z672" s="8">
        <f t="shared" ref="Z672:AI672" si="1868">SUM(D663)</f>
        <v>24</v>
      </c>
      <c r="AA672" s="9">
        <f t="shared" ca="1" si="1868"/>
        <v>22</v>
      </c>
      <c r="AB672" s="10">
        <f t="shared" ca="1" si="1868"/>
        <v>4311.1859999999997</v>
      </c>
      <c r="AC672" s="9">
        <f t="shared" ca="1" si="1868"/>
        <v>1044</v>
      </c>
      <c r="AD672" s="9">
        <f t="shared" ca="1" si="1868"/>
        <v>0</v>
      </c>
      <c r="AE672" s="9">
        <f t="shared" ca="1" si="1868"/>
        <v>1044</v>
      </c>
      <c r="AF672" s="9">
        <f t="shared" ca="1" si="1868"/>
        <v>1999</v>
      </c>
      <c r="AG672" s="9">
        <f t="shared" ca="1" si="1868"/>
        <v>0</v>
      </c>
      <c r="AH672" s="9">
        <f t="shared" ca="1" si="1868"/>
        <v>1999</v>
      </c>
      <c r="AI672" s="9">
        <f t="shared" ca="1" si="1868"/>
        <v>3043</v>
      </c>
      <c r="AJ672" s="11">
        <f t="shared" ca="1" si="1855"/>
        <v>195.96299999999999</v>
      </c>
      <c r="AK672" s="8">
        <f t="shared" si="1864"/>
        <v>5887</v>
      </c>
      <c r="AL672" s="12">
        <f t="shared" ca="1" si="1856"/>
        <v>0.51690164769831837</v>
      </c>
      <c r="AM672" s="13">
        <f t="shared" si="1865"/>
        <v>1.5</v>
      </c>
      <c r="AN672" s="12">
        <f t="shared" ca="1" si="1857"/>
        <v>0.47055883616867072</v>
      </c>
      <c r="AO672" s="14">
        <f t="shared" ca="1" si="1858"/>
        <v>0.70583825425300606</v>
      </c>
      <c r="AP672" s="13">
        <f t="shared" ref="AP672:AQ672" ca="1" si="1869">SUM(T663)</f>
        <v>173.89424007744432</v>
      </c>
      <c r="AQ672" s="13">
        <f t="shared" ca="1" si="1869"/>
        <v>7.9042836398838325</v>
      </c>
      <c r="AR672" s="9">
        <f t="shared" ca="1" si="1860"/>
        <v>138.31818181818181</v>
      </c>
      <c r="AS672" s="76"/>
      <c r="AT672" s="76"/>
    </row>
    <row r="673" spans="1:46" ht="15.75" customHeight="1" x14ac:dyDescent="0.2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6"/>
      <c r="X673" s="8">
        <v>5</v>
      </c>
      <c r="Y673" s="8" t="s">
        <v>39</v>
      </c>
      <c r="Z673" s="8">
        <f t="shared" ref="Z673:AI673" si="1870">SUM(D664)</f>
        <v>22</v>
      </c>
      <c r="AA673" s="9">
        <f t="shared" ca="1" si="1870"/>
        <v>21</v>
      </c>
      <c r="AB673" s="10">
        <f t="shared" ca="1" si="1870"/>
        <v>3954.6489999999999</v>
      </c>
      <c r="AC673" s="9">
        <f t="shared" ca="1" si="1870"/>
        <v>801</v>
      </c>
      <c r="AD673" s="9">
        <f t="shared" ca="1" si="1870"/>
        <v>0</v>
      </c>
      <c r="AE673" s="9">
        <f t="shared" ca="1" si="1870"/>
        <v>801</v>
      </c>
      <c r="AF673" s="9">
        <f t="shared" ca="1" si="1870"/>
        <v>976</v>
      </c>
      <c r="AG673" s="9">
        <f t="shared" ca="1" si="1870"/>
        <v>126</v>
      </c>
      <c r="AH673" s="9">
        <f t="shared" ca="1" si="1870"/>
        <v>1102</v>
      </c>
      <c r="AI673" s="9">
        <f t="shared" ca="1" si="1870"/>
        <v>1903</v>
      </c>
      <c r="AJ673" s="11">
        <f t="shared" ca="1" si="1855"/>
        <v>188.31661904761904</v>
      </c>
      <c r="AK673" s="8">
        <f t="shared" si="1864"/>
        <v>3569</v>
      </c>
      <c r="AL673" s="12">
        <f t="shared" ca="1" si="1856"/>
        <v>0.53320257775287194</v>
      </c>
      <c r="AM673" s="13">
        <f t="shared" si="1865"/>
        <v>1.5</v>
      </c>
      <c r="AN673" s="12">
        <f t="shared" ca="1" si="1857"/>
        <v>0.32080386063761074</v>
      </c>
      <c r="AO673" s="14">
        <f t="shared" ca="1" si="1858"/>
        <v>0.48120579095641614</v>
      </c>
      <c r="AP673" s="13">
        <f t="shared" ref="AP673:AQ673" ca="1" si="1871">SUM(T664)</f>
        <v>184.25425150258584</v>
      </c>
      <c r="AQ673" s="13">
        <f t="shared" ca="1" si="1871"/>
        <v>8.7740119763136111</v>
      </c>
      <c r="AR673" s="9">
        <f t="shared" ca="1" si="1860"/>
        <v>90.61904761904762</v>
      </c>
      <c r="AS673" s="76"/>
      <c r="AT673" s="76"/>
    </row>
    <row r="674" spans="1:46" ht="15.75" customHeight="1" x14ac:dyDescent="0.2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6"/>
      <c r="X674" s="8">
        <v>6</v>
      </c>
      <c r="Y674" s="8" t="s">
        <v>41</v>
      </c>
      <c r="Z674" s="8">
        <f t="shared" ref="Z674:AI674" si="1872">SUM(D665)</f>
        <v>20</v>
      </c>
      <c r="AA674" s="9">
        <f t="shared" ca="1" si="1872"/>
        <v>20</v>
      </c>
      <c r="AB674" s="10">
        <f t="shared" ca="1" si="1872"/>
        <v>3993.1959999999999</v>
      </c>
      <c r="AC674" s="9">
        <f t="shared" ca="1" si="1872"/>
        <v>799</v>
      </c>
      <c r="AD674" s="9">
        <f t="shared" ca="1" si="1872"/>
        <v>0</v>
      </c>
      <c r="AE674" s="9">
        <f t="shared" ca="1" si="1872"/>
        <v>799</v>
      </c>
      <c r="AF674" s="9">
        <f t="shared" ca="1" si="1872"/>
        <v>1010</v>
      </c>
      <c r="AG674" s="9">
        <f t="shared" ca="1" si="1872"/>
        <v>53</v>
      </c>
      <c r="AH674" s="9">
        <f t="shared" ca="1" si="1872"/>
        <v>1063</v>
      </c>
      <c r="AI674" s="9">
        <f t="shared" ca="1" si="1872"/>
        <v>1862</v>
      </c>
      <c r="AJ674" s="11">
        <f t="shared" ca="1" si="1855"/>
        <v>199.65979999999999</v>
      </c>
      <c r="AK674" s="8">
        <f t="shared" si="1864"/>
        <v>3801</v>
      </c>
      <c r="AL674" s="12">
        <f t="shared" ca="1" si="1856"/>
        <v>0.48987108655616945</v>
      </c>
      <c r="AM674" s="13">
        <f t="shared" si="1865"/>
        <v>1.5</v>
      </c>
      <c r="AN674" s="12">
        <f t="shared" ca="1" si="1857"/>
        <v>0.31086210978207268</v>
      </c>
      <c r="AO674" s="14">
        <f t="shared" ca="1" si="1858"/>
        <v>0.466293164673109</v>
      </c>
      <c r="AP674" s="13">
        <f t="shared" ref="AP674:AQ674" ca="1" si="1873">SUM(T665)</f>
        <v>134.77777777777777</v>
      </c>
      <c r="AQ674" s="13">
        <f t="shared" ca="1" si="1873"/>
        <v>6.7388888888888889</v>
      </c>
      <c r="AR674" s="9">
        <f t="shared" ca="1" si="1860"/>
        <v>93.1</v>
      </c>
      <c r="AS674" s="76"/>
      <c r="AT674" s="76"/>
    </row>
    <row r="675" spans="1:46" ht="15.75" customHeight="1" x14ac:dyDescent="0.25">
      <c r="A675" s="110" t="s">
        <v>45</v>
      </c>
      <c r="B675" s="76"/>
      <c r="C675" s="76"/>
      <c r="D675" s="75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24" t="s">
        <v>33</v>
      </c>
      <c r="Y675" s="24">
        <v>6</v>
      </c>
      <c r="Z675" s="24">
        <f t="shared" ref="Z675:AI675" si="1874">SUM(Z669:Z674)</f>
        <v>138</v>
      </c>
      <c r="AA675" s="25">
        <f t="shared" ca="1" si="1874"/>
        <v>132</v>
      </c>
      <c r="AB675" s="27">
        <f t="shared" ca="1" si="1874"/>
        <v>25739.66899999998</v>
      </c>
      <c r="AC675" s="25">
        <f t="shared" ca="1" si="1874"/>
        <v>8036</v>
      </c>
      <c r="AD675" s="25">
        <f t="shared" ca="1" si="1874"/>
        <v>0</v>
      </c>
      <c r="AE675" s="25">
        <f t="shared" ca="1" si="1874"/>
        <v>8036</v>
      </c>
      <c r="AF675" s="25">
        <f t="shared" ca="1" si="1874"/>
        <v>10892</v>
      </c>
      <c r="AG675" s="25">
        <f t="shared" ca="1" si="1874"/>
        <v>179</v>
      </c>
      <c r="AH675" s="25">
        <f t="shared" ca="1" si="1874"/>
        <v>11071</v>
      </c>
      <c r="AI675" s="25">
        <f t="shared" ca="1" si="1874"/>
        <v>19107</v>
      </c>
      <c r="AJ675" s="27">
        <f t="shared" ca="1" si="1855"/>
        <v>194.99749242424227</v>
      </c>
      <c r="AK675" s="24">
        <f>SUM(AK669:AK674)</f>
        <v>37031</v>
      </c>
      <c r="AL675" s="28">
        <f t="shared" ca="1" si="1856"/>
        <v>0.51597310361588944</v>
      </c>
      <c r="AM675" s="29">
        <v>1.5</v>
      </c>
      <c r="AN675" s="28">
        <f t="shared" ca="1" si="1857"/>
        <v>0.49487815868960899</v>
      </c>
      <c r="AO675" s="30">
        <f t="shared" ca="1" si="1858"/>
        <v>0.74231723803441352</v>
      </c>
      <c r="AP675" s="29">
        <f ca="1">SUM(AP669:AP674)</f>
        <v>1053.2821729028474</v>
      </c>
      <c r="AQ675" s="29">
        <f ca="1">AP675/AA675</f>
        <v>7.9794104007791464</v>
      </c>
      <c r="AR675" s="25">
        <f t="shared" ca="1" si="1860"/>
        <v>144.75</v>
      </c>
      <c r="AS675" s="76"/>
      <c r="AT675" s="76"/>
    </row>
    <row r="676" spans="1:46" ht="15.75" customHeight="1" x14ac:dyDescent="0.2">
      <c r="A676" s="110" t="s">
        <v>45</v>
      </c>
      <c r="B676" s="76"/>
      <c r="C676" s="76"/>
      <c r="D676" s="75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7" t="s">
        <v>1</v>
      </c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9"/>
      <c r="AS676" s="76"/>
      <c r="AT676" s="76"/>
    </row>
    <row r="677" spans="1:46" ht="15.75" customHeight="1" x14ac:dyDescent="0.2">
      <c r="A677" s="109">
        <v>46260</v>
      </c>
      <c r="B677" s="80" t="s">
        <v>2</v>
      </c>
      <c r="C677" s="80" t="s">
        <v>3</v>
      </c>
      <c r="D677" s="80" t="s">
        <v>4</v>
      </c>
      <c r="E677" s="80" t="s">
        <v>5</v>
      </c>
      <c r="F677" s="81" t="s">
        <v>6</v>
      </c>
      <c r="G677" s="80" t="s">
        <v>7</v>
      </c>
      <c r="H677" s="80" t="s">
        <v>8</v>
      </c>
      <c r="I677" s="80" t="s">
        <v>9</v>
      </c>
      <c r="J677" s="80" t="s">
        <v>10</v>
      </c>
      <c r="K677" s="80" t="s">
        <v>11</v>
      </c>
      <c r="L677" s="80" t="s">
        <v>12</v>
      </c>
      <c r="M677" s="80" t="s">
        <v>13</v>
      </c>
      <c r="N677" s="81" t="s">
        <v>14</v>
      </c>
      <c r="O677" s="80" t="s">
        <v>15</v>
      </c>
      <c r="P677" s="80" t="s">
        <v>16</v>
      </c>
      <c r="Q677" s="80" t="s">
        <v>17</v>
      </c>
      <c r="R677" s="80" t="s">
        <v>18</v>
      </c>
      <c r="S677" s="106" t="s">
        <v>19</v>
      </c>
      <c r="T677" s="107" t="s">
        <v>20</v>
      </c>
      <c r="U677" s="107" t="s">
        <v>21</v>
      </c>
      <c r="V677" s="105" t="s">
        <v>22</v>
      </c>
      <c r="W677" s="76"/>
      <c r="X677" s="1" t="s">
        <v>2</v>
      </c>
      <c r="Y677" s="1" t="s">
        <v>3</v>
      </c>
      <c r="Z677" s="1" t="s">
        <v>4</v>
      </c>
      <c r="AA677" s="1" t="s">
        <v>5</v>
      </c>
      <c r="AB677" s="2" t="s">
        <v>6</v>
      </c>
      <c r="AC677" s="1" t="s">
        <v>7</v>
      </c>
      <c r="AD677" s="1" t="s">
        <v>8</v>
      </c>
      <c r="AE677" s="1" t="s">
        <v>9</v>
      </c>
      <c r="AF677" s="1" t="s">
        <v>10</v>
      </c>
      <c r="AG677" s="1" t="s">
        <v>11</v>
      </c>
      <c r="AH677" s="1" t="s">
        <v>12</v>
      </c>
      <c r="AI677" s="1" t="s">
        <v>13</v>
      </c>
      <c r="AJ677" s="2" t="s">
        <v>14</v>
      </c>
      <c r="AK677" s="1" t="s">
        <v>15</v>
      </c>
      <c r="AL677" s="1" t="s">
        <v>16</v>
      </c>
      <c r="AM677" s="3" t="s">
        <v>17</v>
      </c>
      <c r="AN677" s="4" t="s">
        <v>18</v>
      </c>
      <c r="AO677" s="5" t="s">
        <v>19</v>
      </c>
      <c r="AP677" s="6" t="s">
        <v>20</v>
      </c>
      <c r="AQ677" s="6" t="s">
        <v>21</v>
      </c>
      <c r="AR677" s="7" t="s">
        <v>22</v>
      </c>
      <c r="AS677" s="76"/>
      <c r="AT677" s="76"/>
    </row>
    <row r="678" spans="1:46" ht="15.75" customHeight="1" x14ac:dyDescent="0.2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6"/>
      <c r="X678" s="8">
        <v>1</v>
      </c>
      <c r="Y678" s="8" t="s">
        <v>23</v>
      </c>
      <c r="Z678" s="8">
        <f t="shared" ref="Z678:AI678" si="1875">SUM(D686)</f>
        <v>35</v>
      </c>
      <c r="AA678" s="9">
        <f t="shared" ca="1" si="1875"/>
        <v>35</v>
      </c>
      <c r="AB678" s="10">
        <f t="shared" ca="1" si="1875"/>
        <v>6984.1799999999903</v>
      </c>
      <c r="AC678" s="9">
        <f t="shared" ca="1" si="1875"/>
        <v>2931</v>
      </c>
      <c r="AD678" s="9">
        <f t="shared" ca="1" si="1875"/>
        <v>0</v>
      </c>
      <c r="AE678" s="9">
        <f t="shared" ca="1" si="1875"/>
        <v>2931</v>
      </c>
      <c r="AF678" s="9">
        <f t="shared" ca="1" si="1875"/>
        <v>2097</v>
      </c>
      <c r="AG678" s="9">
        <f t="shared" ca="1" si="1875"/>
        <v>0</v>
      </c>
      <c r="AH678" s="9">
        <f t="shared" ca="1" si="1875"/>
        <v>2097</v>
      </c>
      <c r="AI678" s="9">
        <f t="shared" ca="1" si="1875"/>
        <v>5028</v>
      </c>
      <c r="AJ678" s="11">
        <f t="shared" ref="AJ678:AJ680" ca="1" si="1876">AB678/AA678</f>
        <v>199.54799999999972</v>
      </c>
      <c r="AK678" s="8">
        <f>SUM(O686)</f>
        <v>6853</v>
      </c>
      <c r="AL678" s="12">
        <f t="shared" ref="AL678:AL684" ca="1" si="1877">AI678/AK678</f>
        <v>0.73369327301911569</v>
      </c>
      <c r="AM678" s="13">
        <f t="shared" ref="AM678:AM680" si="1878">SUM(Q686)</f>
        <v>1.5</v>
      </c>
      <c r="AN678" s="12">
        <f t="shared" ref="AN678:AN684" ca="1" si="1879">AO678/AM678</f>
        <v>0.47994181135079633</v>
      </c>
      <c r="AO678" s="14">
        <f t="shared" ref="AO678:AO684" ca="1" si="1880">AI678/AB678</f>
        <v>0.71991271702619453</v>
      </c>
      <c r="AP678" s="13">
        <f t="shared" ref="AP678:AQ678" ca="1" si="1881">SUM(T686)</f>
        <v>206.99999999999969</v>
      </c>
      <c r="AQ678" s="13">
        <f t="shared" ca="1" si="1881"/>
        <v>5.9142857142857057</v>
      </c>
      <c r="AR678" s="9">
        <f t="shared" ref="AR678:AR684" ca="1" si="1882">AI678/AA678</f>
        <v>143.65714285714284</v>
      </c>
      <c r="AS678" s="76"/>
      <c r="AT678" s="76"/>
    </row>
    <row r="679" spans="1:46" ht="15.75" customHeight="1" x14ac:dyDescent="0.2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6"/>
      <c r="X679" s="8">
        <v>2</v>
      </c>
      <c r="Y679" s="8" t="s">
        <v>24</v>
      </c>
      <c r="Z679" s="8">
        <f t="shared" ref="Z679:AI679" si="1883">SUM(D687)</f>
        <v>44</v>
      </c>
      <c r="AA679" s="9">
        <f t="shared" ca="1" si="1883"/>
        <v>42</v>
      </c>
      <c r="AB679" s="10">
        <f t="shared" ca="1" si="1883"/>
        <v>8175.1679999999897</v>
      </c>
      <c r="AC679" s="9">
        <f t="shared" ca="1" si="1883"/>
        <v>1108</v>
      </c>
      <c r="AD679" s="9">
        <f t="shared" ca="1" si="1883"/>
        <v>17</v>
      </c>
      <c r="AE679" s="9">
        <f t="shared" ca="1" si="1883"/>
        <v>1125</v>
      </c>
      <c r="AF679" s="9">
        <f t="shared" ca="1" si="1883"/>
        <v>1429</v>
      </c>
      <c r="AG679" s="9">
        <f t="shared" ca="1" si="1883"/>
        <v>20</v>
      </c>
      <c r="AH679" s="9">
        <f t="shared" ca="1" si="1883"/>
        <v>1449</v>
      </c>
      <c r="AI679" s="9">
        <f t="shared" ca="1" si="1883"/>
        <v>2574</v>
      </c>
      <c r="AJ679" s="11">
        <f t="shared" ca="1" si="1876"/>
        <v>194.6468571428569</v>
      </c>
      <c r="AK679" s="8">
        <v>1580</v>
      </c>
      <c r="AL679" s="15">
        <f t="shared" ca="1" si="1877"/>
        <v>1.6291139240506329</v>
      </c>
      <c r="AM679" s="13">
        <f t="shared" si="1878"/>
        <v>1.5</v>
      </c>
      <c r="AN679" s="12">
        <f t="shared" ca="1" si="1879"/>
        <v>0.20990394325841402</v>
      </c>
      <c r="AO679" s="14">
        <f t="shared" ca="1" si="1880"/>
        <v>0.31485591488762105</v>
      </c>
      <c r="AP679" s="13">
        <f t="shared" ref="AP679:AQ679" ca="1" si="1884">SUM(T687)</f>
        <v>304.98668158925534</v>
      </c>
      <c r="AQ679" s="13">
        <f t="shared" ca="1" si="1884"/>
        <v>7.2615876568870323</v>
      </c>
      <c r="AR679" s="9">
        <f t="shared" ca="1" si="1882"/>
        <v>61.285714285714285</v>
      </c>
      <c r="AS679" s="76"/>
      <c r="AT679" s="76"/>
    </row>
    <row r="680" spans="1:46" ht="15.75" customHeight="1" x14ac:dyDescent="0.2">
      <c r="A680" s="70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6"/>
      <c r="X680" s="8">
        <v>3</v>
      </c>
      <c r="Y680" s="8" t="s">
        <v>25</v>
      </c>
      <c r="Z680" s="8">
        <f t="shared" ref="Z680:AI680" si="1885">SUM(D688)</f>
        <v>32</v>
      </c>
      <c r="AA680" s="9">
        <f t="shared" ca="1" si="1885"/>
        <v>32</v>
      </c>
      <c r="AB680" s="10">
        <f t="shared" ca="1" si="1885"/>
        <v>5839.9440000000004</v>
      </c>
      <c r="AC680" s="9">
        <f t="shared" ca="1" si="1885"/>
        <v>2532</v>
      </c>
      <c r="AD680" s="9">
        <f t="shared" ca="1" si="1885"/>
        <v>316</v>
      </c>
      <c r="AE680" s="9">
        <f t="shared" ca="1" si="1885"/>
        <v>2848</v>
      </c>
      <c r="AF680" s="9">
        <f t="shared" ca="1" si="1885"/>
        <v>3655</v>
      </c>
      <c r="AG680" s="9">
        <f t="shared" ca="1" si="1885"/>
        <v>381</v>
      </c>
      <c r="AH680" s="9">
        <f t="shared" ca="1" si="1885"/>
        <v>4036</v>
      </c>
      <c r="AI680" s="9">
        <f t="shared" ca="1" si="1885"/>
        <v>6884</v>
      </c>
      <c r="AJ680" s="11">
        <f t="shared" ca="1" si="1876"/>
        <v>182.49825000000001</v>
      </c>
      <c r="AK680" s="8">
        <f>SUM(O688)</f>
        <v>6622</v>
      </c>
      <c r="AL680" s="15">
        <f t="shared" ca="1" si="1877"/>
        <v>1.0395650860767141</v>
      </c>
      <c r="AM680" s="13">
        <f t="shared" si="1878"/>
        <v>1.5</v>
      </c>
      <c r="AN680" s="12">
        <f t="shared" ca="1" si="1879"/>
        <v>0.78585228442829813</v>
      </c>
      <c r="AO680" s="14">
        <f t="shared" ca="1" si="1880"/>
        <v>1.1787784266424473</v>
      </c>
      <c r="AP680" s="13">
        <f t="shared" ref="AP680:AQ680" ca="1" si="1886">SUM(T688)</f>
        <v>244.96409395973157</v>
      </c>
      <c r="AQ680" s="13">
        <f t="shared" ca="1" si="1886"/>
        <v>7.6551279362416116</v>
      </c>
      <c r="AR680" s="9">
        <f t="shared" ca="1" si="1882"/>
        <v>215.125</v>
      </c>
      <c r="AS680" s="76"/>
      <c r="AT680" s="76"/>
    </row>
    <row r="681" spans="1:46" ht="15.75" customHeight="1" x14ac:dyDescent="0.25">
      <c r="A681" s="70"/>
      <c r="B681" s="16">
        <v>1</v>
      </c>
      <c r="C681" s="16" t="s">
        <v>26</v>
      </c>
      <c r="D681" s="17">
        <v>20</v>
      </c>
      <c r="E681" s="18">
        <f ca="1">IFERROR(__xludf.DUMMYFUNCTION("COUNT(IMPORTRANGE(""https://docs.google.com/spreadsheets/d/1iVFEBQOAONhqDIMRa2hQ7WkCQv0dJWSAmc0AzfvSCMg/edit"",""26!d2:d21""))"),18)</f>
        <v>18</v>
      </c>
      <c r="F681" s="19">
        <f ca="1">IFERROR(__xludf.DUMMYFUNCTION("SUM(IMPORTRANGE(""https://docs.google.com/spreadsheets/d/1iVFEBQOAONhqDIMRa2hQ7WkCQv0dJWSAmc0AzfvSCMg/edit"",""26!Q2:Q21""))"),3452.928)</f>
        <v>3452.9279999999999</v>
      </c>
      <c r="G681" s="18">
        <f ca="1">IFERROR(__xludf.DUMMYFUNCTION("IMPORTRANGE(""https://docs.google.com/spreadsheets/d/1iVFEBQOAONhqDIMRa2hQ7WkCQv0dJWSAmc0AzfvSCMg/edit"",""26!e28"")"),2042)</f>
        <v>2042</v>
      </c>
      <c r="H681" s="18">
        <f ca="1">IFERROR(__xludf.DUMMYFUNCTION("IMPORTRANGE(""https://docs.google.com/spreadsheets/d/1iVFEBQOAONhqDIMRa2hQ7WkCQv0dJWSAmc0AzfvSCMg/edit"",""26!e29"")"),0)</f>
        <v>0</v>
      </c>
      <c r="I681" s="18">
        <f t="shared" ref="I681:I698" ca="1" si="1887">SUM(G681:H681)</f>
        <v>2042</v>
      </c>
      <c r="J681" s="18">
        <f ca="1">IFERROR(__xludf.DUMMYFUNCTION("IMPORTRANGE(""https://docs.google.com/spreadsheets/d/1iVFEBQOAONhqDIMRa2hQ7WkCQv0dJWSAmc0AzfvSCMg/edit"",""26!e32"")"),3147)</f>
        <v>3147</v>
      </c>
      <c r="K681" s="18">
        <f ca="1">IFERROR(__xludf.DUMMYFUNCTION("IMPORTRANGE(""https://docs.google.com/spreadsheets/d/1iVFEBQOAONhqDIMRa2hQ7WkCQv0dJWSAmc0AzfvSCMg/edit"",""26!e33"")"),0)</f>
        <v>0</v>
      </c>
      <c r="L681" s="18">
        <f t="shared" ref="L681:L687" ca="1" si="1888">SUM(J681:K681)</f>
        <v>3147</v>
      </c>
      <c r="M681" s="18">
        <f t="shared" ref="M681:M698" ca="1" si="1889">SUM(I681+L681)</f>
        <v>5189</v>
      </c>
      <c r="N681" s="19">
        <f t="shared" ref="N681:N699" ca="1" si="1890">F681/E681</f>
        <v>191.82933333333332</v>
      </c>
      <c r="O681" s="16">
        <v>5161</v>
      </c>
      <c r="P681" s="33">
        <f t="shared" ref="P681:P699" ca="1" si="1891">M681/O681</f>
        <v>1.0054253051734161</v>
      </c>
      <c r="Q681" s="21">
        <v>1.5</v>
      </c>
      <c r="R681" s="33">
        <f t="shared" ref="R681:R699" ca="1" si="1892">S681/Q681</f>
        <v>1.0018550439897194</v>
      </c>
      <c r="S681" s="22">
        <f t="shared" ref="S681:S699" ca="1" si="1893">M681/F681</f>
        <v>1.502782565984579</v>
      </c>
      <c r="T681" s="21">
        <f ca="1">F681/14.415</f>
        <v>239.53714880332987</v>
      </c>
      <c r="U681" s="21">
        <f t="shared" ref="U681:U699" ca="1" si="1894">T681/E681</f>
        <v>13.307619377962771</v>
      </c>
      <c r="V681" s="18">
        <f t="shared" ref="V681:V699" ca="1" si="1895">M681/E681</f>
        <v>288.27777777777777</v>
      </c>
      <c r="W681" s="76"/>
      <c r="X681" s="8">
        <v>4</v>
      </c>
      <c r="Y681" s="8" t="s">
        <v>27</v>
      </c>
      <c r="Z681" s="8">
        <f t="shared" ref="Z681:AK681" si="1896">SUM(D694)</f>
        <v>30</v>
      </c>
      <c r="AA681" s="9">
        <f t="shared" ca="1" si="1896"/>
        <v>27</v>
      </c>
      <c r="AB681" s="10">
        <f t="shared" ca="1" si="1896"/>
        <v>5046.0749999999998</v>
      </c>
      <c r="AC681" s="9">
        <f t="shared" ca="1" si="1896"/>
        <v>2526</v>
      </c>
      <c r="AD681" s="9">
        <f t="shared" ca="1" si="1896"/>
        <v>0</v>
      </c>
      <c r="AE681" s="9">
        <f t="shared" ca="1" si="1896"/>
        <v>2526</v>
      </c>
      <c r="AF681" s="9">
        <f t="shared" ca="1" si="1896"/>
        <v>3326</v>
      </c>
      <c r="AG681" s="9">
        <f t="shared" ca="1" si="1896"/>
        <v>0</v>
      </c>
      <c r="AH681" s="9">
        <f t="shared" ca="1" si="1896"/>
        <v>3326</v>
      </c>
      <c r="AI681" s="9">
        <f t="shared" ca="1" si="1896"/>
        <v>5852</v>
      </c>
      <c r="AJ681" s="11">
        <f t="shared" ca="1" si="1896"/>
        <v>186.89166666666665</v>
      </c>
      <c r="AK681" s="8">
        <f t="shared" si="1896"/>
        <v>8101</v>
      </c>
      <c r="AL681" s="12">
        <f t="shared" ca="1" si="1877"/>
        <v>0.72237995309221081</v>
      </c>
      <c r="AM681" s="13">
        <f>SUM(Q694)</f>
        <v>1.5</v>
      </c>
      <c r="AN681" s="12">
        <f t="shared" ca="1" si="1879"/>
        <v>0.77314216164708871</v>
      </c>
      <c r="AO681" s="14">
        <f t="shared" ca="1" si="1880"/>
        <v>1.1597132424706331</v>
      </c>
      <c r="AP681" s="13">
        <f t="shared" ref="AP681:AQ681" ca="1" si="1897">SUM(T694)</f>
        <v>252.49311983987991</v>
      </c>
      <c r="AQ681" s="13">
        <f t="shared" ca="1" si="1897"/>
        <v>9.3515970311066638</v>
      </c>
      <c r="AR681" s="9">
        <f t="shared" ca="1" si="1882"/>
        <v>216.74074074074073</v>
      </c>
      <c r="AS681" s="76"/>
      <c r="AT681" s="76"/>
    </row>
    <row r="682" spans="1:46" ht="15.75" customHeight="1" x14ac:dyDescent="0.25">
      <c r="A682" s="70"/>
      <c r="B682" s="16">
        <v>2</v>
      </c>
      <c r="C682" s="16" t="s">
        <v>28</v>
      </c>
      <c r="D682" s="17">
        <v>33</v>
      </c>
      <c r="E682" s="18">
        <f ca="1">IFERROR(__xludf.DUMMYFUNCTION("COUNT(IMPORTRANGE(""https://docs.google.com/spreadsheets/d/1tJCeYclgeJZ4Dc78t_SkhVjtacKW-5-VGim8X1rzUzk/edit"",""26!d2:d34""))"),33)</f>
        <v>33</v>
      </c>
      <c r="F682" s="19">
        <f ca="1">IFERROR(__xludf.DUMMYFUNCTION("SUM(IMPORTRANGE(""https://docs.google.com/spreadsheets/d/1tJCeYclgeJZ4Dc78t_SkhVjtacKW-5-VGim8X1rzUzk/edit"",""26!Q2:Q34""))"),6388.62)</f>
        <v>6388.62</v>
      </c>
      <c r="G682" s="18">
        <f ca="1">IFERROR(__xludf.DUMMYFUNCTION("IMPORTRANGE(""https://docs.google.com/spreadsheets/d/1tJCeYclgeJZ4Dc78t_SkhVjtacKW-5-VGim8X1rzUzk/edit"",""26!e41"")"),2523)</f>
        <v>2523</v>
      </c>
      <c r="H682" s="18">
        <f ca="1">IFERROR(__xludf.DUMMYFUNCTION("IMPORTRANGE(""https://docs.google.com/spreadsheets/d/1tJCeYclgeJZ4Dc78t_SkhVjtacKW-5-VGim8X1rzUzk/edit"",""26!e42"")"),141)</f>
        <v>141</v>
      </c>
      <c r="I682" s="18">
        <f t="shared" ca="1" si="1887"/>
        <v>2664</v>
      </c>
      <c r="J682" s="18">
        <f ca="1">IFERROR(__xludf.DUMMYFUNCTION("IMPORTRANGE(""https://docs.google.com/spreadsheets/d/1tJCeYclgeJZ4Dc78t_SkhVjtacKW-5-VGim8X1rzUzk/edit"",""26!e45"")"),3013)</f>
        <v>3013</v>
      </c>
      <c r="K682" s="18">
        <f ca="1">IFERROR(__xludf.DUMMYFUNCTION("IMPORTRANGE(""https://docs.google.com/spreadsheets/d/1tJCeYclgeJZ4Dc78t_SkhVjtacKW-5-VGim8X1rzUzk/edit"",""26!e46"")"),130)</f>
        <v>130</v>
      </c>
      <c r="L682" s="18">
        <f t="shared" ca="1" si="1888"/>
        <v>3143</v>
      </c>
      <c r="M682" s="18">
        <f t="shared" ca="1" si="1889"/>
        <v>5807</v>
      </c>
      <c r="N682" s="19">
        <f t="shared" ca="1" si="1890"/>
        <v>193.59454545454545</v>
      </c>
      <c r="O682" s="16">
        <v>7315</v>
      </c>
      <c r="P682" s="20">
        <f t="shared" ca="1" si="1891"/>
        <v>0.79384825700615169</v>
      </c>
      <c r="Q682" s="21">
        <v>1.5</v>
      </c>
      <c r="R682" s="20">
        <f t="shared" ca="1" si="1892"/>
        <v>0.60597332966013528</v>
      </c>
      <c r="S682" s="22">
        <f t="shared" ca="1" si="1893"/>
        <v>0.90895999449020293</v>
      </c>
      <c r="T682" s="21">
        <f ca="1">F682/30.897</f>
        <v>206.77153121662298</v>
      </c>
      <c r="U682" s="21">
        <f t="shared" ca="1" si="1894"/>
        <v>6.265803976261302</v>
      </c>
      <c r="V682" s="18">
        <f t="shared" ca="1" si="1895"/>
        <v>175.96969696969697</v>
      </c>
      <c r="W682" s="76"/>
      <c r="X682" s="8">
        <v>5</v>
      </c>
      <c r="Y682" s="8" t="s">
        <v>29</v>
      </c>
      <c r="Z682" s="8">
        <f t="shared" ref="Z682:AI682" si="1898">SUM(D697)</f>
        <v>30</v>
      </c>
      <c r="AA682" s="9">
        <f t="shared" ca="1" si="1898"/>
        <v>30</v>
      </c>
      <c r="AB682" s="10">
        <f t="shared" ca="1" si="1898"/>
        <v>6172.4029999999902</v>
      </c>
      <c r="AC682" s="9">
        <f t="shared" ca="1" si="1898"/>
        <v>2890</v>
      </c>
      <c r="AD682" s="9">
        <f t="shared" ca="1" si="1898"/>
        <v>0</v>
      </c>
      <c r="AE682" s="9">
        <f t="shared" ca="1" si="1898"/>
        <v>2890</v>
      </c>
      <c r="AF682" s="9">
        <f t="shared" ca="1" si="1898"/>
        <v>4293</v>
      </c>
      <c r="AG682" s="9">
        <f t="shared" ca="1" si="1898"/>
        <v>0</v>
      </c>
      <c r="AH682" s="9">
        <f t="shared" ca="1" si="1898"/>
        <v>4293</v>
      </c>
      <c r="AI682" s="9">
        <f t="shared" ca="1" si="1898"/>
        <v>7183</v>
      </c>
      <c r="AJ682" s="11">
        <f t="shared" ref="AJ682:AJ684" ca="1" si="1899">AB682/AA682</f>
        <v>205.74676666666633</v>
      </c>
      <c r="AK682" s="8">
        <f t="shared" ref="AK682:AK683" si="1900">SUM(O697)</f>
        <v>9201</v>
      </c>
      <c r="AL682" s="12">
        <f t="shared" ca="1" si="1877"/>
        <v>0.78067601347679605</v>
      </c>
      <c r="AM682" s="13">
        <f t="shared" ref="AM682:AM683" si="1901">SUM(Q697)</f>
        <v>1.5</v>
      </c>
      <c r="AN682" s="12">
        <f t="shared" ca="1" si="1879"/>
        <v>0.77581886125495603</v>
      </c>
      <c r="AO682" s="14">
        <f t="shared" ca="1" si="1880"/>
        <v>1.1637282918824341</v>
      </c>
      <c r="AP682" s="13">
        <f t="shared" ref="AP682:AQ682" ca="1" si="1902">SUM(T697)</f>
        <v>232.99999999999963</v>
      </c>
      <c r="AQ682" s="13">
        <f t="shared" ca="1" si="1902"/>
        <v>7.7666666666666542</v>
      </c>
      <c r="AR682" s="9">
        <f t="shared" ca="1" si="1882"/>
        <v>239.43333333333334</v>
      </c>
      <c r="AS682" s="76"/>
      <c r="AT682" s="76"/>
    </row>
    <row r="683" spans="1:46" ht="15.75" customHeight="1" x14ac:dyDescent="0.25">
      <c r="A683" s="70"/>
      <c r="B683" s="16">
        <v>3</v>
      </c>
      <c r="C683" s="16" t="s">
        <v>30</v>
      </c>
      <c r="D683" s="17">
        <v>60</v>
      </c>
      <c r="E683" s="18">
        <f ca="1">IFERROR(__xludf.DUMMYFUNCTION("COUNT(IMPORTRANGE(""https://docs.google.com/spreadsheets/d/130gLEONC13J8KkQ6dk06x3bLRy_jCrAw2hXatQf2W50/edit"",""26!d2:d61""))"),58)</f>
        <v>58</v>
      </c>
      <c r="F683" s="23">
        <f ca="1">IFERROR(__xludf.DUMMYFUNCTION("SUM(IMPORTRANGE(""https://docs.google.com/spreadsheets/d/130gLEONC13J8KkQ6dk06x3bLRy_jCrAw2hXatQf2W50/edit"",""26!Q2:Q61""))"),11532.4709999999)</f>
        <v>11532.4709999999</v>
      </c>
      <c r="G683" s="18">
        <f ca="1">IFERROR(__xludf.DUMMYFUNCTION("IMPORTRANGE(""https://docs.google.com/spreadsheets/d/130gLEONC13J8KkQ6dk06x3bLRy_jCrAw2hXatQf2W50/edit"",""26!e68"")"),3948)</f>
        <v>3948</v>
      </c>
      <c r="H683" s="18">
        <f ca="1">IFERROR(__xludf.DUMMYFUNCTION("IMPORTRANGE(""https://docs.google.com/spreadsheets/d/130gLEONC13J8KkQ6dk06x3bLRy_jCrAw2hXatQf2W50/edit"",""26!e69"")"),0)</f>
        <v>0</v>
      </c>
      <c r="I683" s="18">
        <f t="shared" ca="1" si="1887"/>
        <v>3948</v>
      </c>
      <c r="J683" s="18">
        <f ca="1">IFERROR(__xludf.DUMMYFUNCTION("IMPORTRANGE(""https://docs.google.com/spreadsheets/d/130gLEONC13J8KkQ6dk06x3bLRy_jCrAw2hXatQf2W50/edit"",""26!e72"")"),5527)</f>
        <v>5527</v>
      </c>
      <c r="K683" s="18">
        <f ca="1">IFERROR(__xludf.DUMMYFUNCTION("IMPORTRANGE(""https://docs.google.com/spreadsheets/d/130gLEONC13J8KkQ6dk06x3bLRy_jCrAw2hXatQf2W50/edit"",""26!e73"")"),161)</f>
        <v>161</v>
      </c>
      <c r="L683" s="18">
        <f t="shared" ca="1" si="1888"/>
        <v>5688</v>
      </c>
      <c r="M683" s="18">
        <f t="shared" ca="1" si="1889"/>
        <v>9636</v>
      </c>
      <c r="N683" s="19">
        <f t="shared" ca="1" si="1890"/>
        <v>198.83570689654999</v>
      </c>
      <c r="O683" s="16">
        <v>11164</v>
      </c>
      <c r="P683" s="20">
        <f t="shared" ca="1" si="1891"/>
        <v>0.86313149408814049</v>
      </c>
      <c r="Q683" s="21">
        <v>1.5</v>
      </c>
      <c r="R683" s="20">
        <f t="shared" ca="1" si="1892"/>
        <v>0.55703586854890474</v>
      </c>
      <c r="S683" s="22">
        <f t="shared" ca="1" si="1893"/>
        <v>0.83555380282335712</v>
      </c>
      <c r="T683" s="21">
        <f ca="1">F683/29.603</f>
        <v>389.57102320710396</v>
      </c>
      <c r="U683" s="21">
        <f t="shared" ca="1" si="1894"/>
        <v>6.7167417794328266</v>
      </c>
      <c r="V683" s="18">
        <f t="shared" ca="1" si="1895"/>
        <v>166.13793103448276</v>
      </c>
      <c r="W683" s="76"/>
      <c r="X683" s="8">
        <v>6</v>
      </c>
      <c r="Y683" s="8" t="s">
        <v>31</v>
      </c>
      <c r="Z683" s="8">
        <f t="shared" ref="Z683:AI683" si="1903">SUM(D698)</f>
        <v>15</v>
      </c>
      <c r="AA683" s="9">
        <f t="shared" ca="1" si="1903"/>
        <v>12</v>
      </c>
      <c r="AB683" s="11">
        <f t="shared" ca="1" si="1903"/>
        <v>2390.5749999999998</v>
      </c>
      <c r="AC683" s="9">
        <f t="shared" ca="1" si="1903"/>
        <v>858</v>
      </c>
      <c r="AD683" s="9">
        <f t="shared" ca="1" si="1903"/>
        <v>0</v>
      </c>
      <c r="AE683" s="9">
        <f t="shared" ca="1" si="1903"/>
        <v>858</v>
      </c>
      <c r="AF683" s="9">
        <f t="shared" ca="1" si="1903"/>
        <v>915</v>
      </c>
      <c r="AG683" s="9">
        <f t="shared" ca="1" si="1903"/>
        <v>6</v>
      </c>
      <c r="AH683" s="9">
        <f t="shared" ca="1" si="1903"/>
        <v>921</v>
      </c>
      <c r="AI683" s="9">
        <f t="shared" ca="1" si="1903"/>
        <v>1779</v>
      </c>
      <c r="AJ683" s="11">
        <f t="shared" ca="1" si="1899"/>
        <v>199.21458333333331</v>
      </c>
      <c r="AK683" s="8">
        <f t="shared" si="1900"/>
        <v>2717</v>
      </c>
      <c r="AL683" s="12">
        <f t="shared" ca="1" si="1877"/>
        <v>0.65476628634523371</v>
      </c>
      <c r="AM683" s="13">
        <f t="shared" si="1901"/>
        <v>1.5</v>
      </c>
      <c r="AN683" s="12">
        <f t="shared" ca="1" si="1879"/>
        <v>0.49611495142382062</v>
      </c>
      <c r="AO683" s="14">
        <f t="shared" ca="1" si="1880"/>
        <v>0.74417242713573095</v>
      </c>
      <c r="AP683" s="13">
        <f t="shared" ref="AP683:AQ683" ca="1" si="1904">SUM(T698)</f>
        <v>54.999999999999993</v>
      </c>
      <c r="AQ683" s="13">
        <f t="shared" ca="1" si="1904"/>
        <v>4.583333333333333</v>
      </c>
      <c r="AR683" s="9">
        <f t="shared" ca="1" si="1882"/>
        <v>148.25</v>
      </c>
      <c r="AS683" s="76"/>
      <c r="AT683" s="76"/>
    </row>
    <row r="684" spans="1:46" ht="15.75" customHeight="1" x14ac:dyDescent="0.25">
      <c r="A684" s="70"/>
      <c r="B684" s="16">
        <v>4</v>
      </c>
      <c r="C684" s="16" t="s">
        <v>32</v>
      </c>
      <c r="D684" s="17">
        <v>42</v>
      </c>
      <c r="E684" s="18">
        <f ca="1">IFERROR(__xludf.DUMMYFUNCTION("COUNT(IMPORTRANGE(""https://docs.google.com/spreadsheets/d/1gYHli7FuKQLm2Q-5LMR0UtkD-gRRA_p8s-phLPLDLgc/edit"",""26!d2:d43""))"),41)</f>
        <v>41</v>
      </c>
      <c r="F684" s="23">
        <f ca="1">IFERROR(__xludf.DUMMYFUNCTION("SUM(IMPORTRANGE(""https://docs.google.com/spreadsheets/d/1gYHli7FuKQLm2Q-5LMR0UtkD-gRRA_p8s-phLPLDLgc/edit"",""26!Q2:Q43""))"),8128.83599999999)</f>
        <v>8128.8359999999902</v>
      </c>
      <c r="G684" s="16">
        <f ca="1">IFERROR(__xludf.DUMMYFUNCTION("IMPORTRANGE(""https://docs.google.com/spreadsheets/d/1gYHli7FuKQLm2Q-5LMR0UtkD-gRRA_p8s-phLPLDLgc/edit"",""26!e50"")"),4684)</f>
        <v>4684</v>
      </c>
      <c r="H684" s="16">
        <f ca="1">IFERROR(__xludf.DUMMYFUNCTION("IMPORTRANGE(""https://docs.google.com/spreadsheets/d/1gYHli7FuKQLm2Q-5LMR0UtkD-gRRA_p8s-phLPLDLgc/edit"",""26!e51"")"),0)</f>
        <v>0</v>
      </c>
      <c r="I684" s="18">
        <f t="shared" ca="1" si="1887"/>
        <v>4684</v>
      </c>
      <c r="J684" s="16">
        <f ca="1">IFERROR(__xludf.DUMMYFUNCTION("IMPORTRANGE(""https://docs.google.com/spreadsheets/d/1gYHli7FuKQLm2Q-5LMR0UtkD-gRRA_p8s-phLPLDLgc/edit"",""26!e54"")"),5846)</f>
        <v>5846</v>
      </c>
      <c r="K684" s="16">
        <f ca="1">IFERROR(__xludf.DUMMYFUNCTION("IMPORTRANGE(""https://docs.google.com/spreadsheets/d/1gYHli7FuKQLm2Q-5LMR0UtkD-gRRA_p8s-phLPLDLgc/edit"",""26!e55"")"),0)</f>
        <v>0</v>
      </c>
      <c r="L684" s="18">
        <f t="shared" ca="1" si="1888"/>
        <v>5846</v>
      </c>
      <c r="M684" s="18">
        <f t="shared" ca="1" si="1889"/>
        <v>10530</v>
      </c>
      <c r="N684" s="19">
        <f t="shared" ca="1" si="1890"/>
        <v>198.26429268292659</v>
      </c>
      <c r="O684" s="16">
        <v>13817</v>
      </c>
      <c r="P684" s="20">
        <f t="shared" ca="1" si="1891"/>
        <v>0.76210465368748648</v>
      </c>
      <c r="Q684" s="21">
        <v>1.5</v>
      </c>
      <c r="R684" s="20">
        <f t="shared" ca="1" si="1892"/>
        <v>0.8635922781564308</v>
      </c>
      <c r="S684" s="22">
        <f t="shared" ca="1" si="1893"/>
        <v>1.2953884172346462</v>
      </c>
      <c r="T684" s="21">
        <f ca="1">F684/25.089</f>
        <v>323.9999999999996</v>
      </c>
      <c r="U684" s="21">
        <f t="shared" ca="1" si="1894"/>
        <v>7.902439024390234</v>
      </c>
      <c r="V684" s="18">
        <f t="shared" ca="1" si="1895"/>
        <v>256.82926829268291</v>
      </c>
      <c r="W684" s="76"/>
      <c r="X684" s="24" t="s">
        <v>33</v>
      </c>
      <c r="Y684" s="24">
        <v>6</v>
      </c>
      <c r="Z684" s="24">
        <f t="shared" ref="Z684:AI684" si="1905">SUM(Z678:Z683)</f>
        <v>186</v>
      </c>
      <c r="AA684" s="25">
        <f t="shared" ca="1" si="1905"/>
        <v>178</v>
      </c>
      <c r="AB684" s="26">
        <f t="shared" ca="1" si="1905"/>
        <v>34608.344999999972</v>
      </c>
      <c r="AC684" s="25">
        <f t="shared" ca="1" si="1905"/>
        <v>12845</v>
      </c>
      <c r="AD684" s="25">
        <f t="shared" ca="1" si="1905"/>
        <v>333</v>
      </c>
      <c r="AE684" s="25">
        <f t="shared" ca="1" si="1905"/>
        <v>13178</v>
      </c>
      <c r="AF684" s="25">
        <f t="shared" ca="1" si="1905"/>
        <v>15715</v>
      </c>
      <c r="AG684" s="25">
        <f t="shared" ca="1" si="1905"/>
        <v>407</v>
      </c>
      <c r="AH684" s="25">
        <f t="shared" ca="1" si="1905"/>
        <v>16122</v>
      </c>
      <c r="AI684" s="25">
        <f t="shared" ca="1" si="1905"/>
        <v>29300</v>
      </c>
      <c r="AJ684" s="27">
        <f t="shared" ca="1" si="1899"/>
        <v>194.42890449438187</v>
      </c>
      <c r="AK684" s="24">
        <f>SUM(AK678:AK683)</f>
        <v>35074</v>
      </c>
      <c r="AL684" s="28">
        <f t="shared" ca="1" si="1877"/>
        <v>0.8353766322632149</v>
      </c>
      <c r="AM684" s="29">
        <v>1.5</v>
      </c>
      <c r="AN684" s="28">
        <f t="shared" ca="1" si="1879"/>
        <v>0.56441107869600093</v>
      </c>
      <c r="AO684" s="30">
        <f t="shared" ca="1" si="1880"/>
        <v>0.84661661804400135</v>
      </c>
      <c r="AP684" s="29">
        <f ca="1">SUM(AP678:AP683)</f>
        <v>1297.4438953888662</v>
      </c>
      <c r="AQ684" s="29">
        <f ca="1">AP684/AA684</f>
        <v>7.2890106482520567</v>
      </c>
      <c r="AR684" s="25">
        <f t="shared" ca="1" si="1882"/>
        <v>164.6067415730337</v>
      </c>
      <c r="AS684" s="76"/>
      <c r="AT684" s="76"/>
    </row>
    <row r="685" spans="1:46" ht="15.75" customHeight="1" x14ac:dyDescent="0.25">
      <c r="A685" s="70"/>
      <c r="B685" s="16">
        <v>5</v>
      </c>
      <c r="C685" s="16" t="s">
        <v>34</v>
      </c>
      <c r="D685" s="17">
        <v>40</v>
      </c>
      <c r="E685" s="18">
        <f ca="1">IFERROR(__xludf.DUMMYFUNCTION("COUNT(IMPORTRANGE(""https://docs.google.com/spreadsheets/d/1ptS0qWBCKWkc9h2aXWT_YgMhN7yIv5WgAHRbF8l9Zpo/edit"",""26!d2:d41""))"),40)</f>
        <v>40</v>
      </c>
      <c r="F685" s="23">
        <f ca="1">IFERROR(__xludf.DUMMYFUNCTION("SUM(IMPORTRANGE(""https://docs.google.com/spreadsheets/d/1ptS0qWBCKWkc9h2aXWT_YgMhN7yIv5WgAHRbF8l9Zpo/edit"",""26!Q2:Q41""))"),7850.712)</f>
        <v>7850.7120000000004</v>
      </c>
      <c r="G685" s="18">
        <f ca="1">IFERROR(__xludf.DUMMYFUNCTION("IMPORTRANGE(""https://docs.google.com/spreadsheets/d/1ptS0qWBCKWkc9h2aXWT_YgMhN7yIv5WgAHRbF8l9Zpo/edit"",""26!e48"")"),2861)</f>
        <v>2861</v>
      </c>
      <c r="H685" s="18">
        <f ca="1">IFERROR(__xludf.DUMMYFUNCTION("IMPORTRANGE(""https://docs.google.com/spreadsheets/d/1ptS0qWBCKWkc9h2aXWT_YgMhN7yIv5WgAHRbF8l9Zpo/edit"",""26!e49"")"),0)</f>
        <v>0</v>
      </c>
      <c r="I685" s="18">
        <f t="shared" ca="1" si="1887"/>
        <v>2861</v>
      </c>
      <c r="J685" s="18">
        <f ca="1">IFERROR(__xludf.DUMMYFUNCTION("IMPORTRANGE(""https://docs.google.com/spreadsheets/d/1ptS0qWBCKWkc9h2aXWT_YgMhN7yIv5WgAHRbF8l9Zpo/edit"",""26!e52"")"),3223)</f>
        <v>3223</v>
      </c>
      <c r="K685" s="18">
        <f ca="1">IFERROR(__xludf.DUMMYFUNCTION("IMPORTRANGE(""https://docs.google.com/spreadsheets/d/1ptS0qWBCKWkc9h2aXWT_YgMhN7yIv5WgAHRbF8l9Zpo/edit"",""26!e53"")"),0)</f>
        <v>0</v>
      </c>
      <c r="L685" s="18">
        <f t="shared" ca="1" si="1888"/>
        <v>3223</v>
      </c>
      <c r="M685" s="18">
        <f t="shared" ca="1" si="1889"/>
        <v>6084</v>
      </c>
      <c r="N685" s="19">
        <f t="shared" ca="1" si="1890"/>
        <v>196.26780000000002</v>
      </c>
      <c r="O685" s="16">
        <v>9354</v>
      </c>
      <c r="P685" s="20">
        <f t="shared" ca="1" si="1891"/>
        <v>0.65041693393200772</v>
      </c>
      <c r="Q685" s="21">
        <v>1.5</v>
      </c>
      <c r="R685" s="20">
        <f t="shared" ca="1" si="1892"/>
        <v>0.51664103841791664</v>
      </c>
      <c r="S685" s="22">
        <f t="shared" ca="1" si="1893"/>
        <v>0.77496155762687502</v>
      </c>
      <c r="T685" s="21">
        <f ca="1">F685/30.713</f>
        <v>255.6152769185687</v>
      </c>
      <c r="U685" s="21">
        <f t="shared" ca="1" si="1894"/>
        <v>6.3903819229642176</v>
      </c>
      <c r="V685" s="18">
        <f t="shared" ca="1" si="1895"/>
        <v>152.1</v>
      </c>
      <c r="W685" s="76"/>
      <c r="X685" s="100" t="s">
        <v>35</v>
      </c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9"/>
      <c r="AS685" s="76"/>
      <c r="AT685" s="76"/>
    </row>
    <row r="686" spans="1:46" ht="15.75" customHeight="1" x14ac:dyDescent="0.25">
      <c r="A686" s="70"/>
      <c r="B686" s="16">
        <v>6</v>
      </c>
      <c r="C686" s="16" t="s">
        <v>23</v>
      </c>
      <c r="D686" s="17">
        <v>35</v>
      </c>
      <c r="E686" s="18">
        <f ca="1">IFERROR(__xludf.DUMMYFUNCTION("COUNT(IMPORTRANGE(""https://docs.google.com/spreadsheets/d/1829CoYW82aTBBUgqkPnJa94KlBWI-DowAnP4ENQCmaQ/edit"",""26!d2:d36""))"),35)</f>
        <v>35</v>
      </c>
      <c r="F686" s="23">
        <f ca="1">IFERROR(__xludf.DUMMYFUNCTION("SUM(IMPORTRANGE(""https://docs.google.com/spreadsheets/d/1829CoYW82aTBBUgqkPnJa94KlBWI-DowAnP4ENQCmaQ/edit"",""26!Q2:Q36""))"),6984.17999999999)</f>
        <v>6984.1799999999903</v>
      </c>
      <c r="G686" s="18">
        <f ca="1">IFERROR(__xludf.DUMMYFUNCTION("IMPORTRANGE(""https://docs.google.com/spreadsheets/d/1829CoYW82aTBBUgqkPnJa94KlBWI-DowAnP4ENQCmaQ/edit"",""26!e43"")"),2931)</f>
        <v>2931</v>
      </c>
      <c r="H686" s="18">
        <f ca="1">IFERROR(__xludf.DUMMYFUNCTION("IMPORTRANGE(""https://docs.google.com/spreadsheets/d/1829CoYW82aTBBUgqkPnJa94KlBWI-DowAnP4ENQCmaQ/edit"",""26!e44"")"),0)</f>
        <v>0</v>
      </c>
      <c r="I686" s="18">
        <f t="shared" ca="1" si="1887"/>
        <v>2931</v>
      </c>
      <c r="J686" s="18">
        <f ca="1">IFERROR(__xludf.DUMMYFUNCTION("IMPORTRANGE(""https://docs.google.com/spreadsheets/d/1829CoYW82aTBBUgqkPnJa94KlBWI-DowAnP4ENQCmaQ/edit"",""26!e47"")"),2097)</f>
        <v>2097</v>
      </c>
      <c r="K686" s="18">
        <f ca="1">IFERROR(__xludf.DUMMYFUNCTION("IMPORTRANGE(""https://docs.google.com/spreadsheets/d/1829CoYW82aTBBUgqkPnJa94KlBWI-DowAnP4ENQCmaQ/edit"",""26!e48"")"),0)</f>
        <v>0</v>
      </c>
      <c r="L686" s="18">
        <f t="shared" ca="1" si="1888"/>
        <v>2097</v>
      </c>
      <c r="M686" s="18">
        <f t="shared" ca="1" si="1889"/>
        <v>5028</v>
      </c>
      <c r="N686" s="19">
        <f t="shared" ca="1" si="1890"/>
        <v>199.54799999999972</v>
      </c>
      <c r="O686" s="16">
        <v>6853</v>
      </c>
      <c r="P686" s="20">
        <f t="shared" ca="1" si="1891"/>
        <v>0.73369327301911569</v>
      </c>
      <c r="Q686" s="21">
        <v>1.5</v>
      </c>
      <c r="R686" s="20">
        <f t="shared" ca="1" si="1892"/>
        <v>0.47994181135079633</v>
      </c>
      <c r="S686" s="22">
        <f t="shared" ca="1" si="1893"/>
        <v>0.71991271702619453</v>
      </c>
      <c r="T686" s="21">
        <f ca="1">F686/33.74</f>
        <v>206.99999999999969</v>
      </c>
      <c r="U686" s="21">
        <f t="shared" ca="1" si="1894"/>
        <v>5.9142857142857057</v>
      </c>
      <c r="V686" s="18">
        <f t="shared" ca="1" si="1895"/>
        <v>143.65714285714284</v>
      </c>
      <c r="W686" s="76"/>
      <c r="X686" s="1" t="s">
        <v>2</v>
      </c>
      <c r="Y686" s="1" t="s">
        <v>3</v>
      </c>
      <c r="Z686" s="1" t="s">
        <v>4</v>
      </c>
      <c r="AA686" s="1" t="s">
        <v>5</v>
      </c>
      <c r="AB686" s="2" t="s">
        <v>6</v>
      </c>
      <c r="AC686" s="1" t="s">
        <v>7</v>
      </c>
      <c r="AD686" s="1" t="s">
        <v>8</v>
      </c>
      <c r="AE686" s="1" t="s">
        <v>9</v>
      </c>
      <c r="AF686" s="1" t="s">
        <v>10</v>
      </c>
      <c r="AG686" s="1" t="s">
        <v>11</v>
      </c>
      <c r="AH686" s="1" t="s">
        <v>12</v>
      </c>
      <c r="AI686" s="1" t="s">
        <v>13</v>
      </c>
      <c r="AJ686" s="2" t="s">
        <v>14</v>
      </c>
      <c r="AK686" s="1" t="s">
        <v>15</v>
      </c>
      <c r="AL686" s="1" t="s">
        <v>16</v>
      </c>
      <c r="AM686" s="3" t="s">
        <v>17</v>
      </c>
      <c r="AN686" s="4" t="s">
        <v>18</v>
      </c>
      <c r="AO686" s="5" t="s">
        <v>19</v>
      </c>
      <c r="AP686" s="6" t="s">
        <v>20</v>
      </c>
      <c r="AQ686" s="6" t="s">
        <v>21</v>
      </c>
      <c r="AR686" s="7" t="s">
        <v>22</v>
      </c>
      <c r="AS686" s="76"/>
      <c r="AT686" s="76"/>
    </row>
    <row r="687" spans="1:46" ht="15.75" customHeight="1" x14ac:dyDescent="0.25">
      <c r="A687" s="70"/>
      <c r="B687" s="16">
        <v>7</v>
      </c>
      <c r="C687" s="16" t="s">
        <v>24</v>
      </c>
      <c r="D687" s="17">
        <v>44</v>
      </c>
      <c r="E687" s="31">
        <f ca="1">IFERROR(__xludf.DUMMYFUNCTION("COUNT(IMPORTRANGE(""https://docs.google.com/spreadsheets/d/1E2x4oDZxEIsuC5nl-5Z0--MoN8b1dt9SbpRcCfNP84Q/edit"",""26!d2:d45""))"),42)</f>
        <v>42</v>
      </c>
      <c r="F687" s="32">
        <f ca="1">IFERROR(__xludf.DUMMYFUNCTION("SUM(IMPORTRANGE(""https://docs.google.com/spreadsheets/d/1E2x4oDZxEIsuC5nl-5Z0--MoN8b1dt9SbpRcCfNP84Q/edit"",""26!Q2:Q45""))"),8175.16799999999)</f>
        <v>8175.1679999999897</v>
      </c>
      <c r="G687" s="31">
        <f ca="1">IFERROR(__xludf.DUMMYFUNCTION("IMPORTRANGE(""https://docs.google.com/spreadsheets/d/1E2x4oDZxEIsuC5nl-5Z0--MoN8b1dt9SbpRcCfNP84Q/edit"",""26!e53"")"),1108)</f>
        <v>1108</v>
      </c>
      <c r="H687" s="31">
        <f ca="1">IFERROR(__xludf.DUMMYFUNCTION("IMPORTRANGE(""https://docs.google.com/spreadsheets/d/1E2x4oDZxEIsuC5nl-5Z0--MoN8b1dt9SbpRcCfNP84Q/edit"",""26!e54"")"),17)</f>
        <v>17</v>
      </c>
      <c r="I687" s="31">
        <f t="shared" ca="1" si="1887"/>
        <v>1125</v>
      </c>
      <c r="J687" s="31">
        <f ca="1">IFERROR(__xludf.DUMMYFUNCTION("IMPORTRANGE(""https://docs.google.com/spreadsheets/d/1E2x4oDZxEIsuC5nl-5Z0--MoN8b1dt9SbpRcCfNP84Q/edit"",""26!e57"")"),1429)</f>
        <v>1429</v>
      </c>
      <c r="K687" s="31">
        <f ca="1">IFERROR(__xludf.DUMMYFUNCTION("IMPORTRANGE(""https://docs.google.com/spreadsheets/d/1E2x4oDZxEIsuC5nl-5Z0--MoN8b1dt9SbpRcCfNP84Q/edit"",""26!e58"")"),20)</f>
        <v>20</v>
      </c>
      <c r="L687" s="18">
        <f t="shared" ca="1" si="1888"/>
        <v>1449</v>
      </c>
      <c r="M687" s="18">
        <f t="shared" ca="1" si="1889"/>
        <v>2574</v>
      </c>
      <c r="N687" s="19">
        <f t="shared" ca="1" si="1890"/>
        <v>194.6468571428569</v>
      </c>
      <c r="O687" s="16">
        <v>1580</v>
      </c>
      <c r="P687" s="33">
        <f t="shared" ca="1" si="1891"/>
        <v>1.6291139240506329</v>
      </c>
      <c r="Q687" s="21">
        <v>1.5</v>
      </c>
      <c r="R687" s="20">
        <f t="shared" ca="1" si="1892"/>
        <v>0.20990394325841402</v>
      </c>
      <c r="S687" s="22">
        <f t="shared" ca="1" si="1893"/>
        <v>0.31485591488762105</v>
      </c>
      <c r="T687" s="21">
        <f ca="1">F687/26.805</f>
        <v>304.98668158925534</v>
      </c>
      <c r="U687" s="21">
        <f t="shared" ca="1" si="1894"/>
        <v>7.2615876568870323</v>
      </c>
      <c r="V687" s="18">
        <f t="shared" ca="1" si="1895"/>
        <v>61.285714285714285</v>
      </c>
      <c r="W687" s="76"/>
      <c r="X687" s="8">
        <v>1</v>
      </c>
      <c r="Y687" s="8" t="s">
        <v>28</v>
      </c>
      <c r="Z687" s="8">
        <f t="shared" ref="Z687:AI687" si="1906">SUM(D682)</f>
        <v>33</v>
      </c>
      <c r="AA687" s="9">
        <f t="shared" ca="1" si="1906"/>
        <v>33</v>
      </c>
      <c r="AB687" s="11">
        <f t="shared" ca="1" si="1906"/>
        <v>6388.62</v>
      </c>
      <c r="AC687" s="9">
        <f t="shared" ca="1" si="1906"/>
        <v>2523</v>
      </c>
      <c r="AD687" s="9">
        <f t="shared" ca="1" si="1906"/>
        <v>141</v>
      </c>
      <c r="AE687" s="9">
        <f t="shared" ca="1" si="1906"/>
        <v>2664</v>
      </c>
      <c r="AF687" s="9">
        <f t="shared" ca="1" si="1906"/>
        <v>3013</v>
      </c>
      <c r="AG687" s="9">
        <f t="shared" ca="1" si="1906"/>
        <v>130</v>
      </c>
      <c r="AH687" s="9">
        <f t="shared" ca="1" si="1906"/>
        <v>3143</v>
      </c>
      <c r="AI687" s="9">
        <f t="shared" ca="1" si="1906"/>
        <v>5807</v>
      </c>
      <c r="AJ687" s="11">
        <f t="shared" ref="AJ687:AJ693" ca="1" si="1907">AB687/AA687</f>
        <v>193.59454545454545</v>
      </c>
      <c r="AK687" s="8">
        <f t="shared" ref="AK687:AK688" si="1908">SUM(O682)</f>
        <v>7315</v>
      </c>
      <c r="AL687" s="12">
        <f t="shared" ref="AL687:AL693" ca="1" si="1909">AI687/AK687</f>
        <v>0.79384825700615169</v>
      </c>
      <c r="AM687" s="13">
        <f t="shared" ref="AM687:AM688" si="1910">SUM(Q682)</f>
        <v>1.5</v>
      </c>
      <c r="AN687" s="12">
        <f t="shared" ref="AN687:AN693" ca="1" si="1911">AO687/AM687</f>
        <v>0.60597332966013528</v>
      </c>
      <c r="AO687" s="14">
        <f t="shared" ref="AO687:AO693" ca="1" si="1912">AI687/AB687</f>
        <v>0.90895999449020293</v>
      </c>
      <c r="AP687" s="13">
        <f t="shared" ref="AP687:AQ687" ca="1" si="1913">SUM(T682)</f>
        <v>206.77153121662298</v>
      </c>
      <c r="AQ687" s="13">
        <f t="shared" ca="1" si="1913"/>
        <v>6.265803976261302</v>
      </c>
      <c r="AR687" s="9">
        <f t="shared" ref="AR687:AR693" ca="1" si="1914">AI687/AA687</f>
        <v>175.96969696969697</v>
      </c>
      <c r="AS687" s="76"/>
      <c r="AT687" s="76"/>
    </row>
    <row r="688" spans="1:46" ht="15.75" customHeight="1" x14ac:dyDescent="0.25">
      <c r="A688" s="70"/>
      <c r="B688" s="16">
        <v>8</v>
      </c>
      <c r="C688" s="16" t="s">
        <v>25</v>
      </c>
      <c r="D688" s="34">
        <v>32</v>
      </c>
      <c r="E688" s="18">
        <f ca="1">IFERROR(__xludf.DUMMYFUNCTION("COUNT(IMPORTRANGE(""https://docs.google.com/spreadsheets/d/1KbRFOEYB0B44J_NSh1MwYQ1sLDlZXUHI-wuMLcZDn5k/edit"",""26!d2:D33""))"),32)</f>
        <v>32</v>
      </c>
      <c r="F688" s="23">
        <f ca="1">IFERROR(__xludf.DUMMYFUNCTION("SUM(IMPORTRANGE(""https://docs.google.com/spreadsheets/d/1KbRFOEYB0B44J_NSh1MwYQ1sLDlZXUHI-wuMLcZDn5k/edit"",""26!Q2:Q33""))"),5839.944)</f>
        <v>5839.9440000000004</v>
      </c>
      <c r="G688" s="18">
        <f ca="1">IFERROR(__xludf.DUMMYFUNCTION("IMPORTRANGE(""https://docs.google.com/spreadsheets/d/1KbRFOEYB0B44J_NSh1MwYQ1sLDlZXUHI-wuMLcZDn5k/edit"",""26!e40"")"),2532)</f>
        <v>2532</v>
      </c>
      <c r="H688" s="18">
        <f ca="1">IFERROR(__xludf.DUMMYFUNCTION("IMPORTRANGE(""https://docs.google.com/spreadsheets/d/1KbRFOEYB0B44J_NSh1MwYQ1sLDlZXUHI-wuMLcZDn5k/edit"",""26!e41"")"),316)</f>
        <v>316</v>
      </c>
      <c r="I688" s="18">
        <f t="shared" ca="1" si="1887"/>
        <v>2848</v>
      </c>
      <c r="J688" s="18">
        <f ca="1">IFERROR(__xludf.DUMMYFUNCTION("IMPORTRANGE(""https://docs.google.com/spreadsheets/d/1KbRFOEYB0B44J_NSh1MwYQ1sLDlZXUHI-wuMLcZDn5k/edit"",""26!e44"")"),3655)</f>
        <v>3655</v>
      </c>
      <c r="K688" s="18">
        <f ca="1">IFERROR(__xludf.DUMMYFUNCTION("IMPORTRANGE(""https://docs.google.com/spreadsheets/d/1KbRFOEYB0B44J_NSh1MwYQ1sLDlZXUHI-wuMLcZDn5k/edit"",""26!e45"")"),381)</f>
        <v>381</v>
      </c>
      <c r="L688" s="18">
        <f ca="1">J688+K688</f>
        <v>4036</v>
      </c>
      <c r="M688" s="18">
        <f t="shared" ca="1" si="1889"/>
        <v>6884</v>
      </c>
      <c r="N688" s="19">
        <f t="shared" ca="1" si="1890"/>
        <v>182.49825000000001</v>
      </c>
      <c r="O688" s="16">
        <v>6622</v>
      </c>
      <c r="P688" s="33">
        <f t="shared" ca="1" si="1891"/>
        <v>1.0395650860767141</v>
      </c>
      <c r="Q688" s="21">
        <v>1.5</v>
      </c>
      <c r="R688" s="20">
        <f t="shared" ca="1" si="1892"/>
        <v>0.78585228442829813</v>
      </c>
      <c r="S688" s="22">
        <f t="shared" ca="1" si="1893"/>
        <v>1.1787784266424473</v>
      </c>
      <c r="T688" s="21">
        <f ca="1">F688/23.84</f>
        <v>244.96409395973157</v>
      </c>
      <c r="U688" s="21">
        <f t="shared" ca="1" si="1894"/>
        <v>7.6551279362416116</v>
      </c>
      <c r="V688" s="18">
        <f t="shared" ca="1" si="1895"/>
        <v>215.125</v>
      </c>
      <c r="W688" s="76"/>
      <c r="X688" s="8">
        <v>2</v>
      </c>
      <c r="Y688" s="8" t="s">
        <v>30</v>
      </c>
      <c r="Z688" s="8">
        <f t="shared" ref="Z688:AI688" si="1915">SUM(D683)</f>
        <v>60</v>
      </c>
      <c r="AA688" s="9">
        <f t="shared" ca="1" si="1915"/>
        <v>58</v>
      </c>
      <c r="AB688" s="10">
        <f t="shared" ca="1" si="1915"/>
        <v>11532.4709999999</v>
      </c>
      <c r="AC688" s="9">
        <f t="shared" ca="1" si="1915"/>
        <v>3948</v>
      </c>
      <c r="AD688" s="9">
        <f t="shared" ca="1" si="1915"/>
        <v>0</v>
      </c>
      <c r="AE688" s="9">
        <f t="shared" ca="1" si="1915"/>
        <v>3948</v>
      </c>
      <c r="AF688" s="9">
        <f t="shared" ca="1" si="1915"/>
        <v>5527</v>
      </c>
      <c r="AG688" s="9">
        <f t="shared" ca="1" si="1915"/>
        <v>161</v>
      </c>
      <c r="AH688" s="9">
        <f t="shared" ca="1" si="1915"/>
        <v>5688</v>
      </c>
      <c r="AI688" s="9">
        <f t="shared" ca="1" si="1915"/>
        <v>9636</v>
      </c>
      <c r="AJ688" s="11">
        <f t="shared" ca="1" si="1907"/>
        <v>198.83570689654999</v>
      </c>
      <c r="AK688" s="8">
        <f t="shared" si="1908"/>
        <v>11164</v>
      </c>
      <c r="AL688" s="12">
        <f t="shared" ca="1" si="1909"/>
        <v>0.86313149408814049</v>
      </c>
      <c r="AM688" s="13">
        <f t="shared" si="1910"/>
        <v>1.5</v>
      </c>
      <c r="AN688" s="12">
        <f t="shared" ca="1" si="1911"/>
        <v>0.55703586854890474</v>
      </c>
      <c r="AO688" s="14">
        <f t="shared" ca="1" si="1912"/>
        <v>0.83555380282335712</v>
      </c>
      <c r="AP688" s="13">
        <f t="shared" ref="AP688:AQ688" ca="1" si="1916">SUM(T683)</f>
        <v>389.57102320710396</v>
      </c>
      <c r="AQ688" s="13">
        <f t="shared" ca="1" si="1916"/>
        <v>6.7167417794328266</v>
      </c>
      <c r="AR688" s="9">
        <f t="shared" ca="1" si="1914"/>
        <v>166.13793103448276</v>
      </c>
      <c r="AS688" s="76"/>
      <c r="AT688" s="76"/>
    </row>
    <row r="689" spans="1:46" ht="15.75" customHeight="1" x14ac:dyDescent="0.25">
      <c r="A689" s="70"/>
      <c r="B689" s="16">
        <v>9</v>
      </c>
      <c r="C689" s="16" t="s">
        <v>36</v>
      </c>
      <c r="D689" s="34">
        <v>29</v>
      </c>
      <c r="E689" s="18">
        <f ca="1">IFERROR(__xludf.DUMMYFUNCTION("COUNT(IMPORTRANGE(""https://docs.google.com/spreadsheets/d/1VqqqRGfmmkT0JC4ILJva2p8P11jjV0FX-TSKAaqOigw/edit"",""26!d2:d31""))"),28)</f>
        <v>28</v>
      </c>
      <c r="F689" s="23">
        <f ca="1">IFERROR(__xludf.DUMMYFUNCTION("SUM(IMPORTRANGE(""https://docs.google.com/spreadsheets/d/1VqqqRGfmmkT0JC4ILJva2p8P11jjV0FX-TSKAaqOigw/edit"",""26!Q2:Q31""))"),5456.05999999999)</f>
        <v>5456.0599999999904</v>
      </c>
      <c r="G689" s="18">
        <f ca="1">IFERROR(__xludf.DUMMYFUNCTION("IMPORTRANGE(""https://docs.google.com/spreadsheets/d/1VqqqRGfmmkT0JC4ILJva2p8P11jjV0FX-TSKAaqOigw/edit"",""26!e38"")"),1572)</f>
        <v>1572</v>
      </c>
      <c r="H689" s="18">
        <f ca="1">IFERROR(__xludf.DUMMYFUNCTION("IMPORTRANGE(""https://docs.google.com/spreadsheets/d/1VqqqRGfmmkT0JC4ILJva2p8P11jjV0FX-TSKAaqOigw/edit"",""26!e39"")"),0)</f>
        <v>0</v>
      </c>
      <c r="I689" s="18">
        <f t="shared" ca="1" si="1887"/>
        <v>1572</v>
      </c>
      <c r="J689" s="18">
        <f ca="1">IFERROR(__xludf.DUMMYFUNCTION("IMPORTRANGE(""https://docs.google.com/spreadsheets/d/1VqqqRGfmmkT0JC4ILJva2p8P11jjV0FX-TSKAaqOigw/edit"",""26!e42"")"),2400)</f>
        <v>2400</v>
      </c>
      <c r="K689" s="18">
        <f ca="1">IFERROR(__xludf.DUMMYFUNCTION("IMPORTRANGE(""https://docs.google.com/spreadsheets/d/1VqqqRGfmmkT0JC4ILJva2p8P11jjV0FX-TSKAaqOigw/edit"",""26!e43"")"),0)</f>
        <v>0</v>
      </c>
      <c r="L689" s="18">
        <f t="shared" ref="L689:L698" ca="1" si="1917">SUM(J689:K689)</f>
        <v>2400</v>
      </c>
      <c r="M689" s="18">
        <f t="shared" ca="1" si="1889"/>
        <v>3972</v>
      </c>
      <c r="N689" s="19">
        <f t="shared" ca="1" si="1890"/>
        <v>194.85928571428536</v>
      </c>
      <c r="O689" s="16">
        <v>4796</v>
      </c>
      <c r="P689" s="20">
        <f t="shared" ca="1" si="1891"/>
        <v>0.82819015846538779</v>
      </c>
      <c r="Q689" s="21">
        <v>1.5</v>
      </c>
      <c r="R689" s="20">
        <f t="shared" ca="1" si="1892"/>
        <v>0.48533190617405314</v>
      </c>
      <c r="S689" s="22">
        <f t="shared" ca="1" si="1893"/>
        <v>0.72799785926107974</v>
      </c>
      <c r="T689" s="21">
        <f ca="1">F689/37.414</f>
        <v>145.82936868551852</v>
      </c>
      <c r="U689" s="21">
        <f t="shared" ca="1" si="1894"/>
        <v>5.2081917387685186</v>
      </c>
      <c r="V689" s="18">
        <f t="shared" ca="1" si="1895"/>
        <v>141.85714285714286</v>
      </c>
      <c r="W689" s="76"/>
      <c r="X689" s="8">
        <v>3</v>
      </c>
      <c r="Y689" s="8" t="s">
        <v>34</v>
      </c>
      <c r="Z689" s="8">
        <f t="shared" ref="Z689:AI689" si="1918">SUM(D685)</f>
        <v>40</v>
      </c>
      <c r="AA689" s="9">
        <f t="shared" ca="1" si="1918"/>
        <v>40</v>
      </c>
      <c r="AB689" s="10">
        <f t="shared" ca="1" si="1918"/>
        <v>7850.7120000000004</v>
      </c>
      <c r="AC689" s="9">
        <f t="shared" ca="1" si="1918"/>
        <v>2861</v>
      </c>
      <c r="AD689" s="9">
        <f t="shared" ca="1" si="1918"/>
        <v>0</v>
      </c>
      <c r="AE689" s="9">
        <f t="shared" ca="1" si="1918"/>
        <v>2861</v>
      </c>
      <c r="AF689" s="9">
        <f t="shared" ca="1" si="1918"/>
        <v>3223</v>
      </c>
      <c r="AG689" s="9">
        <f t="shared" ca="1" si="1918"/>
        <v>0</v>
      </c>
      <c r="AH689" s="9">
        <f t="shared" ca="1" si="1918"/>
        <v>3223</v>
      </c>
      <c r="AI689" s="9">
        <f t="shared" ca="1" si="1918"/>
        <v>6084</v>
      </c>
      <c r="AJ689" s="11">
        <f t="shared" ca="1" si="1907"/>
        <v>196.26780000000002</v>
      </c>
      <c r="AK689" s="8">
        <f>SUM(O685)</f>
        <v>9354</v>
      </c>
      <c r="AL689" s="12">
        <f t="shared" ca="1" si="1909"/>
        <v>0.65041693393200772</v>
      </c>
      <c r="AM689" s="13">
        <f>SUM(Q685)</f>
        <v>1.5</v>
      </c>
      <c r="AN689" s="12">
        <f t="shared" ca="1" si="1911"/>
        <v>0.51664103841791664</v>
      </c>
      <c r="AO689" s="14">
        <f t="shared" ca="1" si="1912"/>
        <v>0.77496155762687502</v>
      </c>
      <c r="AP689" s="13">
        <f t="shared" ref="AP689:AQ689" ca="1" si="1919">SUM(T685)</f>
        <v>255.6152769185687</v>
      </c>
      <c r="AQ689" s="13">
        <f t="shared" ca="1" si="1919"/>
        <v>6.3903819229642176</v>
      </c>
      <c r="AR689" s="9">
        <f t="shared" ca="1" si="1914"/>
        <v>152.1</v>
      </c>
      <c r="AS689" s="76"/>
      <c r="AT689" s="76"/>
    </row>
    <row r="690" spans="1:46" ht="15.75" customHeight="1" x14ac:dyDescent="0.25">
      <c r="A690" s="70"/>
      <c r="B690" s="16">
        <v>10</v>
      </c>
      <c r="C690" s="16" t="s">
        <v>37</v>
      </c>
      <c r="D690" s="17">
        <v>30</v>
      </c>
      <c r="E690" s="18">
        <f ca="1">IFERROR(__xludf.DUMMYFUNCTION("COUNT(IMPORTRANGE(""https://docs.google.com/spreadsheets/d/1IYeRjQd_D6MRqoBKNaky3aSEUloYCJc5XDnPAbdyetk/edit"",""26!d2:d31""))"),28)</f>
        <v>28</v>
      </c>
      <c r="F690" s="23">
        <f ca="1">IFERROR(__xludf.DUMMYFUNCTION("SUM(IMPORTRANGE(""https://docs.google.com/spreadsheets/d/1IYeRjQd_D6MRqoBKNaky3aSEUloYCJc5XDnPAbdyetk/edit"",""26!Q2:Q31""))"),5402.034)</f>
        <v>5402.0339999999997</v>
      </c>
      <c r="G690" s="18">
        <f ca="1">IFERROR(__xludf.DUMMYFUNCTION("(IMPORTRANGE(""https://docs.google.com/spreadsheets/d/1IYeRjQd_D6MRqoBKNaky3aSEUloYCJc5XDnPAbdyetk/edit"",""26!e38""))"),2260)</f>
        <v>2260</v>
      </c>
      <c r="H690" s="18">
        <f ca="1">IFERROR(__xludf.DUMMYFUNCTION("(IMPORTRANGE(""https://docs.google.com/spreadsheets/d/1IYeRjQd_D6MRqoBKNaky3aSEUloYCJc5XDnPAbdyetk/edit"",""26!e39""))"),0)</f>
        <v>0</v>
      </c>
      <c r="I690" s="18">
        <f t="shared" ca="1" si="1887"/>
        <v>2260</v>
      </c>
      <c r="J690" s="18">
        <f ca="1">IFERROR(__xludf.DUMMYFUNCTION("(IMPORTRANGE(""https://docs.google.com/spreadsheets/d/1IYeRjQd_D6MRqoBKNaky3aSEUloYCJc5XDnPAbdyetk/edit"",""26!e42""))"),3212)</f>
        <v>3212</v>
      </c>
      <c r="K690" s="18">
        <f ca="1">IFERROR(__xludf.DUMMYFUNCTION("(IMPORTRANGE(""https://docs.google.com/spreadsheets/d/1IYeRjQd_D6MRqoBKNaky3aSEUloYCJc5XDnPAbdyetk/edit"",""26!e43""))"),0)</f>
        <v>0</v>
      </c>
      <c r="L690" s="18">
        <f t="shared" ca="1" si="1917"/>
        <v>3212</v>
      </c>
      <c r="M690" s="18">
        <f t="shared" ca="1" si="1889"/>
        <v>5472</v>
      </c>
      <c r="N690" s="19">
        <f t="shared" ca="1" si="1890"/>
        <v>192.92978571428571</v>
      </c>
      <c r="O690" s="16">
        <v>5887</v>
      </c>
      <c r="P690" s="20">
        <f t="shared" ca="1" si="1891"/>
        <v>0.92950569050450149</v>
      </c>
      <c r="Q690" s="21">
        <v>1.5</v>
      </c>
      <c r="R690" s="20">
        <f t="shared" ca="1" si="1892"/>
        <v>0.67530119210652872</v>
      </c>
      <c r="S690" s="22">
        <f t="shared" ca="1" si="1893"/>
        <v>1.0129517881597931</v>
      </c>
      <c r="T690" s="21">
        <f ca="1">F690/24.792</f>
        <v>217.89424007744432</v>
      </c>
      <c r="U690" s="21">
        <f t="shared" ca="1" si="1894"/>
        <v>7.7819371456230115</v>
      </c>
      <c r="V690" s="18">
        <f t="shared" ca="1" si="1895"/>
        <v>195.42857142857142</v>
      </c>
      <c r="W690" s="76"/>
      <c r="X690" s="8">
        <v>4</v>
      </c>
      <c r="Y690" s="8" t="s">
        <v>38</v>
      </c>
      <c r="Z690" s="8">
        <f t="shared" ref="Z690:AI690" si="1920">SUM(D693)</f>
        <v>30</v>
      </c>
      <c r="AA690" s="9">
        <f t="shared" ca="1" si="1920"/>
        <v>30</v>
      </c>
      <c r="AB690" s="10">
        <f t="shared" ca="1" si="1920"/>
        <v>6160.6629999999896</v>
      </c>
      <c r="AC690" s="9">
        <f t="shared" ca="1" si="1920"/>
        <v>2364</v>
      </c>
      <c r="AD690" s="9">
        <f t="shared" ca="1" si="1920"/>
        <v>0</v>
      </c>
      <c r="AE690" s="9">
        <f t="shared" ca="1" si="1920"/>
        <v>2364</v>
      </c>
      <c r="AF690" s="9">
        <f t="shared" ca="1" si="1920"/>
        <v>2693</v>
      </c>
      <c r="AG690" s="9">
        <f t="shared" ca="1" si="1920"/>
        <v>216</v>
      </c>
      <c r="AH690" s="9">
        <f t="shared" ca="1" si="1920"/>
        <v>2909</v>
      </c>
      <c r="AI690" s="9">
        <f t="shared" ca="1" si="1920"/>
        <v>5273</v>
      </c>
      <c r="AJ690" s="11">
        <f t="shared" ca="1" si="1907"/>
        <v>205.355433333333</v>
      </c>
      <c r="AK690" s="8">
        <v>7324</v>
      </c>
      <c r="AL690" s="12">
        <f t="shared" ca="1" si="1909"/>
        <v>0.7199617695248498</v>
      </c>
      <c r="AM690" s="13">
        <f>SUM(Q693)</f>
        <v>1.5</v>
      </c>
      <c r="AN690" s="12">
        <f t="shared" ca="1" si="1911"/>
        <v>0.57060958103589488</v>
      </c>
      <c r="AO690" s="14">
        <f t="shared" ca="1" si="1912"/>
        <v>0.85591437155384231</v>
      </c>
      <c r="AP690" s="13">
        <f t="shared" ref="AP690:AQ690" ca="1" si="1921">SUM(T693)</f>
        <v>149.51251061764324</v>
      </c>
      <c r="AQ690" s="13">
        <f t="shared" ca="1" si="1921"/>
        <v>4.9837503539214412</v>
      </c>
      <c r="AR690" s="9">
        <f t="shared" ca="1" si="1914"/>
        <v>175.76666666666668</v>
      </c>
      <c r="AS690" s="76"/>
      <c r="AT690" s="76"/>
    </row>
    <row r="691" spans="1:46" ht="15.75" customHeight="1" x14ac:dyDescent="0.25">
      <c r="A691" s="70"/>
      <c r="B691" s="16">
        <v>12</v>
      </c>
      <c r="C691" s="16" t="s">
        <v>39</v>
      </c>
      <c r="D691" s="17">
        <v>28</v>
      </c>
      <c r="E691" s="18">
        <f ca="1">IFERROR(__xludf.DUMMYFUNCTION("COUNT(IMPORTRANGE(""https://docs.google.com/spreadsheets/d/1TAY2D35yAzyl8a_p5CuZehQvmatfj0b0Q8ICl8GtJBY/edit"",""26!d2:d29""))"),27)</f>
        <v>27</v>
      </c>
      <c r="F691" s="23">
        <f ca="1">IFERROR(__xludf.DUMMYFUNCTION("SUM(IMPORTRANGE(""https://docs.google.com/spreadsheets/d/1TAY2D35yAzyl8a_p5CuZehQvmatfj0b0Q8ICl8GtJBY/edit"",""26!Q2:Q29""))"),5222.785)</f>
        <v>5222.7849999999999</v>
      </c>
      <c r="G691" s="18">
        <f ca="1">IFERROR(__xludf.DUMMYFUNCTION("IMPORTRANGE(""https://docs.google.com/spreadsheets/d/1TAY2D35yAzyl8a_p5CuZehQvmatfj0b0Q8ICl8GtJBY/edit"",""26!e36"")"),1302)</f>
        <v>1302</v>
      </c>
      <c r="H691" s="18">
        <f ca="1">IFERROR(__xludf.DUMMYFUNCTION("(IMPORTRANGE(""https://docs.google.com/spreadsheets/d/1TAY2D35yAzyl8a_p5CuZehQvmatfj0b0Q8ICl8GtJBY/edit"",""26!e37""))"),51)</f>
        <v>51</v>
      </c>
      <c r="I691" s="18">
        <f t="shared" ca="1" si="1887"/>
        <v>1353</v>
      </c>
      <c r="J691" s="18">
        <f ca="1">IFERROR(__xludf.DUMMYFUNCTION("IMPORTRANGE(""https://docs.google.com/spreadsheets/d/1TAY2D35yAzyl8a_p5CuZehQvmatfj0b0Q8ICl8GtJBY/edit"",""26!e40"")"),1498)</f>
        <v>1498</v>
      </c>
      <c r="K691" s="18">
        <f ca="1">IFERROR(__xludf.DUMMYFUNCTION("IMPORTRANGE(""https://docs.google.com/spreadsheets/d/1TAY2D35yAzyl8a_p5CuZehQvmatfj0b0Q8ICl8GtJBY/edit"",""26!e41"")"),250)</f>
        <v>250</v>
      </c>
      <c r="L691" s="18">
        <f t="shared" ca="1" si="1917"/>
        <v>1748</v>
      </c>
      <c r="M691" s="18">
        <f t="shared" ca="1" si="1889"/>
        <v>3101</v>
      </c>
      <c r="N691" s="19">
        <f t="shared" ca="1" si="1890"/>
        <v>193.43648148148148</v>
      </c>
      <c r="O691" s="16">
        <v>3569</v>
      </c>
      <c r="P691" s="20">
        <f t="shared" ca="1" si="1891"/>
        <v>0.8688708321658728</v>
      </c>
      <c r="Q691" s="21">
        <v>1.5</v>
      </c>
      <c r="R691" s="20">
        <f t="shared" ca="1" si="1892"/>
        <v>0.39582968346070796</v>
      </c>
      <c r="S691" s="22">
        <f t="shared" ca="1" si="1893"/>
        <v>0.59374452519106191</v>
      </c>
      <c r="T691" s="21">
        <f ca="1">F691/21.463</f>
        <v>243.33900200344777</v>
      </c>
      <c r="U691" s="21">
        <f t="shared" ca="1" si="1894"/>
        <v>9.0125556297573244</v>
      </c>
      <c r="V691" s="18">
        <f t="shared" ca="1" si="1895"/>
        <v>114.85185185185185</v>
      </c>
      <c r="W691" s="76"/>
      <c r="X691" s="8">
        <v>5</v>
      </c>
      <c r="Y691" s="8" t="s">
        <v>40</v>
      </c>
      <c r="Z691" s="8">
        <f t="shared" ref="Z691:AI691" si="1922">SUM(D695)</f>
        <v>30</v>
      </c>
      <c r="AA691" s="9">
        <f t="shared" ca="1" si="1922"/>
        <v>30</v>
      </c>
      <c r="AB691" s="10">
        <f t="shared" ca="1" si="1922"/>
        <v>5801.0389999999898</v>
      </c>
      <c r="AC691" s="9">
        <f t="shared" ca="1" si="1922"/>
        <v>3205</v>
      </c>
      <c r="AD691" s="9">
        <f t="shared" ca="1" si="1922"/>
        <v>0</v>
      </c>
      <c r="AE691" s="9">
        <f t="shared" ca="1" si="1922"/>
        <v>3205</v>
      </c>
      <c r="AF691" s="9">
        <f t="shared" ca="1" si="1922"/>
        <v>3982</v>
      </c>
      <c r="AG691" s="9">
        <f t="shared" ca="1" si="1922"/>
        <v>0</v>
      </c>
      <c r="AH691" s="9">
        <f t="shared" ca="1" si="1922"/>
        <v>3982</v>
      </c>
      <c r="AI691" s="9">
        <f t="shared" ca="1" si="1922"/>
        <v>7187</v>
      </c>
      <c r="AJ691" s="11">
        <f t="shared" ca="1" si="1907"/>
        <v>193.36796666666632</v>
      </c>
      <c r="AK691" s="8">
        <f t="shared" ref="AK691:AK692" si="1923">SUM(O695)</f>
        <v>8239</v>
      </c>
      <c r="AL691" s="12">
        <f t="shared" ca="1" si="1909"/>
        <v>0.87231460128656391</v>
      </c>
      <c r="AM691" s="13">
        <f t="shared" ref="AM691:AM692" si="1924">SUM(Q695)</f>
        <v>1.5</v>
      </c>
      <c r="AN691" s="12">
        <f t="shared" ca="1" si="1911"/>
        <v>0.82594399612437386</v>
      </c>
      <c r="AO691" s="14">
        <f t="shared" ca="1" si="1912"/>
        <v>1.2389159941865608</v>
      </c>
      <c r="AP691" s="13">
        <f t="shared" ref="AP691:AQ691" ca="1" si="1925">SUM(T695)</f>
        <v>203.95313433885278</v>
      </c>
      <c r="AQ691" s="13">
        <f t="shared" ca="1" si="1925"/>
        <v>6.7984378112950923</v>
      </c>
      <c r="AR691" s="9">
        <f t="shared" ca="1" si="1914"/>
        <v>239.56666666666666</v>
      </c>
      <c r="AS691" s="76"/>
      <c r="AT691" s="76"/>
    </row>
    <row r="692" spans="1:46" ht="15.75" customHeight="1" x14ac:dyDescent="0.25">
      <c r="A692" s="70"/>
      <c r="B692" s="16">
        <v>12</v>
      </c>
      <c r="C692" s="16" t="s">
        <v>41</v>
      </c>
      <c r="D692" s="17">
        <v>24</v>
      </c>
      <c r="E692" s="18">
        <f ca="1">IFERROR(__xludf.DUMMYFUNCTION("COUNT(IMPORTRANGE(""https://docs.google.com/spreadsheets/d/1VAsUtLQHi7oV9NsI9EIHPnO1bcPJHeRgSbMoxSvPBME/edit"",""26!d2:d25""))"),24)</f>
        <v>24</v>
      </c>
      <c r="F692" s="23">
        <f ca="1">IFERROR(__xludf.DUMMYFUNCTION("SUM(IMPORTRANGE(""https://docs.google.com/spreadsheets/d/1VAsUtLQHi7oV9NsI9EIHPnO1bcPJHeRgSbMoxSvPBME/edit"",""26!Q2:Q25""))"),4750.356)</f>
        <v>4750.3559999999998</v>
      </c>
      <c r="G692" s="18">
        <f ca="1">IFERROR(__xludf.DUMMYFUNCTION("IMPORTRANGE(""https://docs.google.com/spreadsheets/d/1VAsUtLQHi7oV9NsI9EIHPnO1bcPJHeRgSbMoxSvPBME/edit"",""26!e32"")"),1419)</f>
        <v>1419</v>
      </c>
      <c r="H692" s="18">
        <f ca="1">IFERROR(__xludf.DUMMYFUNCTION("IMPORTRANGE(""https://docs.google.com/spreadsheets/d/1VAsUtLQHi7oV9NsI9EIHPnO1bcPJHeRgSbMoxSvPBME/edit"",""26!e33"")"),35)</f>
        <v>35</v>
      </c>
      <c r="I692" s="18">
        <f t="shared" ca="1" si="1887"/>
        <v>1454</v>
      </c>
      <c r="J692" s="18">
        <f ca="1">IFERROR(__xludf.DUMMYFUNCTION("IMPORTRANGE(""https://docs.google.com/spreadsheets/d/1VAsUtLQHi7oV9NsI9EIHPnO1bcPJHeRgSbMoxSvPBME/edit"",""26!e36"")"),1677)</f>
        <v>1677</v>
      </c>
      <c r="K692" s="18">
        <f ca="1">IFERROR(__xludf.DUMMYFUNCTION("IMPORTRANGE(""https://docs.google.com/spreadsheets/d/1VAsUtLQHi7oV9NsI9EIHPnO1bcPJHeRgSbMoxSvPBME/edit"",""26!e37"")"),0)</f>
        <v>0</v>
      </c>
      <c r="L692" s="18">
        <f t="shared" ca="1" si="1917"/>
        <v>1677</v>
      </c>
      <c r="M692" s="18">
        <f t="shared" ca="1" si="1889"/>
        <v>3131</v>
      </c>
      <c r="N692" s="19">
        <f t="shared" ca="1" si="1890"/>
        <v>197.9315</v>
      </c>
      <c r="O692" s="16">
        <v>3801</v>
      </c>
      <c r="P692" s="20">
        <f t="shared" ca="1" si="1891"/>
        <v>0.82373059721126018</v>
      </c>
      <c r="Q692" s="21">
        <v>1.5</v>
      </c>
      <c r="R692" s="20">
        <f t="shared" ca="1" si="1892"/>
        <v>0.43940566419302751</v>
      </c>
      <c r="S692" s="22">
        <f t="shared" ca="1" si="1893"/>
        <v>0.65910849628954127</v>
      </c>
      <c r="T692" s="21">
        <f ca="1">F692/29.628</f>
        <v>160.33333333333331</v>
      </c>
      <c r="U692" s="21">
        <f t="shared" ca="1" si="1894"/>
        <v>6.6805555555555545</v>
      </c>
      <c r="V692" s="18">
        <f t="shared" ca="1" si="1895"/>
        <v>130.45833333333334</v>
      </c>
      <c r="W692" s="76"/>
      <c r="X692" s="8">
        <v>6</v>
      </c>
      <c r="Y692" s="8" t="s">
        <v>42</v>
      </c>
      <c r="Z692" s="8">
        <f t="shared" ref="Z692:AI692" si="1926">SUM(D696)</f>
        <v>33</v>
      </c>
      <c r="AA692" s="9">
        <f t="shared" ca="1" si="1926"/>
        <v>32</v>
      </c>
      <c r="AB692" s="10">
        <f t="shared" ca="1" si="1926"/>
        <v>6284.89299999999</v>
      </c>
      <c r="AC692" s="9">
        <f t="shared" ca="1" si="1926"/>
        <v>3210</v>
      </c>
      <c r="AD692" s="9">
        <f t="shared" ca="1" si="1926"/>
        <v>0</v>
      </c>
      <c r="AE692" s="9">
        <f t="shared" ca="1" si="1926"/>
        <v>3210</v>
      </c>
      <c r="AF692" s="9">
        <f t="shared" ca="1" si="1926"/>
        <v>4197</v>
      </c>
      <c r="AG692" s="9">
        <f t="shared" ca="1" si="1926"/>
        <v>237</v>
      </c>
      <c r="AH692" s="9">
        <f t="shared" ca="1" si="1926"/>
        <v>4434</v>
      </c>
      <c r="AI692" s="9">
        <f t="shared" ca="1" si="1926"/>
        <v>7644</v>
      </c>
      <c r="AJ692" s="11">
        <f t="shared" ca="1" si="1907"/>
        <v>196.40290624999969</v>
      </c>
      <c r="AK692" s="8">
        <f t="shared" si="1923"/>
        <v>9877</v>
      </c>
      <c r="AL692" s="12">
        <f t="shared" ca="1" si="1909"/>
        <v>0.77391920623671151</v>
      </c>
      <c r="AM692" s="13">
        <f t="shared" si="1924"/>
        <v>1.5</v>
      </c>
      <c r="AN692" s="12">
        <f t="shared" ca="1" si="1911"/>
        <v>0.81083321545808473</v>
      </c>
      <c r="AO692" s="14">
        <f t="shared" ca="1" si="1912"/>
        <v>1.216249823187127</v>
      </c>
      <c r="AP692" s="13">
        <f t="shared" ref="AP692:AQ692" ca="1" si="1927">SUM(T696)</f>
        <v>240.2941311412728</v>
      </c>
      <c r="AQ692" s="13">
        <f t="shared" ca="1" si="1927"/>
        <v>7.509191598164775</v>
      </c>
      <c r="AR692" s="9">
        <f t="shared" ca="1" si="1914"/>
        <v>238.875</v>
      </c>
      <c r="AS692" s="76"/>
      <c r="AT692" s="76"/>
    </row>
    <row r="693" spans="1:46" ht="15.75" customHeight="1" x14ac:dyDescent="0.25">
      <c r="A693" s="70"/>
      <c r="B693" s="16">
        <v>13</v>
      </c>
      <c r="C693" s="16" t="s">
        <v>43</v>
      </c>
      <c r="D693" s="17">
        <v>30</v>
      </c>
      <c r="E693" s="18">
        <f ca="1">IFERROR(__xludf.DUMMYFUNCTION("COUNT(IMPORTRANGE(""https://docs.google.com/spreadsheets/d/1p9Y_DGk7-TpRBFth-ljZceOIGCjQ0ylUeUq6xqnsZ-Q/edit"",""26!d2:d31""))"),30)</f>
        <v>30</v>
      </c>
      <c r="F693" s="23">
        <f ca="1">IFERROR(__xludf.DUMMYFUNCTION("SUM(IMPORTRANGE(""https://docs.google.com/spreadsheets/d/1p9Y_DGk7-TpRBFth-ljZceOIGCjQ0ylUeUq6xqnsZ-Q/edit"",""26!Q2:Q31""))"),6160.66299999999)</f>
        <v>6160.6629999999896</v>
      </c>
      <c r="G693" s="18">
        <f ca="1">IFERROR(__xludf.DUMMYFUNCTION("IMPORTRANGE(""https://docs.google.com/spreadsheets/d/1p9Y_DGk7-TpRBFth-ljZceOIGCjQ0ylUeUq6xqnsZ-Q/edit"",""26!e38"")"),2364)</f>
        <v>2364</v>
      </c>
      <c r="H693" s="18">
        <f ca="1">IFERROR(__xludf.DUMMYFUNCTION("IMPORTRANGE(""https://docs.google.com/spreadsheets/d/1p9Y_DGk7-TpRBFth-ljZceOIGCjQ0ylUeUq6xqnsZ-Q/edit"",""26!e39"")"),0)</f>
        <v>0</v>
      </c>
      <c r="I693" s="18">
        <f t="shared" ca="1" si="1887"/>
        <v>2364</v>
      </c>
      <c r="J693" s="18">
        <f ca="1">IFERROR(__xludf.DUMMYFUNCTION("IMPORTRANGE(""https://docs.google.com/spreadsheets/d/1p9Y_DGk7-TpRBFth-ljZceOIGCjQ0ylUeUq6xqnsZ-Q/edit"",""26!e42"")"),2693)</f>
        <v>2693</v>
      </c>
      <c r="K693" s="18">
        <f ca="1">IFERROR(__xludf.DUMMYFUNCTION("IMPORTRANGE(""https://docs.google.com/spreadsheets/d/1p9Y_DGk7-TpRBFth-ljZceOIGCjQ0ylUeUq6xqnsZ-Q/edit"",""26!e43"")"),216)</f>
        <v>216</v>
      </c>
      <c r="L693" s="18">
        <f t="shared" ca="1" si="1917"/>
        <v>2909</v>
      </c>
      <c r="M693" s="18">
        <f t="shared" ca="1" si="1889"/>
        <v>5273</v>
      </c>
      <c r="N693" s="19">
        <f t="shared" ca="1" si="1890"/>
        <v>205.355433333333</v>
      </c>
      <c r="O693" s="16">
        <v>8345</v>
      </c>
      <c r="P693" s="20">
        <f t="shared" ca="1" si="1891"/>
        <v>0.63187537447573394</v>
      </c>
      <c r="Q693" s="21">
        <v>1.5</v>
      </c>
      <c r="R693" s="20">
        <f t="shared" ca="1" si="1892"/>
        <v>0.57060958103589488</v>
      </c>
      <c r="S693" s="22">
        <f t="shared" ca="1" si="1893"/>
        <v>0.85591437155384231</v>
      </c>
      <c r="T693" s="21">
        <f ca="1">F693/41.205</f>
        <v>149.51251061764324</v>
      </c>
      <c r="U693" s="21">
        <f t="shared" ca="1" si="1894"/>
        <v>4.9837503539214412</v>
      </c>
      <c r="V693" s="18">
        <f t="shared" ca="1" si="1895"/>
        <v>175.76666666666668</v>
      </c>
      <c r="W693" s="76"/>
      <c r="X693" s="24" t="s">
        <v>33</v>
      </c>
      <c r="Y693" s="24">
        <v>6</v>
      </c>
      <c r="Z693" s="24">
        <f t="shared" ref="Z693:AI693" si="1928">SUM(Z687:Z692)</f>
        <v>226</v>
      </c>
      <c r="AA693" s="25">
        <f t="shared" ca="1" si="1928"/>
        <v>223</v>
      </c>
      <c r="AB693" s="27">
        <f t="shared" ca="1" si="1928"/>
        <v>44018.397999999863</v>
      </c>
      <c r="AC693" s="25">
        <f t="shared" ca="1" si="1928"/>
        <v>18111</v>
      </c>
      <c r="AD693" s="25">
        <f t="shared" ca="1" si="1928"/>
        <v>141</v>
      </c>
      <c r="AE693" s="25">
        <f t="shared" ca="1" si="1928"/>
        <v>18252</v>
      </c>
      <c r="AF693" s="25">
        <f t="shared" ca="1" si="1928"/>
        <v>22635</v>
      </c>
      <c r="AG693" s="25">
        <f t="shared" ca="1" si="1928"/>
        <v>744</v>
      </c>
      <c r="AH693" s="25">
        <f t="shared" ca="1" si="1928"/>
        <v>23379</v>
      </c>
      <c r="AI693" s="25">
        <f t="shared" ca="1" si="1928"/>
        <v>41631</v>
      </c>
      <c r="AJ693" s="27">
        <f t="shared" ca="1" si="1907"/>
        <v>197.3919192825106</v>
      </c>
      <c r="AK693" s="24">
        <f>SUM(AK687:AK692)</f>
        <v>53273</v>
      </c>
      <c r="AL693" s="28">
        <f t="shared" ca="1" si="1909"/>
        <v>0.78146528260094228</v>
      </c>
      <c r="AM693" s="29">
        <v>1.5</v>
      </c>
      <c r="AN693" s="28">
        <f t="shared" ca="1" si="1911"/>
        <v>0.63050908849522613</v>
      </c>
      <c r="AO693" s="30">
        <f t="shared" ca="1" si="1912"/>
        <v>0.94576363274283926</v>
      </c>
      <c r="AP693" s="29">
        <f ca="1">SUM(AP687:AP692)</f>
        <v>1445.7176074400645</v>
      </c>
      <c r="AQ693" s="29">
        <f ca="1">AP693/AA693</f>
        <v>6.4830385983859395</v>
      </c>
      <c r="AR693" s="25">
        <f t="shared" ca="1" si="1914"/>
        <v>186.68609865470853</v>
      </c>
      <c r="AS693" s="76"/>
      <c r="AT693" s="76"/>
    </row>
    <row r="694" spans="1:46" ht="15.75" customHeight="1" x14ac:dyDescent="0.25">
      <c r="A694" s="70"/>
      <c r="B694" s="16">
        <v>14</v>
      </c>
      <c r="C694" s="16" t="s">
        <v>27</v>
      </c>
      <c r="D694" s="17">
        <v>30</v>
      </c>
      <c r="E694" s="18">
        <f ca="1">IFERROR(__xludf.DUMMYFUNCTION("COUNT(IMPORTRANGE(""https://docs.google.com/spreadsheets/d/1zJUDEKztv_fercXA0LYNw155qdzS7TJGhWLhquaW5IY/edit"",""26!d2:d31""))"),27)</f>
        <v>27</v>
      </c>
      <c r="F694" s="23">
        <f ca="1">IFERROR(__xludf.DUMMYFUNCTION("SUM(IMPORTRANGE(""https://docs.google.com/spreadsheets/d/1zJUDEKztv_fercXA0LYNw155qdzS7TJGhWLhquaW5IY/edit"",""26!Q2:Q31""))"),5046.075)</f>
        <v>5046.0749999999998</v>
      </c>
      <c r="G694" s="18">
        <f ca="1">IFERROR(__xludf.DUMMYFUNCTION("IMPORTRANGE(""https://docs.google.com/spreadsheets/d/1zJUDEKztv_fercXA0LYNw155qdzS7TJGhWLhquaW5IY/edit"",""26!e38"")"),2526)</f>
        <v>2526</v>
      </c>
      <c r="H694" s="18">
        <f ca="1">IFERROR(__xludf.DUMMYFUNCTION("IMPORTRANGE(""https://docs.google.com/spreadsheets/d/1zJUDEKztv_fercXA0LYNw155qdzS7TJGhWLhquaW5IY/edit"",""26!e39"")"),0)</f>
        <v>0</v>
      </c>
      <c r="I694" s="18">
        <f t="shared" ca="1" si="1887"/>
        <v>2526</v>
      </c>
      <c r="J694" s="18">
        <f ca="1">IFERROR(__xludf.DUMMYFUNCTION("IMPORTRANGE(""https://docs.google.com/spreadsheets/d/1zJUDEKztv_fercXA0LYNw155qdzS7TJGhWLhquaW5IY/edit"",""26!e42"")"),3326)</f>
        <v>3326</v>
      </c>
      <c r="K694" s="18">
        <f ca="1">IFERROR(__xludf.DUMMYFUNCTION("IMPORTRANGE(""https://docs.google.com/spreadsheets/d/1zJUDEKztv_fercXA0LYNw155qdzS7TJGhWLhquaW5IY/edit"",""26!e43"")"),0)</f>
        <v>0</v>
      </c>
      <c r="L694" s="18">
        <f t="shared" ca="1" si="1917"/>
        <v>3326</v>
      </c>
      <c r="M694" s="18">
        <f t="shared" ca="1" si="1889"/>
        <v>5852</v>
      </c>
      <c r="N694" s="19">
        <f t="shared" ca="1" si="1890"/>
        <v>186.89166666666665</v>
      </c>
      <c r="O694" s="16">
        <v>8101</v>
      </c>
      <c r="P694" s="20">
        <f t="shared" ca="1" si="1891"/>
        <v>0.72237995309221081</v>
      </c>
      <c r="Q694" s="21">
        <v>1.5</v>
      </c>
      <c r="R694" s="20">
        <f t="shared" ca="1" si="1892"/>
        <v>0.77314216164708871</v>
      </c>
      <c r="S694" s="22">
        <f t="shared" ca="1" si="1893"/>
        <v>1.1597132424706331</v>
      </c>
      <c r="T694" s="21">
        <f ca="1">F694/19.985</f>
        <v>252.49311983987991</v>
      </c>
      <c r="U694" s="21">
        <f t="shared" ca="1" si="1894"/>
        <v>9.3515970311066638</v>
      </c>
      <c r="V694" s="18">
        <f t="shared" ca="1" si="1895"/>
        <v>216.74074074074073</v>
      </c>
      <c r="W694" s="76"/>
      <c r="X694" s="97" t="s">
        <v>44</v>
      </c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9"/>
      <c r="AS694" s="76"/>
      <c r="AT694" s="76"/>
    </row>
    <row r="695" spans="1:46" ht="15.75" customHeight="1" x14ac:dyDescent="0.25">
      <c r="A695" s="70"/>
      <c r="B695" s="16">
        <v>15</v>
      </c>
      <c r="C695" s="16" t="s">
        <v>40</v>
      </c>
      <c r="D695" s="17">
        <v>30</v>
      </c>
      <c r="E695" s="18">
        <f ca="1">IFERROR(__xludf.DUMMYFUNCTION("COUNT(IMPORTRANGE(""https://docs.google.com/spreadsheets/d/15GJA66Ucb-8RQ5vWVpq5HYaWoZZFX82SCeHChBujbrI/edit"",""26!d2:d31""))"),30)</f>
        <v>30</v>
      </c>
      <c r="F695" s="23">
        <f ca="1">IFERROR(__xludf.DUMMYFUNCTION("SUM(IMPORTRANGE(""https://docs.google.com/spreadsheets/d/15GJA66Ucb-8RQ5vWVpq5HYaWoZZFX82SCeHChBujbrI/edit"",""26!Q2:Q31""))"),5801.03899999999)</f>
        <v>5801.0389999999898</v>
      </c>
      <c r="G695" s="18">
        <f ca="1">IFERROR(__xludf.DUMMYFUNCTION("IMPORTRANGE(""https://docs.google.com/spreadsheets/d/15GJA66Ucb-8RQ5vWVpq5HYaWoZZFX82SCeHChBujbrI/edit"",""26!e38"")"),3205)</f>
        <v>3205</v>
      </c>
      <c r="H695" s="18">
        <f ca="1">IFERROR(__xludf.DUMMYFUNCTION("IMPORTRANGE(""https://docs.google.com/spreadsheets/d/15GJA66Ucb-8RQ5vWVpq5HYaWoZZFX82SCeHChBujbrI/edit"",""26!e39"")"),0)</f>
        <v>0</v>
      </c>
      <c r="I695" s="18">
        <f t="shared" ca="1" si="1887"/>
        <v>3205</v>
      </c>
      <c r="J695" s="18">
        <f ca="1">IFERROR(__xludf.DUMMYFUNCTION("IMPORTRANGE(""https://docs.google.com/spreadsheets/d/15GJA66Ucb-8RQ5vWVpq5HYaWoZZFX82SCeHChBujbrI/edit"",""26!e42"")"),3982)</f>
        <v>3982</v>
      </c>
      <c r="K695" s="18">
        <f ca="1">IFERROR(__xludf.DUMMYFUNCTION("IMPORTRANGE(""https://docs.google.com/spreadsheets/d/15GJA66Ucb-8RQ5vWVpq5HYaWoZZFX82SCeHChBujbrI/edit"",""26!e43"")"),0)</f>
        <v>0</v>
      </c>
      <c r="L695" s="18">
        <f t="shared" ca="1" si="1917"/>
        <v>3982</v>
      </c>
      <c r="M695" s="18">
        <f t="shared" ca="1" si="1889"/>
        <v>7187</v>
      </c>
      <c r="N695" s="19">
        <f t="shared" ca="1" si="1890"/>
        <v>193.36796666666632</v>
      </c>
      <c r="O695" s="16">
        <v>8239</v>
      </c>
      <c r="P695" s="20">
        <f t="shared" ca="1" si="1891"/>
        <v>0.87231460128656391</v>
      </c>
      <c r="Q695" s="21">
        <v>1.5</v>
      </c>
      <c r="R695" s="20">
        <f t="shared" ca="1" si="1892"/>
        <v>0.82594399612437386</v>
      </c>
      <c r="S695" s="22">
        <f t="shared" ca="1" si="1893"/>
        <v>1.2389159941865608</v>
      </c>
      <c r="T695" s="21">
        <f ca="1">F695/28.443</f>
        <v>203.95313433885278</v>
      </c>
      <c r="U695" s="21">
        <f t="shared" ca="1" si="1894"/>
        <v>6.7984378112950923</v>
      </c>
      <c r="V695" s="18">
        <f t="shared" ca="1" si="1895"/>
        <v>239.56666666666666</v>
      </c>
      <c r="W695" s="76"/>
      <c r="X695" s="1" t="s">
        <v>2</v>
      </c>
      <c r="Y695" s="1" t="s">
        <v>3</v>
      </c>
      <c r="Z695" s="1" t="s">
        <v>4</v>
      </c>
      <c r="AA695" s="1" t="s">
        <v>5</v>
      </c>
      <c r="AB695" s="2" t="s">
        <v>6</v>
      </c>
      <c r="AC695" s="1" t="s">
        <v>7</v>
      </c>
      <c r="AD695" s="1" t="s">
        <v>8</v>
      </c>
      <c r="AE695" s="1" t="s">
        <v>9</v>
      </c>
      <c r="AF695" s="1" t="s">
        <v>10</v>
      </c>
      <c r="AG695" s="1" t="s">
        <v>11</v>
      </c>
      <c r="AH695" s="1" t="s">
        <v>12</v>
      </c>
      <c r="AI695" s="1" t="s">
        <v>13</v>
      </c>
      <c r="AJ695" s="2" t="s">
        <v>14</v>
      </c>
      <c r="AK695" s="1" t="s">
        <v>15</v>
      </c>
      <c r="AL695" s="1" t="s">
        <v>16</v>
      </c>
      <c r="AM695" s="3" t="s">
        <v>17</v>
      </c>
      <c r="AN695" s="4" t="s">
        <v>18</v>
      </c>
      <c r="AO695" s="5" t="s">
        <v>19</v>
      </c>
      <c r="AP695" s="6" t="s">
        <v>20</v>
      </c>
      <c r="AQ695" s="6" t="s">
        <v>21</v>
      </c>
      <c r="AR695" s="7" t="s">
        <v>22</v>
      </c>
      <c r="AS695" s="76"/>
      <c r="AT695" s="76"/>
    </row>
    <row r="696" spans="1:46" ht="15.75" customHeight="1" x14ac:dyDescent="0.25">
      <c r="A696" s="70"/>
      <c r="B696" s="16">
        <v>16</v>
      </c>
      <c r="C696" s="16" t="s">
        <v>42</v>
      </c>
      <c r="D696" s="17">
        <v>33</v>
      </c>
      <c r="E696" s="18">
        <f ca="1">IFERROR(__xludf.DUMMYFUNCTION("COUNT(IMPORTRANGE(""https://docs.google.com/spreadsheets/d/14Tu_jFPEdrIQ6DHYu6vRvJKQsbXr-48NY1tKy4-8JKI/edit"",""26!d2:d34""))"),32)</f>
        <v>32</v>
      </c>
      <c r="F696" s="23">
        <f ca="1">IFERROR(__xludf.DUMMYFUNCTION("SUM(IMPORTRANGE(""https://docs.google.com/spreadsheets/d/14Tu_jFPEdrIQ6DHYu6vRvJKQsbXr-48NY1tKy4-8JKI/edit"",""26!Q2:Q34""))"),6284.89299999999)</f>
        <v>6284.89299999999</v>
      </c>
      <c r="G696" s="18">
        <f ca="1">IFERROR(__xludf.DUMMYFUNCTION("IMPORTRANGE(""https://docs.google.com/spreadsheets/d/14Tu_jFPEdrIQ6DHYu6vRvJKQsbXr-48NY1tKy4-8JKI/edit"",""26!e41"")"),3210)</f>
        <v>3210</v>
      </c>
      <c r="H696" s="18">
        <f ca="1">IFERROR(__xludf.DUMMYFUNCTION("IMPORTRANGE(""https://docs.google.com/spreadsheets/d/14Tu_jFPEdrIQ6DHYu6vRvJKQsbXr-48NY1tKy4-8JKI/edit"",""26!e42"")"),0)</f>
        <v>0</v>
      </c>
      <c r="I696" s="18">
        <f t="shared" ca="1" si="1887"/>
        <v>3210</v>
      </c>
      <c r="J696" s="18">
        <f ca="1">IFERROR(__xludf.DUMMYFUNCTION("IMPORTRANGE(""https://docs.google.com/spreadsheets/d/14Tu_jFPEdrIQ6DHYu6vRvJKQsbXr-48NY1tKy4-8JKI/edit"",""26!e45"")"),4197)</f>
        <v>4197</v>
      </c>
      <c r="K696" s="18">
        <f ca="1">IFERROR(__xludf.DUMMYFUNCTION("IMPORTRANGE(""https://docs.google.com/spreadsheets/d/14Tu_jFPEdrIQ6DHYu6vRvJKQsbXr-48NY1tKy4-8JKI/edit"",""26!e46"")"),237)</f>
        <v>237</v>
      </c>
      <c r="L696" s="18">
        <f t="shared" ca="1" si="1917"/>
        <v>4434</v>
      </c>
      <c r="M696" s="18">
        <f t="shared" ca="1" si="1889"/>
        <v>7644</v>
      </c>
      <c r="N696" s="19">
        <f t="shared" ca="1" si="1890"/>
        <v>196.40290624999969</v>
      </c>
      <c r="O696" s="16">
        <v>9877</v>
      </c>
      <c r="P696" s="20">
        <f t="shared" ca="1" si="1891"/>
        <v>0.77391920623671151</v>
      </c>
      <c r="Q696" s="21">
        <v>1.5</v>
      </c>
      <c r="R696" s="20">
        <f t="shared" ca="1" si="1892"/>
        <v>0.81083321545808473</v>
      </c>
      <c r="S696" s="22">
        <f t="shared" ca="1" si="1893"/>
        <v>1.216249823187127</v>
      </c>
      <c r="T696" s="21">
        <f ca="1">F696/26.155</f>
        <v>240.2941311412728</v>
      </c>
      <c r="U696" s="21">
        <f t="shared" ca="1" si="1894"/>
        <v>7.509191598164775</v>
      </c>
      <c r="V696" s="18">
        <f t="shared" ca="1" si="1895"/>
        <v>238.875</v>
      </c>
      <c r="W696" s="76"/>
      <c r="X696" s="8">
        <v>1</v>
      </c>
      <c r="Y696" s="8" t="s">
        <v>26</v>
      </c>
      <c r="Z696" s="8">
        <f t="shared" ref="Z696:AI696" si="1929">SUM(D681)</f>
        <v>20</v>
      </c>
      <c r="AA696" s="9">
        <f t="shared" ca="1" si="1929"/>
        <v>18</v>
      </c>
      <c r="AB696" s="11">
        <f t="shared" ca="1" si="1929"/>
        <v>3452.9279999999999</v>
      </c>
      <c r="AC696" s="9">
        <f t="shared" ca="1" si="1929"/>
        <v>2042</v>
      </c>
      <c r="AD696" s="9">
        <f t="shared" ca="1" si="1929"/>
        <v>0</v>
      </c>
      <c r="AE696" s="9">
        <f t="shared" ca="1" si="1929"/>
        <v>2042</v>
      </c>
      <c r="AF696" s="9">
        <f t="shared" ca="1" si="1929"/>
        <v>3147</v>
      </c>
      <c r="AG696" s="9">
        <f t="shared" ca="1" si="1929"/>
        <v>0</v>
      </c>
      <c r="AH696" s="9">
        <f t="shared" ca="1" si="1929"/>
        <v>3147</v>
      </c>
      <c r="AI696" s="9">
        <f t="shared" ca="1" si="1929"/>
        <v>5189</v>
      </c>
      <c r="AJ696" s="11">
        <f t="shared" ref="AJ696:AJ702" ca="1" si="1930">AB696/AA696</f>
        <v>191.82933333333332</v>
      </c>
      <c r="AK696" s="8">
        <f>SUM(O681)</f>
        <v>5161</v>
      </c>
      <c r="AL696" s="15">
        <f t="shared" ref="AL696:AL702" ca="1" si="1931">AI696/AK696</f>
        <v>1.0054253051734161</v>
      </c>
      <c r="AM696" s="13">
        <f>SUM(Q681)</f>
        <v>1.5</v>
      </c>
      <c r="AN696" s="15">
        <f t="shared" ref="AN696:AN702" ca="1" si="1932">AO696/AM696</f>
        <v>1.0018550439897194</v>
      </c>
      <c r="AO696" s="14">
        <f t="shared" ref="AO696:AO702" ca="1" si="1933">AI696/AB696</f>
        <v>1.502782565984579</v>
      </c>
      <c r="AP696" s="13">
        <f t="shared" ref="AP696:AQ696" ca="1" si="1934">SUM(T681)</f>
        <v>239.53714880332987</v>
      </c>
      <c r="AQ696" s="13">
        <f t="shared" ca="1" si="1934"/>
        <v>13.307619377962771</v>
      </c>
      <c r="AR696" s="9">
        <f t="shared" ref="AR696:AR702" ca="1" si="1935">AI696/AA696</f>
        <v>288.27777777777777</v>
      </c>
      <c r="AS696" s="76"/>
      <c r="AT696" s="76"/>
    </row>
    <row r="697" spans="1:46" ht="15.75" customHeight="1" x14ac:dyDescent="0.25">
      <c r="A697" s="70"/>
      <c r="B697" s="16">
        <v>17</v>
      </c>
      <c r="C697" s="16" t="s">
        <v>29</v>
      </c>
      <c r="D697" s="17">
        <v>30</v>
      </c>
      <c r="E697" s="18">
        <f ca="1">IFERROR(__xludf.DUMMYFUNCTION("COUNT(IMPORTRANGE(""https://docs.google.com/spreadsheets/d/1ja_RQYsP0p5wRrACHojay4CW1wLx0QdS5tSwp-vYQ-s/edit"",""26!d2:d31""))"),30)</f>
        <v>30</v>
      </c>
      <c r="F697" s="23">
        <f ca="1">IFERROR(__xludf.DUMMYFUNCTION("SUM(IMPORTRANGE(""https://docs.google.com/spreadsheets/d/1ja_RQYsP0p5wRrACHojay4CW1wLx0QdS5tSwp-vYQ-s/edit"",""26!Q2:Q31""))"),6172.40299999999)</f>
        <v>6172.4029999999902</v>
      </c>
      <c r="G697" s="18">
        <f ca="1">IFERROR(__xludf.DUMMYFUNCTION("IMPORTRANGE(""https://docs.google.com/spreadsheets/d/1ja_RQYsP0p5wRrACHojay4CW1wLx0QdS5tSwp-vYQ-s/edit"",""26!e38"")"),2890)</f>
        <v>2890</v>
      </c>
      <c r="H697" s="18">
        <f ca="1">IFERROR(__xludf.DUMMYFUNCTION("IMPORTRANGE(""https://docs.google.com/spreadsheets/d/1ja_RQYsP0p5wRrACHojay4CW1wLx0QdS5tSwp-vYQ-s/edit"",""26!e39"")"),0)</f>
        <v>0</v>
      </c>
      <c r="I697" s="18">
        <f t="shared" ca="1" si="1887"/>
        <v>2890</v>
      </c>
      <c r="J697" s="18">
        <f ca="1">IFERROR(__xludf.DUMMYFUNCTION("IMPORTRANGE(""https://docs.google.com/spreadsheets/d/1ja_RQYsP0p5wRrACHojay4CW1wLx0QdS5tSwp-vYQ-s/edit"",""26!e42"")"),4293)</f>
        <v>4293</v>
      </c>
      <c r="K697" s="18">
        <f ca="1">IFERROR(__xludf.DUMMYFUNCTION("IMPORTRANGE(""https://docs.google.com/spreadsheets/d/1ja_RQYsP0p5wRrACHojay4CW1wLx0QdS5tSwp-vYQ-s/edit"",""26!e43"")"),0)</f>
        <v>0</v>
      </c>
      <c r="L697" s="18">
        <f t="shared" ca="1" si="1917"/>
        <v>4293</v>
      </c>
      <c r="M697" s="18">
        <f t="shared" ca="1" si="1889"/>
        <v>7183</v>
      </c>
      <c r="N697" s="19">
        <f t="shared" ca="1" si="1890"/>
        <v>205.74676666666633</v>
      </c>
      <c r="O697" s="16">
        <v>9201</v>
      </c>
      <c r="P697" s="20">
        <f t="shared" ca="1" si="1891"/>
        <v>0.78067601347679605</v>
      </c>
      <c r="Q697" s="21">
        <v>1.5</v>
      </c>
      <c r="R697" s="20">
        <f t="shared" ca="1" si="1892"/>
        <v>0.77581886125495603</v>
      </c>
      <c r="S697" s="22">
        <f t="shared" ca="1" si="1893"/>
        <v>1.1637282918824341</v>
      </c>
      <c r="T697" s="21">
        <f ca="1">F697/26.491</f>
        <v>232.99999999999963</v>
      </c>
      <c r="U697" s="21">
        <f t="shared" ca="1" si="1894"/>
        <v>7.7666666666666542</v>
      </c>
      <c r="V697" s="18">
        <f t="shared" ca="1" si="1895"/>
        <v>239.43333333333334</v>
      </c>
      <c r="W697" s="76"/>
      <c r="X697" s="8">
        <v>2</v>
      </c>
      <c r="Y697" s="8" t="s">
        <v>32</v>
      </c>
      <c r="Z697" s="8">
        <f t="shared" ref="Z697:AI697" si="1936">SUM(D684)</f>
        <v>42</v>
      </c>
      <c r="AA697" s="9">
        <f t="shared" ca="1" si="1936"/>
        <v>41</v>
      </c>
      <c r="AB697" s="10">
        <f t="shared" ca="1" si="1936"/>
        <v>8128.8359999999902</v>
      </c>
      <c r="AC697" s="8">
        <f t="shared" ca="1" si="1936"/>
        <v>4684</v>
      </c>
      <c r="AD697" s="8">
        <f t="shared" ca="1" si="1936"/>
        <v>0</v>
      </c>
      <c r="AE697" s="9">
        <f t="shared" ca="1" si="1936"/>
        <v>4684</v>
      </c>
      <c r="AF697" s="8">
        <f t="shared" ca="1" si="1936"/>
        <v>5846</v>
      </c>
      <c r="AG697" s="8">
        <f t="shared" ca="1" si="1936"/>
        <v>0</v>
      </c>
      <c r="AH697" s="9">
        <f t="shared" ca="1" si="1936"/>
        <v>5846</v>
      </c>
      <c r="AI697" s="9">
        <f t="shared" ca="1" si="1936"/>
        <v>10530</v>
      </c>
      <c r="AJ697" s="11">
        <f t="shared" ca="1" si="1930"/>
        <v>198.26429268292659</v>
      </c>
      <c r="AK697" s="8">
        <f>SUM(O684)</f>
        <v>13817</v>
      </c>
      <c r="AL697" s="12">
        <f t="shared" ca="1" si="1931"/>
        <v>0.76210465368748648</v>
      </c>
      <c r="AM697" s="13">
        <f>SUM(Q684)</f>
        <v>1.5</v>
      </c>
      <c r="AN697" s="12">
        <f t="shared" ca="1" si="1932"/>
        <v>0.8635922781564308</v>
      </c>
      <c r="AO697" s="14">
        <f t="shared" ca="1" si="1933"/>
        <v>1.2953884172346462</v>
      </c>
      <c r="AP697" s="13">
        <f t="shared" ref="AP697:AQ697" ca="1" si="1937">SUM(T684)</f>
        <v>323.9999999999996</v>
      </c>
      <c r="AQ697" s="13">
        <f t="shared" ca="1" si="1937"/>
        <v>7.902439024390234</v>
      </c>
      <c r="AR697" s="9">
        <f t="shared" ca="1" si="1935"/>
        <v>256.82926829268291</v>
      </c>
      <c r="AS697" s="76"/>
      <c r="AT697" s="76"/>
    </row>
    <row r="698" spans="1:46" ht="15.75" customHeight="1" x14ac:dyDescent="0.25">
      <c r="A698" s="70"/>
      <c r="B698" s="16">
        <v>18</v>
      </c>
      <c r="C698" s="16" t="s">
        <v>31</v>
      </c>
      <c r="D698" s="17">
        <v>15</v>
      </c>
      <c r="E698" s="18">
        <f ca="1">IFERROR(__xludf.DUMMYFUNCTION("COUNT(IMPORTRANGE(""https://docs.google.com/spreadsheets/d/1ObnK1oSznTOmyW9Zcd2kxExl7TOnO2MNq_0giEKc_mE/edit"",""26!d2:d16""))"),12)</f>
        <v>12</v>
      </c>
      <c r="F698" s="19">
        <f ca="1">IFERROR(__xludf.DUMMYFUNCTION("SUM(IMPORTRANGE(""https://docs.google.com/spreadsheets/d/1ObnK1oSznTOmyW9Zcd2kxExl7TOnO2MNq_0giEKc_mE/edit"",""26!Q2:Q16""))"),2390.575)</f>
        <v>2390.5749999999998</v>
      </c>
      <c r="G698" s="18">
        <f ca="1">IFERROR(__xludf.DUMMYFUNCTION("IMPORTRANGE(""https://docs.google.com/spreadsheets/d/1ObnK1oSznTOmyW9Zcd2kxExl7TOnO2MNq_0giEKc_mE/edit"",""26!e23"")"),858)</f>
        <v>858</v>
      </c>
      <c r="H698" s="18">
        <f ca="1">IFERROR(__xludf.DUMMYFUNCTION("IMPORTRANGE(""https://docs.google.com/spreadsheets/d/1ObnK1oSznTOmyW9Zcd2kxExl7TOnO2MNq_0giEKc_mE/edit"",""26!e24"")"),0)</f>
        <v>0</v>
      </c>
      <c r="I698" s="18">
        <f t="shared" ca="1" si="1887"/>
        <v>858</v>
      </c>
      <c r="J698" s="18">
        <f ca="1">IFERROR(__xludf.DUMMYFUNCTION("IMPORTRANGE(""https://docs.google.com/spreadsheets/d/1ObnK1oSznTOmyW9Zcd2kxExl7TOnO2MNq_0giEKc_mE/edit"",""26!e27"")"),915)</f>
        <v>915</v>
      </c>
      <c r="K698" s="18">
        <f ca="1">IFERROR(__xludf.DUMMYFUNCTION("IMPORTRANGE(""https://docs.google.com/spreadsheets/d/1ObnK1oSznTOmyW9Zcd2kxExl7TOnO2MNq_0giEKc_mE/edit"",""26!e28"")"),6)</f>
        <v>6</v>
      </c>
      <c r="L698" s="18">
        <f t="shared" ca="1" si="1917"/>
        <v>921</v>
      </c>
      <c r="M698" s="18">
        <f t="shared" ca="1" si="1889"/>
        <v>1779</v>
      </c>
      <c r="N698" s="19">
        <f t="shared" ca="1" si="1890"/>
        <v>199.21458333333331</v>
      </c>
      <c r="O698" s="16">
        <v>2717</v>
      </c>
      <c r="P698" s="20">
        <f t="shared" ca="1" si="1891"/>
        <v>0.65476628634523371</v>
      </c>
      <c r="Q698" s="21">
        <v>1.5</v>
      </c>
      <c r="R698" s="20">
        <f t="shared" ca="1" si="1892"/>
        <v>0.49611495142382062</v>
      </c>
      <c r="S698" s="22">
        <f t="shared" ca="1" si="1893"/>
        <v>0.74417242713573095</v>
      </c>
      <c r="T698" s="21">
        <f ca="1">F698/43.465</f>
        <v>54.999999999999993</v>
      </c>
      <c r="U698" s="21">
        <f t="shared" ca="1" si="1894"/>
        <v>4.583333333333333</v>
      </c>
      <c r="V698" s="18">
        <f t="shared" ca="1" si="1895"/>
        <v>148.25</v>
      </c>
      <c r="W698" s="76"/>
      <c r="X698" s="8">
        <v>3</v>
      </c>
      <c r="Y698" s="8" t="s">
        <v>36</v>
      </c>
      <c r="Z698" s="8">
        <f t="shared" ref="Z698:AI698" si="1938">SUM(D689)</f>
        <v>29</v>
      </c>
      <c r="AA698" s="9">
        <f t="shared" ca="1" si="1938"/>
        <v>28</v>
      </c>
      <c r="AB698" s="10">
        <f t="shared" ca="1" si="1938"/>
        <v>5456.0599999999904</v>
      </c>
      <c r="AC698" s="9">
        <f t="shared" ca="1" si="1938"/>
        <v>1572</v>
      </c>
      <c r="AD698" s="9">
        <f t="shared" ca="1" si="1938"/>
        <v>0</v>
      </c>
      <c r="AE698" s="9">
        <f t="shared" ca="1" si="1938"/>
        <v>1572</v>
      </c>
      <c r="AF698" s="9">
        <f t="shared" ca="1" si="1938"/>
        <v>2400</v>
      </c>
      <c r="AG698" s="9">
        <f t="shared" ca="1" si="1938"/>
        <v>0</v>
      </c>
      <c r="AH698" s="9">
        <f t="shared" ca="1" si="1938"/>
        <v>2400</v>
      </c>
      <c r="AI698" s="9">
        <f t="shared" ca="1" si="1938"/>
        <v>3972</v>
      </c>
      <c r="AJ698" s="11">
        <f t="shared" ca="1" si="1930"/>
        <v>194.85928571428536</v>
      </c>
      <c r="AK698" s="8">
        <f t="shared" ref="AK698:AK701" si="1939">SUM(O689)</f>
        <v>4796</v>
      </c>
      <c r="AL698" s="12">
        <f t="shared" ca="1" si="1931"/>
        <v>0.82819015846538779</v>
      </c>
      <c r="AM698" s="13">
        <f t="shared" ref="AM698:AM701" si="1940">SUM(Q689)</f>
        <v>1.5</v>
      </c>
      <c r="AN698" s="12">
        <f t="shared" ca="1" si="1932"/>
        <v>0.48533190617405314</v>
      </c>
      <c r="AO698" s="14">
        <f t="shared" ca="1" si="1933"/>
        <v>0.72799785926107974</v>
      </c>
      <c r="AP698" s="13">
        <f t="shared" ref="AP698:AQ698" ca="1" si="1941">SUM(T689)</f>
        <v>145.82936868551852</v>
      </c>
      <c r="AQ698" s="13">
        <f t="shared" ca="1" si="1941"/>
        <v>5.2081917387685186</v>
      </c>
      <c r="AR698" s="9">
        <f t="shared" ca="1" si="1935"/>
        <v>141.85714285714286</v>
      </c>
      <c r="AS698" s="76"/>
      <c r="AT698" s="76"/>
    </row>
    <row r="699" spans="1:46" ht="15.75" customHeight="1" x14ac:dyDescent="0.2">
      <c r="A699" s="70"/>
      <c r="B699" s="98" t="s">
        <v>33</v>
      </c>
      <c r="C699" s="98">
        <v>18</v>
      </c>
      <c r="D699" s="98">
        <f t="shared" ref="D699:M699" si="1942">SUM(D681:D698)</f>
        <v>585</v>
      </c>
      <c r="E699" s="74">
        <f t="shared" ca="1" si="1942"/>
        <v>567</v>
      </c>
      <c r="F699" s="99">
        <f t="shared" ca="1" si="1942"/>
        <v>111039.74199999982</v>
      </c>
      <c r="G699" s="74">
        <f t="shared" ca="1" si="1942"/>
        <v>44235</v>
      </c>
      <c r="H699" s="74">
        <f t="shared" ca="1" si="1942"/>
        <v>560</v>
      </c>
      <c r="I699" s="74">
        <f t="shared" ca="1" si="1942"/>
        <v>44795</v>
      </c>
      <c r="J699" s="74">
        <f t="shared" ca="1" si="1942"/>
        <v>56130</v>
      </c>
      <c r="K699" s="74">
        <f t="shared" ca="1" si="1942"/>
        <v>1401</v>
      </c>
      <c r="L699" s="74">
        <f t="shared" ca="1" si="1942"/>
        <v>57531</v>
      </c>
      <c r="M699" s="74">
        <f t="shared" ca="1" si="1942"/>
        <v>102326</v>
      </c>
      <c r="N699" s="99">
        <f t="shared" ca="1" si="1890"/>
        <v>195.83728747795382</v>
      </c>
      <c r="O699" s="98">
        <f>SUM(O681:O698)</f>
        <v>126399</v>
      </c>
      <c r="P699" s="69">
        <f t="shared" ca="1" si="1891"/>
        <v>0.80954754388879657</v>
      </c>
      <c r="Q699" s="72">
        <v>1.5</v>
      </c>
      <c r="R699" s="69">
        <f t="shared" ca="1" si="1892"/>
        <v>0.61435061091310394</v>
      </c>
      <c r="S699" s="73">
        <f t="shared" ca="1" si="1893"/>
        <v>0.92152591636965586</v>
      </c>
      <c r="T699" s="72">
        <f ca="1">SUM(T681:T698)</f>
        <v>4074.0945957320041</v>
      </c>
      <c r="U699" s="72">
        <f t="shared" ca="1" si="1894"/>
        <v>7.185352020691365</v>
      </c>
      <c r="V699" s="74">
        <f t="shared" ca="1" si="1895"/>
        <v>180.46913580246914</v>
      </c>
      <c r="W699" s="76"/>
      <c r="X699" s="8">
        <v>4</v>
      </c>
      <c r="Y699" s="8" t="s">
        <v>37</v>
      </c>
      <c r="Z699" s="8">
        <f t="shared" ref="Z699:AI699" si="1943">SUM(D690)</f>
        <v>30</v>
      </c>
      <c r="AA699" s="9">
        <f t="shared" ca="1" si="1943"/>
        <v>28</v>
      </c>
      <c r="AB699" s="10">
        <f t="shared" ca="1" si="1943"/>
        <v>5402.0339999999997</v>
      </c>
      <c r="AC699" s="9">
        <f t="shared" ca="1" si="1943"/>
        <v>2260</v>
      </c>
      <c r="AD699" s="9">
        <f t="shared" ca="1" si="1943"/>
        <v>0</v>
      </c>
      <c r="AE699" s="9">
        <f t="shared" ca="1" si="1943"/>
        <v>2260</v>
      </c>
      <c r="AF699" s="9">
        <f t="shared" ca="1" si="1943"/>
        <v>3212</v>
      </c>
      <c r="AG699" s="9">
        <f t="shared" ca="1" si="1943"/>
        <v>0</v>
      </c>
      <c r="AH699" s="9">
        <f t="shared" ca="1" si="1943"/>
        <v>3212</v>
      </c>
      <c r="AI699" s="9">
        <f t="shared" ca="1" si="1943"/>
        <v>5472</v>
      </c>
      <c r="AJ699" s="11">
        <f t="shared" ca="1" si="1930"/>
        <v>192.92978571428571</v>
      </c>
      <c r="AK699" s="8">
        <f t="shared" si="1939"/>
        <v>5887</v>
      </c>
      <c r="AL699" s="12">
        <f t="shared" ca="1" si="1931"/>
        <v>0.92950569050450149</v>
      </c>
      <c r="AM699" s="13">
        <f t="shared" si="1940"/>
        <v>1.5</v>
      </c>
      <c r="AN699" s="12">
        <f t="shared" ca="1" si="1932"/>
        <v>0.67530119210652872</v>
      </c>
      <c r="AO699" s="14">
        <f t="shared" ca="1" si="1933"/>
        <v>1.0129517881597931</v>
      </c>
      <c r="AP699" s="13">
        <f t="shared" ref="AP699:AQ699" ca="1" si="1944">SUM(T690)</f>
        <v>217.89424007744432</v>
      </c>
      <c r="AQ699" s="13">
        <f t="shared" ca="1" si="1944"/>
        <v>7.7819371456230115</v>
      </c>
      <c r="AR699" s="9">
        <f t="shared" ca="1" si="1935"/>
        <v>195.42857142857142</v>
      </c>
      <c r="AS699" s="76"/>
      <c r="AT699" s="76"/>
    </row>
    <row r="700" spans="1:46" ht="15.75" customHeight="1" x14ac:dyDescent="0.2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6"/>
      <c r="X700" s="8">
        <v>5</v>
      </c>
      <c r="Y700" s="8" t="s">
        <v>39</v>
      </c>
      <c r="Z700" s="8">
        <f t="shared" ref="Z700:AI700" si="1945">SUM(D691)</f>
        <v>28</v>
      </c>
      <c r="AA700" s="9">
        <f t="shared" ca="1" si="1945"/>
        <v>27</v>
      </c>
      <c r="AB700" s="10">
        <f t="shared" ca="1" si="1945"/>
        <v>5222.7849999999999</v>
      </c>
      <c r="AC700" s="9">
        <f t="shared" ca="1" si="1945"/>
        <v>1302</v>
      </c>
      <c r="AD700" s="9">
        <f t="shared" ca="1" si="1945"/>
        <v>51</v>
      </c>
      <c r="AE700" s="9">
        <f t="shared" ca="1" si="1945"/>
        <v>1353</v>
      </c>
      <c r="AF700" s="9">
        <f t="shared" ca="1" si="1945"/>
        <v>1498</v>
      </c>
      <c r="AG700" s="9">
        <f t="shared" ca="1" si="1945"/>
        <v>250</v>
      </c>
      <c r="AH700" s="9">
        <f t="shared" ca="1" si="1945"/>
        <v>1748</v>
      </c>
      <c r="AI700" s="9">
        <f t="shared" ca="1" si="1945"/>
        <v>3101</v>
      </c>
      <c r="AJ700" s="11">
        <f t="shared" ca="1" si="1930"/>
        <v>193.43648148148148</v>
      </c>
      <c r="AK700" s="8">
        <f t="shared" si="1939"/>
        <v>3569</v>
      </c>
      <c r="AL700" s="12">
        <f t="shared" ca="1" si="1931"/>
        <v>0.8688708321658728</v>
      </c>
      <c r="AM700" s="13">
        <f t="shared" si="1940"/>
        <v>1.5</v>
      </c>
      <c r="AN700" s="12">
        <f t="shared" ca="1" si="1932"/>
        <v>0.39582968346070796</v>
      </c>
      <c r="AO700" s="14">
        <f t="shared" ca="1" si="1933"/>
        <v>0.59374452519106191</v>
      </c>
      <c r="AP700" s="13">
        <f t="shared" ref="AP700:AQ700" ca="1" si="1946">SUM(T691)</f>
        <v>243.33900200344777</v>
      </c>
      <c r="AQ700" s="13">
        <f t="shared" ca="1" si="1946"/>
        <v>9.0125556297573244</v>
      </c>
      <c r="AR700" s="9">
        <f t="shared" ca="1" si="1935"/>
        <v>114.85185185185185</v>
      </c>
      <c r="AS700" s="76"/>
      <c r="AT700" s="76"/>
    </row>
    <row r="701" spans="1:46" ht="15.75" customHeight="1" x14ac:dyDescent="0.2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6"/>
      <c r="X701" s="8">
        <v>6</v>
      </c>
      <c r="Y701" s="8" t="s">
        <v>41</v>
      </c>
      <c r="Z701" s="8">
        <f t="shared" ref="Z701:AI701" si="1947">SUM(D692)</f>
        <v>24</v>
      </c>
      <c r="AA701" s="9">
        <f t="shared" ca="1" si="1947"/>
        <v>24</v>
      </c>
      <c r="AB701" s="10">
        <f t="shared" ca="1" si="1947"/>
        <v>4750.3559999999998</v>
      </c>
      <c r="AC701" s="9">
        <f t="shared" ca="1" si="1947"/>
        <v>1419</v>
      </c>
      <c r="AD701" s="9">
        <f t="shared" ca="1" si="1947"/>
        <v>35</v>
      </c>
      <c r="AE701" s="9">
        <f t="shared" ca="1" si="1947"/>
        <v>1454</v>
      </c>
      <c r="AF701" s="9">
        <f t="shared" ca="1" si="1947"/>
        <v>1677</v>
      </c>
      <c r="AG701" s="9">
        <f t="shared" ca="1" si="1947"/>
        <v>0</v>
      </c>
      <c r="AH701" s="9">
        <f t="shared" ca="1" si="1947"/>
        <v>1677</v>
      </c>
      <c r="AI701" s="9">
        <f t="shared" ca="1" si="1947"/>
        <v>3131</v>
      </c>
      <c r="AJ701" s="11">
        <f t="shared" ca="1" si="1930"/>
        <v>197.9315</v>
      </c>
      <c r="AK701" s="8">
        <f t="shared" si="1939"/>
        <v>3801</v>
      </c>
      <c r="AL701" s="12">
        <f t="shared" ca="1" si="1931"/>
        <v>0.82373059721126018</v>
      </c>
      <c r="AM701" s="13">
        <f t="shared" si="1940"/>
        <v>1.5</v>
      </c>
      <c r="AN701" s="12">
        <f t="shared" ca="1" si="1932"/>
        <v>0.43940566419302751</v>
      </c>
      <c r="AO701" s="14">
        <f t="shared" ca="1" si="1933"/>
        <v>0.65910849628954127</v>
      </c>
      <c r="AP701" s="13">
        <f t="shared" ref="AP701:AQ701" ca="1" si="1948">SUM(T692)</f>
        <v>160.33333333333331</v>
      </c>
      <c r="AQ701" s="13">
        <f t="shared" ca="1" si="1948"/>
        <v>6.6805555555555545</v>
      </c>
      <c r="AR701" s="9">
        <f t="shared" ca="1" si="1935"/>
        <v>130.45833333333334</v>
      </c>
      <c r="AS701" s="76"/>
      <c r="AT701" s="76"/>
    </row>
    <row r="702" spans="1:46" ht="15.75" customHeight="1" x14ac:dyDescent="0.25">
      <c r="A702" s="110" t="s">
        <v>45</v>
      </c>
      <c r="B702" s="76"/>
      <c r="C702" s="76"/>
      <c r="D702" s="75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24" t="s">
        <v>33</v>
      </c>
      <c r="Y702" s="24">
        <v>6</v>
      </c>
      <c r="Z702" s="24">
        <f t="shared" ref="Z702:AI702" si="1949">SUM(Z696:Z701)</f>
        <v>173</v>
      </c>
      <c r="AA702" s="25">
        <f t="shared" ca="1" si="1949"/>
        <v>166</v>
      </c>
      <c r="AB702" s="27">
        <f t="shared" ca="1" si="1949"/>
        <v>32412.998999999978</v>
      </c>
      <c r="AC702" s="25">
        <f t="shared" ca="1" si="1949"/>
        <v>13279</v>
      </c>
      <c r="AD702" s="25">
        <f t="shared" ca="1" si="1949"/>
        <v>86</v>
      </c>
      <c r="AE702" s="25">
        <f t="shared" ca="1" si="1949"/>
        <v>13365</v>
      </c>
      <c r="AF702" s="25">
        <f t="shared" ca="1" si="1949"/>
        <v>17780</v>
      </c>
      <c r="AG702" s="25">
        <f t="shared" ca="1" si="1949"/>
        <v>250</v>
      </c>
      <c r="AH702" s="25">
        <f t="shared" ca="1" si="1949"/>
        <v>18030</v>
      </c>
      <c r="AI702" s="25">
        <f t="shared" ca="1" si="1949"/>
        <v>31395</v>
      </c>
      <c r="AJ702" s="27">
        <f t="shared" ca="1" si="1930"/>
        <v>195.25903012048178</v>
      </c>
      <c r="AK702" s="24">
        <f>SUM(AK696:AK701)</f>
        <v>37031</v>
      </c>
      <c r="AL702" s="28">
        <f t="shared" ca="1" si="1931"/>
        <v>0.84780319192028297</v>
      </c>
      <c r="AM702" s="29">
        <v>1.5</v>
      </c>
      <c r="AN702" s="28">
        <f t="shared" ca="1" si="1932"/>
        <v>0.64572858562084967</v>
      </c>
      <c r="AO702" s="30">
        <f t="shared" ca="1" si="1933"/>
        <v>0.96859287843127451</v>
      </c>
      <c r="AP702" s="29">
        <f ca="1">SUM(AP696:AP701)</f>
        <v>1330.9330929030734</v>
      </c>
      <c r="AQ702" s="29">
        <f ca="1">AP702/AA702</f>
        <v>8.0176692343558642</v>
      </c>
      <c r="AR702" s="25">
        <f t="shared" ca="1" si="1935"/>
        <v>189.12650602409639</v>
      </c>
      <c r="AS702" s="76"/>
      <c r="AT702" s="76"/>
    </row>
    <row r="703" spans="1:46" ht="15.75" customHeight="1" x14ac:dyDescent="0.2">
      <c r="A703" s="110" t="s">
        <v>45</v>
      </c>
      <c r="B703" s="76"/>
      <c r="C703" s="76"/>
      <c r="D703" s="75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7" t="s">
        <v>1</v>
      </c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9"/>
      <c r="AS703" s="76"/>
      <c r="AT703" s="76"/>
    </row>
    <row r="704" spans="1:46" ht="15.75" customHeight="1" x14ac:dyDescent="0.2">
      <c r="A704" s="109">
        <v>46261</v>
      </c>
      <c r="B704" s="80" t="s">
        <v>2</v>
      </c>
      <c r="C704" s="80" t="s">
        <v>3</v>
      </c>
      <c r="D704" s="80" t="s">
        <v>4</v>
      </c>
      <c r="E704" s="80" t="s">
        <v>5</v>
      </c>
      <c r="F704" s="81" t="s">
        <v>6</v>
      </c>
      <c r="G704" s="80" t="s">
        <v>7</v>
      </c>
      <c r="H704" s="80" t="s">
        <v>8</v>
      </c>
      <c r="I704" s="80" t="s">
        <v>9</v>
      </c>
      <c r="J704" s="80" t="s">
        <v>10</v>
      </c>
      <c r="K704" s="80" t="s">
        <v>11</v>
      </c>
      <c r="L704" s="80" t="s">
        <v>12</v>
      </c>
      <c r="M704" s="80" t="s">
        <v>13</v>
      </c>
      <c r="N704" s="81" t="s">
        <v>14</v>
      </c>
      <c r="O704" s="80" t="s">
        <v>15</v>
      </c>
      <c r="P704" s="80" t="s">
        <v>16</v>
      </c>
      <c r="Q704" s="80" t="s">
        <v>17</v>
      </c>
      <c r="R704" s="80" t="s">
        <v>18</v>
      </c>
      <c r="S704" s="106" t="s">
        <v>19</v>
      </c>
      <c r="T704" s="107" t="s">
        <v>20</v>
      </c>
      <c r="U704" s="107" t="s">
        <v>21</v>
      </c>
      <c r="V704" s="105" t="s">
        <v>22</v>
      </c>
      <c r="W704" s="76"/>
      <c r="X704" s="1" t="s">
        <v>2</v>
      </c>
      <c r="Y704" s="1" t="s">
        <v>3</v>
      </c>
      <c r="Z704" s="1" t="s">
        <v>4</v>
      </c>
      <c r="AA704" s="1" t="s">
        <v>5</v>
      </c>
      <c r="AB704" s="2" t="s">
        <v>6</v>
      </c>
      <c r="AC704" s="1" t="s">
        <v>7</v>
      </c>
      <c r="AD704" s="1" t="s">
        <v>8</v>
      </c>
      <c r="AE704" s="1" t="s">
        <v>9</v>
      </c>
      <c r="AF704" s="1" t="s">
        <v>10</v>
      </c>
      <c r="AG704" s="1" t="s">
        <v>11</v>
      </c>
      <c r="AH704" s="1" t="s">
        <v>12</v>
      </c>
      <c r="AI704" s="1" t="s">
        <v>13</v>
      </c>
      <c r="AJ704" s="2" t="s">
        <v>14</v>
      </c>
      <c r="AK704" s="1" t="s">
        <v>15</v>
      </c>
      <c r="AL704" s="1" t="s">
        <v>16</v>
      </c>
      <c r="AM704" s="3" t="s">
        <v>17</v>
      </c>
      <c r="AN704" s="4" t="s">
        <v>18</v>
      </c>
      <c r="AO704" s="5" t="s">
        <v>19</v>
      </c>
      <c r="AP704" s="6" t="s">
        <v>20</v>
      </c>
      <c r="AQ704" s="6" t="s">
        <v>21</v>
      </c>
      <c r="AR704" s="7" t="s">
        <v>22</v>
      </c>
      <c r="AS704" s="76"/>
      <c r="AT704" s="76"/>
    </row>
    <row r="705" spans="1:46" ht="15.75" customHeight="1" x14ac:dyDescent="0.2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6"/>
      <c r="X705" s="8">
        <v>1</v>
      </c>
      <c r="Y705" s="8" t="s">
        <v>23</v>
      </c>
      <c r="Z705" s="8">
        <f t="shared" ref="Z705:AI705" si="1950">SUM(D713)</f>
        <v>35</v>
      </c>
      <c r="AA705" s="9">
        <f t="shared" ca="1" si="1950"/>
        <v>35</v>
      </c>
      <c r="AB705" s="10">
        <f t="shared" ca="1" si="1950"/>
        <v>6714.2599999999902</v>
      </c>
      <c r="AC705" s="9">
        <f t="shared" ca="1" si="1950"/>
        <v>1704</v>
      </c>
      <c r="AD705" s="9">
        <f t="shared" ca="1" si="1950"/>
        <v>21</v>
      </c>
      <c r="AE705" s="9">
        <f t="shared" ca="1" si="1950"/>
        <v>1725</v>
      </c>
      <c r="AF705" s="9">
        <f t="shared" ca="1" si="1950"/>
        <v>2947</v>
      </c>
      <c r="AG705" s="9">
        <f t="shared" ca="1" si="1950"/>
        <v>0</v>
      </c>
      <c r="AH705" s="9">
        <f t="shared" ca="1" si="1950"/>
        <v>2947</v>
      </c>
      <c r="AI705" s="9">
        <f t="shared" ca="1" si="1950"/>
        <v>4672</v>
      </c>
      <c r="AJ705" s="11">
        <f t="shared" ref="AJ705:AJ707" ca="1" si="1951">AB705/AA705</f>
        <v>191.83599999999973</v>
      </c>
      <c r="AK705" s="8">
        <f>SUM(O713)</f>
        <v>6853</v>
      </c>
      <c r="AL705" s="12">
        <f t="shared" ref="AL705:AL711" ca="1" si="1952">AI705/AK705</f>
        <v>0.68174522107106372</v>
      </c>
      <c r="AM705" s="13">
        <f t="shared" ref="AM705:AM707" si="1953">SUM(Q713)</f>
        <v>1.5</v>
      </c>
      <c r="AN705" s="12">
        <f t="shared" ref="AN705:AN711" ca="1" si="1954">AO705/AM705</f>
        <v>0.46388830141619053</v>
      </c>
      <c r="AO705" s="14">
        <f t="shared" ref="AO705:AO711" ca="1" si="1955">AI705/AB705</f>
        <v>0.69583245212428579</v>
      </c>
      <c r="AP705" s="13">
        <f t="shared" ref="AP705:AQ705" ca="1" si="1956">SUM(T713)</f>
        <v>198.99999999999969</v>
      </c>
      <c r="AQ705" s="13">
        <f t="shared" ca="1" si="1956"/>
        <v>5.6857142857142771</v>
      </c>
      <c r="AR705" s="9">
        <f t="shared" ref="AR705:AR711" ca="1" si="1957">AI705/AA705</f>
        <v>133.48571428571429</v>
      </c>
      <c r="AS705" s="76"/>
      <c r="AT705" s="76"/>
    </row>
    <row r="706" spans="1:46" ht="15.75" customHeight="1" x14ac:dyDescent="0.2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6"/>
      <c r="X706" s="8">
        <v>2</v>
      </c>
      <c r="Y706" s="8" t="s">
        <v>24</v>
      </c>
      <c r="Z706" s="8">
        <f t="shared" ref="Z706:AI706" si="1958">SUM(D714)</f>
        <v>44</v>
      </c>
      <c r="AA706" s="9">
        <f t="shared" ca="1" si="1958"/>
        <v>42</v>
      </c>
      <c r="AB706" s="10">
        <f t="shared" ca="1" si="1958"/>
        <v>8276.0959999999905</v>
      </c>
      <c r="AC706" s="9">
        <f t="shared" ca="1" si="1958"/>
        <v>1061</v>
      </c>
      <c r="AD706" s="9">
        <f t="shared" ca="1" si="1958"/>
        <v>0</v>
      </c>
      <c r="AE706" s="9">
        <f t="shared" ca="1" si="1958"/>
        <v>1061</v>
      </c>
      <c r="AF706" s="9">
        <f t="shared" ca="1" si="1958"/>
        <v>1379</v>
      </c>
      <c r="AG706" s="9">
        <f t="shared" ca="1" si="1958"/>
        <v>0</v>
      </c>
      <c r="AH706" s="9">
        <f t="shared" ca="1" si="1958"/>
        <v>1379</v>
      </c>
      <c r="AI706" s="9">
        <f t="shared" ca="1" si="1958"/>
        <v>2440</v>
      </c>
      <c r="AJ706" s="11">
        <f t="shared" ca="1" si="1951"/>
        <v>197.04990476190454</v>
      </c>
      <c r="AK706" s="8">
        <v>1580</v>
      </c>
      <c r="AL706" s="15">
        <f t="shared" ca="1" si="1952"/>
        <v>1.5443037974683544</v>
      </c>
      <c r="AM706" s="13">
        <f t="shared" si="1953"/>
        <v>1.5</v>
      </c>
      <c r="AN706" s="12">
        <f t="shared" ca="1" si="1954"/>
        <v>0.19654999974222975</v>
      </c>
      <c r="AO706" s="14">
        <f t="shared" ca="1" si="1955"/>
        <v>0.29482499961334463</v>
      </c>
      <c r="AP706" s="13">
        <f t="shared" ref="AP706:AQ706" ca="1" si="1959">SUM(T714)</f>
        <v>308.75194926319682</v>
      </c>
      <c r="AQ706" s="13">
        <f t="shared" ca="1" si="1959"/>
        <v>7.3512368872189722</v>
      </c>
      <c r="AR706" s="9">
        <f t="shared" ca="1" si="1957"/>
        <v>58.095238095238095</v>
      </c>
      <c r="AS706" s="76"/>
      <c r="AT706" s="76"/>
    </row>
    <row r="707" spans="1:46" ht="15.75" customHeight="1" x14ac:dyDescent="0.2">
      <c r="A707" s="70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6"/>
      <c r="X707" s="8">
        <v>3</v>
      </c>
      <c r="Y707" s="8" t="s">
        <v>25</v>
      </c>
      <c r="Z707" s="8">
        <f t="shared" ref="Z707:AI707" si="1960">SUM(D715)</f>
        <v>32</v>
      </c>
      <c r="AA707" s="9">
        <f t="shared" ca="1" si="1960"/>
        <v>32</v>
      </c>
      <c r="AB707" s="10">
        <f t="shared" ca="1" si="1960"/>
        <v>5717.2079999999996</v>
      </c>
      <c r="AC707" s="9">
        <f t="shared" ca="1" si="1960"/>
        <v>2128</v>
      </c>
      <c r="AD707" s="9">
        <f t="shared" ca="1" si="1960"/>
        <v>469</v>
      </c>
      <c r="AE707" s="9">
        <f t="shared" ca="1" si="1960"/>
        <v>2597</v>
      </c>
      <c r="AF707" s="9">
        <f t="shared" ca="1" si="1960"/>
        <v>3291</v>
      </c>
      <c r="AG707" s="9">
        <f t="shared" ca="1" si="1960"/>
        <v>367</v>
      </c>
      <c r="AH707" s="9">
        <f t="shared" ca="1" si="1960"/>
        <v>3658</v>
      </c>
      <c r="AI707" s="9">
        <f t="shared" ca="1" si="1960"/>
        <v>6255</v>
      </c>
      <c r="AJ707" s="11">
        <f t="shared" ca="1" si="1951"/>
        <v>178.66274999999999</v>
      </c>
      <c r="AK707" s="8">
        <f>SUM(O715)</f>
        <v>6622</v>
      </c>
      <c r="AL707" s="12">
        <f t="shared" ca="1" si="1952"/>
        <v>0.94457867713681665</v>
      </c>
      <c r="AM707" s="13">
        <f t="shared" si="1953"/>
        <v>1.5</v>
      </c>
      <c r="AN707" s="12">
        <f t="shared" ca="1" si="1954"/>
        <v>0.72937699660393684</v>
      </c>
      <c r="AO707" s="14">
        <f t="shared" ca="1" si="1955"/>
        <v>1.0940654949059052</v>
      </c>
      <c r="AP707" s="13">
        <f t="shared" ref="AP707:AQ707" ca="1" si="1961">SUM(T715)</f>
        <v>239.81577181208053</v>
      </c>
      <c r="AQ707" s="13">
        <f t="shared" ca="1" si="1961"/>
        <v>7.4942428691275165</v>
      </c>
      <c r="AR707" s="9">
        <f t="shared" ca="1" si="1957"/>
        <v>195.46875</v>
      </c>
      <c r="AS707" s="76"/>
      <c r="AT707" s="76"/>
    </row>
    <row r="708" spans="1:46" ht="15.75" customHeight="1" x14ac:dyDescent="0.25">
      <c r="A708" s="70"/>
      <c r="B708" s="16">
        <v>1</v>
      </c>
      <c r="C708" s="16" t="s">
        <v>26</v>
      </c>
      <c r="D708" s="17">
        <v>20</v>
      </c>
      <c r="E708" s="18">
        <f ca="1">IFERROR(__xludf.DUMMYFUNCTION("COUNT(IMPORTRANGE(""https://docs.google.com/spreadsheets/d/1iVFEBQOAONhqDIMRa2hQ7WkCQv0dJWSAmc0AzfvSCMg/edit"",""27!d2:d21""))"),19)</f>
        <v>19</v>
      </c>
      <c r="F708" s="19">
        <f ca="1">IFERROR(__xludf.DUMMYFUNCTION("SUM(IMPORTRANGE(""https://docs.google.com/spreadsheets/d/1iVFEBQOAONhqDIMRa2hQ7WkCQv0dJWSAmc0AzfvSCMg/edit"",""27!Q2:Q21""))"),3654.738)</f>
        <v>3654.7379999999998</v>
      </c>
      <c r="G708" s="18">
        <f ca="1">IFERROR(__xludf.DUMMYFUNCTION("IMPORTRANGE(""https://docs.google.com/spreadsheets/d/1iVFEBQOAONhqDIMRa2hQ7WkCQv0dJWSAmc0AzfvSCMg/edit"",""27!e28"")"),1984)</f>
        <v>1984</v>
      </c>
      <c r="H708" s="18">
        <f ca="1">IFERROR(__xludf.DUMMYFUNCTION("IMPORTRANGE(""https://docs.google.com/spreadsheets/d/1iVFEBQOAONhqDIMRa2hQ7WkCQv0dJWSAmc0AzfvSCMg/edit"",""27!e29"")"),0)</f>
        <v>0</v>
      </c>
      <c r="I708" s="18">
        <f t="shared" ref="I708:I725" ca="1" si="1962">SUM(G708:H708)</f>
        <v>1984</v>
      </c>
      <c r="J708" s="18">
        <f ca="1">IFERROR(__xludf.DUMMYFUNCTION("IMPORTRANGE(""https://docs.google.com/spreadsheets/d/1iVFEBQOAONhqDIMRa2hQ7WkCQv0dJWSAmc0AzfvSCMg/edit"",""27!e32"")"),2860)</f>
        <v>2860</v>
      </c>
      <c r="K708" s="18">
        <f ca="1">IFERROR(__xludf.DUMMYFUNCTION("IMPORTRANGE(""https://docs.google.com/spreadsheets/d/1iVFEBQOAONhqDIMRa2hQ7WkCQv0dJWSAmc0AzfvSCMg/edit"",""27!e33"")"),0)</f>
        <v>0</v>
      </c>
      <c r="L708" s="18">
        <f t="shared" ref="L708:L714" ca="1" si="1963">SUM(J708:K708)</f>
        <v>2860</v>
      </c>
      <c r="M708" s="18">
        <f t="shared" ref="M708:M725" ca="1" si="1964">SUM(I708+L708)</f>
        <v>4844</v>
      </c>
      <c r="N708" s="19">
        <f t="shared" ref="N708:N726" ca="1" si="1965">F708/E708</f>
        <v>192.35463157894736</v>
      </c>
      <c r="O708" s="16">
        <v>5161</v>
      </c>
      <c r="P708" s="20">
        <f t="shared" ref="P708:P726" ca="1" si="1966">M708/O708</f>
        <v>0.93857779500096883</v>
      </c>
      <c r="Q708" s="21">
        <v>1.5</v>
      </c>
      <c r="R708" s="20">
        <f t="shared" ref="R708:R726" ca="1" si="1967">S708/Q708</f>
        <v>0.88360187059464546</v>
      </c>
      <c r="S708" s="22">
        <f t="shared" ref="S708:S726" ca="1" si="1968">M708/F708</f>
        <v>1.3254028058919682</v>
      </c>
      <c r="T708" s="21">
        <f ca="1">F708/14.415</f>
        <v>253.53714880332987</v>
      </c>
      <c r="U708" s="21">
        <f t="shared" ref="U708:U726" ca="1" si="1969">T708/E708</f>
        <v>13.34406046333315</v>
      </c>
      <c r="V708" s="18">
        <f t="shared" ref="V708:V726" ca="1" si="1970">M708/E708</f>
        <v>254.94736842105263</v>
      </c>
      <c r="W708" s="76"/>
      <c r="X708" s="8">
        <v>4</v>
      </c>
      <c r="Y708" s="8" t="s">
        <v>27</v>
      </c>
      <c r="Z708" s="8">
        <f t="shared" ref="Z708:AK708" si="1971">SUM(D721)</f>
        <v>30</v>
      </c>
      <c r="AA708" s="9">
        <f t="shared" ca="1" si="1971"/>
        <v>27</v>
      </c>
      <c r="AB708" s="10">
        <f t="shared" ca="1" si="1971"/>
        <v>5092.0680000000002</v>
      </c>
      <c r="AC708" s="9">
        <f t="shared" ca="1" si="1971"/>
        <v>2196</v>
      </c>
      <c r="AD708" s="9">
        <f t="shared" ca="1" si="1971"/>
        <v>121</v>
      </c>
      <c r="AE708" s="9">
        <f t="shared" ca="1" si="1971"/>
        <v>2317</v>
      </c>
      <c r="AF708" s="9">
        <f t="shared" ca="1" si="1971"/>
        <v>3109</v>
      </c>
      <c r="AG708" s="9">
        <f t="shared" ca="1" si="1971"/>
        <v>100</v>
      </c>
      <c r="AH708" s="9">
        <f t="shared" ca="1" si="1971"/>
        <v>3209</v>
      </c>
      <c r="AI708" s="9">
        <f t="shared" ca="1" si="1971"/>
        <v>5526</v>
      </c>
      <c r="AJ708" s="11">
        <f t="shared" ca="1" si="1971"/>
        <v>188.59511111111112</v>
      </c>
      <c r="AK708" s="8">
        <f t="shared" si="1971"/>
        <v>8101</v>
      </c>
      <c r="AL708" s="12">
        <f t="shared" ca="1" si="1952"/>
        <v>0.68213800765337618</v>
      </c>
      <c r="AM708" s="13">
        <f>SUM(Q721)</f>
        <v>1.5</v>
      </c>
      <c r="AN708" s="12">
        <f t="shared" ca="1" si="1954"/>
        <v>0.72347816250686359</v>
      </c>
      <c r="AO708" s="14">
        <f t="shared" ca="1" si="1955"/>
        <v>1.0852172437602954</v>
      </c>
      <c r="AP708" s="13">
        <f t="shared" ref="AP708:AQ708" ca="1" si="1972">SUM(T721)</f>
        <v>254.79449587190393</v>
      </c>
      <c r="AQ708" s="13">
        <f t="shared" ca="1" si="1972"/>
        <v>9.4368331804408871</v>
      </c>
      <c r="AR708" s="9">
        <f t="shared" ca="1" si="1957"/>
        <v>204.66666666666666</v>
      </c>
      <c r="AS708" s="76"/>
      <c r="AT708" s="76"/>
    </row>
    <row r="709" spans="1:46" ht="15.75" customHeight="1" x14ac:dyDescent="0.25">
      <c r="A709" s="70"/>
      <c r="B709" s="16">
        <v>2</v>
      </c>
      <c r="C709" s="16" t="s">
        <v>28</v>
      </c>
      <c r="D709" s="17">
        <v>33</v>
      </c>
      <c r="E709" s="18">
        <f ca="1">IFERROR(__xludf.DUMMYFUNCTION("COUNT(IMPORTRANGE(""https://docs.google.com/spreadsheets/d/1tJCeYclgeJZ4Dc78t_SkhVjtacKW-5-VGim8X1rzUzk/edit"",""27!d2:d34""))"),32)</f>
        <v>32</v>
      </c>
      <c r="F709" s="19">
        <f ca="1">IFERROR(__xludf.DUMMYFUNCTION("SUM(IMPORTRANGE(""https://docs.google.com/spreadsheets/d/1tJCeYclgeJZ4Dc78t_SkhVjtacKW-5-VGim8X1rzUzk/edit"",""27!Q2:Q34""))"),6158.06899999999)</f>
        <v>6158.0689999999904</v>
      </c>
      <c r="G709" s="18">
        <f ca="1">IFERROR(__xludf.DUMMYFUNCTION("IMPORTRANGE(""https://docs.google.com/spreadsheets/d/1tJCeYclgeJZ4Dc78t_SkhVjtacKW-5-VGim8X1rzUzk/edit"",""27!e41"")"),2513)</f>
        <v>2513</v>
      </c>
      <c r="H709" s="18">
        <f ca="1">IFERROR(__xludf.DUMMYFUNCTION("IMPORTRANGE(""https://docs.google.com/spreadsheets/d/1tJCeYclgeJZ4Dc78t_SkhVjtacKW-5-VGim8X1rzUzk/edit"",""27!e42"")"),190)</f>
        <v>190</v>
      </c>
      <c r="I709" s="18">
        <f t="shared" ca="1" si="1962"/>
        <v>2703</v>
      </c>
      <c r="J709" s="18">
        <f ca="1">IFERROR(__xludf.DUMMYFUNCTION("IMPORTRANGE(""https://docs.google.com/spreadsheets/d/1tJCeYclgeJZ4Dc78t_SkhVjtacKW-5-VGim8X1rzUzk/edit"",""27!e45"")"),2792)</f>
        <v>2792</v>
      </c>
      <c r="K709" s="18">
        <f ca="1">IFERROR(__xludf.DUMMYFUNCTION("IMPORTRANGE(""https://docs.google.com/spreadsheets/d/1tJCeYclgeJZ4Dc78t_SkhVjtacKW-5-VGim8X1rzUzk/edit"",""27!e46"")"),140)</f>
        <v>140</v>
      </c>
      <c r="L709" s="18">
        <f t="shared" ca="1" si="1963"/>
        <v>2932</v>
      </c>
      <c r="M709" s="18">
        <f t="shared" ca="1" si="1964"/>
        <v>5635</v>
      </c>
      <c r="N709" s="19">
        <f t="shared" ca="1" si="1965"/>
        <v>192.4396562499997</v>
      </c>
      <c r="O709" s="16">
        <v>7315</v>
      </c>
      <c r="P709" s="20">
        <f t="shared" ca="1" si="1966"/>
        <v>0.77033492822966509</v>
      </c>
      <c r="Q709" s="21">
        <v>1.5</v>
      </c>
      <c r="R709" s="20">
        <f t="shared" ca="1" si="1967"/>
        <v>0.6100397164544068</v>
      </c>
      <c r="S709" s="22">
        <f t="shared" ca="1" si="1968"/>
        <v>0.91505957468161025</v>
      </c>
      <c r="T709" s="21">
        <f ca="1">F709/30.897</f>
        <v>199.3096093471855</v>
      </c>
      <c r="U709" s="21">
        <f t="shared" ca="1" si="1969"/>
        <v>6.2284252920995469</v>
      </c>
      <c r="V709" s="18">
        <f t="shared" ca="1" si="1970"/>
        <v>176.09375</v>
      </c>
      <c r="W709" s="76"/>
      <c r="X709" s="8">
        <v>5</v>
      </c>
      <c r="Y709" s="8" t="s">
        <v>29</v>
      </c>
      <c r="Z709" s="8">
        <f t="shared" ref="Z709:AI709" si="1973">SUM(D724)</f>
        <v>30</v>
      </c>
      <c r="AA709" s="9">
        <f t="shared" ca="1" si="1973"/>
        <v>30</v>
      </c>
      <c r="AB709" s="10">
        <f t="shared" ca="1" si="1973"/>
        <v>6066.4389999999903</v>
      </c>
      <c r="AC709" s="9">
        <f t="shared" ca="1" si="1973"/>
        <v>2738</v>
      </c>
      <c r="AD709" s="9">
        <f t="shared" ca="1" si="1973"/>
        <v>0</v>
      </c>
      <c r="AE709" s="9">
        <f t="shared" ca="1" si="1973"/>
        <v>2738</v>
      </c>
      <c r="AF709" s="9">
        <f t="shared" ca="1" si="1973"/>
        <v>4029</v>
      </c>
      <c r="AG709" s="9">
        <f t="shared" ca="1" si="1973"/>
        <v>0</v>
      </c>
      <c r="AH709" s="9">
        <f t="shared" ca="1" si="1973"/>
        <v>4029</v>
      </c>
      <c r="AI709" s="9">
        <f t="shared" ca="1" si="1973"/>
        <v>6767</v>
      </c>
      <c r="AJ709" s="11">
        <f t="shared" ref="AJ709:AJ711" ca="1" si="1974">AB709/AA709</f>
        <v>202.21463333333301</v>
      </c>
      <c r="AK709" s="8">
        <f t="shared" ref="AK709:AK710" si="1975">SUM(O724)</f>
        <v>9201</v>
      </c>
      <c r="AL709" s="12">
        <f t="shared" ca="1" si="1952"/>
        <v>0.73546353657211172</v>
      </c>
      <c r="AM709" s="13">
        <f t="shared" ref="AM709:AM710" si="1976">SUM(Q724)</f>
        <v>1.5</v>
      </c>
      <c r="AN709" s="12">
        <f t="shared" ca="1" si="1954"/>
        <v>0.7436542810919784</v>
      </c>
      <c r="AO709" s="14">
        <f t="shared" ca="1" si="1955"/>
        <v>1.1154814216379676</v>
      </c>
      <c r="AP709" s="13">
        <f t="shared" ref="AP709:AQ709" ca="1" si="1977">SUM(T724)</f>
        <v>228.99999999999963</v>
      </c>
      <c r="AQ709" s="13">
        <f t="shared" ca="1" si="1977"/>
        <v>7.6333333333333213</v>
      </c>
      <c r="AR709" s="9">
        <f t="shared" ca="1" si="1957"/>
        <v>225.56666666666666</v>
      </c>
      <c r="AS709" s="76"/>
      <c r="AT709" s="76"/>
    </row>
    <row r="710" spans="1:46" ht="15.75" customHeight="1" x14ac:dyDescent="0.25">
      <c r="A710" s="70"/>
      <c r="B710" s="16">
        <v>3</v>
      </c>
      <c r="C710" s="16" t="s">
        <v>30</v>
      </c>
      <c r="D710" s="17">
        <v>60</v>
      </c>
      <c r="E710" s="18">
        <f ca="1">IFERROR(__xludf.DUMMYFUNCTION("COUNT(IMPORTRANGE(""https://docs.google.com/spreadsheets/d/130gLEONC13J8KkQ6dk06x3bLRy_jCrAw2hXatQf2W50/edit"",""27!d2:d61""))"),58)</f>
        <v>58</v>
      </c>
      <c r="F710" s="23">
        <f ca="1">IFERROR(__xludf.DUMMYFUNCTION("SUM(IMPORTRANGE(""https://docs.google.com/spreadsheets/d/130gLEONC13J8KkQ6dk06x3bLRy_jCrAw2hXatQf2W50/edit"",""27!Q2:Q61""))"),11617.0749999999)</f>
        <v>11617.074999999901</v>
      </c>
      <c r="G710" s="18">
        <f ca="1">IFERROR(__xludf.DUMMYFUNCTION("IMPORTRANGE(""https://docs.google.com/spreadsheets/d/130gLEONC13J8KkQ6dk06x3bLRy_jCrAw2hXatQf2W50/edit"",""27!e68"")"),3730)</f>
        <v>3730</v>
      </c>
      <c r="H710" s="18">
        <f ca="1">IFERROR(__xludf.DUMMYFUNCTION("IMPORTRANGE(""https://docs.google.com/spreadsheets/d/130gLEONC13J8KkQ6dk06x3bLRy_jCrAw2hXatQf2W50/edit"",""27!e69"")"),0)</f>
        <v>0</v>
      </c>
      <c r="I710" s="18">
        <f t="shared" ca="1" si="1962"/>
        <v>3730</v>
      </c>
      <c r="J710" s="18">
        <f ca="1">IFERROR(__xludf.DUMMYFUNCTION("IMPORTRANGE(""https://docs.google.com/spreadsheets/d/130gLEONC13J8KkQ6dk06x3bLRy_jCrAw2hXatQf2W50/edit"",""27!e72"")"),5627)</f>
        <v>5627</v>
      </c>
      <c r="K710" s="18">
        <f ca="1">IFERROR(__xludf.DUMMYFUNCTION("IMPORTRANGE(""https://docs.google.com/spreadsheets/d/130gLEONC13J8KkQ6dk06x3bLRy_jCrAw2hXatQf2W50/edit"",""27!e73"")"),0)</f>
        <v>0</v>
      </c>
      <c r="L710" s="18">
        <f t="shared" ca="1" si="1963"/>
        <v>5627</v>
      </c>
      <c r="M710" s="18">
        <f t="shared" ca="1" si="1964"/>
        <v>9357</v>
      </c>
      <c r="N710" s="19">
        <f t="shared" ca="1" si="1965"/>
        <v>200.29439655172243</v>
      </c>
      <c r="O710" s="16">
        <v>11164</v>
      </c>
      <c r="P710" s="20">
        <f t="shared" ca="1" si="1966"/>
        <v>0.83814045145109284</v>
      </c>
      <c r="Q710" s="21">
        <v>1.5</v>
      </c>
      <c r="R710" s="20">
        <f t="shared" ca="1" si="1967"/>
        <v>0.5369682127385812</v>
      </c>
      <c r="S710" s="22">
        <f t="shared" ca="1" si="1968"/>
        <v>0.80545231910787185</v>
      </c>
      <c r="T710" s="21">
        <f ca="1">F710/29.603</f>
        <v>392.42897679288922</v>
      </c>
      <c r="U710" s="21">
        <f t="shared" ca="1" si="1969"/>
        <v>6.766016841256711</v>
      </c>
      <c r="V710" s="18">
        <f t="shared" ca="1" si="1970"/>
        <v>161.32758620689654</v>
      </c>
      <c r="W710" s="76"/>
      <c r="X710" s="8">
        <v>6</v>
      </c>
      <c r="Y710" s="8" t="s">
        <v>31</v>
      </c>
      <c r="Z710" s="8">
        <f t="shared" ref="Z710:AI710" si="1978">SUM(D725)</f>
        <v>15</v>
      </c>
      <c r="AA710" s="9">
        <f t="shared" ca="1" si="1978"/>
        <v>14</v>
      </c>
      <c r="AB710" s="11">
        <f t="shared" ca="1" si="1978"/>
        <v>2694.8299999999899</v>
      </c>
      <c r="AC710" s="9">
        <f t="shared" ca="1" si="1978"/>
        <v>875</v>
      </c>
      <c r="AD710" s="9">
        <f t="shared" ca="1" si="1978"/>
        <v>0</v>
      </c>
      <c r="AE710" s="9">
        <f t="shared" ca="1" si="1978"/>
        <v>875</v>
      </c>
      <c r="AF710" s="9">
        <f t="shared" ca="1" si="1978"/>
        <v>975</v>
      </c>
      <c r="AG710" s="9">
        <f t="shared" ca="1" si="1978"/>
        <v>23</v>
      </c>
      <c r="AH710" s="9">
        <f t="shared" ca="1" si="1978"/>
        <v>998</v>
      </c>
      <c r="AI710" s="9">
        <f t="shared" ca="1" si="1978"/>
        <v>1873</v>
      </c>
      <c r="AJ710" s="11">
        <f t="shared" ca="1" si="1974"/>
        <v>192.48785714285643</v>
      </c>
      <c r="AK710" s="8">
        <f t="shared" si="1975"/>
        <v>2717</v>
      </c>
      <c r="AL710" s="12">
        <f t="shared" ca="1" si="1952"/>
        <v>0.68936326831063677</v>
      </c>
      <c r="AM710" s="13">
        <f t="shared" si="1976"/>
        <v>1.5</v>
      </c>
      <c r="AN710" s="12">
        <f t="shared" ca="1" si="1954"/>
        <v>0.46335637745856745</v>
      </c>
      <c r="AO710" s="14">
        <f t="shared" ca="1" si="1955"/>
        <v>0.6950345661878512</v>
      </c>
      <c r="AP710" s="13">
        <f t="shared" ref="AP710:AQ710" ca="1" si="1979">SUM(T725)</f>
        <v>61.999999999999766</v>
      </c>
      <c r="AQ710" s="13">
        <f t="shared" ca="1" si="1979"/>
        <v>4.4285714285714119</v>
      </c>
      <c r="AR710" s="9">
        <f t="shared" ca="1" si="1957"/>
        <v>133.78571428571428</v>
      </c>
      <c r="AS710" s="76"/>
      <c r="AT710" s="76"/>
    </row>
    <row r="711" spans="1:46" ht="15.75" customHeight="1" x14ac:dyDescent="0.25">
      <c r="A711" s="70"/>
      <c r="B711" s="16">
        <v>4</v>
      </c>
      <c r="C711" s="16" t="s">
        <v>32</v>
      </c>
      <c r="D711" s="17">
        <v>42</v>
      </c>
      <c r="E711" s="18">
        <f ca="1">IFERROR(__xludf.DUMMYFUNCTION("COUNT(IMPORTRANGE(""https://docs.google.com/spreadsheets/d/1gYHli7FuKQLm2Q-5LMR0UtkD-gRRA_p8s-phLPLDLgc/edit"",""27!d2:d43""))"),42)</f>
        <v>42</v>
      </c>
      <c r="F711" s="23">
        <f ca="1">IFERROR(__xludf.DUMMYFUNCTION("SUM(IMPORTRANGE(""https://docs.google.com/spreadsheets/d/1gYHli7FuKQLm2Q-5LMR0UtkD-gRRA_p8s-phLPLDLgc/edit"",""27!Q2:Q43""))"),8078.65799999999)</f>
        <v>8078.6579999999904</v>
      </c>
      <c r="G711" s="16">
        <f ca="1">IFERROR(__xludf.DUMMYFUNCTION("IMPORTRANGE(""https://docs.google.com/spreadsheets/d/1gYHli7FuKQLm2Q-5LMR0UtkD-gRRA_p8s-phLPLDLgc/edit"",""27!e50"")"),4602)</f>
        <v>4602</v>
      </c>
      <c r="H711" s="16">
        <f ca="1">IFERROR(__xludf.DUMMYFUNCTION("IMPORTRANGE(""https://docs.google.com/spreadsheets/d/1gYHli7FuKQLm2Q-5LMR0UtkD-gRRA_p8s-phLPLDLgc/edit"",""27!e51"")"),0)</f>
        <v>0</v>
      </c>
      <c r="I711" s="18">
        <f t="shared" ca="1" si="1962"/>
        <v>4602</v>
      </c>
      <c r="J711" s="16">
        <f ca="1">IFERROR(__xludf.DUMMYFUNCTION("IMPORTRANGE(""https://docs.google.com/spreadsheets/d/1gYHli7FuKQLm2Q-5LMR0UtkD-gRRA_p8s-phLPLDLgc/edit"",""27!e54"")"),5903)</f>
        <v>5903</v>
      </c>
      <c r="K711" s="16">
        <f ca="1">IFERROR(__xludf.DUMMYFUNCTION("IMPORTRANGE(""https://docs.google.com/spreadsheets/d/1gYHli7FuKQLm2Q-5LMR0UtkD-gRRA_p8s-phLPLDLgc/edit"",""27!e55"")"),0)</f>
        <v>0</v>
      </c>
      <c r="L711" s="18">
        <f t="shared" ca="1" si="1963"/>
        <v>5903</v>
      </c>
      <c r="M711" s="18">
        <f t="shared" ca="1" si="1964"/>
        <v>10505</v>
      </c>
      <c r="N711" s="19">
        <f t="shared" ca="1" si="1965"/>
        <v>192.34899999999976</v>
      </c>
      <c r="O711" s="16">
        <v>13817</v>
      </c>
      <c r="P711" s="20">
        <f t="shared" ca="1" si="1966"/>
        <v>0.76029528841282479</v>
      </c>
      <c r="Q711" s="21">
        <v>1.5</v>
      </c>
      <c r="R711" s="20">
        <f t="shared" ca="1" si="1967"/>
        <v>0.86689315642936515</v>
      </c>
      <c r="S711" s="22">
        <f t="shared" ca="1" si="1968"/>
        <v>1.3003397346440477</v>
      </c>
      <c r="T711" s="21">
        <f ca="1">F711/25.089</f>
        <v>321.99999999999966</v>
      </c>
      <c r="U711" s="21">
        <f t="shared" ca="1" si="1969"/>
        <v>7.666666666666659</v>
      </c>
      <c r="V711" s="18">
        <f t="shared" ca="1" si="1970"/>
        <v>250.11904761904762</v>
      </c>
      <c r="W711" s="76"/>
      <c r="X711" s="24" t="s">
        <v>33</v>
      </c>
      <c r="Y711" s="24">
        <v>6</v>
      </c>
      <c r="Z711" s="24">
        <f t="shared" ref="Z711:AI711" si="1980">SUM(Z705:Z710)</f>
        <v>186</v>
      </c>
      <c r="AA711" s="25">
        <f t="shared" ca="1" si="1980"/>
        <v>180</v>
      </c>
      <c r="AB711" s="26">
        <f t="shared" ca="1" si="1980"/>
        <v>34560.900999999962</v>
      </c>
      <c r="AC711" s="25">
        <f t="shared" ca="1" si="1980"/>
        <v>10702</v>
      </c>
      <c r="AD711" s="25">
        <f t="shared" ca="1" si="1980"/>
        <v>611</v>
      </c>
      <c r="AE711" s="25">
        <f t="shared" ca="1" si="1980"/>
        <v>11313</v>
      </c>
      <c r="AF711" s="25">
        <f t="shared" ca="1" si="1980"/>
        <v>15730</v>
      </c>
      <c r="AG711" s="25">
        <f t="shared" ca="1" si="1980"/>
        <v>490</v>
      </c>
      <c r="AH711" s="25">
        <f t="shared" ca="1" si="1980"/>
        <v>16220</v>
      </c>
      <c r="AI711" s="25">
        <f t="shared" ca="1" si="1980"/>
        <v>27533</v>
      </c>
      <c r="AJ711" s="27">
        <f t="shared" ca="1" si="1974"/>
        <v>192.00500555555533</v>
      </c>
      <c r="AK711" s="24">
        <f>SUM(AK705:AK710)</f>
        <v>35074</v>
      </c>
      <c r="AL711" s="28">
        <f t="shared" ca="1" si="1952"/>
        <v>0.78499743399669275</v>
      </c>
      <c r="AM711" s="29">
        <v>1.5</v>
      </c>
      <c r="AN711" s="28">
        <f t="shared" ca="1" si="1954"/>
        <v>0.53110112300988199</v>
      </c>
      <c r="AO711" s="30">
        <f t="shared" ca="1" si="1955"/>
        <v>0.79665168451482304</v>
      </c>
      <c r="AP711" s="29">
        <f ca="1">SUM(AP705:AP710)</f>
        <v>1293.3622169471803</v>
      </c>
      <c r="AQ711" s="29">
        <f ca="1">AP711/AA711</f>
        <v>7.1853456497065569</v>
      </c>
      <c r="AR711" s="25">
        <f t="shared" ca="1" si="1957"/>
        <v>152.96111111111111</v>
      </c>
      <c r="AS711" s="76"/>
      <c r="AT711" s="76"/>
    </row>
    <row r="712" spans="1:46" ht="15.75" customHeight="1" x14ac:dyDescent="0.25">
      <c r="A712" s="70"/>
      <c r="B712" s="16">
        <v>5</v>
      </c>
      <c r="C712" s="16" t="s">
        <v>34</v>
      </c>
      <c r="D712" s="17">
        <v>40</v>
      </c>
      <c r="E712" s="18">
        <f ca="1">IFERROR(__xludf.DUMMYFUNCTION("COUNT(IMPORTRANGE(""https://docs.google.com/spreadsheets/d/1ptS0qWBCKWkc9h2aXWT_YgMhN7yIv5WgAHRbF8l9Zpo/edit"",""27!d2:d41""))"),40)</f>
        <v>40</v>
      </c>
      <c r="F712" s="23">
        <f ca="1">IFERROR(__xludf.DUMMYFUNCTION("SUM(IMPORTRANGE(""https://docs.google.com/spreadsheets/d/1ptS0qWBCKWkc9h2aXWT_YgMhN7yIv5WgAHRbF8l9Zpo/edit"",""27!Q2:Q41""))"),8022.201)</f>
        <v>8022.201</v>
      </c>
      <c r="G712" s="18">
        <f ca="1">IFERROR(__xludf.DUMMYFUNCTION("IMPORTRANGE(""https://docs.google.com/spreadsheets/d/1ptS0qWBCKWkc9h2aXWT_YgMhN7yIv5WgAHRbF8l9Zpo/edit"",""27!e48"")"),2804)</f>
        <v>2804</v>
      </c>
      <c r="H712" s="18">
        <f ca="1">IFERROR(__xludf.DUMMYFUNCTION("IMPORTRANGE(""https://docs.google.com/spreadsheets/d/1ptS0qWBCKWkc9h2aXWT_YgMhN7yIv5WgAHRbF8l9Zpo/edit"",""27!e49"")"),0)</f>
        <v>0</v>
      </c>
      <c r="I712" s="18">
        <f t="shared" ca="1" si="1962"/>
        <v>2804</v>
      </c>
      <c r="J712" s="18">
        <f ca="1">IFERROR(__xludf.DUMMYFUNCTION("IMPORTRANGE(""https://docs.google.com/spreadsheets/d/1ptS0qWBCKWkc9h2aXWT_YgMhN7yIv5WgAHRbF8l9Zpo/edit"",""27!e52"")"),3299)</f>
        <v>3299</v>
      </c>
      <c r="K712" s="18">
        <f ca="1">IFERROR(__xludf.DUMMYFUNCTION("IMPORTRANGE(""https://docs.google.com/spreadsheets/d/1ptS0qWBCKWkc9h2aXWT_YgMhN7yIv5WgAHRbF8l9Zpo/edit"",""27!e53"")"),0)</f>
        <v>0</v>
      </c>
      <c r="L712" s="18">
        <f t="shared" ca="1" si="1963"/>
        <v>3299</v>
      </c>
      <c r="M712" s="18">
        <f t="shared" ca="1" si="1964"/>
        <v>6103</v>
      </c>
      <c r="N712" s="19">
        <f t="shared" ca="1" si="1965"/>
        <v>200.555025</v>
      </c>
      <c r="O712" s="16">
        <v>9354</v>
      </c>
      <c r="P712" s="20">
        <f t="shared" ca="1" si="1966"/>
        <v>0.65244815052384009</v>
      </c>
      <c r="Q712" s="21">
        <v>1.5</v>
      </c>
      <c r="R712" s="20">
        <f t="shared" ca="1" si="1967"/>
        <v>0.5071758569333612</v>
      </c>
      <c r="S712" s="22">
        <f t="shared" ca="1" si="1968"/>
        <v>0.76076378540004175</v>
      </c>
      <c r="T712" s="21">
        <f ca="1">F712/30.713</f>
        <v>261.19887344121383</v>
      </c>
      <c r="U712" s="21">
        <f t="shared" ca="1" si="1969"/>
        <v>6.529971836030346</v>
      </c>
      <c r="V712" s="18">
        <f t="shared" ca="1" si="1970"/>
        <v>152.57499999999999</v>
      </c>
      <c r="W712" s="76"/>
      <c r="X712" s="100" t="s">
        <v>35</v>
      </c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9"/>
      <c r="AS712" s="76"/>
      <c r="AT712" s="76"/>
    </row>
    <row r="713" spans="1:46" ht="15.75" customHeight="1" x14ac:dyDescent="0.25">
      <c r="A713" s="70"/>
      <c r="B713" s="16">
        <v>6</v>
      </c>
      <c r="C713" s="16" t="s">
        <v>23</v>
      </c>
      <c r="D713" s="17">
        <v>35</v>
      </c>
      <c r="E713" s="18">
        <f ca="1">IFERROR(__xludf.DUMMYFUNCTION("COUNT(IMPORTRANGE(""https://docs.google.com/spreadsheets/d/1829CoYW82aTBBUgqkPnJa94KlBWI-DowAnP4ENQCmaQ/edit"",""27!d2:d36""))"),35)</f>
        <v>35</v>
      </c>
      <c r="F713" s="23">
        <f ca="1">IFERROR(__xludf.DUMMYFUNCTION("SUM(IMPORTRANGE(""https://docs.google.com/spreadsheets/d/1829CoYW82aTBBUgqkPnJa94KlBWI-DowAnP4ENQCmaQ/edit"",""27!Q2:Q36""))"),6714.25999999999)</f>
        <v>6714.2599999999902</v>
      </c>
      <c r="G713" s="18">
        <f ca="1">IFERROR(__xludf.DUMMYFUNCTION("IMPORTRANGE(""https://docs.google.com/spreadsheets/d/1829CoYW82aTBBUgqkPnJa94KlBWI-DowAnP4ENQCmaQ/edit"",""27!e43"")"),1704)</f>
        <v>1704</v>
      </c>
      <c r="H713" s="18">
        <f ca="1">IFERROR(__xludf.DUMMYFUNCTION("IMPORTRANGE(""https://docs.google.com/spreadsheets/d/1829CoYW82aTBBUgqkPnJa94KlBWI-DowAnP4ENQCmaQ/edit"",""27!e44"")"),21)</f>
        <v>21</v>
      </c>
      <c r="I713" s="18">
        <f t="shared" ca="1" si="1962"/>
        <v>1725</v>
      </c>
      <c r="J713" s="18">
        <f ca="1">IFERROR(__xludf.DUMMYFUNCTION("IMPORTRANGE(""https://docs.google.com/spreadsheets/d/1829CoYW82aTBBUgqkPnJa94KlBWI-DowAnP4ENQCmaQ/edit"",""27!e47"")"),2947)</f>
        <v>2947</v>
      </c>
      <c r="K713" s="18">
        <f ca="1">IFERROR(__xludf.DUMMYFUNCTION("IMPORTRANGE(""https://docs.google.com/spreadsheets/d/1829CoYW82aTBBUgqkPnJa94KlBWI-DowAnP4ENQCmaQ/edit"",""27!e48"")"),0)</f>
        <v>0</v>
      </c>
      <c r="L713" s="18">
        <f t="shared" ca="1" si="1963"/>
        <v>2947</v>
      </c>
      <c r="M713" s="18">
        <f t="shared" ca="1" si="1964"/>
        <v>4672</v>
      </c>
      <c r="N713" s="19">
        <f t="shared" ca="1" si="1965"/>
        <v>191.83599999999973</v>
      </c>
      <c r="O713" s="16">
        <v>6853</v>
      </c>
      <c r="P713" s="20">
        <f t="shared" ca="1" si="1966"/>
        <v>0.68174522107106372</v>
      </c>
      <c r="Q713" s="21">
        <v>1.5</v>
      </c>
      <c r="R713" s="20">
        <f t="shared" ca="1" si="1967"/>
        <v>0.46388830141619053</v>
      </c>
      <c r="S713" s="22">
        <f t="shared" ca="1" si="1968"/>
        <v>0.69583245212428579</v>
      </c>
      <c r="T713" s="21">
        <f ca="1">F713/33.74</f>
        <v>198.99999999999969</v>
      </c>
      <c r="U713" s="21">
        <f t="shared" ca="1" si="1969"/>
        <v>5.6857142857142771</v>
      </c>
      <c r="V713" s="18">
        <f t="shared" ca="1" si="1970"/>
        <v>133.48571428571429</v>
      </c>
      <c r="W713" s="76"/>
      <c r="X713" s="1" t="s">
        <v>2</v>
      </c>
      <c r="Y713" s="1" t="s">
        <v>3</v>
      </c>
      <c r="Z713" s="1" t="s">
        <v>4</v>
      </c>
      <c r="AA713" s="1" t="s">
        <v>5</v>
      </c>
      <c r="AB713" s="2" t="s">
        <v>6</v>
      </c>
      <c r="AC713" s="1" t="s">
        <v>7</v>
      </c>
      <c r="AD713" s="1" t="s">
        <v>8</v>
      </c>
      <c r="AE713" s="1" t="s">
        <v>9</v>
      </c>
      <c r="AF713" s="1" t="s">
        <v>10</v>
      </c>
      <c r="AG713" s="1" t="s">
        <v>11</v>
      </c>
      <c r="AH713" s="1" t="s">
        <v>12</v>
      </c>
      <c r="AI713" s="1" t="s">
        <v>13</v>
      </c>
      <c r="AJ713" s="2" t="s">
        <v>14</v>
      </c>
      <c r="AK713" s="1" t="s">
        <v>15</v>
      </c>
      <c r="AL713" s="1" t="s">
        <v>16</v>
      </c>
      <c r="AM713" s="3" t="s">
        <v>17</v>
      </c>
      <c r="AN713" s="4" t="s">
        <v>18</v>
      </c>
      <c r="AO713" s="5" t="s">
        <v>19</v>
      </c>
      <c r="AP713" s="6" t="s">
        <v>20</v>
      </c>
      <c r="AQ713" s="6" t="s">
        <v>21</v>
      </c>
      <c r="AR713" s="7" t="s">
        <v>22</v>
      </c>
      <c r="AS713" s="76"/>
      <c r="AT713" s="76"/>
    </row>
    <row r="714" spans="1:46" ht="15.75" customHeight="1" x14ac:dyDescent="0.25">
      <c r="A714" s="70"/>
      <c r="B714" s="16">
        <v>7</v>
      </c>
      <c r="C714" s="16" t="s">
        <v>24</v>
      </c>
      <c r="D714" s="17">
        <v>44</v>
      </c>
      <c r="E714" s="31">
        <f ca="1">IFERROR(__xludf.DUMMYFUNCTION("COUNT(IMPORTRANGE(""https://docs.google.com/spreadsheets/d/1E2x4oDZxEIsuC5nl-5Z0--MoN8b1dt9SbpRcCfNP84Q/edit"",""27!d2:d45""))"),42)</f>
        <v>42</v>
      </c>
      <c r="F714" s="32">
        <f ca="1">IFERROR(__xludf.DUMMYFUNCTION("SUM(IMPORTRANGE(""https://docs.google.com/spreadsheets/d/1E2x4oDZxEIsuC5nl-5Z0--MoN8b1dt9SbpRcCfNP84Q/edit"",""27!Q2:Q45""))"),8276.09599999999)</f>
        <v>8276.0959999999905</v>
      </c>
      <c r="G714" s="31">
        <f ca="1">IFERROR(__xludf.DUMMYFUNCTION("IMPORTRANGE(""https://docs.google.com/spreadsheets/d/1E2x4oDZxEIsuC5nl-5Z0--MoN8b1dt9SbpRcCfNP84Q/edit"",""27!e53"")"),1061)</f>
        <v>1061</v>
      </c>
      <c r="H714" s="31">
        <f ca="1">IFERROR(__xludf.DUMMYFUNCTION("IMPORTRANGE(""https://docs.google.com/spreadsheets/d/1E2x4oDZxEIsuC5nl-5Z0--MoN8b1dt9SbpRcCfNP84Q/edit"",""27!e54"")"),0)</f>
        <v>0</v>
      </c>
      <c r="I714" s="31">
        <f t="shared" ca="1" si="1962"/>
        <v>1061</v>
      </c>
      <c r="J714" s="31">
        <f ca="1">IFERROR(__xludf.DUMMYFUNCTION("IMPORTRANGE(""https://docs.google.com/spreadsheets/d/1E2x4oDZxEIsuC5nl-5Z0--MoN8b1dt9SbpRcCfNP84Q/edit"",""27!e57"")"),1379)</f>
        <v>1379</v>
      </c>
      <c r="K714" s="31">
        <f ca="1">IFERROR(__xludf.DUMMYFUNCTION("IMPORTRANGE(""https://docs.google.com/spreadsheets/d/1E2x4oDZxEIsuC5nl-5Z0--MoN8b1dt9SbpRcCfNP84Q/edit"",""27!e58"")"),0)</f>
        <v>0</v>
      </c>
      <c r="L714" s="18">
        <f t="shared" ca="1" si="1963"/>
        <v>1379</v>
      </c>
      <c r="M714" s="18">
        <f t="shared" ca="1" si="1964"/>
        <v>2440</v>
      </c>
      <c r="N714" s="19">
        <f t="shared" ca="1" si="1965"/>
        <v>197.04990476190454</v>
      </c>
      <c r="O714" s="16">
        <v>1580</v>
      </c>
      <c r="P714" s="33">
        <f t="shared" ca="1" si="1966"/>
        <v>1.5443037974683544</v>
      </c>
      <c r="Q714" s="21">
        <v>1.5</v>
      </c>
      <c r="R714" s="20">
        <f t="shared" ca="1" si="1967"/>
        <v>0.19654999974222975</v>
      </c>
      <c r="S714" s="22">
        <f t="shared" ca="1" si="1968"/>
        <v>0.29482499961334463</v>
      </c>
      <c r="T714" s="21">
        <f ca="1">F714/26.805</f>
        <v>308.75194926319682</v>
      </c>
      <c r="U714" s="21">
        <f t="shared" ca="1" si="1969"/>
        <v>7.3512368872189722</v>
      </c>
      <c r="V714" s="18">
        <f t="shared" ca="1" si="1970"/>
        <v>58.095238095238095</v>
      </c>
      <c r="W714" s="76"/>
      <c r="X714" s="8">
        <v>1</v>
      </c>
      <c r="Y714" s="8" t="s">
        <v>28</v>
      </c>
      <c r="Z714" s="8">
        <f t="shared" ref="Z714:AI714" si="1981">SUM(D709)</f>
        <v>33</v>
      </c>
      <c r="AA714" s="9">
        <f t="shared" ca="1" si="1981"/>
        <v>32</v>
      </c>
      <c r="AB714" s="11">
        <f t="shared" ca="1" si="1981"/>
        <v>6158.0689999999904</v>
      </c>
      <c r="AC714" s="9">
        <f t="shared" ca="1" si="1981"/>
        <v>2513</v>
      </c>
      <c r="AD714" s="9">
        <f t="shared" ca="1" si="1981"/>
        <v>190</v>
      </c>
      <c r="AE714" s="9">
        <f t="shared" ca="1" si="1981"/>
        <v>2703</v>
      </c>
      <c r="AF714" s="9">
        <f t="shared" ca="1" si="1981"/>
        <v>2792</v>
      </c>
      <c r="AG714" s="9">
        <f t="shared" ca="1" si="1981"/>
        <v>140</v>
      </c>
      <c r="AH714" s="9">
        <f t="shared" ca="1" si="1981"/>
        <v>2932</v>
      </c>
      <c r="AI714" s="9">
        <f t="shared" ca="1" si="1981"/>
        <v>5635</v>
      </c>
      <c r="AJ714" s="11">
        <f t="shared" ref="AJ714:AJ720" ca="1" si="1982">AB714/AA714</f>
        <v>192.4396562499997</v>
      </c>
      <c r="AK714" s="8">
        <f t="shared" ref="AK714:AK715" si="1983">SUM(O709)</f>
        <v>7315</v>
      </c>
      <c r="AL714" s="12">
        <f t="shared" ref="AL714:AL720" ca="1" si="1984">AI714/AK714</f>
        <v>0.77033492822966509</v>
      </c>
      <c r="AM714" s="13">
        <f t="shared" ref="AM714:AM715" si="1985">SUM(Q709)</f>
        <v>1.5</v>
      </c>
      <c r="AN714" s="12">
        <f t="shared" ref="AN714:AN720" ca="1" si="1986">AO714/AM714</f>
        <v>0.6100397164544068</v>
      </c>
      <c r="AO714" s="14">
        <f t="shared" ref="AO714:AO720" ca="1" si="1987">AI714/AB714</f>
        <v>0.91505957468161025</v>
      </c>
      <c r="AP714" s="13">
        <f t="shared" ref="AP714:AQ714" ca="1" si="1988">SUM(T709)</f>
        <v>199.3096093471855</v>
      </c>
      <c r="AQ714" s="13">
        <f t="shared" ca="1" si="1988"/>
        <v>6.2284252920995469</v>
      </c>
      <c r="AR714" s="9">
        <f t="shared" ref="AR714:AR720" ca="1" si="1989">AI714/AA714</f>
        <v>176.09375</v>
      </c>
      <c r="AS714" s="76"/>
      <c r="AT714" s="76"/>
    </row>
    <row r="715" spans="1:46" ht="15.75" customHeight="1" x14ac:dyDescent="0.25">
      <c r="A715" s="70"/>
      <c r="B715" s="16">
        <v>8</v>
      </c>
      <c r="C715" s="16" t="s">
        <v>25</v>
      </c>
      <c r="D715" s="34">
        <v>32</v>
      </c>
      <c r="E715" s="18">
        <f ca="1">IFERROR(__xludf.DUMMYFUNCTION("COUNT(IMPORTRANGE(""https://docs.google.com/spreadsheets/d/1KbRFOEYB0B44J_NSh1MwYQ1sLDlZXUHI-wuMLcZDn5k/edit"",""27!d2:D33""))"),32)</f>
        <v>32</v>
      </c>
      <c r="F715" s="23">
        <f ca="1">IFERROR(__xludf.DUMMYFUNCTION("SUM(IMPORTRANGE(""https://docs.google.com/spreadsheets/d/1KbRFOEYB0B44J_NSh1MwYQ1sLDlZXUHI-wuMLcZDn5k/edit"",""27!Q2:Q33""))"),5717.208)</f>
        <v>5717.2079999999996</v>
      </c>
      <c r="G715" s="18">
        <f ca="1">IFERROR(__xludf.DUMMYFUNCTION("IMPORTRANGE(""https://docs.google.com/spreadsheets/d/1KbRFOEYB0B44J_NSh1MwYQ1sLDlZXUHI-wuMLcZDn5k/edit"",""27!e40"")"),2128)</f>
        <v>2128</v>
      </c>
      <c r="H715" s="18">
        <f ca="1">IFERROR(__xludf.DUMMYFUNCTION("IMPORTRANGE(""https://docs.google.com/spreadsheets/d/1KbRFOEYB0B44J_NSh1MwYQ1sLDlZXUHI-wuMLcZDn5k/edit"",""27!e41"")"),469)</f>
        <v>469</v>
      </c>
      <c r="I715" s="18">
        <f t="shared" ca="1" si="1962"/>
        <v>2597</v>
      </c>
      <c r="J715" s="18">
        <f ca="1">IFERROR(__xludf.DUMMYFUNCTION("IMPORTRANGE(""https://docs.google.com/spreadsheets/d/1KbRFOEYB0B44J_NSh1MwYQ1sLDlZXUHI-wuMLcZDn5k/edit"",""27!e44"")"),3291)</f>
        <v>3291</v>
      </c>
      <c r="K715" s="18">
        <f ca="1">IFERROR(__xludf.DUMMYFUNCTION("IMPORTRANGE(""https://docs.google.com/spreadsheets/d/1KbRFOEYB0B44J_NSh1MwYQ1sLDlZXUHI-wuMLcZDn5k/edit"",""27!e45"")"),367)</f>
        <v>367</v>
      </c>
      <c r="L715" s="18">
        <f ca="1">J715+K715</f>
        <v>3658</v>
      </c>
      <c r="M715" s="18">
        <f t="shared" ca="1" si="1964"/>
        <v>6255</v>
      </c>
      <c r="N715" s="19">
        <f t="shared" ca="1" si="1965"/>
        <v>178.66274999999999</v>
      </c>
      <c r="O715" s="16">
        <v>6622</v>
      </c>
      <c r="P715" s="20">
        <f t="shared" ca="1" si="1966"/>
        <v>0.94457867713681665</v>
      </c>
      <c r="Q715" s="21">
        <v>1.5</v>
      </c>
      <c r="R715" s="20">
        <f t="shared" ca="1" si="1967"/>
        <v>0.72937699660393684</v>
      </c>
      <c r="S715" s="22">
        <f t="shared" ca="1" si="1968"/>
        <v>1.0940654949059052</v>
      </c>
      <c r="T715" s="21">
        <f ca="1">F715/23.84</f>
        <v>239.81577181208053</v>
      </c>
      <c r="U715" s="21">
        <f t="shared" ca="1" si="1969"/>
        <v>7.4942428691275165</v>
      </c>
      <c r="V715" s="18">
        <f t="shared" ca="1" si="1970"/>
        <v>195.46875</v>
      </c>
      <c r="W715" s="76"/>
      <c r="X715" s="8">
        <v>2</v>
      </c>
      <c r="Y715" s="8" t="s">
        <v>30</v>
      </c>
      <c r="Z715" s="8">
        <f t="shared" ref="Z715:AI715" si="1990">SUM(D710)</f>
        <v>60</v>
      </c>
      <c r="AA715" s="9">
        <f t="shared" ca="1" si="1990"/>
        <v>58</v>
      </c>
      <c r="AB715" s="10">
        <f t="shared" ca="1" si="1990"/>
        <v>11617.074999999901</v>
      </c>
      <c r="AC715" s="9">
        <f t="shared" ca="1" si="1990"/>
        <v>3730</v>
      </c>
      <c r="AD715" s="9">
        <f t="shared" ca="1" si="1990"/>
        <v>0</v>
      </c>
      <c r="AE715" s="9">
        <f t="shared" ca="1" si="1990"/>
        <v>3730</v>
      </c>
      <c r="AF715" s="9">
        <f t="shared" ca="1" si="1990"/>
        <v>5627</v>
      </c>
      <c r="AG715" s="9">
        <f t="shared" ca="1" si="1990"/>
        <v>0</v>
      </c>
      <c r="AH715" s="9">
        <f t="shared" ca="1" si="1990"/>
        <v>5627</v>
      </c>
      <c r="AI715" s="9">
        <f t="shared" ca="1" si="1990"/>
        <v>9357</v>
      </c>
      <c r="AJ715" s="11">
        <f t="shared" ca="1" si="1982"/>
        <v>200.29439655172243</v>
      </c>
      <c r="AK715" s="8">
        <f t="shared" si="1983"/>
        <v>11164</v>
      </c>
      <c r="AL715" s="12">
        <f t="shared" ca="1" si="1984"/>
        <v>0.83814045145109284</v>
      </c>
      <c r="AM715" s="13">
        <f t="shared" si="1985"/>
        <v>1.5</v>
      </c>
      <c r="AN715" s="12">
        <f t="shared" ca="1" si="1986"/>
        <v>0.5369682127385812</v>
      </c>
      <c r="AO715" s="14">
        <f t="shared" ca="1" si="1987"/>
        <v>0.80545231910787185</v>
      </c>
      <c r="AP715" s="13">
        <f t="shared" ref="AP715:AQ715" ca="1" si="1991">SUM(T710)</f>
        <v>392.42897679288922</v>
      </c>
      <c r="AQ715" s="13">
        <f t="shared" ca="1" si="1991"/>
        <v>6.766016841256711</v>
      </c>
      <c r="AR715" s="9">
        <f t="shared" ca="1" si="1989"/>
        <v>161.32758620689654</v>
      </c>
      <c r="AS715" s="76"/>
      <c r="AT715" s="76"/>
    </row>
    <row r="716" spans="1:46" ht="15.75" customHeight="1" x14ac:dyDescent="0.25">
      <c r="A716" s="70"/>
      <c r="B716" s="16">
        <v>9</v>
      </c>
      <c r="C716" s="16" t="s">
        <v>36</v>
      </c>
      <c r="D716" s="34">
        <v>30</v>
      </c>
      <c r="E716" s="18">
        <f ca="1">IFERROR(__xludf.DUMMYFUNCTION("COUNT(IMPORTRANGE(""https://docs.google.com/spreadsheets/d/1VqqqRGfmmkT0JC4ILJva2p8P11jjV0FX-TSKAaqOigw/edit"",""27!d2:d31""))"),29)</f>
        <v>29</v>
      </c>
      <c r="F716" s="23">
        <f ca="1">IFERROR(__xludf.DUMMYFUNCTION("SUM(IMPORTRANGE(""https://docs.google.com/spreadsheets/d/1VqqqRGfmmkT0JC4ILJva2p8P11jjV0FX-TSKAaqOigw/edit"",""27!Q2:Q31""))"),5792.78599999999)</f>
        <v>5792.7859999999901</v>
      </c>
      <c r="G716" s="18">
        <f ca="1">IFERROR(__xludf.DUMMYFUNCTION("IMPORTRANGE(""https://docs.google.com/spreadsheets/d/1VqqqRGfmmkT0JC4ILJva2p8P11jjV0FX-TSKAaqOigw/edit"",""27!e38"")"),1608)</f>
        <v>1608</v>
      </c>
      <c r="H716" s="18">
        <f ca="1">IFERROR(__xludf.DUMMYFUNCTION("IMPORTRANGE(""https://docs.google.com/spreadsheets/d/1VqqqRGfmmkT0JC4ILJva2p8P11jjV0FX-TSKAaqOigw/edit"",""27!e39"")"),0)</f>
        <v>0</v>
      </c>
      <c r="I716" s="18">
        <f t="shared" ca="1" si="1962"/>
        <v>1608</v>
      </c>
      <c r="J716" s="18">
        <f ca="1">IFERROR(__xludf.DUMMYFUNCTION("IMPORTRANGE(""https://docs.google.com/spreadsheets/d/1VqqqRGfmmkT0JC4ILJva2p8P11jjV0FX-TSKAaqOigw/edit"",""27!e42"")"),2167)</f>
        <v>2167</v>
      </c>
      <c r="K716" s="18">
        <f ca="1">IFERROR(__xludf.DUMMYFUNCTION("IMPORTRANGE(""https://docs.google.com/spreadsheets/d/1VqqqRGfmmkT0JC4ILJva2p8P11jjV0FX-TSKAaqOigw/edit"",""27!e43"")"),0)</f>
        <v>0</v>
      </c>
      <c r="L716" s="18">
        <f t="shared" ref="L716:L725" ca="1" si="1992">SUM(J716:K716)</f>
        <v>2167</v>
      </c>
      <c r="M716" s="18">
        <f t="shared" ca="1" si="1964"/>
        <v>3775</v>
      </c>
      <c r="N716" s="19">
        <f t="shared" ca="1" si="1965"/>
        <v>199.75124137930999</v>
      </c>
      <c r="O716" s="16">
        <v>4796</v>
      </c>
      <c r="P716" s="20">
        <f t="shared" ca="1" si="1966"/>
        <v>0.78711426188490408</v>
      </c>
      <c r="Q716" s="21">
        <v>1.5</v>
      </c>
      <c r="R716" s="20">
        <f t="shared" ca="1" si="1967"/>
        <v>0.43444840991306616</v>
      </c>
      <c r="S716" s="22">
        <f t="shared" ca="1" si="1968"/>
        <v>0.65167261486959926</v>
      </c>
      <c r="T716" s="21">
        <f ca="1">F716/37.414</f>
        <v>154.82936868551852</v>
      </c>
      <c r="U716" s="21">
        <f t="shared" ca="1" si="1969"/>
        <v>5.3389437477765007</v>
      </c>
      <c r="V716" s="18">
        <f t="shared" ca="1" si="1970"/>
        <v>130.17241379310346</v>
      </c>
      <c r="W716" s="76"/>
      <c r="X716" s="8">
        <v>3</v>
      </c>
      <c r="Y716" s="8" t="s">
        <v>34</v>
      </c>
      <c r="Z716" s="8">
        <f t="shared" ref="Z716:AI716" si="1993">SUM(D712)</f>
        <v>40</v>
      </c>
      <c r="AA716" s="9">
        <f t="shared" ca="1" si="1993"/>
        <v>40</v>
      </c>
      <c r="AB716" s="10">
        <f t="shared" ca="1" si="1993"/>
        <v>8022.201</v>
      </c>
      <c r="AC716" s="9">
        <f t="shared" ca="1" si="1993"/>
        <v>2804</v>
      </c>
      <c r="AD716" s="9">
        <f t="shared" ca="1" si="1993"/>
        <v>0</v>
      </c>
      <c r="AE716" s="9">
        <f t="shared" ca="1" si="1993"/>
        <v>2804</v>
      </c>
      <c r="AF716" s="9">
        <f t="shared" ca="1" si="1993"/>
        <v>3299</v>
      </c>
      <c r="AG716" s="9">
        <f t="shared" ca="1" si="1993"/>
        <v>0</v>
      </c>
      <c r="AH716" s="9">
        <f t="shared" ca="1" si="1993"/>
        <v>3299</v>
      </c>
      <c r="AI716" s="9">
        <f t="shared" ca="1" si="1993"/>
        <v>6103</v>
      </c>
      <c r="AJ716" s="11">
        <f t="shared" ca="1" si="1982"/>
        <v>200.555025</v>
      </c>
      <c r="AK716" s="8">
        <f>SUM(O712)</f>
        <v>9354</v>
      </c>
      <c r="AL716" s="12">
        <f t="shared" ca="1" si="1984"/>
        <v>0.65244815052384009</v>
      </c>
      <c r="AM716" s="13">
        <f>SUM(Q712)</f>
        <v>1.5</v>
      </c>
      <c r="AN716" s="12">
        <f t="shared" ca="1" si="1986"/>
        <v>0.5071758569333612</v>
      </c>
      <c r="AO716" s="14">
        <f t="shared" ca="1" si="1987"/>
        <v>0.76076378540004175</v>
      </c>
      <c r="AP716" s="13">
        <f t="shared" ref="AP716:AQ716" ca="1" si="1994">SUM(T712)</f>
        <v>261.19887344121383</v>
      </c>
      <c r="AQ716" s="13">
        <f t="shared" ca="1" si="1994"/>
        <v>6.529971836030346</v>
      </c>
      <c r="AR716" s="9">
        <f t="shared" ca="1" si="1989"/>
        <v>152.57499999999999</v>
      </c>
      <c r="AS716" s="76"/>
      <c r="AT716" s="76"/>
    </row>
    <row r="717" spans="1:46" ht="15.75" customHeight="1" x14ac:dyDescent="0.25">
      <c r="A717" s="70"/>
      <c r="B717" s="16">
        <v>10</v>
      </c>
      <c r="C717" s="16" t="s">
        <v>37</v>
      </c>
      <c r="D717" s="17">
        <v>30</v>
      </c>
      <c r="E717" s="18">
        <f ca="1">IFERROR(__xludf.DUMMYFUNCTION("COUNT(IMPORTRANGE(""https://docs.google.com/spreadsheets/d/1IYeRjQd_D6MRqoBKNaky3aSEUloYCJc5XDnPAbdyetk/edit"",""27!d2:d31""))"),29)</f>
        <v>29</v>
      </c>
      <c r="F717" s="23">
        <f ca="1">IFERROR(__xludf.DUMMYFUNCTION("SUM(IMPORTRANGE(""https://docs.google.com/spreadsheets/d/1IYeRjQd_D6MRqoBKNaky3aSEUloYCJc5XDnPAbdyetk/edit"",""27!Q2:Q31""))"),5625.162)</f>
        <v>5625.1620000000003</v>
      </c>
      <c r="G717" s="18">
        <f ca="1">IFERROR(__xludf.DUMMYFUNCTION("(IMPORTRANGE(""https://docs.google.com/spreadsheets/d/1IYeRjQd_D6MRqoBKNaky3aSEUloYCJc5XDnPAbdyetk/edit"",""27!e38""))"),2027)</f>
        <v>2027</v>
      </c>
      <c r="H717" s="18">
        <f ca="1">IFERROR(__xludf.DUMMYFUNCTION("(IMPORTRANGE(""https://docs.google.com/spreadsheets/d/1IYeRjQd_D6MRqoBKNaky3aSEUloYCJc5XDnPAbdyetk/edit"",""27!e39""))"),0)</f>
        <v>0</v>
      </c>
      <c r="I717" s="18">
        <f t="shared" ca="1" si="1962"/>
        <v>2027</v>
      </c>
      <c r="J717" s="18">
        <f ca="1">IFERROR(__xludf.DUMMYFUNCTION("(IMPORTRANGE(""https://docs.google.com/spreadsheets/d/1IYeRjQd_D6MRqoBKNaky3aSEUloYCJc5XDnPAbdyetk/edit"",""27!e42""))"),2972)</f>
        <v>2972</v>
      </c>
      <c r="K717" s="18">
        <f ca="1">IFERROR(__xludf.DUMMYFUNCTION("(IMPORTRANGE(""https://docs.google.com/spreadsheets/d/1IYeRjQd_D6MRqoBKNaky3aSEUloYCJc5XDnPAbdyetk/edit"",""27!e43""))"),0)</f>
        <v>0</v>
      </c>
      <c r="L717" s="18">
        <f t="shared" ca="1" si="1992"/>
        <v>2972</v>
      </c>
      <c r="M717" s="18">
        <f t="shared" ca="1" si="1964"/>
        <v>4999</v>
      </c>
      <c r="N717" s="19">
        <f t="shared" ca="1" si="1965"/>
        <v>193.97110344827587</v>
      </c>
      <c r="O717" s="16">
        <v>5887</v>
      </c>
      <c r="P717" s="20">
        <f t="shared" ca="1" si="1966"/>
        <v>0.84915916426023441</v>
      </c>
      <c r="Q717" s="21">
        <v>1.5</v>
      </c>
      <c r="R717" s="20">
        <f t="shared" ca="1" si="1967"/>
        <v>0.59245701131214823</v>
      </c>
      <c r="S717" s="22">
        <f t="shared" ca="1" si="1968"/>
        <v>0.8886855169682224</v>
      </c>
      <c r="T717" s="21">
        <f ca="1">F717/24.792</f>
        <v>226.89424007744432</v>
      </c>
      <c r="U717" s="21">
        <f t="shared" ca="1" si="1969"/>
        <v>7.8239393130153214</v>
      </c>
      <c r="V717" s="18">
        <f t="shared" ca="1" si="1970"/>
        <v>172.37931034482759</v>
      </c>
      <c r="W717" s="76"/>
      <c r="X717" s="8">
        <v>4</v>
      </c>
      <c r="Y717" s="8" t="s">
        <v>38</v>
      </c>
      <c r="Z717" s="8">
        <f t="shared" ref="Z717:AI717" si="1995">SUM(D720)</f>
        <v>30</v>
      </c>
      <c r="AA717" s="9">
        <f t="shared" ca="1" si="1995"/>
        <v>30</v>
      </c>
      <c r="AB717" s="10">
        <f t="shared" ca="1" si="1995"/>
        <v>6408.92399999999</v>
      </c>
      <c r="AC717" s="9">
        <f t="shared" ca="1" si="1995"/>
        <v>2238</v>
      </c>
      <c r="AD717" s="9">
        <f t="shared" ca="1" si="1995"/>
        <v>0</v>
      </c>
      <c r="AE717" s="9">
        <f t="shared" ca="1" si="1995"/>
        <v>2238</v>
      </c>
      <c r="AF717" s="9">
        <f t="shared" ca="1" si="1995"/>
        <v>2838</v>
      </c>
      <c r="AG717" s="9">
        <f t="shared" ca="1" si="1995"/>
        <v>0</v>
      </c>
      <c r="AH717" s="9">
        <f t="shared" ca="1" si="1995"/>
        <v>2838</v>
      </c>
      <c r="AI717" s="9">
        <f t="shared" ca="1" si="1995"/>
        <v>5076</v>
      </c>
      <c r="AJ717" s="11">
        <f t="shared" ca="1" si="1982"/>
        <v>213.63079999999965</v>
      </c>
      <c r="AK717" s="8">
        <v>7324</v>
      </c>
      <c r="AL717" s="12">
        <f t="shared" ca="1" si="1984"/>
        <v>0.69306389950846536</v>
      </c>
      <c r="AM717" s="13">
        <f>SUM(Q720)</f>
        <v>1.5</v>
      </c>
      <c r="AN717" s="12">
        <f t="shared" ca="1" si="1986"/>
        <v>0.52801375082619251</v>
      </c>
      <c r="AO717" s="14">
        <f t="shared" ca="1" si="1987"/>
        <v>0.79202062623928882</v>
      </c>
      <c r="AP717" s="13">
        <f t="shared" ref="AP717:AQ717" ca="1" si="1996">SUM(T720)</f>
        <v>155.53753185293024</v>
      </c>
      <c r="AQ717" s="13">
        <f t="shared" ca="1" si="1996"/>
        <v>5.1845843950976747</v>
      </c>
      <c r="AR717" s="9">
        <f t="shared" ca="1" si="1989"/>
        <v>169.2</v>
      </c>
      <c r="AS717" s="76"/>
      <c r="AT717" s="76"/>
    </row>
    <row r="718" spans="1:46" ht="15.75" customHeight="1" x14ac:dyDescent="0.25">
      <c r="A718" s="70"/>
      <c r="B718" s="16">
        <v>12</v>
      </c>
      <c r="C718" s="16" t="s">
        <v>39</v>
      </c>
      <c r="D718" s="17">
        <v>28</v>
      </c>
      <c r="E718" s="18">
        <f ca="1">IFERROR(__xludf.DUMMYFUNCTION("COUNT(IMPORTRANGE(""https://docs.google.com/spreadsheets/d/1TAY2D35yAzyl8a_p5CuZehQvmatfj0b0Q8ICl8GtJBY/edit"",""27!d2:d29""))"),27)</f>
        <v>27</v>
      </c>
      <c r="F718" s="23">
        <f ca="1">IFERROR(__xludf.DUMMYFUNCTION("SUM(IMPORTRANGE(""https://docs.google.com/spreadsheets/d/1TAY2D35yAzyl8a_p5CuZehQvmatfj0b0Q8ICl8GtJBY/edit"",""27!Q2:Q29""))"),5158.396)</f>
        <v>5158.3959999999997</v>
      </c>
      <c r="G718" s="18">
        <f ca="1">IFERROR(__xludf.DUMMYFUNCTION("IMPORTRANGE(""https://docs.google.com/spreadsheets/d/1TAY2D35yAzyl8a_p5CuZehQvmatfj0b0Q8ICl8GtJBY/edit"",""27!e36"")"),1232)</f>
        <v>1232</v>
      </c>
      <c r="H718" s="18">
        <f ca="1">IFERROR(__xludf.DUMMYFUNCTION("(IMPORTRANGE(""https://docs.google.com/spreadsheets/d/1TAY2D35yAzyl8a_p5CuZehQvmatfj0b0Q8ICl8GtJBY/edit"",""27!e37""))"),0)</f>
        <v>0</v>
      </c>
      <c r="I718" s="18">
        <f t="shared" ca="1" si="1962"/>
        <v>1232</v>
      </c>
      <c r="J718" s="18">
        <f ca="1">IFERROR(__xludf.DUMMYFUNCTION("IMPORTRANGE(""https://docs.google.com/spreadsheets/d/1TAY2D35yAzyl8a_p5CuZehQvmatfj0b0Q8ICl8GtJBY/edit"",""27!e40"")"),1310)</f>
        <v>1310</v>
      </c>
      <c r="K718" s="18">
        <f ca="1">IFERROR(__xludf.DUMMYFUNCTION("IMPORTRANGE(""https://docs.google.com/spreadsheets/d/1TAY2D35yAzyl8a_p5CuZehQvmatfj0b0Q8ICl8GtJBY/edit"",""27!e41"")"),477)</f>
        <v>477</v>
      </c>
      <c r="L718" s="18">
        <f t="shared" ca="1" si="1992"/>
        <v>1787</v>
      </c>
      <c r="M718" s="18">
        <f t="shared" ca="1" si="1964"/>
        <v>3019</v>
      </c>
      <c r="N718" s="19">
        <f t="shared" ca="1" si="1965"/>
        <v>191.05170370370368</v>
      </c>
      <c r="O718" s="16">
        <v>3569</v>
      </c>
      <c r="P718" s="20">
        <f t="shared" ca="1" si="1966"/>
        <v>0.84589520874194457</v>
      </c>
      <c r="Q718" s="21">
        <v>1.5</v>
      </c>
      <c r="R718" s="20">
        <f t="shared" ca="1" si="1967"/>
        <v>0.39017296591162576</v>
      </c>
      <c r="S718" s="22">
        <f t="shared" ca="1" si="1968"/>
        <v>0.58525944886743864</v>
      </c>
      <c r="T718" s="21">
        <f ca="1">F718/21.463</f>
        <v>240.33900200344777</v>
      </c>
      <c r="U718" s="21">
        <f t="shared" ca="1" si="1969"/>
        <v>8.9014445186462137</v>
      </c>
      <c r="V718" s="18">
        <f t="shared" ca="1" si="1970"/>
        <v>111.81481481481481</v>
      </c>
      <c r="W718" s="76"/>
      <c r="X718" s="8">
        <v>5</v>
      </c>
      <c r="Y718" s="8" t="s">
        <v>40</v>
      </c>
      <c r="Z718" s="8">
        <f t="shared" ref="Z718:AI718" si="1997">SUM(D722)</f>
        <v>30</v>
      </c>
      <c r="AA718" s="9">
        <f t="shared" ca="1" si="1997"/>
        <v>30</v>
      </c>
      <c r="AB718" s="10">
        <f t="shared" ca="1" si="1997"/>
        <v>5688.5999999999904</v>
      </c>
      <c r="AC718" s="9">
        <f t="shared" ca="1" si="1997"/>
        <v>3135</v>
      </c>
      <c r="AD718" s="9">
        <f t="shared" ca="1" si="1997"/>
        <v>49</v>
      </c>
      <c r="AE718" s="9">
        <f t="shared" ca="1" si="1997"/>
        <v>3184</v>
      </c>
      <c r="AF718" s="9">
        <f t="shared" ca="1" si="1997"/>
        <v>3720</v>
      </c>
      <c r="AG718" s="9">
        <f t="shared" ca="1" si="1997"/>
        <v>0</v>
      </c>
      <c r="AH718" s="9">
        <f t="shared" ca="1" si="1997"/>
        <v>3720</v>
      </c>
      <c r="AI718" s="9">
        <f t="shared" ca="1" si="1997"/>
        <v>6904</v>
      </c>
      <c r="AJ718" s="11">
        <f t="shared" ca="1" si="1982"/>
        <v>189.61999999999969</v>
      </c>
      <c r="AK718" s="8">
        <f t="shared" ref="AK718:AK719" si="1998">SUM(O722)</f>
        <v>8239</v>
      </c>
      <c r="AL718" s="12">
        <f t="shared" ca="1" si="1984"/>
        <v>0.83796577254521176</v>
      </c>
      <c r="AM718" s="13">
        <f t="shared" ref="AM718:AM719" si="1999">SUM(Q722)</f>
        <v>1.5</v>
      </c>
      <c r="AN718" s="12">
        <f t="shared" ca="1" si="1986"/>
        <v>0.80910358729154341</v>
      </c>
      <c r="AO718" s="14">
        <f t="shared" ca="1" si="1987"/>
        <v>1.2136553809373152</v>
      </c>
      <c r="AP718" s="13">
        <f t="shared" ref="AP718:AQ718" ca="1" si="2000">SUM(T722)</f>
        <v>199.99999999999966</v>
      </c>
      <c r="AQ718" s="13">
        <f t="shared" ca="1" si="2000"/>
        <v>6.6666666666666554</v>
      </c>
      <c r="AR718" s="9">
        <f t="shared" ca="1" si="1989"/>
        <v>230.13333333333333</v>
      </c>
      <c r="AS718" s="76"/>
      <c r="AT718" s="76"/>
    </row>
    <row r="719" spans="1:46" ht="15.75" customHeight="1" x14ac:dyDescent="0.25">
      <c r="A719" s="70"/>
      <c r="B719" s="16">
        <v>12</v>
      </c>
      <c r="C719" s="16" t="s">
        <v>41</v>
      </c>
      <c r="D719" s="17">
        <v>24</v>
      </c>
      <c r="E719" s="18">
        <f ca="1">IFERROR(__xludf.DUMMYFUNCTION("COUNT(IMPORTRANGE(""https://docs.google.com/spreadsheets/d/1VAsUtLQHi7oV9NsI9EIHPnO1bcPJHeRgSbMoxSvPBME/edit"",""27!d2:d25""))"),24)</f>
        <v>24</v>
      </c>
      <c r="F719" s="23">
        <f ca="1">IFERROR(__xludf.DUMMYFUNCTION("SUM(IMPORTRANGE(""https://docs.google.com/spreadsheets/d/1VAsUtLQHi7oV9NsI9EIHPnO1bcPJHeRgSbMoxSvPBME/edit"",""27!Q2:Q25""))"),4717.436)</f>
        <v>4717.4359999999997</v>
      </c>
      <c r="G719" s="18">
        <f ca="1">IFERROR(__xludf.DUMMYFUNCTION("IMPORTRANGE(""https://docs.google.com/spreadsheets/d/1VAsUtLQHi7oV9NsI9EIHPnO1bcPJHeRgSbMoxSvPBME/edit"",""27!e32"")"),1031)</f>
        <v>1031</v>
      </c>
      <c r="H719" s="18">
        <f ca="1">IFERROR(__xludf.DUMMYFUNCTION("IMPORTRANGE(""https://docs.google.com/spreadsheets/d/1VAsUtLQHi7oV9NsI9EIHPnO1bcPJHeRgSbMoxSvPBME/edit"",""27!e33"")"),0)</f>
        <v>0</v>
      </c>
      <c r="I719" s="18">
        <f t="shared" ca="1" si="1962"/>
        <v>1031</v>
      </c>
      <c r="J719" s="18">
        <f ca="1">IFERROR(__xludf.DUMMYFUNCTION("IMPORTRANGE(""https://docs.google.com/spreadsheets/d/1VAsUtLQHi7oV9NsI9EIHPnO1bcPJHeRgSbMoxSvPBME/edit"",""27!e36"")"),1338)</f>
        <v>1338</v>
      </c>
      <c r="K719" s="18">
        <f ca="1">IFERROR(__xludf.DUMMYFUNCTION("IMPORTRANGE(""https://docs.google.com/spreadsheets/d/1VAsUtLQHi7oV9NsI9EIHPnO1bcPJHeRgSbMoxSvPBME/edit"",""27!e37"")"),267)</f>
        <v>267</v>
      </c>
      <c r="L719" s="18">
        <f t="shared" ca="1" si="1992"/>
        <v>1605</v>
      </c>
      <c r="M719" s="18">
        <f t="shared" ca="1" si="1964"/>
        <v>2636</v>
      </c>
      <c r="N719" s="19">
        <f t="shared" ca="1" si="1965"/>
        <v>196.55983333333333</v>
      </c>
      <c r="O719" s="16">
        <v>3801</v>
      </c>
      <c r="P719" s="20">
        <f t="shared" ca="1" si="1966"/>
        <v>0.69350171007629569</v>
      </c>
      <c r="Q719" s="21">
        <v>1.5</v>
      </c>
      <c r="R719" s="20">
        <f t="shared" ca="1" si="1967"/>
        <v>0.37251874393915113</v>
      </c>
      <c r="S719" s="22">
        <f t="shared" ca="1" si="1968"/>
        <v>0.55877811590872672</v>
      </c>
      <c r="T719" s="21">
        <f ca="1">F719/29.628</f>
        <v>159.2222222222222</v>
      </c>
      <c r="U719" s="21">
        <f t="shared" ca="1" si="1969"/>
        <v>6.6342592592592586</v>
      </c>
      <c r="V719" s="18">
        <f t="shared" ca="1" si="1970"/>
        <v>109.83333333333333</v>
      </c>
      <c r="W719" s="76"/>
      <c r="X719" s="8">
        <v>6</v>
      </c>
      <c r="Y719" s="8" t="s">
        <v>42</v>
      </c>
      <c r="Z719" s="8">
        <f t="shared" ref="Z719:AI719" si="2001">SUM(D723)</f>
        <v>33</v>
      </c>
      <c r="AA719" s="9">
        <f t="shared" ca="1" si="2001"/>
        <v>32</v>
      </c>
      <c r="AB719" s="10">
        <f t="shared" ca="1" si="2001"/>
        <v>6258.7379999999903</v>
      </c>
      <c r="AC719" s="9">
        <f t="shared" ca="1" si="2001"/>
        <v>3195</v>
      </c>
      <c r="AD719" s="9">
        <f t="shared" ca="1" si="2001"/>
        <v>0</v>
      </c>
      <c r="AE719" s="9">
        <f t="shared" ca="1" si="2001"/>
        <v>3195</v>
      </c>
      <c r="AF719" s="9">
        <f t="shared" ca="1" si="2001"/>
        <v>4131</v>
      </c>
      <c r="AG719" s="9">
        <f t="shared" ca="1" si="2001"/>
        <v>51</v>
      </c>
      <c r="AH719" s="9">
        <f t="shared" ca="1" si="2001"/>
        <v>4182</v>
      </c>
      <c r="AI719" s="9">
        <f t="shared" ca="1" si="2001"/>
        <v>7377</v>
      </c>
      <c r="AJ719" s="11">
        <f t="shared" ca="1" si="1982"/>
        <v>195.5855624999997</v>
      </c>
      <c r="AK719" s="8">
        <f t="shared" si="1998"/>
        <v>9877</v>
      </c>
      <c r="AL719" s="12">
        <f t="shared" ca="1" si="1984"/>
        <v>0.7468867064898248</v>
      </c>
      <c r="AM719" s="13">
        <f t="shared" si="1999"/>
        <v>1.5</v>
      </c>
      <c r="AN719" s="12">
        <f t="shared" ca="1" si="1986"/>
        <v>0.78578141471970986</v>
      </c>
      <c r="AO719" s="14">
        <f t="shared" ca="1" si="1987"/>
        <v>1.1786721220795648</v>
      </c>
      <c r="AP719" s="13">
        <f t="shared" ref="AP719:AQ719" ca="1" si="2002">SUM(T723)</f>
        <v>239.2941311412728</v>
      </c>
      <c r="AQ719" s="13">
        <f t="shared" ca="1" si="2002"/>
        <v>7.477941598164775</v>
      </c>
      <c r="AR719" s="9">
        <f t="shared" ca="1" si="1989"/>
        <v>230.53125</v>
      </c>
      <c r="AS719" s="76"/>
      <c r="AT719" s="76"/>
    </row>
    <row r="720" spans="1:46" ht="15.75" customHeight="1" x14ac:dyDescent="0.25">
      <c r="A720" s="70"/>
      <c r="B720" s="16">
        <v>13</v>
      </c>
      <c r="C720" s="16" t="s">
        <v>43</v>
      </c>
      <c r="D720" s="17">
        <v>30</v>
      </c>
      <c r="E720" s="18">
        <f ca="1">IFERROR(__xludf.DUMMYFUNCTION("COUNT(IMPORTRANGE(""https://docs.google.com/spreadsheets/d/1p9Y_DGk7-TpRBFth-ljZceOIGCjQ0ylUeUq6xqnsZ-Q/edit"",""27!d2:d31""))"),30)</f>
        <v>30</v>
      </c>
      <c r="F720" s="23">
        <f ca="1">IFERROR(__xludf.DUMMYFUNCTION("SUM(IMPORTRANGE(""https://docs.google.com/spreadsheets/d/1p9Y_DGk7-TpRBFth-ljZceOIGCjQ0ylUeUq6xqnsZ-Q/edit"",""27!Q2:Q31""))"),6408.92399999999)</f>
        <v>6408.92399999999</v>
      </c>
      <c r="G720" s="18">
        <f ca="1">IFERROR(__xludf.DUMMYFUNCTION("IMPORTRANGE(""https://docs.google.com/spreadsheets/d/1p9Y_DGk7-TpRBFth-ljZceOIGCjQ0ylUeUq6xqnsZ-Q/edit"",""27!e38"")"),2238)</f>
        <v>2238</v>
      </c>
      <c r="H720" s="18">
        <f ca="1">IFERROR(__xludf.DUMMYFUNCTION("IMPORTRANGE(""https://docs.google.com/spreadsheets/d/1p9Y_DGk7-TpRBFth-ljZceOIGCjQ0ylUeUq6xqnsZ-Q/edit"",""27!e39"")"),0)</f>
        <v>0</v>
      </c>
      <c r="I720" s="18">
        <f t="shared" ca="1" si="1962"/>
        <v>2238</v>
      </c>
      <c r="J720" s="18">
        <f ca="1">IFERROR(__xludf.DUMMYFUNCTION("IMPORTRANGE(""https://docs.google.com/spreadsheets/d/1p9Y_DGk7-TpRBFth-ljZceOIGCjQ0ylUeUq6xqnsZ-Q/edit"",""27!e42"")"),2838)</f>
        <v>2838</v>
      </c>
      <c r="K720" s="18">
        <f ca="1">IFERROR(__xludf.DUMMYFUNCTION("IMPORTRANGE(""https://docs.google.com/spreadsheets/d/1p9Y_DGk7-TpRBFth-ljZceOIGCjQ0ylUeUq6xqnsZ-Q/edit"",""27!e43"")"),0)</f>
        <v>0</v>
      </c>
      <c r="L720" s="18">
        <f t="shared" ca="1" si="1992"/>
        <v>2838</v>
      </c>
      <c r="M720" s="18">
        <f t="shared" ca="1" si="1964"/>
        <v>5076</v>
      </c>
      <c r="N720" s="19">
        <f t="shared" ca="1" si="1965"/>
        <v>213.63079999999965</v>
      </c>
      <c r="O720" s="16">
        <v>8345</v>
      </c>
      <c r="P720" s="20">
        <f t="shared" ca="1" si="1966"/>
        <v>0.60826842420611149</v>
      </c>
      <c r="Q720" s="21">
        <v>1.5</v>
      </c>
      <c r="R720" s="20">
        <f t="shared" ca="1" si="1967"/>
        <v>0.52801375082619251</v>
      </c>
      <c r="S720" s="22">
        <f t="shared" ca="1" si="1968"/>
        <v>0.79202062623928882</v>
      </c>
      <c r="T720" s="21">
        <f ca="1">F720/41.205</f>
        <v>155.53753185293024</v>
      </c>
      <c r="U720" s="21">
        <f t="shared" ca="1" si="1969"/>
        <v>5.1845843950976747</v>
      </c>
      <c r="V720" s="18">
        <f t="shared" ca="1" si="1970"/>
        <v>169.2</v>
      </c>
      <c r="W720" s="76"/>
      <c r="X720" s="24" t="s">
        <v>33</v>
      </c>
      <c r="Y720" s="24">
        <v>6</v>
      </c>
      <c r="Z720" s="24">
        <f t="shared" ref="Z720:AI720" si="2003">SUM(Z714:Z719)</f>
        <v>226</v>
      </c>
      <c r="AA720" s="25">
        <f t="shared" ca="1" si="2003"/>
        <v>222</v>
      </c>
      <c r="AB720" s="27">
        <f t="shared" ca="1" si="2003"/>
        <v>44153.606999999865</v>
      </c>
      <c r="AC720" s="25">
        <f t="shared" ca="1" si="2003"/>
        <v>17615</v>
      </c>
      <c r="AD720" s="25">
        <f t="shared" ca="1" si="2003"/>
        <v>239</v>
      </c>
      <c r="AE720" s="25">
        <f t="shared" ca="1" si="2003"/>
        <v>17854</v>
      </c>
      <c r="AF720" s="25">
        <f t="shared" ca="1" si="2003"/>
        <v>22407</v>
      </c>
      <c r="AG720" s="25">
        <f t="shared" ca="1" si="2003"/>
        <v>191</v>
      </c>
      <c r="AH720" s="25">
        <f t="shared" ca="1" si="2003"/>
        <v>22598</v>
      </c>
      <c r="AI720" s="25">
        <f t="shared" ca="1" si="2003"/>
        <v>40452</v>
      </c>
      <c r="AJ720" s="27">
        <f t="shared" ca="1" si="1982"/>
        <v>198.89012162162101</v>
      </c>
      <c r="AK720" s="24">
        <f>SUM(AK714:AK719)</f>
        <v>53273</v>
      </c>
      <c r="AL720" s="28">
        <f t="shared" ca="1" si="1984"/>
        <v>0.75933399658363521</v>
      </c>
      <c r="AM720" s="29">
        <v>1.5</v>
      </c>
      <c r="AN720" s="28">
        <f t="shared" ca="1" si="1986"/>
        <v>0.61077682736090122</v>
      </c>
      <c r="AO720" s="30">
        <f t="shared" ca="1" si="1987"/>
        <v>0.91616524104135189</v>
      </c>
      <c r="AP720" s="29">
        <f ca="1">SUM(AP714:AP719)</f>
        <v>1447.7691225754911</v>
      </c>
      <c r="AQ720" s="29">
        <f ca="1">AP720/AA720</f>
        <v>6.5214825341238338</v>
      </c>
      <c r="AR720" s="25">
        <f t="shared" ca="1" si="1989"/>
        <v>182.21621621621622</v>
      </c>
      <c r="AS720" s="76"/>
      <c r="AT720" s="76"/>
    </row>
    <row r="721" spans="1:46" ht="15.75" customHeight="1" x14ac:dyDescent="0.25">
      <c r="A721" s="70"/>
      <c r="B721" s="16">
        <v>14</v>
      </c>
      <c r="C721" s="16" t="s">
        <v>27</v>
      </c>
      <c r="D721" s="17">
        <v>30</v>
      </c>
      <c r="E721" s="18">
        <f ca="1">IFERROR(__xludf.DUMMYFUNCTION("COUNT(IMPORTRANGE(""https://docs.google.com/spreadsheets/d/1zJUDEKztv_fercXA0LYNw155qdzS7TJGhWLhquaW5IY/edit"",""27!d2:d31""))"),27)</f>
        <v>27</v>
      </c>
      <c r="F721" s="23">
        <f ca="1">IFERROR(__xludf.DUMMYFUNCTION("SUM(IMPORTRANGE(""https://docs.google.com/spreadsheets/d/1zJUDEKztv_fercXA0LYNw155qdzS7TJGhWLhquaW5IY/edit"",""27!Q2:Q31""))"),5092.068)</f>
        <v>5092.0680000000002</v>
      </c>
      <c r="G721" s="18">
        <f ca="1">IFERROR(__xludf.DUMMYFUNCTION("IMPORTRANGE(""https://docs.google.com/spreadsheets/d/1zJUDEKztv_fercXA0LYNw155qdzS7TJGhWLhquaW5IY/edit"",""27!e38"")"),2196)</f>
        <v>2196</v>
      </c>
      <c r="H721" s="18">
        <f ca="1">IFERROR(__xludf.DUMMYFUNCTION("IMPORTRANGE(""https://docs.google.com/spreadsheets/d/1zJUDEKztv_fercXA0LYNw155qdzS7TJGhWLhquaW5IY/edit"",""27!e39"")"),121)</f>
        <v>121</v>
      </c>
      <c r="I721" s="18">
        <f t="shared" ca="1" si="1962"/>
        <v>2317</v>
      </c>
      <c r="J721" s="18">
        <f ca="1">IFERROR(__xludf.DUMMYFUNCTION("IMPORTRANGE(""https://docs.google.com/spreadsheets/d/1zJUDEKztv_fercXA0LYNw155qdzS7TJGhWLhquaW5IY/edit"",""27!e42"")"),3109)</f>
        <v>3109</v>
      </c>
      <c r="K721" s="18">
        <f ca="1">IFERROR(__xludf.DUMMYFUNCTION("IMPORTRANGE(""https://docs.google.com/spreadsheets/d/1zJUDEKztv_fercXA0LYNw155qdzS7TJGhWLhquaW5IY/edit"",""27!e43"")"),100)</f>
        <v>100</v>
      </c>
      <c r="L721" s="18">
        <f t="shared" ca="1" si="1992"/>
        <v>3209</v>
      </c>
      <c r="M721" s="18">
        <f t="shared" ca="1" si="1964"/>
        <v>5526</v>
      </c>
      <c r="N721" s="19">
        <f t="shared" ca="1" si="1965"/>
        <v>188.59511111111112</v>
      </c>
      <c r="O721" s="16">
        <v>8101</v>
      </c>
      <c r="P721" s="20">
        <f t="shared" ca="1" si="1966"/>
        <v>0.68213800765337618</v>
      </c>
      <c r="Q721" s="21">
        <v>1.5</v>
      </c>
      <c r="R721" s="20">
        <f t="shared" ca="1" si="1967"/>
        <v>0.72347816250686359</v>
      </c>
      <c r="S721" s="22">
        <f t="shared" ca="1" si="1968"/>
        <v>1.0852172437602954</v>
      </c>
      <c r="T721" s="21">
        <f ca="1">F721/19.985</f>
        <v>254.79449587190393</v>
      </c>
      <c r="U721" s="21">
        <f t="shared" ca="1" si="1969"/>
        <v>9.4368331804408871</v>
      </c>
      <c r="V721" s="18">
        <f t="shared" ca="1" si="1970"/>
        <v>204.66666666666666</v>
      </c>
      <c r="W721" s="76"/>
      <c r="X721" s="97" t="s">
        <v>44</v>
      </c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9"/>
      <c r="AS721" s="76"/>
      <c r="AT721" s="76"/>
    </row>
    <row r="722" spans="1:46" ht="15.75" customHeight="1" x14ac:dyDescent="0.25">
      <c r="A722" s="70"/>
      <c r="B722" s="16">
        <v>15</v>
      </c>
      <c r="C722" s="16" t="s">
        <v>40</v>
      </c>
      <c r="D722" s="17">
        <v>30</v>
      </c>
      <c r="E722" s="18">
        <f ca="1">IFERROR(__xludf.DUMMYFUNCTION("COUNT(IMPORTRANGE(""https://docs.google.com/spreadsheets/d/15GJA66Ucb-8RQ5vWVpq5HYaWoZZFX82SCeHChBujbrI/edit"",""27!d2:d31""))"),30)</f>
        <v>30</v>
      </c>
      <c r="F722" s="23">
        <f ca="1">IFERROR(__xludf.DUMMYFUNCTION("SUM(IMPORTRANGE(""https://docs.google.com/spreadsheets/d/15GJA66Ucb-8RQ5vWVpq5HYaWoZZFX82SCeHChBujbrI/edit"",""27!Q2:Q31""))"),5688.59999999999)</f>
        <v>5688.5999999999904</v>
      </c>
      <c r="G722" s="18">
        <f ca="1">IFERROR(__xludf.DUMMYFUNCTION("IMPORTRANGE(""https://docs.google.com/spreadsheets/d/15GJA66Ucb-8RQ5vWVpq5HYaWoZZFX82SCeHChBujbrI/edit"",""27!e38"")"),3135)</f>
        <v>3135</v>
      </c>
      <c r="H722" s="18">
        <f ca="1">IFERROR(__xludf.DUMMYFUNCTION("IMPORTRANGE(""https://docs.google.com/spreadsheets/d/15GJA66Ucb-8RQ5vWVpq5HYaWoZZFX82SCeHChBujbrI/edit"",""27!e39"")"),49)</f>
        <v>49</v>
      </c>
      <c r="I722" s="18">
        <f t="shared" ca="1" si="1962"/>
        <v>3184</v>
      </c>
      <c r="J722" s="18">
        <f ca="1">IFERROR(__xludf.DUMMYFUNCTION("IMPORTRANGE(""https://docs.google.com/spreadsheets/d/15GJA66Ucb-8RQ5vWVpq5HYaWoZZFX82SCeHChBujbrI/edit"",""27!e42"")"),3720)</f>
        <v>3720</v>
      </c>
      <c r="K722" s="18">
        <f ca="1">IFERROR(__xludf.DUMMYFUNCTION("IMPORTRANGE(""https://docs.google.com/spreadsheets/d/15GJA66Ucb-8RQ5vWVpq5HYaWoZZFX82SCeHChBujbrI/edit"",""27!e43"")"),0)</f>
        <v>0</v>
      </c>
      <c r="L722" s="18">
        <f t="shared" ca="1" si="1992"/>
        <v>3720</v>
      </c>
      <c r="M722" s="18">
        <f t="shared" ca="1" si="1964"/>
        <v>6904</v>
      </c>
      <c r="N722" s="19">
        <f t="shared" ca="1" si="1965"/>
        <v>189.61999999999969</v>
      </c>
      <c r="O722" s="16">
        <v>8239</v>
      </c>
      <c r="P722" s="20">
        <f t="shared" ca="1" si="1966"/>
        <v>0.83796577254521176</v>
      </c>
      <c r="Q722" s="21">
        <v>1.5</v>
      </c>
      <c r="R722" s="20">
        <f t="shared" ca="1" si="1967"/>
        <v>0.80910358729154341</v>
      </c>
      <c r="S722" s="22">
        <f t="shared" ca="1" si="1968"/>
        <v>1.2136553809373152</v>
      </c>
      <c r="T722" s="21">
        <f ca="1">F722/28.443</f>
        <v>199.99999999999966</v>
      </c>
      <c r="U722" s="21">
        <f t="shared" ca="1" si="1969"/>
        <v>6.6666666666666554</v>
      </c>
      <c r="V722" s="18">
        <f t="shared" ca="1" si="1970"/>
        <v>230.13333333333333</v>
      </c>
      <c r="W722" s="76"/>
      <c r="X722" s="1" t="s">
        <v>2</v>
      </c>
      <c r="Y722" s="1" t="s">
        <v>3</v>
      </c>
      <c r="Z722" s="1" t="s">
        <v>4</v>
      </c>
      <c r="AA722" s="1" t="s">
        <v>5</v>
      </c>
      <c r="AB722" s="2" t="s">
        <v>6</v>
      </c>
      <c r="AC722" s="1" t="s">
        <v>7</v>
      </c>
      <c r="AD722" s="1" t="s">
        <v>8</v>
      </c>
      <c r="AE722" s="1" t="s">
        <v>9</v>
      </c>
      <c r="AF722" s="1" t="s">
        <v>10</v>
      </c>
      <c r="AG722" s="1" t="s">
        <v>11</v>
      </c>
      <c r="AH722" s="1" t="s">
        <v>12</v>
      </c>
      <c r="AI722" s="1" t="s">
        <v>13</v>
      </c>
      <c r="AJ722" s="2" t="s">
        <v>14</v>
      </c>
      <c r="AK722" s="1" t="s">
        <v>15</v>
      </c>
      <c r="AL722" s="1" t="s">
        <v>16</v>
      </c>
      <c r="AM722" s="3" t="s">
        <v>17</v>
      </c>
      <c r="AN722" s="4" t="s">
        <v>18</v>
      </c>
      <c r="AO722" s="5" t="s">
        <v>19</v>
      </c>
      <c r="AP722" s="6" t="s">
        <v>20</v>
      </c>
      <c r="AQ722" s="6" t="s">
        <v>21</v>
      </c>
      <c r="AR722" s="7" t="s">
        <v>22</v>
      </c>
      <c r="AS722" s="76"/>
      <c r="AT722" s="76"/>
    </row>
    <row r="723" spans="1:46" ht="15.75" customHeight="1" x14ac:dyDescent="0.25">
      <c r="A723" s="70"/>
      <c r="B723" s="16">
        <v>16</v>
      </c>
      <c r="C723" s="16" t="s">
        <v>42</v>
      </c>
      <c r="D723" s="17">
        <v>33</v>
      </c>
      <c r="E723" s="18">
        <f ca="1">IFERROR(__xludf.DUMMYFUNCTION("COUNT(IMPORTRANGE(""https://docs.google.com/spreadsheets/d/14Tu_jFPEdrIQ6DHYu6vRvJKQsbXr-48NY1tKy4-8JKI/edit"",""27!d2:d34""))"),32)</f>
        <v>32</v>
      </c>
      <c r="F723" s="23">
        <f ca="1">IFERROR(__xludf.DUMMYFUNCTION("SUM(IMPORTRANGE(""https://docs.google.com/spreadsheets/d/14Tu_jFPEdrIQ6DHYu6vRvJKQsbXr-48NY1tKy4-8JKI/edit"",""27!Q2:Q34""))"),6258.73799999999)</f>
        <v>6258.7379999999903</v>
      </c>
      <c r="G723" s="18">
        <f ca="1">IFERROR(__xludf.DUMMYFUNCTION("IMPORTRANGE(""https://docs.google.com/spreadsheets/d/14Tu_jFPEdrIQ6DHYu6vRvJKQsbXr-48NY1tKy4-8JKI/edit"",""27!e41"")"),3195)</f>
        <v>3195</v>
      </c>
      <c r="H723" s="18">
        <f ca="1">IFERROR(__xludf.DUMMYFUNCTION("IMPORTRANGE(""https://docs.google.com/spreadsheets/d/14Tu_jFPEdrIQ6DHYu6vRvJKQsbXr-48NY1tKy4-8JKI/edit"",""27!e42"")"),0)</f>
        <v>0</v>
      </c>
      <c r="I723" s="18">
        <f t="shared" ca="1" si="1962"/>
        <v>3195</v>
      </c>
      <c r="J723" s="18">
        <f ca="1">IFERROR(__xludf.DUMMYFUNCTION("IMPORTRANGE(""https://docs.google.com/spreadsheets/d/14Tu_jFPEdrIQ6DHYu6vRvJKQsbXr-48NY1tKy4-8JKI/edit"",""27!e45"")"),4131)</f>
        <v>4131</v>
      </c>
      <c r="K723" s="18">
        <f ca="1">IFERROR(__xludf.DUMMYFUNCTION("IMPORTRANGE(""https://docs.google.com/spreadsheets/d/14Tu_jFPEdrIQ6DHYu6vRvJKQsbXr-48NY1tKy4-8JKI/edit"",""27!e46"")"),51)</f>
        <v>51</v>
      </c>
      <c r="L723" s="18">
        <f t="shared" ca="1" si="1992"/>
        <v>4182</v>
      </c>
      <c r="M723" s="18">
        <f t="shared" ca="1" si="1964"/>
        <v>7377</v>
      </c>
      <c r="N723" s="19">
        <f t="shared" ca="1" si="1965"/>
        <v>195.5855624999997</v>
      </c>
      <c r="O723" s="16">
        <v>9877</v>
      </c>
      <c r="P723" s="20">
        <f t="shared" ca="1" si="1966"/>
        <v>0.7468867064898248</v>
      </c>
      <c r="Q723" s="21">
        <v>1.5</v>
      </c>
      <c r="R723" s="20">
        <f t="shared" ca="1" si="1967"/>
        <v>0.78578141471970986</v>
      </c>
      <c r="S723" s="22">
        <f t="shared" ca="1" si="1968"/>
        <v>1.1786721220795648</v>
      </c>
      <c r="T723" s="21">
        <f ca="1">F723/26.155</f>
        <v>239.2941311412728</v>
      </c>
      <c r="U723" s="21">
        <f t="shared" ca="1" si="1969"/>
        <v>7.477941598164775</v>
      </c>
      <c r="V723" s="18">
        <f t="shared" ca="1" si="1970"/>
        <v>230.53125</v>
      </c>
      <c r="W723" s="76"/>
      <c r="X723" s="8">
        <v>1</v>
      </c>
      <c r="Y723" s="8" t="s">
        <v>26</v>
      </c>
      <c r="Z723" s="8">
        <f t="shared" ref="Z723:AI723" si="2004">SUM(D708)</f>
        <v>20</v>
      </c>
      <c r="AA723" s="9">
        <f t="shared" ca="1" si="2004"/>
        <v>19</v>
      </c>
      <c r="AB723" s="11">
        <f t="shared" ca="1" si="2004"/>
        <v>3654.7379999999998</v>
      </c>
      <c r="AC723" s="9">
        <f t="shared" ca="1" si="2004"/>
        <v>1984</v>
      </c>
      <c r="AD723" s="9">
        <f t="shared" ca="1" si="2004"/>
        <v>0</v>
      </c>
      <c r="AE723" s="9">
        <f t="shared" ca="1" si="2004"/>
        <v>1984</v>
      </c>
      <c r="AF723" s="9">
        <f t="shared" ca="1" si="2004"/>
        <v>2860</v>
      </c>
      <c r="AG723" s="9">
        <f t="shared" ca="1" si="2004"/>
        <v>0</v>
      </c>
      <c r="AH723" s="9">
        <f t="shared" ca="1" si="2004"/>
        <v>2860</v>
      </c>
      <c r="AI723" s="9">
        <f t="shared" ca="1" si="2004"/>
        <v>4844</v>
      </c>
      <c r="AJ723" s="11">
        <f t="shared" ref="AJ723:AJ729" ca="1" si="2005">AB723/AA723</f>
        <v>192.35463157894736</v>
      </c>
      <c r="AK723" s="8">
        <f>SUM(O708)</f>
        <v>5161</v>
      </c>
      <c r="AL723" s="12">
        <f t="shared" ref="AL723:AL729" ca="1" si="2006">AI723/AK723</f>
        <v>0.93857779500096883</v>
      </c>
      <c r="AM723" s="13">
        <f>SUM(Q708)</f>
        <v>1.5</v>
      </c>
      <c r="AN723" s="12">
        <f t="shared" ref="AN723:AN729" ca="1" si="2007">AO723/AM723</f>
        <v>0.88360187059464546</v>
      </c>
      <c r="AO723" s="14">
        <f t="shared" ref="AO723:AO729" ca="1" si="2008">AI723/AB723</f>
        <v>1.3254028058919682</v>
      </c>
      <c r="AP723" s="13">
        <f t="shared" ref="AP723:AQ723" ca="1" si="2009">SUM(T708)</f>
        <v>253.53714880332987</v>
      </c>
      <c r="AQ723" s="13">
        <f t="shared" ca="1" si="2009"/>
        <v>13.34406046333315</v>
      </c>
      <c r="AR723" s="9">
        <f t="shared" ref="AR723:AR729" ca="1" si="2010">AI723/AA723</f>
        <v>254.94736842105263</v>
      </c>
      <c r="AS723" s="76"/>
      <c r="AT723" s="76"/>
    </row>
    <row r="724" spans="1:46" ht="15.75" customHeight="1" x14ac:dyDescent="0.25">
      <c r="A724" s="70"/>
      <c r="B724" s="16">
        <v>17</v>
      </c>
      <c r="C724" s="16" t="s">
        <v>29</v>
      </c>
      <c r="D724" s="17">
        <v>30</v>
      </c>
      <c r="E724" s="18">
        <f ca="1">IFERROR(__xludf.DUMMYFUNCTION("COUNT(IMPORTRANGE(""https://docs.google.com/spreadsheets/d/1ja_RQYsP0p5wRrACHojay4CW1wLx0QdS5tSwp-vYQ-s/edit"",""27!d2:d31""))"),30)</f>
        <v>30</v>
      </c>
      <c r="F724" s="23">
        <f ca="1">IFERROR(__xludf.DUMMYFUNCTION("SUM(IMPORTRANGE(""https://docs.google.com/spreadsheets/d/1ja_RQYsP0p5wRrACHojay4CW1wLx0QdS5tSwp-vYQ-s/edit"",""27!Q2:Q31""))"),6066.43899999999)</f>
        <v>6066.4389999999903</v>
      </c>
      <c r="G724" s="18">
        <f ca="1">IFERROR(__xludf.DUMMYFUNCTION("IMPORTRANGE(""https://docs.google.com/spreadsheets/d/1ja_RQYsP0p5wRrACHojay4CW1wLx0QdS5tSwp-vYQ-s/edit"",""27!e38"")"),2738)</f>
        <v>2738</v>
      </c>
      <c r="H724" s="18">
        <f ca="1">IFERROR(__xludf.DUMMYFUNCTION("IMPORTRANGE(""https://docs.google.com/spreadsheets/d/1ja_RQYsP0p5wRrACHojay4CW1wLx0QdS5tSwp-vYQ-s/edit"",""27!e39"")"),0)</f>
        <v>0</v>
      </c>
      <c r="I724" s="18">
        <f t="shared" ca="1" si="1962"/>
        <v>2738</v>
      </c>
      <c r="J724" s="18">
        <f ca="1">IFERROR(__xludf.DUMMYFUNCTION("IMPORTRANGE(""https://docs.google.com/spreadsheets/d/1ja_RQYsP0p5wRrACHojay4CW1wLx0QdS5tSwp-vYQ-s/edit"",""27!e42"")"),4029)</f>
        <v>4029</v>
      </c>
      <c r="K724" s="18">
        <f ca="1">IFERROR(__xludf.DUMMYFUNCTION("IMPORTRANGE(""https://docs.google.com/spreadsheets/d/1ja_RQYsP0p5wRrACHojay4CW1wLx0QdS5tSwp-vYQ-s/edit"",""27!e43"")"),0)</f>
        <v>0</v>
      </c>
      <c r="L724" s="18">
        <f t="shared" ca="1" si="1992"/>
        <v>4029</v>
      </c>
      <c r="M724" s="18">
        <f t="shared" ca="1" si="1964"/>
        <v>6767</v>
      </c>
      <c r="N724" s="19">
        <f t="shared" ca="1" si="1965"/>
        <v>202.21463333333301</v>
      </c>
      <c r="O724" s="16">
        <v>9201</v>
      </c>
      <c r="P724" s="20">
        <f t="shared" ca="1" si="1966"/>
        <v>0.73546353657211172</v>
      </c>
      <c r="Q724" s="21">
        <v>1.5</v>
      </c>
      <c r="R724" s="20">
        <f t="shared" ca="1" si="1967"/>
        <v>0.7436542810919784</v>
      </c>
      <c r="S724" s="22">
        <f t="shared" ca="1" si="1968"/>
        <v>1.1154814216379676</v>
      </c>
      <c r="T724" s="21">
        <f ca="1">F724/26.491</f>
        <v>228.99999999999963</v>
      </c>
      <c r="U724" s="21">
        <f t="shared" ca="1" si="1969"/>
        <v>7.6333333333333213</v>
      </c>
      <c r="V724" s="18">
        <f t="shared" ca="1" si="1970"/>
        <v>225.56666666666666</v>
      </c>
      <c r="W724" s="76"/>
      <c r="X724" s="8">
        <v>2</v>
      </c>
      <c r="Y724" s="8" t="s">
        <v>32</v>
      </c>
      <c r="Z724" s="8">
        <f t="shared" ref="Z724:AI724" si="2011">SUM(D711)</f>
        <v>42</v>
      </c>
      <c r="AA724" s="9">
        <f t="shared" ca="1" si="2011"/>
        <v>42</v>
      </c>
      <c r="AB724" s="10">
        <f t="shared" ca="1" si="2011"/>
        <v>8078.6579999999904</v>
      </c>
      <c r="AC724" s="8">
        <f t="shared" ca="1" si="2011"/>
        <v>4602</v>
      </c>
      <c r="AD724" s="8">
        <f t="shared" ca="1" si="2011"/>
        <v>0</v>
      </c>
      <c r="AE724" s="9">
        <f t="shared" ca="1" si="2011"/>
        <v>4602</v>
      </c>
      <c r="AF724" s="8">
        <f t="shared" ca="1" si="2011"/>
        <v>5903</v>
      </c>
      <c r="AG724" s="8">
        <f t="shared" ca="1" si="2011"/>
        <v>0</v>
      </c>
      <c r="AH724" s="9">
        <f t="shared" ca="1" si="2011"/>
        <v>5903</v>
      </c>
      <c r="AI724" s="9">
        <f t="shared" ca="1" si="2011"/>
        <v>10505</v>
      </c>
      <c r="AJ724" s="11">
        <f t="shared" ca="1" si="2005"/>
        <v>192.34899999999976</v>
      </c>
      <c r="AK724" s="8">
        <f>SUM(O711)</f>
        <v>13817</v>
      </c>
      <c r="AL724" s="12">
        <f t="shared" ca="1" si="2006"/>
        <v>0.76029528841282479</v>
      </c>
      <c r="AM724" s="13">
        <f>SUM(Q711)</f>
        <v>1.5</v>
      </c>
      <c r="AN724" s="12">
        <f t="shared" ca="1" si="2007"/>
        <v>0.86689315642936515</v>
      </c>
      <c r="AO724" s="14">
        <f t="shared" ca="1" si="2008"/>
        <v>1.3003397346440477</v>
      </c>
      <c r="AP724" s="13">
        <f t="shared" ref="AP724:AQ724" ca="1" si="2012">SUM(T711)</f>
        <v>321.99999999999966</v>
      </c>
      <c r="AQ724" s="13">
        <f t="shared" ca="1" si="2012"/>
        <v>7.666666666666659</v>
      </c>
      <c r="AR724" s="9">
        <f t="shared" ca="1" si="2010"/>
        <v>250.11904761904762</v>
      </c>
      <c r="AS724" s="76"/>
      <c r="AT724" s="76"/>
    </row>
    <row r="725" spans="1:46" ht="15.75" customHeight="1" x14ac:dyDescent="0.25">
      <c r="A725" s="70"/>
      <c r="B725" s="16">
        <v>18</v>
      </c>
      <c r="C725" s="16" t="s">
        <v>31</v>
      </c>
      <c r="D725" s="17">
        <v>15</v>
      </c>
      <c r="E725" s="18">
        <f ca="1">IFERROR(__xludf.DUMMYFUNCTION("COUNT(IMPORTRANGE(""https://docs.google.com/spreadsheets/d/1ObnK1oSznTOmyW9Zcd2kxExl7TOnO2MNq_0giEKc_mE/edit"",""27!d2:d16""))"),14)</f>
        <v>14</v>
      </c>
      <c r="F725" s="19">
        <f ca="1">IFERROR(__xludf.DUMMYFUNCTION("SUM(IMPORTRANGE(""https://docs.google.com/spreadsheets/d/1ObnK1oSznTOmyW9Zcd2kxExl7TOnO2MNq_0giEKc_mE/edit"",""27!Q2:Q16""))"),2694.82999999999)</f>
        <v>2694.8299999999899</v>
      </c>
      <c r="G725" s="18">
        <f ca="1">IFERROR(__xludf.DUMMYFUNCTION("IMPORTRANGE(""https://docs.google.com/spreadsheets/d/1ObnK1oSznTOmyW9Zcd2kxExl7TOnO2MNq_0giEKc_mE/edit"",""27!e23"")"),875)</f>
        <v>875</v>
      </c>
      <c r="H725" s="18">
        <f ca="1">IFERROR(__xludf.DUMMYFUNCTION("IMPORTRANGE(""https://docs.google.com/spreadsheets/d/1ObnK1oSznTOmyW9Zcd2kxExl7TOnO2MNq_0giEKc_mE/edit"",""27!e24"")"),0)</f>
        <v>0</v>
      </c>
      <c r="I725" s="18">
        <f t="shared" ca="1" si="1962"/>
        <v>875</v>
      </c>
      <c r="J725" s="18">
        <f ca="1">IFERROR(__xludf.DUMMYFUNCTION("IMPORTRANGE(""https://docs.google.com/spreadsheets/d/1ObnK1oSznTOmyW9Zcd2kxExl7TOnO2MNq_0giEKc_mE/edit"",""27!e27"")"),975)</f>
        <v>975</v>
      </c>
      <c r="K725" s="18">
        <f ca="1">IFERROR(__xludf.DUMMYFUNCTION("IMPORTRANGE(""https://docs.google.com/spreadsheets/d/1ObnK1oSznTOmyW9Zcd2kxExl7TOnO2MNq_0giEKc_mE/edit"",""27!e28"")"),23)</f>
        <v>23</v>
      </c>
      <c r="L725" s="18">
        <f t="shared" ca="1" si="1992"/>
        <v>998</v>
      </c>
      <c r="M725" s="18">
        <f t="shared" ca="1" si="1964"/>
        <v>1873</v>
      </c>
      <c r="N725" s="19">
        <f t="shared" ca="1" si="1965"/>
        <v>192.48785714285643</v>
      </c>
      <c r="O725" s="16">
        <v>2717</v>
      </c>
      <c r="P725" s="20">
        <f t="shared" ca="1" si="1966"/>
        <v>0.68936326831063677</v>
      </c>
      <c r="Q725" s="21">
        <v>1.5</v>
      </c>
      <c r="R725" s="20">
        <f t="shared" ca="1" si="1967"/>
        <v>0.46335637745856745</v>
      </c>
      <c r="S725" s="22">
        <f t="shared" ca="1" si="1968"/>
        <v>0.6950345661878512</v>
      </c>
      <c r="T725" s="21">
        <f ca="1">F725/43.465</f>
        <v>61.999999999999766</v>
      </c>
      <c r="U725" s="21">
        <f t="shared" ca="1" si="1969"/>
        <v>4.4285714285714119</v>
      </c>
      <c r="V725" s="18">
        <f t="shared" ca="1" si="1970"/>
        <v>133.78571428571428</v>
      </c>
      <c r="W725" s="76"/>
      <c r="X725" s="8">
        <v>3</v>
      </c>
      <c r="Y725" s="8" t="s">
        <v>36</v>
      </c>
      <c r="Z725" s="8">
        <f t="shared" ref="Z725:AI725" si="2013">SUM(D716)</f>
        <v>30</v>
      </c>
      <c r="AA725" s="9">
        <f t="shared" ca="1" si="2013"/>
        <v>29</v>
      </c>
      <c r="AB725" s="10">
        <f t="shared" ca="1" si="2013"/>
        <v>5792.7859999999901</v>
      </c>
      <c r="AC725" s="9">
        <f t="shared" ca="1" si="2013"/>
        <v>1608</v>
      </c>
      <c r="AD725" s="9">
        <f t="shared" ca="1" si="2013"/>
        <v>0</v>
      </c>
      <c r="AE725" s="9">
        <f t="shared" ca="1" si="2013"/>
        <v>1608</v>
      </c>
      <c r="AF725" s="9">
        <f t="shared" ca="1" si="2013"/>
        <v>2167</v>
      </c>
      <c r="AG725" s="9">
        <f t="shared" ca="1" si="2013"/>
        <v>0</v>
      </c>
      <c r="AH725" s="9">
        <f t="shared" ca="1" si="2013"/>
        <v>2167</v>
      </c>
      <c r="AI725" s="9">
        <f t="shared" ca="1" si="2013"/>
        <v>3775</v>
      </c>
      <c r="AJ725" s="11">
        <f t="shared" ca="1" si="2005"/>
        <v>199.75124137930999</v>
      </c>
      <c r="AK725" s="8">
        <f t="shared" ref="AK725:AK728" si="2014">SUM(O716)</f>
        <v>4796</v>
      </c>
      <c r="AL725" s="12">
        <f t="shared" ca="1" si="2006"/>
        <v>0.78711426188490408</v>
      </c>
      <c r="AM725" s="13">
        <f t="shared" ref="AM725:AM728" si="2015">SUM(Q716)</f>
        <v>1.5</v>
      </c>
      <c r="AN725" s="12">
        <f t="shared" ca="1" si="2007"/>
        <v>0.43444840991306616</v>
      </c>
      <c r="AO725" s="14">
        <f t="shared" ca="1" si="2008"/>
        <v>0.65167261486959926</v>
      </c>
      <c r="AP725" s="13">
        <f t="shared" ref="AP725:AQ725" ca="1" si="2016">SUM(T716)</f>
        <v>154.82936868551852</v>
      </c>
      <c r="AQ725" s="13">
        <f t="shared" ca="1" si="2016"/>
        <v>5.3389437477765007</v>
      </c>
      <c r="AR725" s="9">
        <f t="shared" ca="1" si="2010"/>
        <v>130.17241379310346</v>
      </c>
      <c r="AS725" s="76"/>
      <c r="AT725" s="76"/>
    </row>
    <row r="726" spans="1:46" ht="15.75" customHeight="1" x14ac:dyDescent="0.2">
      <c r="A726" s="70"/>
      <c r="B726" s="98" t="s">
        <v>33</v>
      </c>
      <c r="C726" s="98">
        <v>18</v>
      </c>
      <c r="D726" s="98">
        <f t="shared" ref="D726:M726" si="2017">SUM(D708:D725)</f>
        <v>586</v>
      </c>
      <c r="E726" s="74">
        <f t="shared" ca="1" si="2017"/>
        <v>572</v>
      </c>
      <c r="F726" s="99">
        <f t="shared" ca="1" si="2017"/>
        <v>111741.68399999978</v>
      </c>
      <c r="G726" s="74">
        <f t="shared" ca="1" si="2017"/>
        <v>40801</v>
      </c>
      <c r="H726" s="74">
        <f t="shared" ca="1" si="2017"/>
        <v>850</v>
      </c>
      <c r="I726" s="74">
        <f t="shared" ca="1" si="2017"/>
        <v>41651</v>
      </c>
      <c r="J726" s="74">
        <f t="shared" ca="1" si="2017"/>
        <v>54687</v>
      </c>
      <c r="K726" s="74">
        <f t="shared" ca="1" si="2017"/>
        <v>1425</v>
      </c>
      <c r="L726" s="74">
        <f t="shared" ca="1" si="2017"/>
        <v>56112</v>
      </c>
      <c r="M726" s="74">
        <f t="shared" ca="1" si="2017"/>
        <v>97763</v>
      </c>
      <c r="N726" s="99">
        <f t="shared" ca="1" si="1965"/>
        <v>195.352594405594</v>
      </c>
      <c r="O726" s="98">
        <f>SUM(O708:O725)</f>
        <v>126399</v>
      </c>
      <c r="P726" s="69">
        <f t="shared" ca="1" si="1966"/>
        <v>0.77344757474347103</v>
      </c>
      <c r="Q726" s="72">
        <v>1.5</v>
      </c>
      <c r="R726" s="69">
        <f t="shared" ca="1" si="1967"/>
        <v>0.58326786388268015</v>
      </c>
      <c r="S726" s="73">
        <f t="shared" ca="1" si="1968"/>
        <v>0.87490179582402028</v>
      </c>
      <c r="T726" s="72">
        <f ca="1">SUM(T708:T725)</f>
        <v>4097.9533213146342</v>
      </c>
      <c r="U726" s="72">
        <f t="shared" ca="1" si="1969"/>
        <v>7.1642540582423671</v>
      </c>
      <c r="V726" s="74">
        <f t="shared" ca="1" si="1970"/>
        <v>170.91433566433565</v>
      </c>
      <c r="W726" s="76"/>
      <c r="X726" s="8">
        <v>4</v>
      </c>
      <c r="Y726" s="8" t="s">
        <v>37</v>
      </c>
      <c r="Z726" s="8">
        <f t="shared" ref="Z726:AI726" si="2018">SUM(D717)</f>
        <v>30</v>
      </c>
      <c r="AA726" s="9">
        <f t="shared" ca="1" si="2018"/>
        <v>29</v>
      </c>
      <c r="AB726" s="10">
        <f t="shared" ca="1" si="2018"/>
        <v>5625.1620000000003</v>
      </c>
      <c r="AC726" s="9">
        <f t="shared" ca="1" si="2018"/>
        <v>2027</v>
      </c>
      <c r="AD726" s="9">
        <f t="shared" ca="1" si="2018"/>
        <v>0</v>
      </c>
      <c r="AE726" s="9">
        <f t="shared" ca="1" si="2018"/>
        <v>2027</v>
      </c>
      <c r="AF726" s="9">
        <f t="shared" ca="1" si="2018"/>
        <v>2972</v>
      </c>
      <c r="AG726" s="9">
        <f t="shared" ca="1" si="2018"/>
        <v>0</v>
      </c>
      <c r="AH726" s="9">
        <f t="shared" ca="1" si="2018"/>
        <v>2972</v>
      </c>
      <c r="AI726" s="9">
        <f t="shared" ca="1" si="2018"/>
        <v>4999</v>
      </c>
      <c r="AJ726" s="11">
        <f t="shared" ca="1" si="2005"/>
        <v>193.97110344827587</v>
      </c>
      <c r="AK726" s="8">
        <f t="shared" si="2014"/>
        <v>5887</v>
      </c>
      <c r="AL726" s="12">
        <f t="shared" ca="1" si="2006"/>
        <v>0.84915916426023441</v>
      </c>
      <c r="AM726" s="13">
        <f t="shared" si="2015"/>
        <v>1.5</v>
      </c>
      <c r="AN726" s="12">
        <f t="shared" ca="1" si="2007"/>
        <v>0.59245701131214823</v>
      </c>
      <c r="AO726" s="14">
        <f t="shared" ca="1" si="2008"/>
        <v>0.8886855169682224</v>
      </c>
      <c r="AP726" s="13">
        <f t="shared" ref="AP726:AQ726" ca="1" si="2019">SUM(T717)</f>
        <v>226.89424007744432</v>
      </c>
      <c r="AQ726" s="13">
        <f t="shared" ca="1" si="2019"/>
        <v>7.8239393130153214</v>
      </c>
      <c r="AR726" s="9">
        <f t="shared" ca="1" si="2010"/>
        <v>172.37931034482759</v>
      </c>
      <c r="AS726" s="76"/>
      <c r="AT726" s="76"/>
    </row>
    <row r="727" spans="1:46" ht="15.75" customHeight="1" x14ac:dyDescent="0.2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6"/>
      <c r="X727" s="8">
        <v>5</v>
      </c>
      <c r="Y727" s="8" t="s">
        <v>39</v>
      </c>
      <c r="Z727" s="8">
        <f t="shared" ref="Z727:AI727" si="2020">SUM(D718)</f>
        <v>28</v>
      </c>
      <c r="AA727" s="9">
        <f t="shared" ca="1" si="2020"/>
        <v>27</v>
      </c>
      <c r="AB727" s="10">
        <f t="shared" ca="1" si="2020"/>
        <v>5158.3959999999997</v>
      </c>
      <c r="AC727" s="9">
        <f t="shared" ca="1" si="2020"/>
        <v>1232</v>
      </c>
      <c r="AD727" s="9">
        <f t="shared" ca="1" si="2020"/>
        <v>0</v>
      </c>
      <c r="AE727" s="9">
        <f t="shared" ca="1" si="2020"/>
        <v>1232</v>
      </c>
      <c r="AF727" s="9">
        <f t="shared" ca="1" si="2020"/>
        <v>1310</v>
      </c>
      <c r="AG727" s="9">
        <f t="shared" ca="1" si="2020"/>
        <v>477</v>
      </c>
      <c r="AH727" s="9">
        <f t="shared" ca="1" si="2020"/>
        <v>1787</v>
      </c>
      <c r="AI727" s="9">
        <f t="shared" ca="1" si="2020"/>
        <v>3019</v>
      </c>
      <c r="AJ727" s="11">
        <f t="shared" ca="1" si="2005"/>
        <v>191.05170370370368</v>
      </c>
      <c r="AK727" s="8">
        <f t="shared" si="2014"/>
        <v>3569</v>
      </c>
      <c r="AL727" s="12">
        <f t="shared" ca="1" si="2006"/>
        <v>0.84589520874194457</v>
      </c>
      <c r="AM727" s="13">
        <f t="shared" si="2015"/>
        <v>1.5</v>
      </c>
      <c r="AN727" s="12">
        <f t="shared" ca="1" si="2007"/>
        <v>0.39017296591162576</v>
      </c>
      <c r="AO727" s="14">
        <f t="shared" ca="1" si="2008"/>
        <v>0.58525944886743864</v>
      </c>
      <c r="AP727" s="13">
        <f t="shared" ref="AP727:AQ727" ca="1" si="2021">SUM(T718)</f>
        <v>240.33900200344777</v>
      </c>
      <c r="AQ727" s="13">
        <f t="shared" ca="1" si="2021"/>
        <v>8.9014445186462137</v>
      </c>
      <c r="AR727" s="9">
        <f t="shared" ca="1" si="2010"/>
        <v>111.81481481481481</v>
      </c>
      <c r="AS727" s="76"/>
      <c r="AT727" s="76"/>
    </row>
    <row r="728" spans="1:46" ht="15.75" customHeight="1" x14ac:dyDescent="0.2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6"/>
      <c r="X728" s="8">
        <v>6</v>
      </c>
      <c r="Y728" s="8" t="s">
        <v>41</v>
      </c>
      <c r="Z728" s="8">
        <f t="shared" ref="Z728:AI728" si="2022">SUM(D719)</f>
        <v>24</v>
      </c>
      <c r="AA728" s="9">
        <f t="shared" ca="1" si="2022"/>
        <v>24</v>
      </c>
      <c r="AB728" s="10">
        <f t="shared" ca="1" si="2022"/>
        <v>4717.4359999999997</v>
      </c>
      <c r="AC728" s="9">
        <f t="shared" ca="1" si="2022"/>
        <v>1031</v>
      </c>
      <c r="AD728" s="9">
        <f t="shared" ca="1" si="2022"/>
        <v>0</v>
      </c>
      <c r="AE728" s="9">
        <f t="shared" ca="1" si="2022"/>
        <v>1031</v>
      </c>
      <c r="AF728" s="9">
        <f t="shared" ca="1" si="2022"/>
        <v>1338</v>
      </c>
      <c r="AG728" s="9">
        <f t="shared" ca="1" si="2022"/>
        <v>267</v>
      </c>
      <c r="AH728" s="9">
        <f t="shared" ca="1" si="2022"/>
        <v>1605</v>
      </c>
      <c r="AI728" s="9">
        <f t="shared" ca="1" si="2022"/>
        <v>2636</v>
      </c>
      <c r="AJ728" s="11">
        <f t="shared" ca="1" si="2005"/>
        <v>196.55983333333333</v>
      </c>
      <c r="AK728" s="8">
        <f t="shared" si="2014"/>
        <v>3801</v>
      </c>
      <c r="AL728" s="12">
        <f t="shared" ca="1" si="2006"/>
        <v>0.69350171007629569</v>
      </c>
      <c r="AM728" s="13">
        <f t="shared" si="2015"/>
        <v>1.5</v>
      </c>
      <c r="AN728" s="12">
        <f t="shared" ca="1" si="2007"/>
        <v>0.37251874393915113</v>
      </c>
      <c r="AO728" s="14">
        <f t="shared" ca="1" si="2008"/>
        <v>0.55877811590872672</v>
      </c>
      <c r="AP728" s="13">
        <f t="shared" ref="AP728:AQ728" ca="1" si="2023">SUM(T719)</f>
        <v>159.2222222222222</v>
      </c>
      <c r="AQ728" s="13">
        <f t="shared" ca="1" si="2023"/>
        <v>6.6342592592592586</v>
      </c>
      <c r="AR728" s="9">
        <f t="shared" ca="1" si="2010"/>
        <v>109.83333333333333</v>
      </c>
      <c r="AS728" s="76"/>
      <c r="AT728" s="76"/>
    </row>
    <row r="729" spans="1:46" ht="15.75" customHeight="1" x14ac:dyDescent="0.25">
      <c r="A729" s="110" t="s">
        <v>45</v>
      </c>
      <c r="B729" s="76"/>
      <c r="C729" s="76"/>
      <c r="D729" s="75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24" t="s">
        <v>33</v>
      </c>
      <c r="Y729" s="24">
        <v>6</v>
      </c>
      <c r="Z729" s="24">
        <f t="shared" ref="Z729:AI729" si="2024">SUM(Z723:Z728)</f>
        <v>174</v>
      </c>
      <c r="AA729" s="25">
        <f t="shared" ca="1" si="2024"/>
        <v>170</v>
      </c>
      <c r="AB729" s="27">
        <f t="shared" ca="1" si="2024"/>
        <v>33027.175999999978</v>
      </c>
      <c r="AC729" s="25">
        <f t="shared" ca="1" si="2024"/>
        <v>12484</v>
      </c>
      <c r="AD729" s="25">
        <f t="shared" ca="1" si="2024"/>
        <v>0</v>
      </c>
      <c r="AE729" s="25">
        <f t="shared" ca="1" si="2024"/>
        <v>12484</v>
      </c>
      <c r="AF729" s="25">
        <f t="shared" ca="1" si="2024"/>
        <v>16550</v>
      </c>
      <c r="AG729" s="25">
        <f t="shared" ca="1" si="2024"/>
        <v>744</v>
      </c>
      <c r="AH729" s="25">
        <f t="shared" ca="1" si="2024"/>
        <v>17294</v>
      </c>
      <c r="AI729" s="25">
        <f t="shared" ca="1" si="2024"/>
        <v>29778</v>
      </c>
      <c r="AJ729" s="27">
        <f t="shared" ca="1" si="2005"/>
        <v>194.27750588235281</v>
      </c>
      <c r="AK729" s="24">
        <f>SUM(AK723:AK728)</f>
        <v>37031</v>
      </c>
      <c r="AL729" s="28">
        <f t="shared" ca="1" si="2006"/>
        <v>0.80413707434311787</v>
      </c>
      <c r="AM729" s="29">
        <v>1.5</v>
      </c>
      <c r="AN729" s="28">
        <f t="shared" ca="1" si="2007"/>
        <v>0.60108075846387876</v>
      </c>
      <c r="AO729" s="30">
        <f t="shared" ca="1" si="2008"/>
        <v>0.90162113769581809</v>
      </c>
      <c r="AP729" s="29">
        <f ca="1">SUM(AP723:AP728)</f>
        <v>1356.8219817919623</v>
      </c>
      <c r="AQ729" s="29">
        <f ca="1">AP729/AA729</f>
        <v>7.9813057752468373</v>
      </c>
      <c r="AR729" s="25">
        <f t="shared" ca="1" si="2010"/>
        <v>175.16470588235293</v>
      </c>
      <c r="AS729" s="76"/>
      <c r="AT729" s="76"/>
    </row>
    <row r="730" spans="1:46" ht="15.75" customHeight="1" x14ac:dyDescent="0.2">
      <c r="A730" s="110" t="s">
        <v>45</v>
      </c>
      <c r="B730" s="76"/>
      <c r="C730" s="76"/>
      <c r="D730" s="75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7" t="s">
        <v>1</v>
      </c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9"/>
      <c r="AS730" s="76"/>
      <c r="AT730" s="76"/>
    </row>
    <row r="731" spans="1:46" ht="15.75" customHeight="1" x14ac:dyDescent="0.2">
      <c r="A731" s="109">
        <v>46262</v>
      </c>
      <c r="B731" s="80" t="s">
        <v>2</v>
      </c>
      <c r="C731" s="80" t="s">
        <v>3</v>
      </c>
      <c r="D731" s="80" t="s">
        <v>4</v>
      </c>
      <c r="E731" s="80" t="s">
        <v>5</v>
      </c>
      <c r="F731" s="81" t="s">
        <v>6</v>
      </c>
      <c r="G731" s="80" t="s">
        <v>7</v>
      </c>
      <c r="H731" s="80" t="s">
        <v>8</v>
      </c>
      <c r="I731" s="80" t="s">
        <v>9</v>
      </c>
      <c r="J731" s="80" t="s">
        <v>10</v>
      </c>
      <c r="K731" s="80" t="s">
        <v>11</v>
      </c>
      <c r="L731" s="80" t="s">
        <v>12</v>
      </c>
      <c r="M731" s="80" t="s">
        <v>13</v>
      </c>
      <c r="N731" s="81" t="s">
        <v>14</v>
      </c>
      <c r="O731" s="80" t="s">
        <v>15</v>
      </c>
      <c r="P731" s="80" t="s">
        <v>16</v>
      </c>
      <c r="Q731" s="80" t="s">
        <v>17</v>
      </c>
      <c r="R731" s="80" t="s">
        <v>18</v>
      </c>
      <c r="S731" s="106" t="s">
        <v>19</v>
      </c>
      <c r="T731" s="107" t="s">
        <v>20</v>
      </c>
      <c r="U731" s="107" t="s">
        <v>21</v>
      </c>
      <c r="V731" s="105" t="s">
        <v>22</v>
      </c>
      <c r="W731" s="76"/>
      <c r="X731" s="1" t="s">
        <v>2</v>
      </c>
      <c r="Y731" s="1" t="s">
        <v>3</v>
      </c>
      <c r="Z731" s="1" t="s">
        <v>4</v>
      </c>
      <c r="AA731" s="1" t="s">
        <v>5</v>
      </c>
      <c r="AB731" s="2" t="s">
        <v>6</v>
      </c>
      <c r="AC731" s="1" t="s">
        <v>7</v>
      </c>
      <c r="AD731" s="1" t="s">
        <v>8</v>
      </c>
      <c r="AE731" s="1" t="s">
        <v>9</v>
      </c>
      <c r="AF731" s="1" t="s">
        <v>10</v>
      </c>
      <c r="AG731" s="1" t="s">
        <v>11</v>
      </c>
      <c r="AH731" s="1" t="s">
        <v>12</v>
      </c>
      <c r="AI731" s="1" t="s">
        <v>13</v>
      </c>
      <c r="AJ731" s="2" t="s">
        <v>14</v>
      </c>
      <c r="AK731" s="1" t="s">
        <v>15</v>
      </c>
      <c r="AL731" s="1" t="s">
        <v>16</v>
      </c>
      <c r="AM731" s="3" t="s">
        <v>17</v>
      </c>
      <c r="AN731" s="4" t="s">
        <v>18</v>
      </c>
      <c r="AO731" s="5" t="s">
        <v>19</v>
      </c>
      <c r="AP731" s="6" t="s">
        <v>20</v>
      </c>
      <c r="AQ731" s="6" t="s">
        <v>21</v>
      </c>
      <c r="AR731" s="7" t="s">
        <v>22</v>
      </c>
      <c r="AS731" s="76"/>
      <c r="AT731" s="76"/>
    </row>
    <row r="732" spans="1:46" ht="15.75" customHeight="1" x14ac:dyDescent="0.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6"/>
      <c r="X732" s="8">
        <v>1</v>
      </c>
      <c r="Y732" s="8" t="s">
        <v>23</v>
      </c>
      <c r="Z732" s="8">
        <f t="shared" ref="Z732:AI732" si="2025">SUM(D740)</f>
        <v>35</v>
      </c>
      <c r="AA732" s="9">
        <f t="shared" ca="1" si="2025"/>
        <v>34</v>
      </c>
      <c r="AB732" s="10">
        <f t="shared" ca="1" si="2025"/>
        <v>6747.99999999999</v>
      </c>
      <c r="AC732" s="9">
        <f t="shared" ca="1" si="2025"/>
        <v>1739</v>
      </c>
      <c r="AD732" s="9">
        <f t="shared" ca="1" si="2025"/>
        <v>0</v>
      </c>
      <c r="AE732" s="9">
        <f t="shared" ca="1" si="2025"/>
        <v>1739</v>
      </c>
      <c r="AF732" s="9">
        <f t="shared" ca="1" si="2025"/>
        <v>3251</v>
      </c>
      <c r="AG732" s="9">
        <f t="shared" ca="1" si="2025"/>
        <v>0</v>
      </c>
      <c r="AH732" s="9">
        <f t="shared" ca="1" si="2025"/>
        <v>3251</v>
      </c>
      <c r="AI732" s="9">
        <f t="shared" ca="1" si="2025"/>
        <v>4990</v>
      </c>
      <c r="AJ732" s="11">
        <f t="shared" ref="AJ732:AJ734" ca="1" si="2026">AB732/AA732</f>
        <v>198.47058823529383</v>
      </c>
      <c r="AK732" s="8">
        <f>SUM(O740)</f>
        <v>6853</v>
      </c>
      <c r="AL732" s="12">
        <f t="shared" ref="AL732:AL738" ca="1" si="2027">AI732/AK732</f>
        <v>0.72814825623814383</v>
      </c>
      <c r="AM732" s="13">
        <f t="shared" ref="AM732:AM734" si="2028">SUM(Q740)</f>
        <v>1.5</v>
      </c>
      <c r="AN732" s="12">
        <f t="shared" ref="AN732:AN738" ca="1" si="2029">AO732/AM732</f>
        <v>0.49298557597312859</v>
      </c>
      <c r="AO732" s="14">
        <f t="shared" ref="AO732:AO738" ca="1" si="2030">AI732/AB732</f>
        <v>0.73947836395969291</v>
      </c>
      <c r="AP732" s="13">
        <f t="shared" ref="AP732:AQ732" ca="1" si="2031">SUM(T740)</f>
        <v>199.99999999999969</v>
      </c>
      <c r="AQ732" s="13">
        <f t="shared" ca="1" si="2031"/>
        <v>5.8823529411764612</v>
      </c>
      <c r="AR732" s="9">
        <f t="shared" ref="AR732:AR738" ca="1" si="2032">AI732/AA732</f>
        <v>146.76470588235293</v>
      </c>
      <c r="AS732" s="76"/>
      <c r="AT732" s="76"/>
    </row>
    <row r="733" spans="1:46" ht="15.75" customHeight="1" x14ac:dyDescent="0.2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6"/>
      <c r="X733" s="8">
        <v>2</v>
      </c>
      <c r="Y733" s="8" t="s">
        <v>24</v>
      </c>
      <c r="Z733" s="8">
        <f t="shared" ref="Z733:AI733" si="2033">SUM(D741)</f>
        <v>44</v>
      </c>
      <c r="AA733" s="9">
        <f t="shared" ca="1" si="2033"/>
        <v>43</v>
      </c>
      <c r="AB733" s="10">
        <f t="shared" ca="1" si="2033"/>
        <v>7875.17399999999</v>
      </c>
      <c r="AC733" s="9">
        <f t="shared" ca="1" si="2033"/>
        <v>1152</v>
      </c>
      <c r="AD733" s="9">
        <f t="shared" ca="1" si="2033"/>
        <v>0</v>
      </c>
      <c r="AE733" s="9">
        <f t="shared" ca="1" si="2033"/>
        <v>1152</v>
      </c>
      <c r="AF733" s="9">
        <f t="shared" ca="1" si="2033"/>
        <v>1345</v>
      </c>
      <c r="AG733" s="9">
        <f t="shared" ca="1" si="2033"/>
        <v>0</v>
      </c>
      <c r="AH733" s="9">
        <f t="shared" ca="1" si="2033"/>
        <v>1345</v>
      </c>
      <c r="AI733" s="9">
        <f t="shared" ca="1" si="2033"/>
        <v>2497</v>
      </c>
      <c r="AJ733" s="11">
        <f t="shared" ca="1" si="2026"/>
        <v>183.1435813953486</v>
      </c>
      <c r="AK733" s="8">
        <v>1580</v>
      </c>
      <c r="AL733" s="15">
        <f t="shared" ca="1" si="2027"/>
        <v>1.580379746835443</v>
      </c>
      <c r="AM733" s="13">
        <f t="shared" si="2028"/>
        <v>1.5</v>
      </c>
      <c r="AN733" s="12">
        <f t="shared" ca="1" si="2029"/>
        <v>0.21138157286006234</v>
      </c>
      <c r="AO733" s="14">
        <f t="shared" ca="1" si="2030"/>
        <v>0.31707235929009353</v>
      </c>
      <c r="AP733" s="13">
        <f t="shared" ref="AP733:AQ733" ca="1" si="2034">SUM(T741)</f>
        <v>293.79496362618875</v>
      </c>
      <c r="AQ733" s="13">
        <f t="shared" ca="1" si="2034"/>
        <v>6.8324410145625292</v>
      </c>
      <c r="AR733" s="9">
        <f t="shared" ca="1" si="2032"/>
        <v>58.069767441860463</v>
      </c>
      <c r="AS733" s="76"/>
      <c r="AT733" s="76"/>
    </row>
    <row r="734" spans="1:46" ht="15.75" customHeight="1" x14ac:dyDescent="0.2">
      <c r="A734" s="70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6"/>
      <c r="X734" s="8">
        <v>3</v>
      </c>
      <c r="Y734" s="8" t="s">
        <v>25</v>
      </c>
      <c r="Z734" s="8">
        <f t="shared" ref="Z734:AI734" si="2035">SUM(D742)</f>
        <v>32</v>
      </c>
      <c r="AA734" s="9">
        <f t="shared" ca="1" si="2035"/>
        <v>31</v>
      </c>
      <c r="AB734" s="10">
        <f t="shared" ca="1" si="2035"/>
        <v>5672.152</v>
      </c>
      <c r="AC734" s="9">
        <f t="shared" ca="1" si="2035"/>
        <v>2296</v>
      </c>
      <c r="AD734" s="9">
        <f t="shared" ca="1" si="2035"/>
        <v>301</v>
      </c>
      <c r="AE734" s="9">
        <f t="shared" ca="1" si="2035"/>
        <v>2597</v>
      </c>
      <c r="AF734" s="9">
        <f t="shared" ca="1" si="2035"/>
        <v>3593</v>
      </c>
      <c r="AG734" s="9">
        <f t="shared" ca="1" si="2035"/>
        <v>382</v>
      </c>
      <c r="AH734" s="9">
        <f t="shared" ca="1" si="2035"/>
        <v>3975</v>
      </c>
      <c r="AI734" s="9">
        <f t="shared" ca="1" si="2035"/>
        <v>6572</v>
      </c>
      <c r="AJ734" s="11">
        <f t="shared" ca="1" si="2026"/>
        <v>182.97264516129033</v>
      </c>
      <c r="AK734" s="8">
        <f>SUM(O742)</f>
        <v>6622</v>
      </c>
      <c r="AL734" s="12">
        <f t="shared" ca="1" si="2027"/>
        <v>0.99244941105406226</v>
      </c>
      <c r="AM734" s="13">
        <f t="shared" si="2028"/>
        <v>1.5</v>
      </c>
      <c r="AN734" s="12">
        <f t="shared" ca="1" si="2029"/>
        <v>0.77242875954899182</v>
      </c>
      <c r="AO734" s="14">
        <f t="shared" ca="1" si="2030"/>
        <v>1.1586431393234877</v>
      </c>
      <c r="AP734" s="13">
        <f t="shared" ref="AP734:AQ734" ca="1" si="2036">SUM(T742)</f>
        <v>237.92583892617449</v>
      </c>
      <c r="AQ734" s="13">
        <f t="shared" ca="1" si="2036"/>
        <v>7.675027062134661</v>
      </c>
      <c r="AR734" s="9">
        <f t="shared" ca="1" si="2032"/>
        <v>212</v>
      </c>
      <c r="AS734" s="76"/>
      <c r="AT734" s="76"/>
    </row>
    <row r="735" spans="1:46" ht="15.75" customHeight="1" x14ac:dyDescent="0.25">
      <c r="A735" s="70"/>
      <c r="B735" s="16">
        <v>1</v>
      </c>
      <c r="C735" s="16" t="s">
        <v>26</v>
      </c>
      <c r="D735" s="17">
        <v>20</v>
      </c>
      <c r="E735" s="18">
        <f ca="1">IFERROR(__xludf.DUMMYFUNCTION("COUNT(IMPORTRANGE(""https://docs.google.com/spreadsheets/d/1iVFEBQOAONhqDIMRa2hQ7WkCQv0dJWSAmc0AzfvSCMg/edit"",""28!d2:d21""))"),20)</f>
        <v>20</v>
      </c>
      <c r="F735" s="19">
        <f ca="1">IFERROR(__xludf.DUMMYFUNCTION("SUM(IMPORTRANGE(""https://docs.google.com/spreadsheets/d/1iVFEBQOAONhqDIMRa2hQ7WkCQv0dJWSAmc0AzfvSCMg/edit"",""28!Q2:Q21""))"),3950.322)</f>
        <v>3950.3220000000001</v>
      </c>
      <c r="G735" s="18">
        <f ca="1">IFERROR(__xludf.DUMMYFUNCTION("IMPORTRANGE(""https://docs.google.com/spreadsheets/d/1iVFEBQOAONhqDIMRa2hQ7WkCQv0dJWSAmc0AzfvSCMg/edit"",""28!e28"")"),2448)</f>
        <v>2448</v>
      </c>
      <c r="H735" s="18">
        <f ca="1">IFERROR(__xludf.DUMMYFUNCTION("IMPORTRANGE(""https://docs.google.com/spreadsheets/d/1iVFEBQOAONhqDIMRa2hQ7WkCQv0dJWSAmc0AzfvSCMg/edit"",""28!e29"")"),0)</f>
        <v>0</v>
      </c>
      <c r="I735" s="18">
        <f t="shared" ref="I735:I752" ca="1" si="2037">SUM(G735:H735)</f>
        <v>2448</v>
      </c>
      <c r="J735" s="18">
        <f ca="1">IFERROR(__xludf.DUMMYFUNCTION("IMPORTRANGE(""https://docs.google.com/spreadsheets/d/1iVFEBQOAONhqDIMRa2hQ7WkCQv0dJWSAmc0AzfvSCMg/edit"",""28!e32"")"),2383)</f>
        <v>2383</v>
      </c>
      <c r="K735" s="18">
        <f ca="1">IFERROR(__xludf.DUMMYFUNCTION("IMPORTRANGE(""https://docs.google.com/spreadsheets/d/1iVFEBQOAONhqDIMRa2hQ7WkCQv0dJWSAmc0AzfvSCMg/edit"",""28!e33"")"),0)</f>
        <v>0</v>
      </c>
      <c r="L735" s="18">
        <f t="shared" ref="L735:L741" ca="1" si="2038">SUM(J735:K735)</f>
        <v>2383</v>
      </c>
      <c r="M735" s="18">
        <f t="shared" ref="M735:M752" ca="1" si="2039">SUM(I735+L735)</f>
        <v>4831</v>
      </c>
      <c r="N735" s="19">
        <f t="shared" ref="N735:N753" ca="1" si="2040">F735/E735</f>
        <v>197.51609999999999</v>
      </c>
      <c r="O735" s="16">
        <v>5161</v>
      </c>
      <c r="P735" s="20">
        <f t="shared" ref="P735:P753" ca="1" si="2041">M735/O735</f>
        <v>0.93605890331331132</v>
      </c>
      <c r="Q735" s="21">
        <v>1.5</v>
      </c>
      <c r="R735" s="20">
        <f t="shared" ref="R735:R753" ca="1" si="2042">S735/Q735</f>
        <v>0.81529218799547643</v>
      </c>
      <c r="S735" s="22">
        <f t="shared" ref="S735:S753" ca="1" si="2043">M735/F735</f>
        <v>1.2229382819932146</v>
      </c>
      <c r="T735" s="21">
        <f ca="1">F735/14.415</f>
        <v>274.04245577523415</v>
      </c>
      <c r="U735" s="21">
        <f t="shared" ref="U735:U753" ca="1" si="2044">T735/E735</f>
        <v>13.702122788761708</v>
      </c>
      <c r="V735" s="18">
        <f t="shared" ref="V735:V753" ca="1" si="2045">M735/E735</f>
        <v>241.55</v>
      </c>
      <c r="W735" s="76"/>
      <c r="X735" s="8">
        <v>4</v>
      </c>
      <c r="Y735" s="8" t="s">
        <v>27</v>
      </c>
      <c r="Z735" s="8">
        <f t="shared" ref="Z735:AK735" si="2046">SUM(D748)</f>
        <v>30</v>
      </c>
      <c r="AA735" s="9">
        <f t="shared" ca="1" si="2046"/>
        <v>27</v>
      </c>
      <c r="AB735" s="10">
        <f t="shared" ca="1" si="2046"/>
        <v>5185.9699999999903</v>
      </c>
      <c r="AC735" s="9">
        <f t="shared" ca="1" si="2046"/>
        <v>2394</v>
      </c>
      <c r="AD735" s="9">
        <f t="shared" ca="1" si="2046"/>
        <v>96</v>
      </c>
      <c r="AE735" s="9">
        <f t="shared" ca="1" si="2046"/>
        <v>2490</v>
      </c>
      <c r="AF735" s="9">
        <f t="shared" ca="1" si="2046"/>
        <v>3106</v>
      </c>
      <c r="AG735" s="9">
        <f t="shared" ca="1" si="2046"/>
        <v>111</v>
      </c>
      <c r="AH735" s="9">
        <f t="shared" ca="1" si="2046"/>
        <v>3217</v>
      </c>
      <c r="AI735" s="9">
        <f t="shared" ca="1" si="2046"/>
        <v>5707</v>
      </c>
      <c r="AJ735" s="11">
        <f t="shared" ca="1" si="2046"/>
        <v>192.07296296296261</v>
      </c>
      <c r="AK735" s="8">
        <f t="shared" si="2046"/>
        <v>8101</v>
      </c>
      <c r="AL735" s="12">
        <f t="shared" ca="1" si="2027"/>
        <v>0.70448092828045916</v>
      </c>
      <c r="AM735" s="13">
        <f>SUM(Q748)</f>
        <v>1.5</v>
      </c>
      <c r="AN735" s="12">
        <f t="shared" ca="1" si="2029"/>
        <v>0.73364610027953769</v>
      </c>
      <c r="AO735" s="14">
        <f t="shared" ca="1" si="2030"/>
        <v>1.1004691504193065</v>
      </c>
      <c r="AP735" s="13">
        <f t="shared" ref="AP735:AQ735" ca="1" si="2047">SUM(T748)</f>
        <v>259.49311983987945</v>
      </c>
      <c r="AQ735" s="13">
        <f t="shared" ca="1" si="2047"/>
        <v>9.6108562903659056</v>
      </c>
      <c r="AR735" s="9">
        <f t="shared" ca="1" si="2032"/>
        <v>211.37037037037038</v>
      </c>
      <c r="AS735" s="76"/>
      <c r="AT735" s="76"/>
    </row>
    <row r="736" spans="1:46" ht="15.75" customHeight="1" x14ac:dyDescent="0.25">
      <c r="A736" s="70"/>
      <c r="B736" s="16">
        <v>2</v>
      </c>
      <c r="C736" s="16" t="s">
        <v>28</v>
      </c>
      <c r="D736" s="17">
        <v>33</v>
      </c>
      <c r="E736" s="18">
        <f ca="1">IFERROR(__xludf.DUMMYFUNCTION("COUNT(IMPORTRANGE(""https://docs.google.com/spreadsheets/d/1tJCeYclgeJZ4Dc78t_SkhVjtacKW-5-VGim8X1rzUzk/edit"",""28!d2:d34""))"),33)</f>
        <v>33</v>
      </c>
      <c r="F736" s="19">
        <f ca="1">IFERROR(__xludf.DUMMYFUNCTION("SUM(IMPORTRANGE(""https://docs.google.com/spreadsheets/d/1tJCeYclgeJZ4Dc78t_SkhVjtacKW-5-VGim8X1rzUzk/edit"",""28!Q2:Q34""))"),6497.936)</f>
        <v>6497.9359999999997</v>
      </c>
      <c r="G736" s="18">
        <f ca="1">IFERROR(__xludf.DUMMYFUNCTION("IMPORTRANGE(""https://docs.google.com/spreadsheets/d/1tJCeYclgeJZ4Dc78t_SkhVjtacKW-5-VGim8X1rzUzk/edit"",""28!e41"")"),2888)</f>
        <v>2888</v>
      </c>
      <c r="H736" s="18">
        <f ca="1">IFERROR(__xludf.DUMMYFUNCTION("IMPORTRANGE(""https://docs.google.com/spreadsheets/d/1tJCeYclgeJZ4Dc78t_SkhVjtacKW-5-VGim8X1rzUzk/edit"",""28!e42"")"),161)</f>
        <v>161</v>
      </c>
      <c r="I736" s="18">
        <f t="shared" ca="1" si="2037"/>
        <v>3049</v>
      </c>
      <c r="J736" s="18">
        <f ca="1">IFERROR(__xludf.DUMMYFUNCTION("IMPORTRANGE(""https://docs.google.com/spreadsheets/d/1tJCeYclgeJZ4Dc78t_SkhVjtacKW-5-VGim8X1rzUzk/edit"",""28!e45"")"),2691)</f>
        <v>2691</v>
      </c>
      <c r="K736" s="18">
        <f ca="1">IFERROR(__xludf.DUMMYFUNCTION("IMPORTRANGE(""https://docs.google.com/spreadsheets/d/1tJCeYclgeJZ4Dc78t_SkhVjtacKW-5-VGim8X1rzUzk/edit"",""28!e46"")"),323)</f>
        <v>323</v>
      </c>
      <c r="L736" s="18">
        <f t="shared" ca="1" si="2038"/>
        <v>3014</v>
      </c>
      <c r="M736" s="18">
        <f t="shared" ca="1" si="2039"/>
        <v>6063</v>
      </c>
      <c r="N736" s="19">
        <f t="shared" ca="1" si="2040"/>
        <v>196.9071515151515</v>
      </c>
      <c r="O736" s="16">
        <v>7315</v>
      </c>
      <c r="P736" s="20">
        <f t="shared" ca="1" si="2041"/>
        <v>0.82884483937115516</v>
      </c>
      <c r="Q736" s="21">
        <v>1.5</v>
      </c>
      <c r="R736" s="20">
        <f t="shared" ca="1" si="2042"/>
        <v>0.62204367663824334</v>
      </c>
      <c r="S736" s="22">
        <f t="shared" ca="1" si="2043"/>
        <v>0.93306551495736501</v>
      </c>
      <c r="T736" s="21">
        <f ca="1">F736/30.897</f>
        <v>210.30960934718581</v>
      </c>
      <c r="U736" s="21">
        <f t="shared" ca="1" si="2044"/>
        <v>6.3730184650662371</v>
      </c>
      <c r="V736" s="18">
        <f t="shared" ca="1" si="2045"/>
        <v>183.72727272727272</v>
      </c>
      <c r="W736" s="76"/>
      <c r="X736" s="8">
        <v>5</v>
      </c>
      <c r="Y736" s="8" t="s">
        <v>29</v>
      </c>
      <c r="Z736" s="8">
        <f t="shared" ref="Z736:AI736" si="2048">SUM(D751)</f>
        <v>30</v>
      </c>
      <c r="AA736" s="9">
        <f t="shared" ca="1" si="2048"/>
        <v>30</v>
      </c>
      <c r="AB736" s="10">
        <f t="shared" ca="1" si="2048"/>
        <v>6172.4029999999902</v>
      </c>
      <c r="AC736" s="9">
        <f t="shared" ca="1" si="2048"/>
        <v>3072</v>
      </c>
      <c r="AD736" s="9">
        <f t="shared" ca="1" si="2048"/>
        <v>0</v>
      </c>
      <c r="AE736" s="9">
        <f t="shared" ca="1" si="2048"/>
        <v>3072</v>
      </c>
      <c r="AF736" s="9">
        <f t="shared" ca="1" si="2048"/>
        <v>4164</v>
      </c>
      <c r="AG736" s="9">
        <f t="shared" ca="1" si="2048"/>
        <v>0</v>
      </c>
      <c r="AH736" s="9">
        <f t="shared" ca="1" si="2048"/>
        <v>4164</v>
      </c>
      <c r="AI736" s="9">
        <f t="shared" ca="1" si="2048"/>
        <v>7236</v>
      </c>
      <c r="AJ736" s="11">
        <f t="shared" ref="AJ736:AJ738" ca="1" si="2049">AB736/AA736</f>
        <v>205.74676666666633</v>
      </c>
      <c r="AK736" s="8">
        <f t="shared" ref="AK736:AK737" si="2050">SUM(O751)</f>
        <v>9201</v>
      </c>
      <c r="AL736" s="12">
        <f t="shared" ca="1" si="2027"/>
        <v>0.78643625692859476</v>
      </c>
      <c r="AM736" s="13">
        <f t="shared" ref="AM736:AM737" si="2051">SUM(Q751)</f>
        <v>1.5</v>
      </c>
      <c r="AN736" s="12">
        <f t="shared" ca="1" si="2029"/>
        <v>0.78154326605051672</v>
      </c>
      <c r="AO736" s="14">
        <f t="shared" ca="1" si="2030"/>
        <v>1.172314899075775</v>
      </c>
      <c r="AP736" s="13">
        <f t="shared" ref="AP736:AQ736" ca="1" si="2052">SUM(T751)</f>
        <v>232.99999999999963</v>
      </c>
      <c r="AQ736" s="13">
        <f t="shared" ca="1" si="2052"/>
        <v>7.7666666666666542</v>
      </c>
      <c r="AR736" s="9">
        <f t="shared" ca="1" si="2032"/>
        <v>241.2</v>
      </c>
      <c r="AS736" s="76"/>
      <c r="AT736" s="76"/>
    </row>
    <row r="737" spans="1:46" ht="15.75" customHeight="1" x14ac:dyDescent="0.25">
      <c r="A737" s="70"/>
      <c r="B737" s="16">
        <v>3</v>
      </c>
      <c r="C737" s="16" t="s">
        <v>30</v>
      </c>
      <c r="D737" s="17">
        <v>60</v>
      </c>
      <c r="E737" s="18">
        <f ca="1">IFERROR(__xludf.DUMMYFUNCTION("COUNT(IMPORTRANGE(""https://docs.google.com/spreadsheets/d/130gLEONC13J8KkQ6dk06x3bLRy_jCrAw2hXatQf2W50/edit"",""28!d2:d61""))"),59)</f>
        <v>59</v>
      </c>
      <c r="F737" s="23">
        <f ca="1">IFERROR(__xludf.DUMMYFUNCTION("SUM(IMPORTRANGE(""https://docs.google.com/spreadsheets/d/130gLEONC13J8KkQ6dk06x3bLRy_jCrAw2hXatQf2W50/edit"",""28!Q2:Q61""))"),11794.6929999999)</f>
        <v>11794.692999999899</v>
      </c>
      <c r="G737" s="18">
        <f ca="1">IFERROR(__xludf.DUMMYFUNCTION("IMPORTRANGE(""https://docs.google.com/spreadsheets/d/130gLEONC13J8KkQ6dk06x3bLRy_jCrAw2hXatQf2W50/edit"",""28!e68"")"),3341)</f>
        <v>3341</v>
      </c>
      <c r="H737" s="18">
        <f ca="1">IFERROR(__xludf.DUMMYFUNCTION("IMPORTRANGE(""https://docs.google.com/spreadsheets/d/130gLEONC13J8KkQ6dk06x3bLRy_jCrAw2hXatQf2W50/edit"",""28!e69"")"),54)</f>
        <v>54</v>
      </c>
      <c r="I737" s="18">
        <f t="shared" ca="1" si="2037"/>
        <v>3395</v>
      </c>
      <c r="J737" s="18">
        <f ca="1">IFERROR(__xludf.DUMMYFUNCTION("IMPORTRANGE(""https://docs.google.com/spreadsheets/d/130gLEONC13J8KkQ6dk06x3bLRy_jCrAw2hXatQf2W50/edit"",""28!e72"")"),4421)</f>
        <v>4421</v>
      </c>
      <c r="K737" s="18">
        <f ca="1">IFERROR(__xludf.DUMMYFUNCTION("IMPORTRANGE(""https://docs.google.com/spreadsheets/d/130gLEONC13J8KkQ6dk06x3bLRy_jCrAw2hXatQf2W50/edit"",""28!e73"")"),66)</f>
        <v>66</v>
      </c>
      <c r="L737" s="18">
        <f t="shared" ca="1" si="2038"/>
        <v>4487</v>
      </c>
      <c r="M737" s="18">
        <f t="shared" ca="1" si="2039"/>
        <v>7882</v>
      </c>
      <c r="N737" s="19">
        <f t="shared" ca="1" si="2040"/>
        <v>199.91005084745592</v>
      </c>
      <c r="O737" s="16">
        <v>11164</v>
      </c>
      <c r="P737" s="20">
        <f t="shared" ca="1" si="2041"/>
        <v>0.70601934790397702</v>
      </c>
      <c r="Q737" s="21">
        <v>1.5</v>
      </c>
      <c r="R737" s="20">
        <f t="shared" ca="1" si="2042"/>
        <v>0.44551110119328347</v>
      </c>
      <c r="S737" s="22">
        <f t="shared" ca="1" si="2043"/>
        <v>0.66826665178992517</v>
      </c>
      <c r="T737" s="21">
        <f ca="1">F737/29.603</f>
        <v>398.42897679288922</v>
      </c>
      <c r="U737" s="21">
        <f t="shared" ca="1" si="2044"/>
        <v>6.7530335049642236</v>
      </c>
      <c r="V737" s="18">
        <f t="shared" ca="1" si="2045"/>
        <v>133.59322033898306</v>
      </c>
      <c r="W737" s="76"/>
      <c r="X737" s="8">
        <v>6</v>
      </c>
      <c r="Y737" s="8" t="s">
        <v>31</v>
      </c>
      <c r="Z737" s="8">
        <f t="shared" ref="Z737:AI737" si="2053">SUM(D752)</f>
        <v>15</v>
      </c>
      <c r="AA737" s="9">
        <f t="shared" ca="1" si="2053"/>
        <v>14</v>
      </c>
      <c r="AB737" s="11">
        <f t="shared" ca="1" si="2053"/>
        <v>2694.8299999999899</v>
      </c>
      <c r="AC737" s="9">
        <f t="shared" ca="1" si="2053"/>
        <v>866</v>
      </c>
      <c r="AD737" s="9">
        <f t="shared" ca="1" si="2053"/>
        <v>0</v>
      </c>
      <c r="AE737" s="9">
        <f t="shared" ca="1" si="2053"/>
        <v>866</v>
      </c>
      <c r="AF737" s="9">
        <f t="shared" ca="1" si="2053"/>
        <v>1072</v>
      </c>
      <c r="AG737" s="9">
        <f t="shared" ca="1" si="2053"/>
        <v>12</v>
      </c>
      <c r="AH737" s="9">
        <f t="shared" ca="1" si="2053"/>
        <v>1084</v>
      </c>
      <c r="AI737" s="9">
        <f t="shared" ca="1" si="2053"/>
        <v>1950</v>
      </c>
      <c r="AJ737" s="11">
        <f t="shared" ca="1" si="2049"/>
        <v>192.48785714285643</v>
      </c>
      <c r="AK737" s="8">
        <f t="shared" si="2050"/>
        <v>2717</v>
      </c>
      <c r="AL737" s="12">
        <f t="shared" ca="1" si="2027"/>
        <v>0.71770334928229662</v>
      </c>
      <c r="AM737" s="13">
        <f t="shared" si="2051"/>
        <v>1.5</v>
      </c>
      <c r="AN737" s="12">
        <f t="shared" ca="1" si="2029"/>
        <v>0.4824051981015518</v>
      </c>
      <c r="AO737" s="14">
        <f t="shared" ca="1" si="2030"/>
        <v>0.7236077971523277</v>
      </c>
      <c r="AP737" s="13">
        <f t="shared" ref="AP737:AQ737" ca="1" si="2054">SUM(T752)</f>
        <v>61.999999999999766</v>
      </c>
      <c r="AQ737" s="13">
        <f t="shared" ca="1" si="2054"/>
        <v>4.4285714285714119</v>
      </c>
      <c r="AR737" s="9">
        <f t="shared" ca="1" si="2032"/>
        <v>139.28571428571428</v>
      </c>
      <c r="AS737" s="76"/>
      <c r="AT737" s="76"/>
    </row>
    <row r="738" spans="1:46" ht="15.75" customHeight="1" x14ac:dyDescent="0.25">
      <c r="A738" s="70"/>
      <c r="B738" s="16">
        <v>4</v>
      </c>
      <c r="C738" s="16" t="s">
        <v>32</v>
      </c>
      <c r="D738" s="17">
        <v>42</v>
      </c>
      <c r="E738" s="18">
        <f ca="1">IFERROR(__xludf.DUMMYFUNCTION("COUNT(IMPORTRANGE(""https://docs.google.com/spreadsheets/d/1gYHli7FuKQLm2Q-5LMR0UtkD-gRRA_p8s-phLPLDLgc/edit"",""28!d2:d43""))"),42)</f>
        <v>42</v>
      </c>
      <c r="F738" s="23">
        <f ca="1">IFERROR(__xludf.DUMMYFUNCTION("SUM(IMPORTRANGE(""https://docs.google.com/spreadsheets/d/1gYHli7FuKQLm2Q-5LMR0UtkD-gRRA_p8s-phLPLDLgc/edit"",""28!Q2:Q43""))"),8329.54799999999)</f>
        <v>8329.5479999999898</v>
      </c>
      <c r="G738" s="16">
        <f ca="1">IFERROR(__xludf.DUMMYFUNCTION("IMPORTRANGE(""https://docs.google.com/spreadsheets/d/1gYHli7FuKQLm2Q-5LMR0UtkD-gRRA_p8s-phLPLDLgc/edit"",""28!e50"")"),4813)</f>
        <v>4813</v>
      </c>
      <c r="H738" s="16">
        <f ca="1">IFERROR(__xludf.DUMMYFUNCTION("IMPORTRANGE(""https://docs.google.com/spreadsheets/d/1gYHli7FuKQLm2Q-5LMR0UtkD-gRRA_p8s-phLPLDLgc/edit"",""28!e51"")"),0)</f>
        <v>0</v>
      </c>
      <c r="I738" s="18">
        <f t="shared" ca="1" si="2037"/>
        <v>4813</v>
      </c>
      <c r="J738" s="16">
        <f ca="1">IFERROR(__xludf.DUMMYFUNCTION("IMPORTRANGE(""https://docs.google.com/spreadsheets/d/1gYHli7FuKQLm2Q-5LMR0UtkD-gRRA_p8s-phLPLDLgc/edit"",""28!e54"")"),5794)</f>
        <v>5794</v>
      </c>
      <c r="K738" s="16">
        <f ca="1">IFERROR(__xludf.DUMMYFUNCTION("IMPORTRANGE(""https://docs.google.com/spreadsheets/d/1gYHli7FuKQLm2Q-5LMR0UtkD-gRRA_p8s-phLPLDLgc/edit"",""28!e55"")"),0)</f>
        <v>0</v>
      </c>
      <c r="L738" s="18">
        <f t="shared" ca="1" si="2038"/>
        <v>5794</v>
      </c>
      <c r="M738" s="18">
        <f t="shared" ca="1" si="2039"/>
        <v>10607</v>
      </c>
      <c r="N738" s="19">
        <f t="shared" ca="1" si="2040"/>
        <v>198.32257142857119</v>
      </c>
      <c r="O738" s="16">
        <v>13817</v>
      </c>
      <c r="P738" s="20">
        <f t="shared" ca="1" si="2041"/>
        <v>0.76767749873344426</v>
      </c>
      <c r="Q738" s="21">
        <v>1.5</v>
      </c>
      <c r="R738" s="20">
        <f t="shared" ca="1" si="2042"/>
        <v>0.84894562506072857</v>
      </c>
      <c r="S738" s="22">
        <f t="shared" ca="1" si="2043"/>
        <v>1.2734184375910929</v>
      </c>
      <c r="T738" s="21">
        <f ca="1">F738/25.089</f>
        <v>331.9999999999996</v>
      </c>
      <c r="U738" s="21">
        <f t="shared" ca="1" si="2044"/>
        <v>7.9047619047618953</v>
      </c>
      <c r="V738" s="18">
        <f t="shared" ca="1" si="2045"/>
        <v>252.54761904761904</v>
      </c>
      <c r="W738" s="76"/>
      <c r="X738" s="24" t="s">
        <v>33</v>
      </c>
      <c r="Y738" s="24">
        <v>6</v>
      </c>
      <c r="Z738" s="24">
        <f t="shared" ref="Z738:AI738" si="2055">SUM(Z732:Z737)</f>
        <v>186</v>
      </c>
      <c r="AA738" s="25">
        <f t="shared" ca="1" si="2055"/>
        <v>179</v>
      </c>
      <c r="AB738" s="26">
        <f t="shared" ca="1" si="2055"/>
        <v>34348.528999999951</v>
      </c>
      <c r="AC738" s="25">
        <f t="shared" ca="1" si="2055"/>
        <v>11519</v>
      </c>
      <c r="AD738" s="25">
        <f t="shared" ca="1" si="2055"/>
        <v>397</v>
      </c>
      <c r="AE738" s="25">
        <f t="shared" ca="1" si="2055"/>
        <v>11916</v>
      </c>
      <c r="AF738" s="25">
        <f t="shared" ca="1" si="2055"/>
        <v>16531</v>
      </c>
      <c r="AG738" s="25">
        <f t="shared" ca="1" si="2055"/>
        <v>505</v>
      </c>
      <c r="AH738" s="25">
        <f t="shared" ca="1" si="2055"/>
        <v>17036</v>
      </c>
      <c r="AI738" s="25">
        <f t="shared" ca="1" si="2055"/>
        <v>28952</v>
      </c>
      <c r="AJ738" s="27">
        <f t="shared" ca="1" si="2049"/>
        <v>191.89122346368688</v>
      </c>
      <c r="AK738" s="24">
        <f>SUM(AK732:AK737)</f>
        <v>35074</v>
      </c>
      <c r="AL738" s="28">
        <f t="shared" ca="1" si="2027"/>
        <v>0.82545475280834801</v>
      </c>
      <c r="AM738" s="29">
        <v>1.5</v>
      </c>
      <c r="AN738" s="28">
        <f t="shared" ca="1" si="2029"/>
        <v>0.56192605317489319</v>
      </c>
      <c r="AO738" s="30">
        <f t="shared" ca="1" si="2030"/>
        <v>0.84288907976233973</v>
      </c>
      <c r="AP738" s="29">
        <f ca="1">SUM(AP732:AP737)</f>
        <v>1286.2139223922418</v>
      </c>
      <c r="AQ738" s="29">
        <f ca="1">AP738/AA738</f>
        <v>7.1855526390628031</v>
      </c>
      <c r="AR738" s="25">
        <f t="shared" ca="1" si="2032"/>
        <v>161.74301675977654</v>
      </c>
      <c r="AS738" s="76"/>
      <c r="AT738" s="76"/>
    </row>
    <row r="739" spans="1:46" ht="15.75" customHeight="1" x14ac:dyDescent="0.25">
      <c r="A739" s="70"/>
      <c r="B739" s="16">
        <v>5</v>
      </c>
      <c r="C739" s="16" t="s">
        <v>34</v>
      </c>
      <c r="D739" s="17">
        <v>40</v>
      </c>
      <c r="E739" s="18">
        <f ca="1">IFERROR(__xludf.DUMMYFUNCTION("COUNT(IMPORTRANGE(""https://docs.google.com/spreadsheets/d/1ptS0qWBCKWkc9h2aXWT_YgMhN7yIv5WgAHRbF8l9Zpo/edit"",""28!d2:d41""))"),39)</f>
        <v>39</v>
      </c>
      <c r="F739" s="23">
        <f ca="1">IFERROR(__xludf.DUMMYFUNCTION("SUM(IMPORTRANGE(""https://docs.google.com/spreadsheets/d/1ptS0qWBCKWkc9h2aXWT_YgMhN7yIv5WgAHRbF8l9Zpo/edit"",""28!Q2:Q41""))"),7595.589)</f>
        <v>7595.5889999999999</v>
      </c>
      <c r="G739" s="18">
        <f ca="1">IFERROR(__xludf.DUMMYFUNCTION("IMPORTRANGE(""https://docs.google.com/spreadsheets/d/1ptS0qWBCKWkc9h2aXWT_YgMhN7yIv5WgAHRbF8l9Zpo/edit"",""28!e48"")"),3059)</f>
        <v>3059</v>
      </c>
      <c r="H739" s="18">
        <f ca="1">IFERROR(__xludf.DUMMYFUNCTION("IMPORTRANGE(""https://docs.google.com/spreadsheets/d/1ptS0qWBCKWkc9h2aXWT_YgMhN7yIv5WgAHRbF8l9Zpo/edit"",""28!e49"")"),0)</f>
        <v>0</v>
      </c>
      <c r="I739" s="18">
        <f t="shared" ca="1" si="2037"/>
        <v>3059</v>
      </c>
      <c r="J739" s="18">
        <f ca="1">IFERROR(__xludf.DUMMYFUNCTION("IMPORTRANGE(""https://docs.google.com/spreadsheets/d/1ptS0qWBCKWkc9h2aXWT_YgMhN7yIv5WgAHRbF8l9Zpo/edit"",""28!e52"")"),3189)</f>
        <v>3189</v>
      </c>
      <c r="K739" s="18">
        <f ca="1">IFERROR(__xludf.DUMMYFUNCTION("IMPORTRANGE(""https://docs.google.com/spreadsheets/d/1ptS0qWBCKWkc9h2aXWT_YgMhN7yIv5WgAHRbF8l9Zpo/edit"",""28!e53"")"),0)</f>
        <v>0</v>
      </c>
      <c r="L739" s="18">
        <f t="shared" ca="1" si="2038"/>
        <v>3189</v>
      </c>
      <c r="M739" s="18">
        <f t="shared" ca="1" si="2039"/>
        <v>6248</v>
      </c>
      <c r="N739" s="19">
        <f t="shared" ca="1" si="2040"/>
        <v>194.75869230769231</v>
      </c>
      <c r="O739" s="16">
        <v>9354</v>
      </c>
      <c r="P739" s="20">
        <f t="shared" ca="1" si="2041"/>
        <v>0.66794954030361342</v>
      </c>
      <c r="Q739" s="21">
        <v>1.5</v>
      </c>
      <c r="R739" s="20">
        <f t="shared" ca="1" si="2042"/>
        <v>0.54838845721290785</v>
      </c>
      <c r="S739" s="22">
        <f t="shared" ca="1" si="2043"/>
        <v>0.82258268581936178</v>
      </c>
      <c r="T739" s="21">
        <f ca="1">F739/30.713</f>
        <v>247.30859896460782</v>
      </c>
      <c r="U739" s="21">
        <f t="shared" ca="1" si="2044"/>
        <v>6.3412461272976364</v>
      </c>
      <c r="V739" s="18">
        <f t="shared" ca="1" si="2045"/>
        <v>160.2051282051282</v>
      </c>
      <c r="W739" s="76"/>
      <c r="X739" s="100" t="s">
        <v>35</v>
      </c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9"/>
      <c r="AS739" s="76"/>
      <c r="AT739" s="76"/>
    </row>
    <row r="740" spans="1:46" ht="15.75" customHeight="1" x14ac:dyDescent="0.25">
      <c r="A740" s="70"/>
      <c r="B740" s="16">
        <v>6</v>
      </c>
      <c r="C740" s="16" t="s">
        <v>23</v>
      </c>
      <c r="D740" s="17">
        <v>35</v>
      </c>
      <c r="E740" s="18">
        <f ca="1">IFERROR(__xludf.DUMMYFUNCTION("COUNT(IMPORTRANGE(""https://docs.google.com/spreadsheets/d/1829CoYW82aTBBUgqkPnJa94KlBWI-DowAnP4ENQCmaQ/edit"",""28!d2:d36""))"),34)</f>
        <v>34</v>
      </c>
      <c r="F740" s="23">
        <f ca="1">IFERROR(__xludf.DUMMYFUNCTION("SUM(IMPORTRANGE(""https://docs.google.com/spreadsheets/d/1829CoYW82aTBBUgqkPnJa94KlBWI-DowAnP4ENQCmaQ/edit"",""28!Q2:Q36""))"),6747.99999999999)</f>
        <v>6747.99999999999</v>
      </c>
      <c r="G740" s="18">
        <f ca="1">IFERROR(__xludf.DUMMYFUNCTION("IMPORTRANGE(""https://docs.google.com/spreadsheets/d/1829CoYW82aTBBUgqkPnJa94KlBWI-DowAnP4ENQCmaQ/edit"",""28!e43"")"),1739)</f>
        <v>1739</v>
      </c>
      <c r="H740" s="18">
        <f ca="1">IFERROR(__xludf.DUMMYFUNCTION("IMPORTRANGE(""https://docs.google.com/spreadsheets/d/1829CoYW82aTBBUgqkPnJa94KlBWI-DowAnP4ENQCmaQ/edit"",""28!e44"")"),0)</f>
        <v>0</v>
      </c>
      <c r="I740" s="18">
        <f t="shared" ca="1" si="2037"/>
        <v>1739</v>
      </c>
      <c r="J740" s="18">
        <f ca="1">IFERROR(__xludf.DUMMYFUNCTION("IMPORTRANGE(""https://docs.google.com/spreadsheets/d/1829CoYW82aTBBUgqkPnJa94KlBWI-DowAnP4ENQCmaQ/edit"",""28!e47"")"),3251)</f>
        <v>3251</v>
      </c>
      <c r="K740" s="18">
        <f ca="1">IFERROR(__xludf.DUMMYFUNCTION("IMPORTRANGE(""https://docs.google.com/spreadsheets/d/1829CoYW82aTBBUgqkPnJa94KlBWI-DowAnP4ENQCmaQ/edit"",""28!e48"")"),0)</f>
        <v>0</v>
      </c>
      <c r="L740" s="18">
        <f t="shared" ca="1" si="2038"/>
        <v>3251</v>
      </c>
      <c r="M740" s="18">
        <f t="shared" ca="1" si="2039"/>
        <v>4990</v>
      </c>
      <c r="N740" s="19">
        <f t="shared" ca="1" si="2040"/>
        <v>198.47058823529383</v>
      </c>
      <c r="O740" s="16">
        <v>6853</v>
      </c>
      <c r="P740" s="20">
        <f t="shared" ca="1" si="2041"/>
        <v>0.72814825623814383</v>
      </c>
      <c r="Q740" s="21">
        <v>1.5</v>
      </c>
      <c r="R740" s="20">
        <f t="shared" ca="1" si="2042"/>
        <v>0.49298557597312859</v>
      </c>
      <c r="S740" s="22">
        <f t="shared" ca="1" si="2043"/>
        <v>0.73947836395969291</v>
      </c>
      <c r="T740" s="21">
        <f ca="1">F740/33.74</f>
        <v>199.99999999999969</v>
      </c>
      <c r="U740" s="21">
        <f t="shared" ca="1" si="2044"/>
        <v>5.8823529411764612</v>
      </c>
      <c r="V740" s="18">
        <f t="shared" ca="1" si="2045"/>
        <v>146.76470588235293</v>
      </c>
      <c r="W740" s="76"/>
      <c r="X740" s="1" t="s">
        <v>2</v>
      </c>
      <c r="Y740" s="1" t="s">
        <v>3</v>
      </c>
      <c r="Z740" s="1" t="s">
        <v>4</v>
      </c>
      <c r="AA740" s="1" t="s">
        <v>5</v>
      </c>
      <c r="AB740" s="2" t="s">
        <v>6</v>
      </c>
      <c r="AC740" s="1" t="s">
        <v>7</v>
      </c>
      <c r="AD740" s="1" t="s">
        <v>8</v>
      </c>
      <c r="AE740" s="1" t="s">
        <v>9</v>
      </c>
      <c r="AF740" s="1" t="s">
        <v>10</v>
      </c>
      <c r="AG740" s="1" t="s">
        <v>11</v>
      </c>
      <c r="AH740" s="1" t="s">
        <v>12</v>
      </c>
      <c r="AI740" s="1" t="s">
        <v>13</v>
      </c>
      <c r="AJ740" s="2" t="s">
        <v>14</v>
      </c>
      <c r="AK740" s="1" t="s">
        <v>15</v>
      </c>
      <c r="AL740" s="1" t="s">
        <v>16</v>
      </c>
      <c r="AM740" s="3" t="s">
        <v>17</v>
      </c>
      <c r="AN740" s="4" t="s">
        <v>18</v>
      </c>
      <c r="AO740" s="5" t="s">
        <v>19</v>
      </c>
      <c r="AP740" s="6" t="s">
        <v>20</v>
      </c>
      <c r="AQ740" s="6" t="s">
        <v>21</v>
      </c>
      <c r="AR740" s="7" t="s">
        <v>22</v>
      </c>
      <c r="AS740" s="76"/>
      <c r="AT740" s="76"/>
    </row>
    <row r="741" spans="1:46" ht="15.75" customHeight="1" x14ac:dyDescent="0.25">
      <c r="A741" s="70"/>
      <c r="B741" s="16">
        <v>7</v>
      </c>
      <c r="C741" s="16" t="s">
        <v>24</v>
      </c>
      <c r="D741" s="17">
        <v>44</v>
      </c>
      <c r="E741" s="31">
        <f ca="1">IFERROR(__xludf.DUMMYFUNCTION("COUNT(IMPORTRANGE(""https://docs.google.com/spreadsheets/d/1E2x4oDZxEIsuC5nl-5Z0--MoN8b1dt9SbpRcCfNP84Q/edit"",""28!d2:d45""))"),43)</f>
        <v>43</v>
      </c>
      <c r="F741" s="32">
        <f ca="1">IFERROR(__xludf.DUMMYFUNCTION("SUM(IMPORTRANGE(""https://docs.google.com/spreadsheets/d/1E2x4oDZxEIsuC5nl-5Z0--MoN8b1dt9SbpRcCfNP84Q/edit"",""28!Q2:Q45""))"),7875.17399999999)</f>
        <v>7875.17399999999</v>
      </c>
      <c r="G741" s="31">
        <f ca="1">IFERROR(__xludf.DUMMYFUNCTION("IMPORTRANGE(""https://docs.google.com/spreadsheets/d/1E2x4oDZxEIsuC5nl-5Z0--MoN8b1dt9SbpRcCfNP84Q/edit"",""28!e53"")"),1152)</f>
        <v>1152</v>
      </c>
      <c r="H741" s="31">
        <f ca="1">IFERROR(__xludf.DUMMYFUNCTION("IMPORTRANGE(""https://docs.google.com/spreadsheets/d/1E2x4oDZxEIsuC5nl-5Z0--MoN8b1dt9SbpRcCfNP84Q/edit"",""28!e54"")"),0)</f>
        <v>0</v>
      </c>
      <c r="I741" s="31">
        <f t="shared" ca="1" si="2037"/>
        <v>1152</v>
      </c>
      <c r="J741" s="31">
        <f ca="1">IFERROR(__xludf.DUMMYFUNCTION("IMPORTRANGE(""https://docs.google.com/spreadsheets/d/1E2x4oDZxEIsuC5nl-5Z0--MoN8b1dt9SbpRcCfNP84Q/edit"",""28!e57"")"),1345)</f>
        <v>1345</v>
      </c>
      <c r="K741" s="31">
        <f ca="1">IFERROR(__xludf.DUMMYFUNCTION("IMPORTRANGE(""https://docs.google.com/spreadsheets/d/1E2x4oDZxEIsuC5nl-5Z0--MoN8b1dt9SbpRcCfNP84Q/edit"",""28!e58"")"),0)</f>
        <v>0</v>
      </c>
      <c r="L741" s="18">
        <f t="shared" ca="1" si="2038"/>
        <v>1345</v>
      </c>
      <c r="M741" s="18">
        <f t="shared" ca="1" si="2039"/>
        <v>2497</v>
      </c>
      <c r="N741" s="19">
        <f t="shared" ca="1" si="2040"/>
        <v>183.1435813953486</v>
      </c>
      <c r="O741" s="16">
        <v>1580</v>
      </c>
      <c r="P741" s="33">
        <f t="shared" ca="1" si="2041"/>
        <v>1.580379746835443</v>
      </c>
      <c r="Q741" s="21">
        <v>1.5</v>
      </c>
      <c r="R741" s="20">
        <f t="shared" ca="1" si="2042"/>
        <v>0.21138157286006234</v>
      </c>
      <c r="S741" s="22">
        <f t="shared" ca="1" si="2043"/>
        <v>0.31707235929009353</v>
      </c>
      <c r="T741" s="21">
        <f ca="1">F741/26.805</f>
        <v>293.79496362618875</v>
      </c>
      <c r="U741" s="21">
        <f t="shared" ca="1" si="2044"/>
        <v>6.8324410145625292</v>
      </c>
      <c r="V741" s="18">
        <f t="shared" ca="1" si="2045"/>
        <v>58.069767441860463</v>
      </c>
      <c r="W741" s="76"/>
      <c r="X741" s="8">
        <v>1</v>
      </c>
      <c r="Y741" s="8" t="s">
        <v>28</v>
      </c>
      <c r="Z741" s="8">
        <f t="shared" ref="Z741:AI741" si="2056">SUM(D736)</f>
        <v>33</v>
      </c>
      <c r="AA741" s="9">
        <f t="shared" ca="1" si="2056"/>
        <v>33</v>
      </c>
      <c r="AB741" s="11">
        <f t="shared" ca="1" si="2056"/>
        <v>6497.9359999999997</v>
      </c>
      <c r="AC741" s="9">
        <f t="shared" ca="1" si="2056"/>
        <v>2888</v>
      </c>
      <c r="AD741" s="9">
        <f t="shared" ca="1" si="2056"/>
        <v>161</v>
      </c>
      <c r="AE741" s="9">
        <f t="shared" ca="1" si="2056"/>
        <v>3049</v>
      </c>
      <c r="AF741" s="9">
        <f t="shared" ca="1" si="2056"/>
        <v>2691</v>
      </c>
      <c r="AG741" s="9">
        <f t="shared" ca="1" si="2056"/>
        <v>323</v>
      </c>
      <c r="AH741" s="9">
        <f t="shared" ca="1" si="2056"/>
        <v>3014</v>
      </c>
      <c r="AI741" s="9">
        <f t="shared" ca="1" si="2056"/>
        <v>6063</v>
      </c>
      <c r="AJ741" s="11">
        <f t="shared" ref="AJ741:AJ747" ca="1" si="2057">AB741/AA741</f>
        <v>196.9071515151515</v>
      </c>
      <c r="AK741" s="8">
        <f t="shared" ref="AK741:AK742" si="2058">SUM(O736)</f>
        <v>7315</v>
      </c>
      <c r="AL741" s="12">
        <f t="shared" ref="AL741:AL747" ca="1" si="2059">AI741/AK741</f>
        <v>0.82884483937115516</v>
      </c>
      <c r="AM741" s="13">
        <f t="shared" ref="AM741:AM742" si="2060">SUM(Q736)</f>
        <v>1.5</v>
      </c>
      <c r="AN741" s="12">
        <f t="shared" ref="AN741:AN747" ca="1" si="2061">AO741/AM741</f>
        <v>0.62204367663824334</v>
      </c>
      <c r="AO741" s="14">
        <f t="shared" ref="AO741:AO747" ca="1" si="2062">AI741/AB741</f>
        <v>0.93306551495736501</v>
      </c>
      <c r="AP741" s="13">
        <f t="shared" ref="AP741:AQ741" ca="1" si="2063">SUM(T736)</f>
        <v>210.30960934718581</v>
      </c>
      <c r="AQ741" s="13">
        <f t="shared" ca="1" si="2063"/>
        <v>6.3730184650662371</v>
      </c>
      <c r="AR741" s="9">
        <f t="shared" ref="AR741:AR747" ca="1" si="2064">AI741/AA741</f>
        <v>183.72727272727272</v>
      </c>
      <c r="AS741" s="76"/>
      <c r="AT741" s="76"/>
    </row>
    <row r="742" spans="1:46" ht="15.75" customHeight="1" x14ac:dyDescent="0.25">
      <c r="A742" s="70"/>
      <c r="B742" s="16">
        <v>8</v>
      </c>
      <c r="C742" s="16" t="s">
        <v>25</v>
      </c>
      <c r="D742" s="34">
        <v>32</v>
      </c>
      <c r="E742" s="18">
        <f ca="1">IFERROR(__xludf.DUMMYFUNCTION("COUNT(IMPORTRANGE(""https://docs.google.com/spreadsheets/d/1KbRFOEYB0B44J_NSh1MwYQ1sLDlZXUHI-wuMLcZDn5k/edit"",""28!d2:D33""))"),31)</f>
        <v>31</v>
      </c>
      <c r="F742" s="23">
        <f ca="1">IFERROR(__xludf.DUMMYFUNCTION("SUM(IMPORTRANGE(""https://docs.google.com/spreadsheets/d/1KbRFOEYB0B44J_NSh1MwYQ1sLDlZXUHI-wuMLcZDn5k/edit"",""28!Q2:Q33""))"),5672.152)</f>
        <v>5672.152</v>
      </c>
      <c r="G742" s="18">
        <f ca="1">IFERROR(__xludf.DUMMYFUNCTION("IMPORTRANGE(""https://docs.google.com/spreadsheets/d/1KbRFOEYB0B44J_NSh1MwYQ1sLDlZXUHI-wuMLcZDn5k/edit"",""28!e40"")"),2296)</f>
        <v>2296</v>
      </c>
      <c r="H742" s="18">
        <f ca="1">IFERROR(__xludf.DUMMYFUNCTION("IMPORTRANGE(""https://docs.google.com/spreadsheets/d/1KbRFOEYB0B44J_NSh1MwYQ1sLDlZXUHI-wuMLcZDn5k/edit"",""28!e41"")"),301)</f>
        <v>301</v>
      </c>
      <c r="I742" s="18">
        <f t="shared" ca="1" si="2037"/>
        <v>2597</v>
      </c>
      <c r="J742" s="18">
        <f ca="1">IFERROR(__xludf.DUMMYFUNCTION("IMPORTRANGE(""https://docs.google.com/spreadsheets/d/1KbRFOEYB0B44J_NSh1MwYQ1sLDlZXUHI-wuMLcZDn5k/edit"",""28!e44"")"),3593)</f>
        <v>3593</v>
      </c>
      <c r="K742" s="18">
        <f ca="1">IFERROR(__xludf.DUMMYFUNCTION("IMPORTRANGE(""https://docs.google.com/spreadsheets/d/1KbRFOEYB0B44J_NSh1MwYQ1sLDlZXUHI-wuMLcZDn5k/edit"",""28!e45"")"),382)</f>
        <v>382</v>
      </c>
      <c r="L742" s="18">
        <f ca="1">J742+K742</f>
        <v>3975</v>
      </c>
      <c r="M742" s="18">
        <f t="shared" ca="1" si="2039"/>
        <v>6572</v>
      </c>
      <c r="N742" s="19">
        <f t="shared" ca="1" si="2040"/>
        <v>182.97264516129033</v>
      </c>
      <c r="O742" s="16">
        <v>6622</v>
      </c>
      <c r="P742" s="20">
        <f t="shared" ca="1" si="2041"/>
        <v>0.99244941105406226</v>
      </c>
      <c r="Q742" s="21">
        <v>1.5</v>
      </c>
      <c r="R742" s="20">
        <f t="shared" ca="1" si="2042"/>
        <v>0.77242875954899182</v>
      </c>
      <c r="S742" s="22">
        <f t="shared" ca="1" si="2043"/>
        <v>1.1586431393234877</v>
      </c>
      <c r="T742" s="21">
        <f ca="1">F742/23.84</f>
        <v>237.92583892617449</v>
      </c>
      <c r="U742" s="21">
        <f t="shared" ca="1" si="2044"/>
        <v>7.675027062134661</v>
      </c>
      <c r="V742" s="18">
        <f t="shared" ca="1" si="2045"/>
        <v>212</v>
      </c>
      <c r="W742" s="76"/>
      <c r="X742" s="8">
        <v>2</v>
      </c>
      <c r="Y742" s="8" t="s">
        <v>30</v>
      </c>
      <c r="Z742" s="8">
        <f t="shared" ref="Z742:AI742" si="2065">SUM(D737)</f>
        <v>60</v>
      </c>
      <c r="AA742" s="9">
        <f t="shared" ca="1" si="2065"/>
        <v>59</v>
      </c>
      <c r="AB742" s="10">
        <f t="shared" ca="1" si="2065"/>
        <v>11794.692999999899</v>
      </c>
      <c r="AC742" s="9">
        <f t="shared" ca="1" si="2065"/>
        <v>3341</v>
      </c>
      <c r="AD742" s="9">
        <f t="shared" ca="1" si="2065"/>
        <v>54</v>
      </c>
      <c r="AE742" s="9">
        <f t="shared" ca="1" si="2065"/>
        <v>3395</v>
      </c>
      <c r="AF742" s="9">
        <f t="shared" ca="1" si="2065"/>
        <v>4421</v>
      </c>
      <c r="AG742" s="9">
        <f t="shared" ca="1" si="2065"/>
        <v>66</v>
      </c>
      <c r="AH742" s="9">
        <f t="shared" ca="1" si="2065"/>
        <v>4487</v>
      </c>
      <c r="AI742" s="9">
        <f t="shared" ca="1" si="2065"/>
        <v>7882</v>
      </c>
      <c r="AJ742" s="11">
        <f t="shared" ca="1" si="2057"/>
        <v>199.91005084745592</v>
      </c>
      <c r="AK742" s="8">
        <f t="shared" si="2058"/>
        <v>11164</v>
      </c>
      <c r="AL742" s="12">
        <f t="shared" ca="1" si="2059"/>
        <v>0.70601934790397702</v>
      </c>
      <c r="AM742" s="13">
        <f t="shared" si="2060"/>
        <v>1.5</v>
      </c>
      <c r="AN742" s="12">
        <f t="shared" ca="1" si="2061"/>
        <v>0.44551110119328347</v>
      </c>
      <c r="AO742" s="14">
        <f t="shared" ca="1" si="2062"/>
        <v>0.66826665178992517</v>
      </c>
      <c r="AP742" s="13">
        <f t="shared" ref="AP742:AQ742" ca="1" si="2066">SUM(T737)</f>
        <v>398.42897679288922</v>
      </c>
      <c r="AQ742" s="13">
        <f t="shared" ca="1" si="2066"/>
        <v>6.7530335049642236</v>
      </c>
      <c r="AR742" s="9">
        <f t="shared" ca="1" si="2064"/>
        <v>133.59322033898306</v>
      </c>
      <c r="AS742" s="76"/>
      <c r="AT742" s="76"/>
    </row>
    <row r="743" spans="1:46" ht="15.75" customHeight="1" x14ac:dyDescent="0.25">
      <c r="A743" s="70"/>
      <c r="B743" s="16">
        <v>9</v>
      </c>
      <c r="C743" s="16" t="s">
        <v>36</v>
      </c>
      <c r="D743" s="34">
        <v>30</v>
      </c>
      <c r="E743" s="18">
        <f ca="1">IFERROR(__xludf.DUMMYFUNCTION("COUNT(IMPORTRANGE(""https://docs.google.com/spreadsheets/d/1VqqqRGfmmkT0JC4ILJva2p8P11jjV0FX-TSKAaqOigw/edit"",""28!d2:d31""))"),30)</f>
        <v>30</v>
      </c>
      <c r="F743" s="23">
        <f ca="1">IFERROR(__xludf.DUMMYFUNCTION("SUM(IMPORTRANGE(""https://docs.google.com/spreadsheets/d/1VqqqRGfmmkT0JC4ILJva2p8P11jjV0FX-TSKAaqOigw/edit"",""28!Q2:Q31""))"),5905.02799999999)</f>
        <v>5905.0279999999902</v>
      </c>
      <c r="G743" s="18">
        <f ca="1">IFERROR(__xludf.DUMMYFUNCTION("IMPORTRANGE(""https://docs.google.com/spreadsheets/d/1VqqqRGfmmkT0JC4ILJva2p8P11jjV0FX-TSKAaqOigw/edit"",""28!e38"")"),1727)</f>
        <v>1727</v>
      </c>
      <c r="H743" s="18">
        <f ca="1">IFERROR(__xludf.DUMMYFUNCTION("IMPORTRANGE(""https://docs.google.com/spreadsheets/d/1VqqqRGfmmkT0JC4ILJva2p8P11jjV0FX-TSKAaqOigw/edit"",""28!e39"")"),0)</f>
        <v>0</v>
      </c>
      <c r="I743" s="18">
        <f t="shared" ca="1" si="2037"/>
        <v>1727</v>
      </c>
      <c r="J743" s="18">
        <f ca="1">IFERROR(__xludf.DUMMYFUNCTION("IMPORTRANGE(""https://docs.google.com/spreadsheets/d/1VqqqRGfmmkT0JC4ILJva2p8P11jjV0FX-TSKAaqOigw/edit"",""28!e42"")"),2137)</f>
        <v>2137</v>
      </c>
      <c r="K743" s="18">
        <f ca="1">IFERROR(__xludf.DUMMYFUNCTION("IMPORTRANGE(""https://docs.google.com/spreadsheets/d/1VqqqRGfmmkT0JC4ILJva2p8P11jjV0FX-TSKAaqOigw/edit"",""28!e43"")"),50)</f>
        <v>50</v>
      </c>
      <c r="L743" s="18">
        <f t="shared" ref="L743:L752" ca="1" si="2067">SUM(J743:K743)</f>
        <v>2187</v>
      </c>
      <c r="M743" s="18">
        <f t="shared" ca="1" si="2039"/>
        <v>3914</v>
      </c>
      <c r="N743" s="19">
        <f t="shared" ca="1" si="2040"/>
        <v>196.83426666666634</v>
      </c>
      <c r="O743" s="16">
        <v>4796</v>
      </c>
      <c r="P743" s="20">
        <f t="shared" ca="1" si="2041"/>
        <v>0.81609674728940784</v>
      </c>
      <c r="Q743" s="21">
        <v>1.5</v>
      </c>
      <c r="R743" s="20">
        <f t="shared" ca="1" si="2042"/>
        <v>0.44188331254878682</v>
      </c>
      <c r="S743" s="22">
        <f t="shared" ca="1" si="2043"/>
        <v>0.66282496882318021</v>
      </c>
      <c r="T743" s="21">
        <f ca="1">F743/37.414</f>
        <v>157.82936868551852</v>
      </c>
      <c r="U743" s="21">
        <f t="shared" ca="1" si="2044"/>
        <v>5.2609789561839504</v>
      </c>
      <c r="V743" s="18">
        <f t="shared" ca="1" si="2045"/>
        <v>130.46666666666667</v>
      </c>
      <c r="W743" s="76"/>
      <c r="X743" s="8">
        <v>3</v>
      </c>
      <c r="Y743" s="8" t="s">
        <v>34</v>
      </c>
      <c r="Z743" s="8">
        <f t="shared" ref="Z743:AI743" si="2068">SUM(D739)</f>
        <v>40</v>
      </c>
      <c r="AA743" s="9">
        <f t="shared" ca="1" si="2068"/>
        <v>39</v>
      </c>
      <c r="AB743" s="10">
        <f t="shared" ca="1" si="2068"/>
        <v>7595.5889999999999</v>
      </c>
      <c r="AC743" s="9">
        <f t="shared" ca="1" si="2068"/>
        <v>3059</v>
      </c>
      <c r="AD743" s="9">
        <f t="shared" ca="1" si="2068"/>
        <v>0</v>
      </c>
      <c r="AE743" s="9">
        <f t="shared" ca="1" si="2068"/>
        <v>3059</v>
      </c>
      <c r="AF743" s="9">
        <f t="shared" ca="1" si="2068"/>
        <v>3189</v>
      </c>
      <c r="AG743" s="9">
        <f t="shared" ca="1" si="2068"/>
        <v>0</v>
      </c>
      <c r="AH743" s="9">
        <f t="shared" ca="1" si="2068"/>
        <v>3189</v>
      </c>
      <c r="AI743" s="9">
        <f t="shared" ca="1" si="2068"/>
        <v>6248</v>
      </c>
      <c r="AJ743" s="11">
        <f t="shared" ca="1" si="2057"/>
        <v>194.75869230769231</v>
      </c>
      <c r="AK743" s="8">
        <f>SUM(O739)</f>
        <v>9354</v>
      </c>
      <c r="AL743" s="12">
        <f t="shared" ca="1" si="2059"/>
        <v>0.66794954030361342</v>
      </c>
      <c r="AM743" s="13">
        <f>SUM(Q739)</f>
        <v>1.5</v>
      </c>
      <c r="AN743" s="12">
        <f t="shared" ca="1" si="2061"/>
        <v>0.54838845721290785</v>
      </c>
      <c r="AO743" s="14">
        <f t="shared" ca="1" si="2062"/>
        <v>0.82258268581936178</v>
      </c>
      <c r="AP743" s="13">
        <f t="shared" ref="AP743:AQ743" ca="1" si="2069">SUM(T739)</f>
        <v>247.30859896460782</v>
      </c>
      <c r="AQ743" s="13">
        <f t="shared" ca="1" si="2069"/>
        <v>6.3412461272976364</v>
      </c>
      <c r="AR743" s="9">
        <f t="shared" ca="1" si="2064"/>
        <v>160.2051282051282</v>
      </c>
      <c r="AS743" s="76"/>
      <c r="AT743" s="76"/>
    </row>
    <row r="744" spans="1:46" ht="15.75" customHeight="1" x14ac:dyDescent="0.25">
      <c r="A744" s="70"/>
      <c r="B744" s="16">
        <v>10</v>
      </c>
      <c r="C744" s="16" t="s">
        <v>37</v>
      </c>
      <c r="D744" s="17">
        <v>30</v>
      </c>
      <c r="E744" s="18">
        <f ca="1">IFERROR(__xludf.DUMMYFUNCTION("COUNT(IMPORTRANGE(""https://docs.google.com/spreadsheets/d/1IYeRjQd_D6MRqoBKNaky3aSEUloYCJc5XDnPAbdyetk/edit"",""28!d2:d31""))"),30)</f>
        <v>30</v>
      </c>
      <c r="F744" s="23">
        <f ca="1">IFERROR(__xludf.DUMMYFUNCTION("SUM(IMPORTRANGE(""https://docs.google.com/spreadsheets/d/1IYeRjQd_D6MRqoBKNaky3aSEUloYCJc5XDnPAbdyetk/edit"",""28!Q2:Q31""))"),5861.772)</f>
        <v>5861.7719999999999</v>
      </c>
      <c r="G744" s="18">
        <f ca="1">IFERROR(__xludf.DUMMYFUNCTION("(IMPORTRANGE(""https://docs.google.com/spreadsheets/d/1IYeRjQd_D6MRqoBKNaky3aSEUloYCJc5XDnPAbdyetk/edit"",""28!e38""))"),2123)</f>
        <v>2123</v>
      </c>
      <c r="H744" s="18">
        <f ca="1">IFERROR(__xludf.DUMMYFUNCTION("(IMPORTRANGE(""https://docs.google.com/spreadsheets/d/1IYeRjQd_D6MRqoBKNaky3aSEUloYCJc5XDnPAbdyetk/edit"",""28!e39""))"),0)</f>
        <v>0</v>
      </c>
      <c r="I744" s="18">
        <f t="shared" ca="1" si="2037"/>
        <v>2123</v>
      </c>
      <c r="J744" s="18">
        <f ca="1">IFERROR(__xludf.DUMMYFUNCTION("(IMPORTRANGE(""https://docs.google.com/spreadsheets/d/1IYeRjQd_D6MRqoBKNaky3aSEUloYCJc5XDnPAbdyetk/edit"",""28!e42""))"),3187)</f>
        <v>3187</v>
      </c>
      <c r="K744" s="18">
        <f ca="1">IFERROR(__xludf.DUMMYFUNCTION("(IMPORTRANGE(""https://docs.google.com/spreadsheets/d/1IYeRjQd_D6MRqoBKNaky3aSEUloYCJc5XDnPAbdyetk/edit"",""28!e43""))"),0)</f>
        <v>0</v>
      </c>
      <c r="L744" s="18">
        <f t="shared" ca="1" si="2067"/>
        <v>3187</v>
      </c>
      <c r="M744" s="18">
        <f t="shared" ca="1" si="2039"/>
        <v>5310</v>
      </c>
      <c r="N744" s="19">
        <f t="shared" ca="1" si="2040"/>
        <v>195.39240000000001</v>
      </c>
      <c r="O744" s="16">
        <v>5887</v>
      </c>
      <c r="P744" s="20">
        <f t="shared" ca="1" si="2041"/>
        <v>0.90198742993035497</v>
      </c>
      <c r="Q744" s="21">
        <v>1.5</v>
      </c>
      <c r="R744" s="20">
        <f t="shared" ca="1" si="2042"/>
        <v>0.60391294646055838</v>
      </c>
      <c r="S744" s="22">
        <f t="shared" ca="1" si="2043"/>
        <v>0.90586941969083756</v>
      </c>
      <c r="T744" s="21">
        <f ca="1">F744/24.792</f>
        <v>236.4380445304937</v>
      </c>
      <c r="U744" s="21">
        <f t="shared" ca="1" si="2044"/>
        <v>7.8812681510164566</v>
      </c>
      <c r="V744" s="18">
        <f t="shared" ca="1" si="2045"/>
        <v>177</v>
      </c>
      <c r="W744" s="76"/>
      <c r="X744" s="8">
        <v>4</v>
      </c>
      <c r="Y744" s="8" t="s">
        <v>38</v>
      </c>
      <c r="Z744" s="8">
        <f t="shared" ref="Z744:AI744" si="2070">SUM(D747)</f>
        <v>30</v>
      </c>
      <c r="AA744" s="9">
        <f t="shared" ca="1" si="2070"/>
        <v>30</v>
      </c>
      <c r="AB744" s="10">
        <f t="shared" ca="1" si="2070"/>
        <v>6366.6879999999901</v>
      </c>
      <c r="AC744" s="9">
        <f t="shared" ca="1" si="2070"/>
        <v>1942</v>
      </c>
      <c r="AD744" s="9">
        <f t="shared" ca="1" si="2070"/>
        <v>258</v>
      </c>
      <c r="AE744" s="9">
        <f t="shared" ca="1" si="2070"/>
        <v>2200</v>
      </c>
      <c r="AF744" s="9">
        <f t="shared" ca="1" si="2070"/>
        <v>3162</v>
      </c>
      <c r="AG744" s="9">
        <f t="shared" ca="1" si="2070"/>
        <v>309</v>
      </c>
      <c r="AH744" s="9">
        <f t="shared" ca="1" si="2070"/>
        <v>3471</v>
      </c>
      <c r="AI744" s="9">
        <f t="shared" ca="1" si="2070"/>
        <v>5671</v>
      </c>
      <c r="AJ744" s="11">
        <f t="shared" ca="1" si="2057"/>
        <v>212.222933333333</v>
      </c>
      <c r="AK744" s="8">
        <v>7324</v>
      </c>
      <c r="AL744" s="12">
        <f t="shared" ca="1" si="2059"/>
        <v>0.77430365920262156</v>
      </c>
      <c r="AM744" s="13">
        <f>SUM(Q747)</f>
        <v>1.5</v>
      </c>
      <c r="AN744" s="12">
        <f t="shared" ca="1" si="2061"/>
        <v>0.59381999976544675</v>
      </c>
      <c r="AO744" s="14">
        <f t="shared" ca="1" si="2062"/>
        <v>0.89072999964817012</v>
      </c>
      <c r="AP744" s="13">
        <f t="shared" ref="AP744:AQ744" ca="1" si="2071">SUM(T747)</f>
        <v>154.51251061764324</v>
      </c>
      <c r="AQ744" s="13">
        <f t="shared" ca="1" si="2071"/>
        <v>5.1504170205881081</v>
      </c>
      <c r="AR744" s="9">
        <f t="shared" ca="1" si="2064"/>
        <v>189.03333333333333</v>
      </c>
      <c r="AS744" s="76"/>
      <c r="AT744" s="76"/>
    </row>
    <row r="745" spans="1:46" ht="15.75" customHeight="1" x14ac:dyDescent="0.25">
      <c r="A745" s="70"/>
      <c r="B745" s="16">
        <v>12</v>
      </c>
      <c r="C745" s="16" t="s">
        <v>39</v>
      </c>
      <c r="D745" s="17">
        <v>28</v>
      </c>
      <c r="E745" s="18">
        <f ca="1">IFERROR(__xludf.DUMMYFUNCTION("COUNT(IMPORTRANGE(""https://docs.google.com/spreadsheets/d/1TAY2D35yAzyl8a_p5CuZehQvmatfj0b0Q8ICl8GtJBY/edit"",""28!d2:d29""))"),26)</f>
        <v>26</v>
      </c>
      <c r="F745" s="23">
        <f ca="1">IFERROR(__xludf.DUMMYFUNCTION("SUM(IMPORTRANGE(""https://docs.google.com/spreadsheets/d/1TAY2D35yAzyl8a_p5CuZehQvmatfj0b0Q8ICl8GtJBY/edit"",""28!Q2:Q29""))"),4996.514)</f>
        <v>4996.5140000000001</v>
      </c>
      <c r="G745" s="18">
        <f ca="1">IFERROR(__xludf.DUMMYFUNCTION("IMPORTRANGE(""https://docs.google.com/spreadsheets/d/1TAY2D35yAzyl8a_p5CuZehQvmatfj0b0Q8ICl8GtJBY/edit"",""28!e36"")"),1287)</f>
        <v>1287</v>
      </c>
      <c r="H745" s="18">
        <f ca="1">IFERROR(__xludf.DUMMYFUNCTION("(IMPORTRANGE(""https://docs.google.com/spreadsheets/d/1TAY2D35yAzyl8a_p5CuZehQvmatfj0b0Q8ICl8GtJBY/edit"",""28!e37""))"),0)</f>
        <v>0</v>
      </c>
      <c r="I745" s="18">
        <f t="shared" ca="1" si="2037"/>
        <v>1287</v>
      </c>
      <c r="J745" s="18">
        <f ca="1">IFERROR(__xludf.DUMMYFUNCTION("IMPORTRANGE(""https://docs.google.com/spreadsheets/d/1TAY2D35yAzyl8a_p5CuZehQvmatfj0b0Q8ICl8GtJBY/edit"",""28!e40"")"),1706)</f>
        <v>1706</v>
      </c>
      <c r="K745" s="18">
        <f ca="1">IFERROR(__xludf.DUMMYFUNCTION("IMPORTRANGE(""https://docs.google.com/spreadsheets/d/1TAY2D35yAzyl8a_p5CuZehQvmatfj0b0Q8ICl8GtJBY/edit"",""28!e41"")"),135)</f>
        <v>135</v>
      </c>
      <c r="L745" s="18">
        <f t="shared" ca="1" si="2067"/>
        <v>1841</v>
      </c>
      <c r="M745" s="18">
        <f t="shared" ca="1" si="2039"/>
        <v>3128</v>
      </c>
      <c r="N745" s="19">
        <f t="shared" ca="1" si="2040"/>
        <v>192.1736153846154</v>
      </c>
      <c r="O745" s="16">
        <v>3569</v>
      </c>
      <c r="P745" s="20">
        <f t="shared" ca="1" si="2041"/>
        <v>0.87643597646399551</v>
      </c>
      <c r="Q745" s="21">
        <v>1.5</v>
      </c>
      <c r="R745" s="20">
        <f t="shared" ca="1" si="2042"/>
        <v>0.41735764841914452</v>
      </c>
      <c r="S745" s="22">
        <f t="shared" ca="1" si="2043"/>
        <v>0.62603647262871676</v>
      </c>
      <c r="T745" s="21">
        <f ca="1">F745/21.463</f>
        <v>232.79662675301682</v>
      </c>
      <c r="U745" s="21">
        <f t="shared" ca="1" si="2044"/>
        <v>8.9537164135775704</v>
      </c>
      <c r="V745" s="18">
        <f t="shared" ca="1" si="2045"/>
        <v>120.30769230769231</v>
      </c>
      <c r="W745" s="76"/>
      <c r="X745" s="8">
        <v>5</v>
      </c>
      <c r="Y745" s="8" t="s">
        <v>40</v>
      </c>
      <c r="Z745" s="8">
        <f t="shared" ref="Z745:AI745" si="2072">SUM(D749)</f>
        <v>30</v>
      </c>
      <c r="AA745" s="9">
        <f t="shared" ca="1" si="2072"/>
        <v>30</v>
      </c>
      <c r="AB745" s="10">
        <f t="shared" ca="1" si="2072"/>
        <v>5675.0449999999901</v>
      </c>
      <c r="AC745" s="9">
        <f t="shared" ca="1" si="2072"/>
        <v>3587</v>
      </c>
      <c r="AD745" s="9">
        <f t="shared" ca="1" si="2072"/>
        <v>0</v>
      </c>
      <c r="AE745" s="9">
        <f t="shared" ca="1" si="2072"/>
        <v>3587</v>
      </c>
      <c r="AF745" s="9">
        <f t="shared" ca="1" si="2072"/>
        <v>3965</v>
      </c>
      <c r="AG745" s="9">
        <f t="shared" ca="1" si="2072"/>
        <v>0</v>
      </c>
      <c r="AH745" s="9">
        <f t="shared" ca="1" si="2072"/>
        <v>3965</v>
      </c>
      <c r="AI745" s="9">
        <f t="shared" ca="1" si="2072"/>
        <v>7552</v>
      </c>
      <c r="AJ745" s="11">
        <f t="shared" ca="1" si="2057"/>
        <v>189.16816666666634</v>
      </c>
      <c r="AK745" s="8">
        <f t="shared" ref="AK745:AK746" si="2073">SUM(O749)</f>
        <v>8239</v>
      </c>
      <c r="AL745" s="12">
        <f t="shared" ca="1" si="2059"/>
        <v>0.91661609418618761</v>
      </c>
      <c r="AM745" s="13">
        <f t="shared" ref="AM745:AM746" si="2074">SUM(Q749)</f>
        <v>1.5</v>
      </c>
      <c r="AN745" s="12">
        <f t="shared" ca="1" si="2061"/>
        <v>0.88715889771211953</v>
      </c>
      <c r="AO745" s="14">
        <f t="shared" ca="1" si="2062"/>
        <v>1.3307383465681792</v>
      </c>
      <c r="AP745" s="13">
        <f t="shared" ref="AP745:AQ745" ca="1" si="2075">SUM(T749)</f>
        <v>199.52343283057306</v>
      </c>
      <c r="AQ745" s="13">
        <f t="shared" ca="1" si="2075"/>
        <v>6.6507810943524355</v>
      </c>
      <c r="AR745" s="9">
        <f t="shared" ca="1" si="2064"/>
        <v>251.73333333333332</v>
      </c>
      <c r="AS745" s="76"/>
      <c r="AT745" s="76"/>
    </row>
    <row r="746" spans="1:46" ht="15.75" customHeight="1" x14ac:dyDescent="0.25">
      <c r="A746" s="70"/>
      <c r="B746" s="16">
        <v>12</v>
      </c>
      <c r="C746" s="16" t="s">
        <v>41</v>
      </c>
      <c r="D746" s="17">
        <v>24</v>
      </c>
      <c r="E746" s="18">
        <f ca="1">IFERROR(__xludf.DUMMYFUNCTION("COUNT(IMPORTRANGE(""https://docs.google.com/spreadsheets/d/1VAsUtLQHi7oV9NsI9EIHPnO1bcPJHeRgSbMoxSvPBME/edit"",""28!d2:d25""))"),24)</f>
        <v>24</v>
      </c>
      <c r="F746" s="23">
        <f ca="1">IFERROR(__xludf.DUMMYFUNCTION("SUM(IMPORTRANGE(""https://docs.google.com/spreadsheets/d/1VAsUtLQHi7oV9NsI9EIHPnO1bcPJHeRgSbMoxSvPBME/edit"",""28!Q2:Q25""))"),4806.32)</f>
        <v>4806.32</v>
      </c>
      <c r="G746" s="18">
        <f ca="1">IFERROR(__xludf.DUMMYFUNCTION("IMPORTRANGE(""https://docs.google.com/spreadsheets/d/1VAsUtLQHi7oV9NsI9EIHPnO1bcPJHeRgSbMoxSvPBME/edit"",""28!e32"")"),1436)</f>
        <v>1436</v>
      </c>
      <c r="H746" s="18">
        <f ca="1">IFERROR(__xludf.DUMMYFUNCTION("IMPORTRANGE(""https://docs.google.com/spreadsheets/d/1VAsUtLQHi7oV9NsI9EIHPnO1bcPJHeRgSbMoxSvPBME/edit"",""28!e33"")"),0)</f>
        <v>0</v>
      </c>
      <c r="I746" s="18">
        <f t="shared" ca="1" si="2037"/>
        <v>1436</v>
      </c>
      <c r="J746" s="18">
        <f ca="1">IFERROR(__xludf.DUMMYFUNCTION("IMPORTRANGE(""https://docs.google.com/spreadsheets/d/1VAsUtLQHi7oV9NsI9EIHPnO1bcPJHeRgSbMoxSvPBME/edit"",""28!e36"")"),1639)</f>
        <v>1639</v>
      </c>
      <c r="K746" s="18">
        <f ca="1">IFERROR(__xludf.DUMMYFUNCTION("IMPORTRANGE(""https://docs.google.com/spreadsheets/d/1VAsUtLQHi7oV9NsI9EIHPnO1bcPJHeRgSbMoxSvPBME/edit"",""28!e37"")"),129)</f>
        <v>129</v>
      </c>
      <c r="L746" s="18">
        <f t="shared" ca="1" si="2067"/>
        <v>1768</v>
      </c>
      <c r="M746" s="18">
        <f t="shared" ca="1" si="2039"/>
        <v>3204</v>
      </c>
      <c r="N746" s="19">
        <f t="shared" ca="1" si="2040"/>
        <v>200.26333333333332</v>
      </c>
      <c r="O746" s="16">
        <v>3801</v>
      </c>
      <c r="P746" s="20">
        <f t="shared" ca="1" si="2041"/>
        <v>0.84293606945540644</v>
      </c>
      <c r="Q746" s="21">
        <v>1.5</v>
      </c>
      <c r="R746" s="20">
        <f t="shared" ca="1" si="2042"/>
        <v>0.44441485377586182</v>
      </c>
      <c r="S746" s="22">
        <f t="shared" ca="1" si="2043"/>
        <v>0.6666222806637927</v>
      </c>
      <c r="T746" s="21">
        <f ca="1">F746/29.628</f>
        <v>162.2222222222222</v>
      </c>
      <c r="U746" s="21">
        <f t="shared" ca="1" si="2044"/>
        <v>6.7592592592592586</v>
      </c>
      <c r="V746" s="18">
        <f t="shared" ca="1" si="2045"/>
        <v>133.5</v>
      </c>
      <c r="W746" s="76"/>
      <c r="X746" s="8">
        <v>6</v>
      </c>
      <c r="Y746" s="8" t="s">
        <v>42</v>
      </c>
      <c r="Z746" s="8">
        <f t="shared" ref="Z746:AI746" si="2076">SUM(D750)</f>
        <v>33</v>
      </c>
      <c r="AA746" s="9">
        <f t="shared" ca="1" si="2076"/>
        <v>32</v>
      </c>
      <c r="AB746" s="10">
        <f t="shared" ca="1" si="2076"/>
        <v>6317.2029999999904</v>
      </c>
      <c r="AC746" s="9">
        <f t="shared" ca="1" si="2076"/>
        <v>3464</v>
      </c>
      <c r="AD746" s="9">
        <f t="shared" ca="1" si="2076"/>
        <v>43</v>
      </c>
      <c r="AE746" s="9">
        <f t="shared" ca="1" si="2076"/>
        <v>3507</v>
      </c>
      <c r="AF746" s="9">
        <f t="shared" ca="1" si="2076"/>
        <v>3637</v>
      </c>
      <c r="AG746" s="9">
        <f t="shared" ca="1" si="2076"/>
        <v>126</v>
      </c>
      <c r="AH746" s="9">
        <f t="shared" ca="1" si="2076"/>
        <v>3763</v>
      </c>
      <c r="AI746" s="9">
        <f t="shared" ca="1" si="2076"/>
        <v>7270</v>
      </c>
      <c r="AJ746" s="11">
        <f t="shared" ca="1" si="2057"/>
        <v>197.4125937499997</v>
      </c>
      <c r="AK746" s="8">
        <f t="shared" si="2073"/>
        <v>9877</v>
      </c>
      <c r="AL746" s="12">
        <f t="shared" ca="1" si="2059"/>
        <v>0.73605345752758933</v>
      </c>
      <c r="AM746" s="13">
        <f t="shared" si="2074"/>
        <v>1.5</v>
      </c>
      <c r="AN746" s="12">
        <f t="shared" ca="1" si="2061"/>
        <v>0.76721717929068822</v>
      </c>
      <c r="AO746" s="14">
        <f t="shared" ca="1" si="2062"/>
        <v>1.1508257689360324</v>
      </c>
      <c r="AP746" s="13">
        <f t="shared" ref="AP746:AQ746" ca="1" si="2077">SUM(T750)</f>
        <v>241.52945899445575</v>
      </c>
      <c r="AQ746" s="13">
        <f t="shared" ca="1" si="2077"/>
        <v>7.5477955935767422</v>
      </c>
      <c r="AR746" s="9">
        <f t="shared" ca="1" si="2064"/>
        <v>227.1875</v>
      </c>
      <c r="AS746" s="76"/>
      <c r="AT746" s="76"/>
    </row>
    <row r="747" spans="1:46" ht="15.75" customHeight="1" x14ac:dyDescent="0.25">
      <c r="A747" s="70"/>
      <c r="B747" s="16">
        <v>13</v>
      </c>
      <c r="C747" s="16" t="s">
        <v>43</v>
      </c>
      <c r="D747" s="17">
        <v>30</v>
      </c>
      <c r="E747" s="18">
        <f ca="1">IFERROR(__xludf.DUMMYFUNCTION("COUNT(IMPORTRANGE(""https://docs.google.com/spreadsheets/d/1p9Y_DGk7-TpRBFth-ljZceOIGCjQ0ylUeUq6xqnsZ-Q/edit"",""28!d2:d31""))"),30)</f>
        <v>30</v>
      </c>
      <c r="F747" s="23">
        <f ca="1">IFERROR(__xludf.DUMMYFUNCTION("SUM(IMPORTRANGE(""https://docs.google.com/spreadsheets/d/1p9Y_DGk7-TpRBFth-ljZceOIGCjQ0ylUeUq6xqnsZ-Q/edit"",""28!Q2:Q31""))"),6366.68799999999)</f>
        <v>6366.6879999999901</v>
      </c>
      <c r="G747" s="18">
        <f ca="1">IFERROR(__xludf.DUMMYFUNCTION("IMPORTRANGE(""https://docs.google.com/spreadsheets/d/1p9Y_DGk7-TpRBFth-ljZceOIGCjQ0ylUeUq6xqnsZ-Q/edit"",""28!e38"")"),1942)</f>
        <v>1942</v>
      </c>
      <c r="H747" s="18">
        <f ca="1">IFERROR(__xludf.DUMMYFUNCTION("IMPORTRANGE(""https://docs.google.com/spreadsheets/d/1p9Y_DGk7-TpRBFth-ljZceOIGCjQ0ylUeUq6xqnsZ-Q/edit"",""28!e39"")"),258)</f>
        <v>258</v>
      </c>
      <c r="I747" s="18">
        <f t="shared" ca="1" si="2037"/>
        <v>2200</v>
      </c>
      <c r="J747" s="18">
        <f ca="1">IFERROR(__xludf.DUMMYFUNCTION("IMPORTRANGE(""https://docs.google.com/spreadsheets/d/1p9Y_DGk7-TpRBFth-ljZceOIGCjQ0ylUeUq6xqnsZ-Q/edit"",""28!e42"")"),3162)</f>
        <v>3162</v>
      </c>
      <c r="K747" s="18">
        <f ca="1">IFERROR(__xludf.DUMMYFUNCTION("IMPORTRANGE(""https://docs.google.com/spreadsheets/d/1p9Y_DGk7-TpRBFth-ljZceOIGCjQ0ylUeUq6xqnsZ-Q/edit"",""28!e43"")"),309)</f>
        <v>309</v>
      </c>
      <c r="L747" s="18">
        <f t="shared" ca="1" si="2067"/>
        <v>3471</v>
      </c>
      <c r="M747" s="18">
        <f t="shared" ca="1" si="2039"/>
        <v>5671</v>
      </c>
      <c r="N747" s="19">
        <f t="shared" ca="1" si="2040"/>
        <v>212.222933333333</v>
      </c>
      <c r="O747" s="16">
        <v>8345</v>
      </c>
      <c r="P747" s="20">
        <f t="shared" ca="1" si="2041"/>
        <v>0.67956860395446372</v>
      </c>
      <c r="Q747" s="21">
        <v>1.5</v>
      </c>
      <c r="R747" s="20">
        <f t="shared" ca="1" si="2042"/>
        <v>0.59381999976544675</v>
      </c>
      <c r="S747" s="22">
        <f t="shared" ca="1" si="2043"/>
        <v>0.89072999964817012</v>
      </c>
      <c r="T747" s="21">
        <f ca="1">F747/41.205</f>
        <v>154.51251061764324</v>
      </c>
      <c r="U747" s="21">
        <f t="shared" ca="1" si="2044"/>
        <v>5.1504170205881081</v>
      </c>
      <c r="V747" s="18">
        <f t="shared" ca="1" si="2045"/>
        <v>189.03333333333333</v>
      </c>
      <c r="W747" s="76"/>
      <c r="X747" s="24" t="s">
        <v>33</v>
      </c>
      <c r="Y747" s="24">
        <v>6</v>
      </c>
      <c r="Z747" s="24">
        <f t="shared" ref="Z747:AI747" si="2078">SUM(Z741:Z746)</f>
        <v>226</v>
      </c>
      <c r="AA747" s="25">
        <f t="shared" ca="1" si="2078"/>
        <v>223</v>
      </c>
      <c r="AB747" s="27">
        <f t="shared" ca="1" si="2078"/>
        <v>44247.153999999864</v>
      </c>
      <c r="AC747" s="25">
        <f t="shared" ca="1" si="2078"/>
        <v>18281</v>
      </c>
      <c r="AD747" s="25">
        <f t="shared" ca="1" si="2078"/>
        <v>516</v>
      </c>
      <c r="AE747" s="25">
        <f t="shared" ca="1" si="2078"/>
        <v>18797</v>
      </c>
      <c r="AF747" s="25">
        <f t="shared" ca="1" si="2078"/>
        <v>21065</v>
      </c>
      <c r="AG747" s="25">
        <f t="shared" ca="1" si="2078"/>
        <v>824</v>
      </c>
      <c r="AH747" s="25">
        <f t="shared" ca="1" si="2078"/>
        <v>21889</v>
      </c>
      <c r="AI747" s="25">
        <f t="shared" ca="1" si="2078"/>
        <v>40686</v>
      </c>
      <c r="AJ747" s="27">
        <f t="shared" ca="1" si="2057"/>
        <v>198.41773094170344</v>
      </c>
      <c r="AK747" s="24">
        <f>SUM(AK741:AK746)</f>
        <v>53273</v>
      </c>
      <c r="AL747" s="28">
        <f t="shared" ca="1" si="2059"/>
        <v>0.76372646556416945</v>
      </c>
      <c r="AM747" s="29">
        <v>1.5</v>
      </c>
      <c r="AN747" s="28">
        <f t="shared" ca="1" si="2061"/>
        <v>0.61301117807486738</v>
      </c>
      <c r="AO747" s="30">
        <f t="shared" ca="1" si="2062"/>
        <v>0.91951676711230113</v>
      </c>
      <c r="AP747" s="29">
        <f ca="1">SUM(AP741:AP746)</f>
        <v>1451.6125875473551</v>
      </c>
      <c r="AQ747" s="29">
        <f ca="1">AP747/AA747</f>
        <v>6.5094734867594397</v>
      </c>
      <c r="AR747" s="25">
        <f t="shared" ca="1" si="2064"/>
        <v>182.44843049327355</v>
      </c>
      <c r="AS747" s="76"/>
      <c r="AT747" s="76"/>
    </row>
    <row r="748" spans="1:46" ht="15.75" customHeight="1" x14ac:dyDescent="0.25">
      <c r="A748" s="70"/>
      <c r="B748" s="16">
        <v>14</v>
      </c>
      <c r="C748" s="16" t="s">
        <v>27</v>
      </c>
      <c r="D748" s="17">
        <v>30</v>
      </c>
      <c r="E748" s="18">
        <f ca="1">IFERROR(__xludf.DUMMYFUNCTION("COUNT(IMPORTRANGE(""https://docs.google.com/spreadsheets/d/1zJUDEKztv_fercXA0LYNw155qdzS7TJGhWLhquaW5IY/edit"",""28!d2:d31""))"),27)</f>
        <v>27</v>
      </c>
      <c r="F748" s="23">
        <f ca="1">IFERROR(__xludf.DUMMYFUNCTION("SUM(IMPORTRANGE(""https://docs.google.com/spreadsheets/d/1zJUDEKztv_fercXA0LYNw155qdzS7TJGhWLhquaW5IY/edit"",""28!Q2:Q31""))"),5185.96999999999)</f>
        <v>5185.9699999999903</v>
      </c>
      <c r="G748" s="18">
        <f ca="1">IFERROR(__xludf.DUMMYFUNCTION("IMPORTRANGE(""https://docs.google.com/spreadsheets/d/1zJUDEKztv_fercXA0LYNw155qdzS7TJGhWLhquaW5IY/edit"",""28!e38"")"),2394)</f>
        <v>2394</v>
      </c>
      <c r="H748" s="18">
        <f ca="1">IFERROR(__xludf.DUMMYFUNCTION("IMPORTRANGE(""https://docs.google.com/spreadsheets/d/1zJUDEKztv_fercXA0LYNw155qdzS7TJGhWLhquaW5IY/edit"",""28!e39"")"),96)</f>
        <v>96</v>
      </c>
      <c r="I748" s="18">
        <f t="shared" ca="1" si="2037"/>
        <v>2490</v>
      </c>
      <c r="J748" s="18">
        <f ca="1">IFERROR(__xludf.DUMMYFUNCTION("IMPORTRANGE(""https://docs.google.com/spreadsheets/d/1zJUDEKztv_fercXA0LYNw155qdzS7TJGhWLhquaW5IY/edit"",""28!e42"")"),3106)</f>
        <v>3106</v>
      </c>
      <c r="K748" s="18">
        <f ca="1">IFERROR(__xludf.DUMMYFUNCTION("IMPORTRANGE(""https://docs.google.com/spreadsheets/d/1zJUDEKztv_fercXA0LYNw155qdzS7TJGhWLhquaW5IY/edit"",""28!e43"")"),111)</f>
        <v>111</v>
      </c>
      <c r="L748" s="18">
        <f t="shared" ca="1" si="2067"/>
        <v>3217</v>
      </c>
      <c r="M748" s="18">
        <f t="shared" ca="1" si="2039"/>
        <v>5707</v>
      </c>
      <c r="N748" s="19">
        <f t="shared" ca="1" si="2040"/>
        <v>192.07296296296261</v>
      </c>
      <c r="O748" s="16">
        <v>8101</v>
      </c>
      <c r="P748" s="20">
        <f t="shared" ca="1" si="2041"/>
        <v>0.70448092828045916</v>
      </c>
      <c r="Q748" s="21">
        <v>1.5</v>
      </c>
      <c r="R748" s="20">
        <f t="shared" ca="1" si="2042"/>
        <v>0.73364610027953769</v>
      </c>
      <c r="S748" s="22">
        <f t="shared" ca="1" si="2043"/>
        <v>1.1004691504193065</v>
      </c>
      <c r="T748" s="21">
        <f ca="1">F748/19.985</f>
        <v>259.49311983987945</v>
      </c>
      <c r="U748" s="21">
        <f t="shared" ca="1" si="2044"/>
        <v>9.6108562903659056</v>
      </c>
      <c r="V748" s="18">
        <f t="shared" ca="1" si="2045"/>
        <v>211.37037037037038</v>
      </c>
      <c r="W748" s="76"/>
      <c r="X748" s="97" t="s">
        <v>44</v>
      </c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9"/>
      <c r="AS748" s="76"/>
      <c r="AT748" s="76"/>
    </row>
    <row r="749" spans="1:46" ht="15.75" customHeight="1" x14ac:dyDescent="0.25">
      <c r="A749" s="70"/>
      <c r="B749" s="16">
        <v>15</v>
      </c>
      <c r="C749" s="16" t="s">
        <v>40</v>
      </c>
      <c r="D749" s="17">
        <v>30</v>
      </c>
      <c r="E749" s="18">
        <f ca="1">IFERROR(__xludf.DUMMYFUNCTION("COUNT(IMPORTRANGE(""https://docs.google.com/spreadsheets/d/15GJA66Ucb-8RQ5vWVpq5HYaWoZZFX82SCeHChBujbrI/edit"",""28!d2:d31""))"),30)</f>
        <v>30</v>
      </c>
      <c r="F749" s="23">
        <f ca="1">IFERROR(__xludf.DUMMYFUNCTION("SUM(IMPORTRANGE(""https://docs.google.com/spreadsheets/d/15GJA66Ucb-8RQ5vWVpq5HYaWoZZFX82SCeHChBujbrI/edit"",""28!Q2:Q31""))"),5675.04499999999)</f>
        <v>5675.0449999999901</v>
      </c>
      <c r="G749" s="18">
        <f ca="1">IFERROR(__xludf.DUMMYFUNCTION("IMPORTRANGE(""https://docs.google.com/spreadsheets/d/15GJA66Ucb-8RQ5vWVpq5HYaWoZZFX82SCeHChBujbrI/edit"",""28!e38"")"),3587)</f>
        <v>3587</v>
      </c>
      <c r="H749" s="18">
        <f ca="1">IFERROR(__xludf.DUMMYFUNCTION("IMPORTRANGE(""https://docs.google.com/spreadsheets/d/15GJA66Ucb-8RQ5vWVpq5HYaWoZZFX82SCeHChBujbrI/edit"",""28!e39"")"),0)</f>
        <v>0</v>
      </c>
      <c r="I749" s="18">
        <f t="shared" ca="1" si="2037"/>
        <v>3587</v>
      </c>
      <c r="J749" s="18">
        <f ca="1">IFERROR(__xludf.DUMMYFUNCTION("IMPORTRANGE(""https://docs.google.com/spreadsheets/d/15GJA66Ucb-8RQ5vWVpq5HYaWoZZFX82SCeHChBujbrI/edit"",""28!e42"")"),3965)</f>
        <v>3965</v>
      </c>
      <c r="K749" s="18">
        <f ca="1">IFERROR(__xludf.DUMMYFUNCTION("IMPORTRANGE(""https://docs.google.com/spreadsheets/d/15GJA66Ucb-8RQ5vWVpq5HYaWoZZFX82SCeHChBujbrI/edit"",""28!e43"")"),0)</f>
        <v>0</v>
      </c>
      <c r="L749" s="18">
        <f t="shared" ca="1" si="2067"/>
        <v>3965</v>
      </c>
      <c r="M749" s="18">
        <f t="shared" ca="1" si="2039"/>
        <v>7552</v>
      </c>
      <c r="N749" s="19">
        <f t="shared" ca="1" si="2040"/>
        <v>189.16816666666634</v>
      </c>
      <c r="O749" s="16">
        <v>8239</v>
      </c>
      <c r="P749" s="20">
        <f t="shared" ca="1" si="2041"/>
        <v>0.91661609418618761</v>
      </c>
      <c r="Q749" s="21">
        <v>1.5</v>
      </c>
      <c r="R749" s="20">
        <f t="shared" ca="1" si="2042"/>
        <v>0.88715889771211953</v>
      </c>
      <c r="S749" s="22">
        <f t="shared" ca="1" si="2043"/>
        <v>1.3307383465681792</v>
      </c>
      <c r="T749" s="21">
        <f ca="1">F749/28.443</f>
        <v>199.52343283057306</v>
      </c>
      <c r="U749" s="21">
        <f t="shared" ca="1" si="2044"/>
        <v>6.6507810943524355</v>
      </c>
      <c r="V749" s="18">
        <f t="shared" ca="1" si="2045"/>
        <v>251.73333333333332</v>
      </c>
      <c r="W749" s="76"/>
      <c r="X749" s="1" t="s">
        <v>2</v>
      </c>
      <c r="Y749" s="1" t="s">
        <v>3</v>
      </c>
      <c r="Z749" s="1" t="s">
        <v>4</v>
      </c>
      <c r="AA749" s="1" t="s">
        <v>5</v>
      </c>
      <c r="AB749" s="2" t="s">
        <v>6</v>
      </c>
      <c r="AC749" s="1" t="s">
        <v>7</v>
      </c>
      <c r="AD749" s="1" t="s">
        <v>8</v>
      </c>
      <c r="AE749" s="1" t="s">
        <v>9</v>
      </c>
      <c r="AF749" s="1" t="s">
        <v>10</v>
      </c>
      <c r="AG749" s="1" t="s">
        <v>11</v>
      </c>
      <c r="AH749" s="1" t="s">
        <v>12</v>
      </c>
      <c r="AI749" s="1" t="s">
        <v>13</v>
      </c>
      <c r="AJ749" s="2" t="s">
        <v>14</v>
      </c>
      <c r="AK749" s="1" t="s">
        <v>15</v>
      </c>
      <c r="AL749" s="1" t="s">
        <v>16</v>
      </c>
      <c r="AM749" s="3" t="s">
        <v>17</v>
      </c>
      <c r="AN749" s="4" t="s">
        <v>18</v>
      </c>
      <c r="AO749" s="5" t="s">
        <v>19</v>
      </c>
      <c r="AP749" s="6" t="s">
        <v>20</v>
      </c>
      <c r="AQ749" s="6" t="s">
        <v>21</v>
      </c>
      <c r="AR749" s="7" t="s">
        <v>22</v>
      </c>
      <c r="AS749" s="76"/>
      <c r="AT749" s="76"/>
    </row>
    <row r="750" spans="1:46" ht="15.75" customHeight="1" x14ac:dyDescent="0.25">
      <c r="A750" s="70"/>
      <c r="B750" s="16">
        <v>16</v>
      </c>
      <c r="C750" s="16" t="s">
        <v>42</v>
      </c>
      <c r="D750" s="17">
        <v>33</v>
      </c>
      <c r="E750" s="18">
        <f ca="1">IFERROR(__xludf.DUMMYFUNCTION("COUNT(IMPORTRANGE(""https://docs.google.com/spreadsheets/d/14Tu_jFPEdrIQ6DHYu6vRvJKQsbXr-48NY1tKy4-8JKI/edit"",""28!d2:d34""))"),32)</f>
        <v>32</v>
      </c>
      <c r="F750" s="23">
        <f ca="1">IFERROR(__xludf.DUMMYFUNCTION("SUM(IMPORTRANGE(""https://docs.google.com/spreadsheets/d/14Tu_jFPEdrIQ6DHYu6vRvJKQsbXr-48NY1tKy4-8JKI/edit"",""28!Q2:Q34""))"),6317.20299999999)</f>
        <v>6317.2029999999904</v>
      </c>
      <c r="G750" s="18">
        <f ca="1">IFERROR(__xludf.DUMMYFUNCTION("IMPORTRANGE(""https://docs.google.com/spreadsheets/d/14Tu_jFPEdrIQ6DHYu6vRvJKQsbXr-48NY1tKy4-8JKI/edit"",""28!e41"")"),3464)</f>
        <v>3464</v>
      </c>
      <c r="H750" s="18">
        <f ca="1">IFERROR(__xludf.DUMMYFUNCTION("IMPORTRANGE(""https://docs.google.com/spreadsheets/d/14Tu_jFPEdrIQ6DHYu6vRvJKQsbXr-48NY1tKy4-8JKI/edit"",""28!e42"")"),43)</f>
        <v>43</v>
      </c>
      <c r="I750" s="18">
        <f t="shared" ca="1" si="2037"/>
        <v>3507</v>
      </c>
      <c r="J750" s="18">
        <f ca="1">IFERROR(__xludf.DUMMYFUNCTION("IMPORTRANGE(""https://docs.google.com/spreadsheets/d/14Tu_jFPEdrIQ6DHYu6vRvJKQsbXr-48NY1tKy4-8JKI/edit"",""28!e45"")"),3637)</f>
        <v>3637</v>
      </c>
      <c r="K750" s="18">
        <f ca="1">IFERROR(__xludf.DUMMYFUNCTION("IMPORTRANGE(""https://docs.google.com/spreadsheets/d/14Tu_jFPEdrIQ6DHYu6vRvJKQsbXr-48NY1tKy4-8JKI/edit"",""28!e46"")"),126)</f>
        <v>126</v>
      </c>
      <c r="L750" s="18">
        <f t="shared" ca="1" si="2067"/>
        <v>3763</v>
      </c>
      <c r="M750" s="18">
        <f t="shared" ca="1" si="2039"/>
        <v>7270</v>
      </c>
      <c r="N750" s="19">
        <f t="shared" ca="1" si="2040"/>
        <v>197.4125937499997</v>
      </c>
      <c r="O750" s="16">
        <v>9877</v>
      </c>
      <c r="P750" s="20">
        <f t="shared" ca="1" si="2041"/>
        <v>0.73605345752758933</v>
      </c>
      <c r="Q750" s="21">
        <v>1.5</v>
      </c>
      <c r="R750" s="20">
        <f t="shared" ca="1" si="2042"/>
        <v>0.76721717929068822</v>
      </c>
      <c r="S750" s="22">
        <f t="shared" ca="1" si="2043"/>
        <v>1.1508257689360324</v>
      </c>
      <c r="T750" s="21">
        <f ca="1">F750/26.155</f>
        <v>241.52945899445575</v>
      </c>
      <c r="U750" s="21">
        <f t="shared" ca="1" si="2044"/>
        <v>7.5477955935767422</v>
      </c>
      <c r="V750" s="18">
        <f t="shared" ca="1" si="2045"/>
        <v>227.1875</v>
      </c>
      <c r="W750" s="76"/>
      <c r="X750" s="8">
        <v>1</v>
      </c>
      <c r="Y750" s="8" t="s">
        <v>26</v>
      </c>
      <c r="Z750" s="8">
        <f t="shared" ref="Z750:AI750" si="2079">SUM(D735)</f>
        <v>20</v>
      </c>
      <c r="AA750" s="9">
        <f t="shared" ca="1" si="2079"/>
        <v>20</v>
      </c>
      <c r="AB750" s="11">
        <f t="shared" ca="1" si="2079"/>
        <v>3950.3220000000001</v>
      </c>
      <c r="AC750" s="9">
        <f t="shared" ca="1" si="2079"/>
        <v>2448</v>
      </c>
      <c r="AD750" s="9">
        <f t="shared" ca="1" si="2079"/>
        <v>0</v>
      </c>
      <c r="AE750" s="9">
        <f t="shared" ca="1" si="2079"/>
        <v>2448</v>
      </c>
      <c r="AF750" s="9">
        <f t="shared" ca="1" si="2079"/>
        <v>2383</v>
      </c>
      <c r="AG750" s="9">
        <f t="shared" ca="1" si="2079"/>
        <v>0</v>
      </c>
      <c r="AH750" s="9">
        <f t="shared" ca="1" si="2079"/>
        <v>2383</v>
      </c>
      <c r="AI750" s="9">
        <f t="shared" ca="1" si="2079"/>
        <v>4831</v>
      </c>
      <c r="AJ750" s="11">
        <f t="shared" ref="AJ750:AJ756" ca="1" si="2080">AB750/AA750</f>
        <v>197.51609999999999</v>
      </c>
      <c r="AK750" s="8">
        <f>SUM(O735)</f>
        <v>5161</v>
      </c>
      <c r="AL750" s="12">
        <f t="shared" ref="AL750:AL756" ca="1" si="2081">AI750/AK750</f>
        <v>0.93605890331331132</v>
      </c>
      <c r="AM750" s="13">
        <f>SUM(Q735)</f>
        <v>1.5</v>
      </c>
      <c r="AN750" s="12">
        <f t="shared" ref="AN750:AN756" ca="1" si="2082">AO750/AM750</f>
        <v>0.81529218799547643</v>
      </c>
      <c r="AO750" s="14">
        <f t="shared" ref="AO750:AO756" ca="1" si="2083">AI750/AB750</f>
        <v>1.2229382819932146</v>
      </c>
      <c r="AP750" s="13">
        <f t="shared" ref="AP750:AQ750" ca="1" si="2084">SUM(T735)</f>
        <v>274.04245577523415</v>
      </c>
      <c r="AQ750" s="13">
        <f t="shared" ca="1" si="2084"/>
        <v>13.702122788761708</v>
      </c>
      <c r="AR750" s="9">
        <f t="shared" ref="AR750:AR756" ca="1" si="2085">AI750/AA750</f>
        <v>241.55</v>
      </c>
      <c r="AS750" s="76"/>
      <c r="AT750" s="76"/>
    </row>
    <row r="751" spans="1:46" ht="15.75" customHeight="1" x14ac:dyDescent="0.25">
      <c r="A751" s="70"/>
      <c r="B751" s="16">
        <v>17</v>
      </c>
      <c r="C751" s="16" t="s">
        <v>29</v>
      </c>
      <c r="D751" s="17">
        <v>30</v>
      </c>
      <c r="E751" s="18">
        <f ca="1">IFERROR(__xludf.DUMMYFUNCTION("COUNT(IMPORTRANGE(""https://docs.google.com/spreadsheets/d/1ja_RQYsP0p5wRrACHojay4CW1wLx0QdS5tSwp-vYQ-s/edit"",""28!d2:d31""))"),30)</f>
        <v>30</v>
      </c>
      <c r="F751" s="23">
        <f ca="1">IFERROR(__xludf.DUMMYFUNCTION("SUM(IMPORTRANGE(""https://docs.google.com/spreadsheets/d/1ja_RQYsP0p5wRrACHojay4CW1wLx0QdS5tSwp-vYQ-s/edit"",""28!Q2:Q31""))"),6172.40299999999)</f>
        <v>6172.4029999999902</v>
      </c>
      <c r="G751" s="18">
        <f ca="1">IFERROR(__xludf.DUMMYFUNCTION("IMPORTRANGE(""https://docs.google.com/spreadsheets/d/1ja_RQYsP0p5wRrACHojay4CW1wLx0QdS5tSwp-vYQ-s/edit"",""28!e38"")"),3072)</f>
        <v>3072</v>
      </c>
      <c r="H751" s="18">
        <f ca="1">IFERROR(__xludf.DUMMYFUNCTION("IMPORTRANGE(""https://docs.google.com/spreadsheets/d/1ja_RQYsP0p5wRrACHojay4CW1wLx0QdS5tSwp-vYQ-s/edit"",""28!e39"")"),0)</f>
        <v>0</v>
      </c>
      <c r="I751" s="18">
        <f t="shared" ca="1" si="2037"/>
        <v>3072</v>
      </c>
      <c r="J751" s="18">
        <f ca="1">IFERROR(__xludf.DUMMYFUNCTION("IMPORTRANGE(""https://docs.google.com/spreadsheets/d/1ja_RQYsP0p5wRrACHojay4CW1wLx0QdS5tSwp-vYQ-s/edit"",""28!e42"")"),4164)</f>
        <v>4164</v>
      </c>
      <c r="K751" s="18">
        <f ca="1">IFERROR(__xludf.DUMMYFUNCTION("IMPORTRANGE(""https://docs.google.com/spreadsheets/d/1ja_RQYsP0p5wRrACHojay4CW1wLx0QdS5tSwp-vYQ-s/edit"",""28!e43"")"),0)</f>
        <v>0</v>
      </c>
      <c r="L751" s="18">
        <f t="shared" ca="1" si="2067"/>
        <v>4164</v>
      </c>
      <c r="M751" s="18">
        <f t="shared" ca="1" si="2039"/>
        <v>7236</v>
      </c>
      <c r="N751" s="19">
        <f t="shared" ca="1" si="2040"/>
        <v>205.74676666666633</v>
      </c>
      <c r="O751" s="16">
        <v>9201</v>
      </c>
      <c r="P751" s="20">
        <f t="shared" ca="1" si="2041"/>
        <v>0.78643625692859476</v>
      </c>
      <c r="Q751" s="21">
        <v>1.5</v>
      </c>
      <c r="R751" s="20">
        <f t="shared" ca="1" si="2042"/>
        <v>0.78154326605051672</v>
      </c>
      <c r="S751" s="22">
        <f t="shared" ca="1" si="2043"/>
        <v>1.172314899075775</v>
      </c>
      <c r="T751" s="21">
        <f ca="1">F751/26.491</f>
        <v>232.99999999999963</v>
      </c>
      <c r="U751" s="21">
        <f t="shared" ca="1" si="2044"/>
        <v>7.7666666666666542</v>
      </c>
      <c r="V751" s="18">
        <f t="shared" ca="1" si="2045"/>
        <v>241.2</v>
      </c>
      <c r="W751" s="76"/>
      <c r="X751" s="8">
        <v>2</v>
      </c>
      <c r="Y751" s="8" t="s">
        <v>32</v>
      </c>
      <c r="Z751" s="8">
        <f t="shared" ref="Z751:AI751" si="2086">SUM(D738)</f>
        <v>42</v>
      </c>
      <c r="AA751" s="9">
        <f t="shared" ca="1" si="2086"/>
        <v>42</v>
      </c>
      <c r="AB751" s="10">
        <f t="shared" ca="1" si="2086"/>
        <v>8329.5479999999898</v>
      </c>
      <c r="AC751" s="8">
        <f t="shared" ca="1" si="2086"/>
        <v>4813</v>
      </c>
      <c r="AD751" s="8">
        <f t="shared" ca="1" si="2086"/>
        <v>0</v>
      </c>
      <c r="AE751" s="9">
        <f t="shared" ca="1" si="2086"/>
        <v>4813</v>
      </c>
      <c r="AF751" s="8">
        <f t="shared" ca="1" si="2086"/>
        <v>5794</v>
      </c>
      <c r="AG751" s="8">
        <f t="shared" ca="1" si="2086"/>
        <v>0</v>
      </c>
      <c r="AH751" s="9">
        <f t="shared" ca="1" si="2086"/>
        <v>5794</v>
      </c>
      <c r="AI751" s="9">
        <f t="shared" ca="1" si="2086"/>
        <v>10607</v>
      </c>
      <c r="AJ751" s="11">
        <f t="shared" ca="1" si="2080"/>
        <v>198.32257142857119</v>
      </c>
      <c r="AK751" s="8">
        <f>SUM(O738)</f>
        <v>13817</v>
      </c>
      <c r="AL751" s="12">
        <f t="shared" ca="1" si="2081"/>
        <v>0.76767749873344426</v>
      </c>
      <c r="AM751" s="13">
        <f>SUM(Q738)</f>
        <v>1.5</v>
      </c>
      <c r="AN751" s="12">
        <f t="shared" ca="1" si="2082"/>
        <v>0.84894562506072857</v>
      </c>
      <c r="AO751" s="14">
        <f t="shared" ca="1" si="2083"/>
        <v>1.2734184375910929</v>
      </c>
      <c r="AP751" s="13">
        <f t="shared" ref="AP751:AQ751" ca="1" si="2087">SUM(T738)</f>
        <v>331.9999999999996</v>
      </c>
      <c r="AQ751" s="13">
        <f t="shared" ca="1" si="2087"/>
        <v>7.9047619047618953</v>
      </c>
      <c r="AR751" s="9">
        <f t="shared" ca="1" si="2085"/>
        <v>252.54761904761904</v>
      </c>
      <c r="AS751" s="76"/>
      <c r="AT751" s="76"/>
    </row>
    <row r="752" spans="1:46" ht="15.75" customHeight="1" x14ac:dyDescent="0.25">
      <c r="A752" s="70"/>
      <c r="B752" s="16">
        <v>18</v>
      </c>
      <c r="C752" s="16" t="s">
        <v>31</v>
      </c>
      <c r="D752" s="17">
        <v>15</v>
      </c>
      <c r="E752" s="18">
        <f ca="1">IFERROR(__xludf.DUMMYFUNCTION("COUNT(IMPORTRANGE(""https://docs.google.com/spreadsheets/d/1ObnK1oSznTOmyW9Zcd2kxExl7TOnO2MNq_0giEKc_mE/edit"",""28!d2:d16""))"),14)</f>
        <v>14</v>
      </c>
      <c r="F752" s="19">
        <f ca="1">IFERROR(__xludf.DUMMYFUNCTION("SUM(IMPORTRANGE(""https://docs.google.com/spreadsheets/d/1ObnK1oSznTOmyW9Zcd2kxExl7TOnO2MNq_0giEKc_mE/edit"",""28!Q2:Q16""))"),2694.82999999999)</f>
        <v>2694.8299999999899</v>
      </c>
      <c r="G752" s="18">
        <f ca="1">IFERROR(__xludf.DUMMYFUNCTION("IMPORTRANGE(""https://docs.google.com/spreadsheets/d/1ObnK1oSznTOmyW9Zcd2kxExl7TOnO2MNq_0giEKc_mE/edit"",""28!e23"")"),866)</f>
        <v>866</v>
      </c>
      <c r="H752" s="18">
        <f ca="1">IFERROR(__xludf.DUMMYFUNCTION("IMPORTRANGE(""https://docs.google.com/spreadsheets/d/1ObnK1oSznTOmyW9Zcd2kxExl7TOnO2MNq_0giEKc_mE/edit"",""28!e24"")"),0)</f>
        <v>0</v>
      </c>
      <c r="I752" s="18">
        <f t="shared" ca="1" si="2037"/>
        <v>866</v>
      </c>
      <c r="J752" s="18">
        <f ca="1">IFERROR(__xludf.DUMMYFUNCTION("IMPORTRANGE(""https://docs.google.com/spreadsheets/d/1ObnK1oSznTOmyW9Zcd2kxExl7TOnO2MNq_0giEKc_mE/edit"",""28!e27"")"),1072)</f>
        <v>1072</v>
      </c>
      <c r="K752" s="18">
        <f ca="1">IFERROR(__xludf.DUMMYFUNCTION("IMPORTRANGE(""https://docs.google.com/spreadsheets/d/1ObnK1oSznTOmyW9Zcd2kxExl7TOnO2MNq_0giEKc_mE/edit"",""28!e28"")"),12)</f>
        <v>12</v>
      </c>
      <c r="L752" s="18">
        <f t="shared" ca="1" si="2067"/>
        <v>1084</v>
      </c>
      <c r="M752" s="18">
        <f t="shared" ca="1" si="2039"/>
        <v>1950</v>
      </c>
      <c r="N752" s="19">
        <f t="shared" ca="1" si="2040"/>
        <v>192.48785714285643</v>
      </c>
      <c r="O752" s="16">
        <v>2717</v>
      </c>
      <c r="P752" s="20">
        <f t="shared" ca="1" si="2041"/>
        <v>0.71770334928229662</v>
      </c>
      <c r="Q752" s="21">
        <v>1.5</v>
      </c>
      <c r="R752" s="20">
        <f t="shared" ca="1" si="2042"/>
        <v>0.4824051981015518</v>
      </c>
      <c r="S752" s="22">
        <f t="shared" ca="1" si="2043"/>
        <v>0.7236077971523277</v>
      </c>
      <c r="T752" s="21">
        <f ca="1">F752/43.465</f>
        <v>61.999999999999766</v>
      </c>
      <c r="U752" s="21">
        <f t="shared" ca="1" si="2044"/>
        <v>4.4285714285714119</v>
      </c>
      <c r="V752" s="18">
        <f t="shared" ca="1" si="2045"/>
        <v>139.28571428571428</v>
      </c>
      <c r="W752" s="76"/>
      <c r="X752" s="8">
        <v>3</v>
      </c>
      <c r="Y752" s="8" t="s">
        <v>36</v>
      </c>
      <c r="Z752" s="8">
        <f t="shared" ref="Z752:AI752" si="2088">SUM(D743)</f>
        <v>30</v>
      </c>
      <c r="AA752" s="9">
        <f t="shared" ca="1" si="2088"/>
        <v>30</v>
      </c>
      <c r="AB752" s="10">
        <f t="shared" ca="1" si="2088"/>
        <v>5905.0279999999902</v>
      </c>
      <c r="AC752" s="9">
        <f t="shared" ca="1" si="2088"/>
        <v>1727</v>
      </c>
      <c r="AD752" s="9">
        <f t="shared" ca="1" si="2088"/>
        <v>0</v>
      </c>
      <c r="AE752" s="9">
        <f t="shared" ca="1" si="2088"/>
        <v>1727</v>
      </c>
      <c r="AF752" s="9">
        <f t="shared" ca="1" si="2088"/>
        <v>2137</v>
      </c>
      <c r="AG752" s="9">
        <f t="shared" ca="1" si="2088"/>
        <v>50</v>
      </c>
      <c r="AH752" s="9">
        <f t="shared" ca="1" si="2088"/>
        <v>2187</v>
      </c>
      <c r="AI752" s="9">
        <f t="shared" ca="1" si="2088"/>
        <v>3914</v>
      </c>
      <c r="AJ752" s="11">
        <f t="shared" ca="1" si="2080"/>
        <v>196.83426666666634</v>
      </c>
      <c r="AK752" s="8">
        <f t="shared" ref="AK752:AK755" si="2089">SUM(O743)</f>
        <v>4796</v>
      </c>
      <c r="AL752" s="12">
        <f t="shared" ca="1" si="2081"/>
        <v>0.81609674728940784</v>
      </c>
      <c r="AM752" s="13">
        <f t="shared" ref="AM752:AM755" si="2090">SUM(Q743)</f>
        <v>1.5</v>
      </c>
      <c r="AN752" s="12">
        <f t="shared" ca="1" si="2082"/>
        <v>0.44188331254878682</v>
      </c>
      <c r="AO752" s="14">
        <f t="shared" ca="1" si="2083"/>
        <v>0.66282496882318021</v>
      </c>
      <c r="AP752" s="13">
        <f t="shared" ref="AP752:AQ752" ca="1" si="2091">SUM(T743)</f>
        <v>157.82936868551852</v>
      </c>
      <c r="AQ752" s="13">
        <f t="shared" ca="1" si="2091"/>
        <v>5.2609789561839504</v>
      </c>
      <c r="AR752" s="9">
        <f t="shared" ca="1" si="2085"/>
        <v>130.46666666666667</v>
      </c>
      <c r="AS752" s="76"/>
      <c r="AT752" s="76"/>
    </row>
    <row r="753" spans="1:46" ht="15.75" customHeight="1" x14ac:dyDescent="0.2">
      <c r="A753" s="70"/>
      <c r="B753" s="98" t="s">
        <v>33</v>
      </c>
      <c r="C753" s="98">
        <v>18</v>
      </c>
      <c r="D753" s="98">
        <f t="shared" ref="D753:M753" si="2092">SUM(D735:D752)</f>
        <v>586</v>
      </c>
      <c r="E753" s="74">
        <f t="shared" ca="1" si="2092"/>
        <v>574</v>
      </c>
      <c r="F753" s="99">
        <f t="shared" ca="1" si="2092"/>
        <v>112445.1869999998</v>
      </c>
      <c r="G753" s="74">
        <f t="shared" ca="1" si="2092"/>
        <v>43634</v>
      </c>
      <c r="H753" s="74">
        <f t="shared" ca="1" si="2092"/>
        <v>913</v>
      </c>
      <c r="I753" s="74">
        <f t="shared" ca="1" si="2092"/>
        <v>44547</v>
      </c>
      <c r="J753" s="74">
        <f t="shared" ca="1" si="2092"/>
        <v>54442</v>
      </c>
      <c r="K753" s="74">
        <f t="shared" ca="1" si="2092"/>
        <v>1643</v>
      </c>
      <c r="L753" s="74">
        <f t="shared" ca="1" si="2092"/>
        <v>56085</v>
      </c>
      <c r="M753" s="74">
        <f t="shared" ca="1" si="2092"/>
        <v>100632</v>
      </c>
      <c r="N753" s="99">
        <f t="shared" ca="1" si="2040"/>
        <v>195.89753832752578</v>
      </c>
      <c r="O753" s="98">
        <f>SUM(O735:O752)</f>
        <v>126399</v>
      </c>
      <c r="P753" s="69">
        <f t="shared" ca="1" si="2041"/>
        <v>0.79614553912610064</v>
      </c>
      <c r="Q753" s="72">
        <v>1.5</v>
      </c>
      <c r="R753" s="69">
        <f t="shared" ca="1" si="2042"/>
        <v>0.59662847107898109</v>
      </c>
      <c r="S753" s="73">
        <f t="shared" ca="1" si="2043"/>
        <v>0.89494270661847164</v>
      </c>
      <c r="T753" s="72">
        <f ca="1">SUM(T735:T752)</f>
        <v>4133.1552279060816</v>
      </c>
      <c r="U753" s="72">
        <f t="shared" ca="1" si="2044"/>
        <v>7.2006188639478772</v>
      </c>
      <c r="V753" s="74">
        <f t="shared" ca="1" si="2045"/>
        <v>175.3170731707317</v>
      </c>
      <c r="W753" s="76"/>
      <c r="X753" s="8">
        <v>4</v>
      </c>
      <c r="Y753" s="8" t="s">
        <v>37</v>
      </c>
      <c r="Z753" s="8">
        <f t="shared" ref="Z753:AI753" si="2093">SUM(D744)</f>
        <v>30</v>
      </c>
      <c r="AA753" s="9">
        <f t="shared" ca="1" si="2093"/>
        <v>30</v>
      </c>
      <c r="AB753" s="10">
        <f t="shared" ca="1" si="2093"/>
        <v>5861.7719999999999</v>
      </c>
      <c r="AC753" s="9">
        <f t="shared" ca="1" si="2093"/>
        <v>2123</v>
      </c>
      <c r="AD753" s="9">
        <f t="shared" ca="1" si="2093"/>
        <v>0</v>
      </c>
      <c r="AE753" s="9">
        <f t="shared" ca="1" si="2093"/>
        <v>2123</v>
      </c>
      <c r="AF753" s="9">
        <f t="shared" ca="1" si="2093"/>
        <v>3187</v>
      </c>
      <c r="AG753" s="9">
        <f t="shared" ca="1" si="2093"/>
        <v>0</v>
      </c>
      <c r="AH753" s="9">
        <f t="shared" ca="1" si="2093"/>
        <v>3187</v>
      </c>
      <c r="AI753" s="9">
        <f t="shared" ca="1" si="2093"/>
        <v>5310</v>
      </c>
      <c r="AJ753" s="11">
        <f t="shared" ca="1" si="2080"/>
        <v>195.39240000000001</v>
      </c>
      <c r="AK753" s="8">
        <f t="shared" si="2089"/>
        <v>5887</v>
      </c>
      <c r="AL753" s="12">
        <f t="shared" ca="1" si="2081"/>
        <v>0.90198742993035497</v>
      </c>
      <c r="AM753" s="13">
        <f t="shared" si="2090"/>
        <v>1.5</v>
      </c>
      <c r="AN753" s="12">
        <f t="shared" ca="1" si="2082"/>
        <v>0.60391294646055838</v>
      </c>
      <c r="AO753" s="14">
        <f t="shared" ca="1" si="2083"/>
        <v>0.90586941969083756</v>
      </c>
      <c r="AP753" s="13">
        <f t="shared" ref="AP753:AQ753" ca="1" si="2094">SUM(T744)</f>
        <v>236.4380445304937</v>
      </c>
      <c r="AQ753" s="13">
        <f t="shared" ca="1" si="2094"/>
        <v>7.8812681510164566</v>
      </c>
      <c r="AR753" s="9">
        <f t="shared" ca="1" si="2085"/>
        <v>177</v>
      </c>
      <c r="AS753" s="76"/>
      <c r="AT753" s="76"/>
    </row>
    <row r="754" spans="1:46" ht="15.75" customHeight="1" x14ac:dyDescent="0.2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6"/>
      <c r="X754" s="8">
        <v>5</v>
      </c>
      <c r="Y754" s="8" t="s">
        <v>39</v>
      </c>
      <c r="Z754" s="8">
        <f t="shared" ref="Z754:AI754" si="2095">SUM(D745)</f>
        <v>28</v>
      </c>
      <c r="AA754" s="9">
        <f t="shared" ca="1" si="2095"/>
        <v>26</v>
      </c>
      <c r="AB754" s="10">
        <f t="shared" ca="1" si="2095"/>
        <v>4996.5140000000001</v>
      </c>
      <c r="AC754" s="9">
        <f t="shared" ca="1" si="2095"/>
        <v>1287</v>
      </c>
      <c r="AD754" s="9">
        <f t="shared" ca="1" si="2095"/>
        <v>0</v>
      </c>
      <c r="AE754" s="9">
        <f t="shared" ca="1" si="2095"/>
        <v>1287</v>
      </c>
      <c r="AF754" s="9">
        <f t="shared" ca="1" si="2095"/>
        <v>1706</v>
      </c>
      <c r="AG754" s="9">
        <f t="shared" ca="1" si="2095"/>
        <v>135</v>
      </c>
      <c r="AH754" s="9">
        <f t="shared" ca="1" si="2095"/>
        <v>1841</v>
      </c>
      <c r="AI754" s="9">
        <f t="shared" ca="1" si="2095"/>
        <v>3128</v>
      </c>
      <c r="AJ754" s="11">
        <f t="shared" ca="1" si="2080"/>
        <v>192.1736153846154</v>
      </c>
      <c r="AK754" s="8">
        <f t="shared" si="2089"/>
        <v>3569</v>
      </c>
      <c r="AL754" s="12">
        <f t="shared" ca="1" si="2081"/>
        <v>0.87643597646399551</v>
      </c>
      <c r="AM754" s="13">
        <f t="shared" si="2090"/>
        <v>1.5</v>
      </c>
      <c r="AN754" s="12">
        <f t="shared" ca="1" si="2082"/>
        <v>0.41735764841914452</v>
      </c>
      <c r="AO754" s="14">
        <f t="shared" ca="1" si="2083"/>
        <v>0.62603647262871676</v>
      </c>
      <c r="AP754" s="13">
        <f t="shared" ref="AP754:AQ754" ca="1" si="2096">SUM(T745)</f>
        <v>232.79662675301682</v>
      </c>
      <c r="AQ754" s="13">
        <f t="shared" ca="1" si="2096"/>
        <v>8.9537164135775704</v>
      </c>
      <c r="AR754" s="9">
        <f t="shared" ca="1" si="2085"/>
        <v>120.30769230769231</v>
      </c>
      <c r="AS754" s="76"/>
      <c r="AT754" s="76"/>
    </row>
    <row r="755" spans="1:46" ht="15.75" customHeight="1" x14ac:dyDescent="0.2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6"/>
      <c r="X755" s="8">
        <v>6</v>
      </c>
      <c r="Y755" s="8" t="s">
        <v>41</v>
      </c>
      <c r="Z755" s="8">
        <f t="shared" ref="Z755:AI755" si="2097">SUM(D746)</f>
        <v>24</v>
      </c>
      <c r="AA755" s="9">
        <f t="shared" ca="1" si="2097"/>
        <v>24</v>
      </c>
      <c r="AB755" s="10">
        <f t="shared" ca="1" si="2097"/>
        <v>4806.32</v>
      </c>
      <c r="AC755" s="9">
        <f t="shared" ca="1" si="2097"/>
        <v>1436</v>
      </c>
      <c r="AD755" s="9">
        <f t="shared" ca="1" si="2097"/>
        <v>0</v>
      </c>
      <c r="AE755" s="9">
        <f t="shared" ca="1" si="2097"/>
        <v>1436</v>
      </c>
      <c r="AF755" s="9">
        <f t="shared" ca="1" si="2097"/>
        <v>1639</v>
      </c>
      <c r="AG755" s="9">
        <f t="shared" ca="1" si="2097"/>
        <v>129</v>
      </c>
      <c r="AH755" s="9">
        <f t="shared" ca="1" si="2097"/>
        <v>1768</v>
      </c>
      <c r="AI755" s="9">
        <f t="shared" ca="1" si="2097"/>
        <v>3204</v>
      </c>
      <c r="AJ755" s="11">
        <f t="shared" ca="1" si="2080"/>
        <v>200.26333333333332</v>
      </c>
      <c r="AK755" s="8">
        <f t="shared" si="2089"/>
        <v>3801</v>
      </c>
      <c r="AL755" s="12">
        <f t="shared" ca="1" si="2081"/>
        <v>0.84293606945540644</v>
      </c>
      <c r="AM755" s="13">
        <f t="shared" si="2090"/>
        <v>1.5</v>
      </c>
      <c r="AN755" s="12">
        <f t="shared" ca="1" si="2082"/>
        <v>0.44441485377586182</v>
      </c>
      <c r="AO755" s="14">
        <f t="shared" ca="1" si="2083"/>
        <v>0.6666222806637927</v>
      </c>
      <c r="AP755" s="13">
        <f t="shared" ref="AP755:AQ755" ca="1" si="2098">SUM(T746)</f>
        <v>162.2222222222222</v>
      </c>
      <c r="AQ755" s="13">
        <f t="shared" ca="1" si="2098"/>
        <v>6.7592592592592586</v>
      </c>
      <c r="AR755" s="9">
        <f t="shared" ca="1" si="2085"/>
        <v>133.5</v>
      </c>
      <c r="AS755" s="76"/>
      <c r="AT755" s="76"/>
    </row>
    <row r="756" spans="1:46" ht="15.75" customHeight="1" x14ac:dyDescent="0.25">
      <c r="A756" s="110" t="s">
        <v>45</v>
      </c>
      <c r="B756" s="76"/>
      <c r="C756" s="76"/>
      <c r="D756" s="75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24" t="s">
        <v>33</v>
      </c>
      <c r="Y756" s="24">
        <v>6</v>
      </c>
      <c r="Z756" s="24">
        <f t="shared" ref="Z756:AI756" si="2099">SUM(Z750:Z755)</f>
        <v>174</v>
      </c>
      <c r="AA756" s="25">
        <f t="shared" ca="1" si="2099"/>
        <v>172</v>
      </c>
      <c r="AB756" s="27">
        <f t="shared" ca="1" si="2099"/>
        <v>33849.503999999979</v>
      </c>
      <c r="AC756" s="25">
        <f t="shared" ca="1" si="2099"/>
        <v>13834</v>
      </c>
      <c r="AD756" s="25">
        <f t="shared" ca="1" si="2099"/>
        <v>0</v>
      </c>
      <c r="AE756" s="25">
        <f t="shared" ca="1" si="2099"/>
        <v>13834</v>
      </c>
      <c r="AF756" s="25">
        <f t="shared" ca="1" si="2099"/>
        <v>16846</v>
      </c>
      <c r="AG756" s="25">
        <f t="shared" ca="1" si="2099"/>
        <v>314</v>
      </c>
      <c r="AH756" s="25">
        <f t="shared" ca="1" si="2099"/>
        <v>17160</v>
      </c>
      <c r="AI756" s="25">
        <f t="shared" ca="1" si="2099"/>
        <v>30994</v>
      </c>
      <c r="AJ756" s="27">
        <f t="shared" ca="1" si="2080"/>
        <v>196.79944186046498</v>
      </c>
      <c r="AK756" s="24">
        <f>SUM(AK750:AK755)</f>
        <v>37031</v>
      </c>
      <c r="AL756" s="28">
        <f t="shared" ca="1" si="2081"/>
        <v>0.83697442683157353</v>
      </c>
      <c r="AM756" s="29">
        <v>1.5</v>
      </c>
      <c r="AN756" s="28">
        <f t="shared" ca="1" si="2082"/>
        <v>0.610427457568261</v>
      </c>
      <c r="AO756" s="30">
        <f t="shared" ca="1" si="2083"/>
        <v>0.91564118635239145</v>
      </c>
      <c r="AP756" s="29">
        <f ca="1">SUM(AP750:AP755)</f>
        <v>1395.3287179664849</v>
      </c>
      <c r="AQ756" s="29">
        <f ca="1">AP756/AA756</f>
        <v>8.1123762672470043</v>
      </c>
      <c r="AR756" s="25">
        <f t="shared" ca="1" si="2085"/>
        <v>180.19767441860466</v>
      </c>
      <c r="AS756" s="76"/>
      <c r="AT756" s="76"/>
    </row>
    <row r="757" spans="1:46" ht="15.75" customHeight="1" x14ac:dyDescent="0.2">
      <c r="A757" s="110" t="s">
        <v>45</v>
      </c>
      <c r="B757" s="76"/>
      <c r="C757" s="76"/>
      <c r="D757" s="75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7" t="s">
        <v>1</v>
      </c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9"/>
      <c r="AS757" s="76"/>
      <c r="AT757" s="76"/>
    </row>
    <row r="758" spans="1:46" ht="15.75" customHeight="1" x14ac:dyDescent="0.2">
      <c r="A758" s="113">
        <v>46263</v>
      </c>
      <c r="B758" s="80" t="s">
        <v>2</v>
      </c>
      <c r="C758" s="80" t="s">
        <v>3</v>
      </c>
      <c r="D758" s="80" t="s">
        <v>4</v>
      </c>
      <c r="E758" s="80" t="s">
        <v>5</v>
      </c>
      <c r="F758" s="81" t="s">
        <v>6</v>
      </c>
      <c r="G758" s="80" t="s">
        <v>7</v>
      </c>
      <c r="H758" s="80" t="s">
        <v>8</v>
      </c>
      <c r="I758" s="80" t="s">
        <v>9</v>
      </c>
      <c r="J758" s="80" t="s">
        <v>10</v>
      </c>
      <c r="K758" s="80" t="s">
        <v>11</v>
      </c>
      <c r="L758" s="80" t="s">
        <v>12</v>
      </c>
      <c r="M758" s="80" t="s">
        <v>13</v>
      </c>
      <c r="N758" s="81" t="s">
        <v>14</v>
      </c>
      <c r="O758" s="80" t="s">
        <v>15</v>
      </c>
      <c r="P758" s="80" t="s">
        <v>16</v>
      </c>
      <c r="Q758" s="80" t="s">
        <v>17</v>
      </c>
      <c r="R758" s="80" t="s">
        <v>18</v>
      </c>
      <c r="S758" s="106" t="s">
        <v>19</v>
      </c>
      <c r="T758" s="107" t="s">
        <v>20</v>
      </c>
      <c r="U758" s="107" t="s">
        <v>21</v>
      </c>
      <c r="V758" s="105" t="s">
        <v>22</v>
      </c>
      <c r="W758" s="76"/>
      <c r="X758" s="1" t="s">
        <v>2</v>
      </c>
      <c r="Y758" s="1" t="s">
        <v>3</v>
      </c>
      <c r="Z758" s="1" t="s">
        <v>4</v>
      </c>
      <c r="AA758" s="1" t="s">
        <v>5</v>
      </c>
      <c r="AB758" s="2" t="s">
        <v>6</v>
      </c>
      <c r="AC758" s="1" t="s">
        <v>7</v>
      </c>
      <c r="AD758" s="1" t="s">
        <v>8</v>
      </c>
      <c r="AE758" s="1" t="s">
        <v>9</v>
      </c>
      <c r="AF758" s="1" t="s">
        <v>10</v>
      </c>
      <c r="AG758" s="1" t="s">
        <v>11</v>
      </c>
      <c r="AH758" s="1" t="s">
        <v>12</v>
      </c>
      <c r="AI758" s="1" t="s">
        <v>13</v>
      </c>
      <c r="AJ758" s="2" t="s">
        <v>14</v>
      </c>
      <c r="AK758" s="1" t="s">
        <v>15</v>
      </c>
      <c r="AL758" s="1" t="s">
        <v>16</v>
      </c>
      <c r="AM758" s="3" t="s">
        <v>17</v>
      </c>
      <c r="AN758" s="4" t="s">
        <v>18</v>
      </c>
      <c r="AO758" s="5" t="s">
        <v>19</v>
      </c>
      <c r="AP758" s="6" t="s">
        <v>20</v>
      </c>
      <c r="AQ758" s="6" t="s">
        <v>21</v>
      </c>
      <c r="AR758" s="7" t="s">
        <v>22</v>
      </c>
      <c r="AS758" s="76"/>
      <c r="AT758" s="76"/>
    </row>
    <row r="759" spans="1:46" ht="15.75" customHeight="1" x14ac:dyDescent="0.2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6"/>
      <c r="X759" s="8">
        <v>1</v>
      </c>
      <c r="Y759" s="8" t="s">
        <v>23</v>
      </c>
      <c r="Z759" s="8">
        <f t="shared" ref="Z759:AI759" si="2100">SUM(D767)</f>
        <v>28</v>
      </c>
      <c r="AA759" s="9">
        <f t="shared" ca="1" si="2100"/>
        <v>26</v>
      </c>
      <c r="AB759" s="10">
        <f t="shared" ca="1" si="2100"/>
        <v>5162.2199999999903</v>
      </c>
      <c r="AC759" s="9">
        <f t="shared" ca="1" si="2100"/>
        <v>1199</v>
      </c>
      <c r="AD759" s="9">
        <f t="shared" ca="1" si="2100"/>
        <v>8</v>
      </c>
      <c r="AE759" s="9">
        <f t="shared" ca="1" si="2100"/>
        <v>1207</v>
      </c>
      <c r="AF759" s="9">
        <f t="shared" ca="1" si="2100"/>
        <v>2451</v>
      </c>
      <c r="AG759" s="9">
        <f t="shared" ca="1" si="2100"/>
        <v>15</v>
      </c>
      <c r="AH759" s="9">
        <f t="shared" ca="1" si="2100"/>
        <v>2466</v>
      </c>
      <c r="AI759" s="9">
        <f t="shared" ca="1" si="2100"/>
        <v>3673</v>
      </c>
      <c r="AJ759" s="11">
        <f t="shared" ref="AJ759:AJ761" ca="1" si="2101">AB759/AA759</f>
        <v>198.5469230769227</v>
      </c>
      <c r="AK759" s="8">
        <f>SUM(O767)</f>
        <v>6853</v>
      </c>
      <c r="AL759" s="12">
        <f t="shared" ref="AL759:AL765" ca="1" si="2102">AI759/AK759</f>
        <v>0.53596964832919891</v>
      </c>
      <c r="AM759" s="13">
        <f t="shared" ref="AM759:AM761" si="2103">SUM(Q767)</f>
        <v>1.5</v>
      </c>
      <c r="AN759" s="12">
        <f t="shared" ref="AN759:AN765" ca="1" si="2104">AO759/AM759</f>
        <v>0.47434372550311132</v>
      </c>
      <c r="AO759" s="14">
        <f t="shared" ref="AO759:AO765" ca="1" si="2105">AI759/AB759</f>
        <v>0.71151558825466699</v>
      </c>
      <c r="AP759" s="13">
        <f t="shared" ref="AP759:AQ759" ca="1" si="2106">SUM(T767)</f>
        <v>152.99999999999972</v>
      </c>
      <c r="AQ759" s="13">
        <f t="shared" ca="1" si="2106"/>
        <v>5.8846153846153735</v>
      </c>
      <c r="AR759" s="9">
        <f t="shared" ref="AR759:AR765" ca="1" si="2107">AI759/AA759</f>
        <v>141.26923076923077</v>
      </c>
      <c r="AS759" s="76"/>
      <c r="AT759" s="76"/>
    </row>
    <row r="760" spans="1:46" ht="15.75" customHeight="1" x14ac:dyDescent="0.2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6"/>
      <c r="X760" s="8">
        <v>2</v>
      </c>
      <c r="Y760" s="8" t="s">
        <v>24</v>
      </c>
      <c r="Z760" s="8">
        <f t="shared" ref="Z760:AI760" si="2108">SUM(D768)</f>
        <v>37</v>
      </c>
      <c r="AA760" s="9">
        <f t="shared" ca="1" si="2108"/>
        <v>37</v>
      </c>
      <c r="AB760" s="10">
        <f t="shared" ca="1" si="2108"/>
        <v>7050.9489999999896</v>
      </c>
      <c r="AC760" s="9">
        <f t="shared" ca="1" si="2108"/>
        <v>797</v>
      </c>
      <c r="AD760" s="9">
        <f t="shared" ca="1" si="2108"/>
        <v>0</v>
      </c>
      <c r="AE760" s="9">
        <f t="shared" ca="1" si="2108"/>
        <v>797</v>
      </c>
      <c r="AF760" s="9">
        <f t="shared" ca="1" si="2108"/>
        <v>1161</v>
      </c>
      <c r="AG760" s="9">
        <f t="shared" ca="1" si="2108"/>
        <v>0</v>
      </c>
      <c r="AH760" s="9">
        <f t="shared" ca="1" si="2108"/>
        <v>1161</v>
      </c>
      <c r="AI760" s="9">
        <f t="shared" ca="1" si="2108"/>
        <v>1958</v>
      </c>
      <c r="AJ760" s="11">
        <f t="shared" ca="1" si="2101"/>
        <v>190.56618918918892</v>
      </c>
      <c r="AK760" s="8">
        <v>1580</v>
      </c>
      <c r="AL760" s="15">
        <f t="shared" ca="1" si="2102"/>
        <v>1.2392405063291139</v>
      </c>
      <c r="AM760" s="13">
        <f t="shared" si="2103"/>
        <v>1.5</v>
      </c>
      <c r="AN760" s="12">
        <f t="shared" ca="1" si="2104"/>
        <v>0.18512874413548239</v>
      </c>
      <c r="AO760" s="14">
        <f t="shared" ca="1" si="2105"/>
        <v>0.27769311620322357</v>
      </c>
      <c r="AP760" s="13">
        <f t="shared" ref="AP760:AQ760" ca="1" si="2109">SUM(T768)</f>
        <v>263.0460361872781</v>
      </c>
      <c r="AQ760" s="13">
        <f t="shared" ca="1" si="2109"/>
        <v>7.1093523293858949</v>
      </c>
      <c r="AR760" s="9">
        <f t="shared" ca="1" si="2107"/>
        <v>52.918918918918919</v>
      </c>
      <c r="AS760" s="76"/>
      <c r="AT760" s="76"/>
    </row>
    <row r="761" spans="1:46" ht="15.75" customHeight="1" x14ac:dyDescent="0.2">
      <c r="A761" s="70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6"/>
      <c r="X761" s="8">
        <v>3</v>
      </c>
      <c r="Y761" s="8" t="s">
        <v>25</v>
      </c>
      <c r="Z761" s="8">
        <f t="shared" ref="Z761:AI761" si="2110">SUM(D769)</f>
        <v>27</v>
      </c>
      <c r="AA761" s="9">
        <f t="shared" ca="1" si="2110"/>
        <v>26</v>
      </c>
      <c r="AB761" s="10">
        <f t="shared" ca="1" si="2110"/>
        <v>4560.9399999999996</v>
      </c>
      <c r="AC761" s="9">
        <f t="shared" ca="1" si="2110"/>
        <v>1690</v>
      </c>
      <c r="AD761" s="9">
        <f t="shared" ca="1" si="2110"/>
        <v>179</v>
      </c>
      <c r="AE761" s="9">
        <f t="shared" ca="1" si="2110"/>
        <v>1869</v>
      </c>
      <c r="AF761" s="9">
        <f t="shared" ca="1" si="2110"/>
        <v>2795</v>
      </c>
      <c r="AG761" s="9">
        <f t="shared" ca="1" si="2110"/>
        <v>331</v>
      </c>
      <c r="AH761" s="9">
        <f t="shared" ca="1" si="2110"/>
        <v>3126</v>
      </c>
      <c r="AI761" s="9">
        <f t="shared" ca="1" si="2110"/>
        <v>4995</v>
      </c>
      <c r="AJ761" s="11">
        <f t="shared" ca="1" si="2101"/>
        <v>175.42076923076922</v>
      </c>
      <c r="AK761" s="8">
        <f>SUM(O769)</f>
        <v>6622</v>
      </c>
      <c r="AL761" s="12">
        <f t="shared" ca="1" si="2102"/>
        <v>0.75430383569918458</v>
      </c>
      <c r="AM761" s="13">
        <f t="shared" si="2103"/>
        <v>1.5</v>
      </c>
      <c r="AN761" s="12">
        <f t="shared" ca="1" si="2104"/>
        <v>0.73011265221642907</v>
      </c>
      <c r="AO761" s="14">
        <f t="shared" ca="1" si="2105"/>
        <v>1.0951689783246437</v>
      </c>
      <c r="AP761" s="13">
        <f t="shared" ref="AP761:AQ761" ca="1" si="2111">SUM(T769)</f>
        <v>191.31459731543623</v>
      </c>
      <c r="AQ761" s="13">
        <f t="shared" ca="1" si="2111"/>
        <v>7.3582537429013932</v>
      </c>
      <c r="AR761" s="9">
        <f t="shared" ca="1" si="2107"/>
        <v>192.11538461538461</v>
      </c>
      <c r="AS761" s="76"/>
      <c r="AT761" s="76"/>
    </row>
    <row r="762" spans="1:46" ht="15.75" customHeight="1" x14ac:dyDescent="0.25">
      <c r="A762" s="70"/>
      <c r="B762" s="16">
        <v>1</v>
      </c>
      <c r="C762" s="16" t="s">
        <v>26</v>
      </c>
      <c r="D762" s="17">
        <v>16</v>
      </c>
      <c r="E762" s="18">
        <f ca="1">IFERROR(__xludf.DUMMYFUNCTION("COUNT(IMPORTRANGE(""https://docs.google.com/spreadsheets/d/1iVFEBQOAONhqDIMRa2hQ7WkCQv0dJWSAmc0AzfvSCMg/edit"",""29!d2:d21""))"),16)</f>
        <v>16</v>
      </c>
      <c r="F762" s="19">
        <f ca="1">IFERROR(__xludf.DUMMYFUNCTION("SUM(IMPORTRANGE(""https://docs.google.com/spreadsheets/d/1iVFEBQOAONhqDIMRa2hQ7WkCQv0dJWSAmc0AzfvSCMg/edit"",""29!Q2:Q21""))"),3114.099)</f>
        <v>3114.0990000000002</v>
      </c>
      <c r="G762" s="18">
        <f ca="1">IFERROR(__xludf.DUMMYFUNCTION("IMPORTRANGE(""https://docs.google.com/spreadsheets/d/1iVFEBQOAONhqDIMRa2hQ7WkCQv0dJWSAmc0AzfvSCMg/edit"",""29!e28"")"),1435)</f>
        <v>1435</v>
      </c>
      <c r="H762" s="18">
        <f ca="1">IFERROR(__xludf.DUMMYFUNCTION("IMPORTRANGE(""https://docs.google.com/spreadsheets/d/1iVFEBQOAONhqDIMRa2hQ7WkCQv0dJWSAmc0AzfvSCMg/edit"",""29!e29"")"),0)</f>
        <v>0</v>
      </c>
      <c r="I762" s="18">
        <f t="shared" ref="I762:I779" ca="1" si="2112">SUM(G762:H762)</f>
        <v>1435</v>
      </c>
      <c r="J762" s="18">
        <f ca="1">IFERROR(__xludf.DUMMYFUNCTION("IMPORTRANGE(""https://docs.google.com/spreadsheets/d/1iVFEBQOAONhqDIMRa2hQ7WkCQv0dJWSAmc0AzfvSCMg/edit"",""29!e32"")"),1960)</f>
        <v>1960</v>
      </c>
      <c r="K762" s="18">
        <f ca="1">IFERROR(__xludf.DUMMYFUNCTION("IMPORTRANGE(""https://docs.google.com/spreadsheets/d/1iVFEBQOAONhqDIMRa2hQ7WkCQv0dJWSAmc0AzfvSCMg/edit"",""29!e33"")"),0)</f>
        <v>0</v>
      </c>
      <c r="L762" s="18">
        <f t="shared" ref="L762:L768" ca="1" si="2113">SUM(J762:K762)</f>
        <v>1960</v>
      </c>
      <c r="M762" s="18">
        <f t="shared" ref="M762:M779" ca="1" si="2114">SUM(I762+L762)</f>
        <v>3395</v>
      </c>
      <c r="N762" s="19">
        <f t="shared" ref="N762:N780" ca="1" si="2115">F762/E762</f>
        <v>194.63118750000001</v>
      </c>
      <c r="O762" s="16">
        <v>5161</v>
      </c>
      <c r="P762" s="20">
        <f t="shared" ref="P762:P780" ca="1" si="2116">M762/O762</f>
        <v>0.65781825227669055</v>
      </c>
      <c r="Q762" s="21">
        <v>1.5</v>
      </c>
      <c r="R762" s="20">
        <f t="shared" ref="R762:R780" ca="1" si="2117">S762/Q762</f>
        <v>0.72680198456546607</v>
      </c>
      <c r="S762" s="22">
        <f t="shared" ref="S762:S780" ca="1" si="2118">M762/F762</f>
        <v>1.0902029768481991</v>
      </c>
      <c r="T762" s="21">
        <f ca="1">F762/14.415</f>
        <v>216.03184183142562</v>
      </c>
      <c r="U762" s="21">
        <f t="shared" ref="U762:U780" ca="1" si="2119">T762/E762</f>
        <v>13.501990114464101</v>
      </c>
      <c r="V762" s="18">
        <f t="shared" ref="V762:V780" ca="1" si="2120">M762/E762</f>
        <v>212.1875</v>
      </c>
      <c r="W762" s="76"/>
      <c r="X762" s="8">
        <v>4</v>
      </c>
      <c r="Y762" s="8" t="s">
        <v>27</v>
      </c>
      <c r="Z762" s="8">
        <f t="shared" ref="Z762:AK762" si="2121">SUM(D775)</f>
        <v>24</v>
      </c>
      <c r="AA762" s="9">
        <f t="shared" ca="1" si="2121"/>
        <v>22</v>
      </c>
      <c r="AB762" s="10">
        <f t="shared" ca="1" si="2121"/>
        <v>4166.7349999999897</v>
      </c>
      <c r="AC762" s="9">
        <f t="shared" ca="1" si="2121"/>
        <v>1684</v>
      </c>
      <c r="AD762" s="9">
        <f t="shared" ca="1" si="2121"/>
        <v>0</v>
      </c>
      <c r="AE762" s="9">
        <f t="shared" ca="1" si="2121"/>
        <v>1684</v>
      </c>
      <c r="AF762" s="9">
        <f t="shared" ca="1" si="2121"/>
        <v>2246</v>
      </c>
      <c r="AG762" s="9">
        <f t="shared" ca="1" si="2121"/>
        <v>0</v>
      </c>
      <c r="AH762" s="9">
        <f t="shared" ca="1" si="2121"/>
        <v>2246</v>
      </c>
      <c r="AI762" s="9">
        <f t="shared" ca="1" si="2121"/>
        <v>3930</v>
      </c>
      <c r="AJ762" s="11">
        <f t="shared" ca="1" si="2121"/>
        <v>189.39704545454498</v>
      </c>
      <c r="AK762" s="8">
        <f t="shared" si="2121"/>
        <v>8101</v>
      </c>
      <c r="AL762" s="12">
        <f t="shared" ca="1" si="2102"/>
        <v>0.48512529317368225</v>
      </c>
      <c r="AM762" s="13">
        <f>SUM(Q775)</f>
        <v>1.5</v>
      </c>
      <c r="AN762" s="12">
        <f t="shared" ca="1" si="2104"/>
        <v>0.62878968784912082</v>
      </c>
      <c r="AO762" s="14">
        <f t="shared" ca="1" si="2105"/>
        <v>0.94318453177368122</v>
      </c>
      <c r="AP762" s="13">
        <f t="shared" ref="AP762:AQ762" ca="1" si="2122">SUM(T775)</f>
        <v>208.4931198398794</v>
      </c>
      <c r="AQ762" s="13">
        <f t="shared" ca="1" si="2122"/>
        <v>9.47695999272179</v>
      </c>
      <c r="AR762" s="9">
        <f t="shared" ca="1" si="2107"/>
        <v>178.63636363636363</v>
      </c>
      <c r="AS762" s="76"/>
      <c r="AT762" s="76"/>
    </row>
    <row r="763" spans="1:46" ht="15.75" customHeight="1" x14ac:dyDescent="0.25">
      <c r="A763" s="70"/>
      <c r="B763" s="16">
        <v>2</v>
      </c>
      <c r="C763" s="16" t="s">
        <v>28</v>
      </c>
      <c r="D763" s="17">
        <v>26</v>
      </c>
      <c r="E763" s="18">
        <f ca="1">IFERROR(__xludf.DUMMYFUNCTION("COUNT(IMPORTRANGE(""https://docs.google.com/spreadsheets/d/1tJCeYclgeJZ4Dc78t_SkhVjtacKW-5-VGim8X1rzUzk/edit"",""29!d2:d34""))"),26)</f>
        <v>26</v>
      </c>
      <c r="F763" s="19">
        <f ca="1">IFERROR(__xludf.DUMMYFUNCTION("SUM(IMPORTRANGE(""https://docs.google.com/spreadsheets/d/1tJCeYclgeJZ4Dc78t_SkhVjtacKW-5-VGim8X1rzUzk/edit"",""29!Q2:Q34""))"),5155.093)</f>
        <v>5155.0929999999998</v>
      </c>
      <c r="G763" s="18">
        <f ca="1">IFERROR(__xludf.DUMMYFUNCTION("IMPORTRANGE(""https://docs.google.com/spreadsheets/d/1tJCeYclgeJZ4Dc78t_SkhVjtacKW-5-VGim8X1rzUzk/edit"",""29!e41"")"),1876)</f>
        <v>1876</v>
      </c>
      <c r="H763" s="18">
        <f ca="1">IFERROR(__xludf.DUMMYFUNCTION("IMPORTRANGE(""https://docs.google.com/spreadsheets/d/1tJCeYclgeJZ4Dc78t_SkhVjtacKW-5-VGim8X1rzUzk/edit"",""29!e42"")"),129)</f>
        <v>129</v>
      </c>
      <c r="I763" s="18">
        <f t="shared" ca="1" si="2112"/>
        <v>2005</v>
      </c>
      <c r="J763" s="18">
        <f ca="1">IFERROR(__xludf.DUMMYFUNCTION("IMPORTRANGE(""https://docs.google.com/spreadsheets/d/1tJCeYclgeJZ4Dc78t_SkhVjtacKW-5-VGim8X1rzUzk/edit"",""29!e45"")"),2105)</f>
        <v>2105</v>
      </c>
      <c r="K763" s="18">
        <f ca="1">IFERROR(__xludf.DUMMYFUNCTION("IMPORTRANGE(""https://docs.google.com/spreadsheets/d/1tJCeYclgeJZ4Dc78t_SkhVjtacKW-5-VGim8X1rzUzk/edit"",""29!e46"")"),167)</f>
        <v>167</v>
      </c>
      <c r="L763" s="18">
        <f t="shared" ca="1" si="2113"/>
        <v>2272</v>
      </c>
      <c r="M763" s="18">
        <f t="shared" ca="1" si="2114"/>
        <v>4277</v>
      </c>
      <c r="N763" s="19">
        <f t="shared" ca="1" si="2115"/>
        <v>198.27280769230768</v>
      </c>
      <c r="O763" s="16">
        <v>7315</v>
      </c>
      <c r="P763" s="20">
        <f t="shared" ca="1" si="2116"/>
        <v>0.58468899521531104</v>
      </c>
      <c r="Q763" s="21">
        <v>1.5</v>
      </c>
      <c r="R763" s="20">
        <f t="shared" ca="1" si="2117"/>
        <v>0.55310996975870919</v>
      </c>
      <c r="S763" s="22">
        <f t="shared" ca="1" si="2118"/>
        <v>0.82966495463806378</v>
      </c>
      <c r="T763" s="21">
        <f ca="1">F763/30.897</f>
        <v>166.84768747774865</v>
      </c>
      <c r="U763" s="21">
        <f t="shared" ca="1" si="2119"/>
        <v>6.4172187491441788</v>
      </c>
      <c r="V763" s="18">
        <f t="shared" ca="1" si="2120"/>
        <v>164.5</v>
      </c>
      <c r="W763" s="76"/>
      <c r="X763" s="8">
        <v>5</v>
      </c>
      <c r="Y763" s="8" t="s">
        <v>29</v>
      </c>
      <c r="Z763" s="8">
        <f t="shared" ref="Z763:AI763" si="2123">SUM(D778)</f>
        <v>24</v>
      </c>
      <c r="AA763" s="9">
        <f t="shared" ca="1" si="2123"/>
        <v>24</v>
      </c>
      <c r="AB763" s="10">
        <f t="shared" ca="1" si="2123"/>
        <v>4768.3799999999901</v>
      </c>
      <c r="AC763" s="9">
        <f t="shared" ca="1" si="2123"/>
        <v>2019</v>
      </c>
      <c r="AD763" s="9">
        <f t="shared" ca="1" si="2123"/>
        <v>0</v>
      </c>
      <c r="AE763" s="9">
        <f t="shared" ca="1" si="2123"/>
        <v>2019</v>
      </c>
      <c r="AF763" s="9">
        <f t="shared" ca="1" si="2123"/>
        <v>3048</v>
      </c>
      <c r="AG763" s="9">
        <f t="shared" ca="1" si="2123"/>
        <v>0</v>
      </c>
      <c r="AH763" s="9">
        <f t="shared" ca="1" si="2123"/>
        <v>3048</v>
      </c>
      <c r="AI763" s="9">
        <f t="shared" ca="1" si="2123"/>
        <v>5067</v>
      </c>
      <c r="AJ763" s="11">
        <f t="shared" ref="AJ763:AJ765" ca="1" si="2124">AB763/AA763</f>
        <v>198.68249999999958</v>
      </c>
      <c r="AK763" s="8">
        <f t="shared" ref="AK763:AK764" si="2125">SUM(O778)</f>
        <v>9201</v>
      </c>
      <c r="AL763" s="12">
        <f t="shared" ca="1" si="2102"/>
        <v>0.55070101075970002</v>
      </c>
      <c r="AM763" s="13">
        <f t="shared" ref="AM763:AM764" si="2126">SUM(Q778)</f>
        <v>1.5</v>
      </c>
      <c r="AN763" s="12">
        <f t="shared" ca="1" si="2104"/>
        <v>0.70841669497817017</v>
      </c>
      <c r="AO763" s="14">
        <f t="shared" ca="1" si="2105"/>
        <v>1.0626250424672552</v>
      </c>
      <c r="AP763" s="13">
        <f t="shared" ref="AP763:AQ763" ca="1" si="2127">SUM(T778)</f>
        <v>179.99999999999963</v>
      </c>
      <c r="AQ763" s="13">
        <f t="shared" ca="1" si="2127"/>
        <v>7.4999999999999849</v>
      </c>
      <c r="AR763" s="9">
        <f t="shared" ca="1" si="2107"/>
        <v>211.125</v>
      </c>
      <c r="AS763" s="76"/>
      <c r="AT763" s="76"/>
    </row>
    <row r="764" spans="1:46" ht="15.75" customHeight="1" x14ac:dyDescent="0.25">
      <c r="A764" s="70"/>
      <c r="B764" s="16">
        <v>3</v>
      </c>
      <c r="C764" s="16" t="s">
        <v>30</v>
      </c>
      <c r="D764" s="17">
        <v>48</v>
      </c>
      <c r="E764" s="18">
        <f ca="1">IFERROR(__xludf.DUMMYFUNCTION("COUNT(IMPORTRANGE(""https://docs.google.com/spreadsheets/d/130gLEONC13J8KkQ6dk06x3bLRy_jCrAw2hXatQf2W50/edit"",""29!d2:d61""))"),48)</f>
        <v>48</v>
      </c>
      <c r="F764" s="23">
        <f ca="1">IFERROR(__xludf.DUMMYFUNCTION("SUM(IMPORTRANGE(""https://docs.google.com/spreadsheets/d/130gLEONC13J8KkQ6dk06x3bLRy_jCrAw2hXatQf2W50/edit"",""29!Q2:Q61""))"),9743.59199999999)</f>
        <v>9743.5919999999896</v>
      </c>
      <c r="G764" s="18">
        <f ca="1">IFERROR(__xludf.DUMMYFUNCTION("IMPORTRANGE(""https://docs.google.com/spreadsheets/d/130gLEONC13J8KkQ6dk06x3bLRy_jCrAw2hXatQf2W50/edit"",""29!e68"")"),2802)</f>
        <v>2802</v>
      </c>
      <c r="H764" s="18">
        <f ca="1">IFERROR(__xludf.DUMMYFUNCTION("IMPORTRANGE(""https://docs.google.com/spreadsheets/d/130gLEONC13J8KkQ6dk06x3bLRy_jCrAw2hXatQf2W50/edit"",""29!e69"")"),0)</f>
        <v>0</v>
      </c>
      <c r="I764" s="18">
        <f t="shared" ca="1" si="2112"/>
        <v>2802</v>
      </c>
      <c r="J764" s="18">
        <f ca="1">IFERROR(__xludf.DUMMYFUNCTION("IMPORTRANGE(""https://docs.google.com/spreadsheets/d/130gLEONC13J8KkQ6dk06x3bLRy_jCrAw2hXatQf2W50/edit"",""29!e72"")"),3018)</f>
        <v>3018</v>
      </c>
      <c r="K764" s="18">
        <f ca="1">IFERROR(__xludf.DUMMYFUNCTION("IMPORTRANGE(""https://docs.google.com/spreadsheets/d/130gLEONC13J8KkQ6dk06x3bLRy_jCrAw2hXatQf2W50/edit"",""29!e73"")"),0)</f>
        <v>0</v>
      </c>
      <c r="L764" s="18">
        <f t="shared" ca="1" si="2113"/>
        <v>3018</v>
      </c>
      <c r="M764" s="18">
        <f t="shared" ca="1" si="2114"/>
        <v>5820</v>
      </c>
      <c r="N764" s="19">
        <f t="shared" ca="1" si="2115"/>
        <v>202.99149999999977</v>
      </c>
      <c r="O764" s="16">
        <v>11164</v>
      </c>
      <c r="P764" s="20">
        <f t="shared" ca="1" si="2116"/>
        <v>0.5213185238265855</v>
      </c>
      <c r="Q764" s="21">
        <v>1.5</v>
      </c>
      <c r="R764" s="20">
        <f t="shared" ca="1" si="2117"/>
        <v>0.39821043409863677</v>
      </c>
      <c r="S764" s="22">
        <f t="shared" ca="1" si="2118"/>
        <v>0.59731565114795515</v>
      </c>
      <c r="T764" s="21">
        <f ca="1">F764/29.603</f>
        <v>329.14204641421441</v>
      </c>
      <c r="U764" s="21">
        <f t="shared" ca="1" si="2119"/>
        <v>6.8571259669628004</v>
      </c>
      <c r="V764" s="18">
        <f t="shared" ca="1" si="2120"/>
        <v>121.25</v>
      </c>
      <c r="W764" s="76"/>
      <c r="X764" s="8">
        <v>6</v>
      </c>
      <c r="Y764" s="8" t="s">
        <v>31</v>
      </c>
      <c r="Z764" s="8">
        <f t="shared" ref="Z764:AI764" si="2128">SUM(D779)</f>
        <v>12</v>
      </c>
      <c r="AA764" s="9">
        <f t="shared" ca="1" si="2128"/>
        <v>11</v>
      </c>
      <c r="AB764" s="11">
        <f t="shared" ca="1" si="2128"/>
        <v>1912.46</v>
      </c>
      <c r="AC764" s="9">
        <f t="shared" ca="1" si="2128"/>
        <v>647</v>
      </c>
      <c r="AD764" s="9">
        <f t="shared" ca="1" si="2128"/>
        <v>0</v>
      </c>
      <c r="AE764" s="9">
        <f t="shared" ca="1" si="2128"/>
        <v>647</v>
      </c>
      <c r="AF764" s="9">
        <f t="shared" ca="1" si="2128"/>
        <v>646</v>
      </c>
      <c r="AG764" s="9">
        <f t="shared" ca="1" si="2128"/>
        <v>0</v>
      </c>
      <c r="AH764" s="9">
        <f t="shared" ca="1" si="2128"/>
        <v>646</v>
      </c>
      <c r="AI764" s="9">
        <f t="shared" ca="1" si="2128"/>
        <v>1293</v>
      </c>
      <c r="AJ764" s="11">
        <f t="shared" ca="1" si="2124"/>
        <v>173.86</v>
      </c>
      <c r="AK764" s="8">
        <f t="shared" si="2125"/>
        <v>2717</v>
      </c>
      <c r="AL764" s="12">
        <f t="shared" ca="1" si="2102"/>
        <v>0.47589252852410746</v>
      </c>
      <c r="AM764" s="13">
        <f t="shared" si="2126"/>
        <v>1.5</v>
      </c>
      <c r="AN764" s="12">
        <f t="shared" ca="1" si="2104"/>
        <v>0.45072838124718945</v>
      </c>
      <c r="AO764" s="14">
        <f t="shared" ca="1" si="2105"/>
        <v>0.6760925718707842</v>
      </c>
      <c r="AP764" s="13">
        <f t="shared" ref="AP764:AQ764" ca="1" si="2129">SUM(T779)</f>
        <v>44</v>
      </c>
      <c r="AQ764" s="13">
        <f t="shared" ca="1" si="2129"/>
        <v>4</v>
      </c>
      <c r="AR764" s="9">
        <f t="shared" ca="1" si="2107"/>
        <v>117.54545454545455</v>
      </c>
      <c r="AS764" s="76"/>
      <c r="AT764" s="76"/>
    </row>
    <row r="765" spans="1:46" ht="15.75" customHeight="1" x14ac:dyDescent="0.25">
      <c r="A765" s="70"/>
      <c r="B765" s="16">
        <v>4</v>
      </c>
      <c r="C765" s="16" t="s">
        <v>32</v>
      </c>
      <c r="D765" s="17">
        <v>33</v>
      </c>
      <c r="E765" s="18">
        <f ca="1">IFERROR(__xludf.DUMMYFUNCTION("COUNT(IMPORTRANGE(""https://docs.google.com/spreadsheets/d/1gYHli7FuKQLm2Q-5LMR0UtkD-gRRA_p8s-phLPLDLgc/edit"",""29!d2:d43""))"),33)</f>
        <v>33</v>
      </c>
      <c r="F765" s="23">
        <f ca="1">IFERROR(__xludf.DUMMYFUNCTION("SUM(IMPORTRANGE(""https://docs.google.com/spreadsheets/d/1gYHli7FuKQLm2Q-5LMR0UtkD-gRRA_p8s-phLPLDLgc/edit"",""29!Q2:Q43""))"),6399.84399999999)</f>
        <v>6399.84399999999</v>
      </c>
      <c r="G765" s="16">
        <f ca="1">IFERROR(__xludf.DUMMYFUNCTION("IMPORTRANGE(""https://docs.google.com/spreadsheets/d/1gYHli7FuKQLm2Q-5LMR0UtkD-gRRA_p8s-phLPLDLgc/edit"",""29!e50"")"),3881)</f>
        <v>3881</v>
      </c>
      <c r="H765" s="16">
        <f ca="1">IFERROR(__xludf.DUMMYFUNCTION("IMPORTRANGE(""https://docs.google.com/spreadsheets/d/1gYHli7FuKQLm2Q-5LMR0UtkD-gRRA_p8s-phLPLDLgc/edit"",""29!e51"")"),0)</f>
        <v>0</v>
      </c>
      <c r="I765" s="18">
        <f t="shared" ca="1" si="2112"/>
        <v>3881</v>
      </c>
      <c r="J765" s="16">
        <f ca="1">IFERROR(__xludf.DUMMYFUNCTION("IMPORTRANGE(""https://docs.google.com/spreadsheets/d/1gYHli7FuKQLm2Q-5LMR0UtkD-gRRA_p8s-phLPLDLgc/edit"",""29!e54"")"),3934)</f>
        <v>3934</v>
      </c>
      <c r="K765" s="16">
        <f ca="1">IFERROR(__xludf.DUMMYFUNCTION("IMPORTRANGE(""https://docs.google.com/spreadsheets/d/1gYHli7FuKQLm2Q-5LMR0UtkD-gRRA_p8s-phLPLDLgc/edit"",""29!e55"")"),0)</f>
        <v>0</v>
      </c>
      <c r="L765" s="18">
        <f t="shared" ca="1" si="2113"/>
        <v>3934</v>
      </c>
      <c r="M765" s="18">
        <f t="shared" ca="1" si="2114"/>
        <v>7815</v>
      </c>
      <c r="N765" s="19">
        <f t="shared" ca="1" si="2115"/>
        <v>193.93466666666637</v>
      </c>
      <c r="O765" s="16">
        <v>13817</v>
      </c>
      <c r="P765" s="20">
        <f t="shared" ca="1" si="2116"/>
        <v>0.56560758485923135</v>
      </c>
      <c r="Q765" s="21">
        <v>1.5</v>
      </c>
      <c r="R765" s="20">
        <f t="shared" ca="1" si="2117"/>
        <v>0.81408234325711815</v>
      </c>
      <c r="S765" s="22">
        <f t="shared" ca="1" si="2118"/>
        <v>1.2211235148856772</v>
      </c>
      <c r="T765" s="21">
        <f ca="1">F765/25.089</f>
        <v>255.08565506795767</v>
      </c>
      <c r="U765" s="21">
        <f t="shared" ca="1" si="2119"/>
        <v>7.7298683353926565</v>
      </c>
      <c r="V765" s="18">
        <f t="shared" ca="1" si="2120"/>
        <v>236.81818181818181</v>
      </c>
      <c r="W765" s="76"/>
      <c r="X765" s="24" t="s">
        <v>33</v>
      </c>
      <c r="Y765" s="24">
        <v>6</v>
      </c>
      <c r="Z765" s="24">
        <f t="shared" ref="Z765:AI765" si="2130">SUM(Z759:Z764)</f>
        <v>152</v>
      </c>
      <c r="AA765" s="25">
        <f t="shared" ca="1" si="2130"/>
        <v>146</v>
      </c>
      <c r="AB765" s="26">
        <f t="shared" ca="1" si="2130"/>
        <v>27621.683999999957</v>
      </c>
      <c r="AC765" s="25">
        <f t="shared" ca="1" si="2130"/>
        <v>8036</v>
      </c>
      <c r="AD765" s="25">
        <f t="shared" ca="1" si="2130"/>
        <v>187</v>
      </c>
      <c r="AE765" s="25">
        <f t="shared" ca="1" si="2130"/>
        <v>8223</v>
      </c>
      <c r="AF765" s="25">
        <f t="shared" ca="1" si="2130"/>
        <v>12347</v>
      </c>
      <c r="AG765" s="25">
        <f t="shared" ca="1" si="2130"/>
        <v>346</v>
      </c>
      <c r="AH765" s="25">
        <f t="shared" ca="1" si="2130"/>
        <v>12693</v>
      </c>
      <c r="AI765" s="25">
        <f t="shared" ca="1" si="2130"/>
        <v>20916</v>
      </c>
      <c r="AJ765" s="27">
        <f t="shared" ca="1" si="2124"/>
        <v>189.18961643835587</v>
      </c>
      <c r="AK765" s="24">
        <f>SUM(AK759:AK764)</f>
        <v>35074</v>
      </c>
      <c r="AL765" s="28">
        <f t="shared" ca="1" si="2102"/>
        <v>0.59633916861492842</v>
      </c>
      <c r="AM765" s="29">
        <v>1.5</v>
      </c>
      <c r="AN765" s="28">
        <f t="shared" ca="1" si="2104"/>
        <v>0.50482077776286272</v>
      </c>
      <c r="AO765" s="30">
        <f t="shared" ca="1" si="2105"/>
        <v>0.75723116664429413</v>
      </c>
      <c r="AP765" s="29">
        <f ca="1">SUM(AP759:AP764)</f>
        <v>1039.8537533425933</v>
      </c>
      <c r="AQ765" s="29">
        <f ca="1">AP765/AA765</f>
        <v>7.1222859817985844</v>
      </c>
      <c r="AR765" s="25">
        <f t="shared" ca="1" si="2107"/>
        <v>143.26027397260273</v>
      </c>
      <c r="AS765" s="76"/>
      <c r="AT765" s="76"/>
    </row>
    <row r="766" spans="1:46" ht="15.75" customHeight="1" x14ac:dyDescent="0.25">
      <c r="A766" s="70"/>
      <c r="B766" s="16">
        <v>5</v>
      </c>
      <c r="C766" s="16" t="s">
        <v>34</v>
      </c>
      <c r="D766" s="17">
        <v>32</v>
      </c>
      <c r="E766" s="18">
        <f ca="1">IFERROR(__xludf.DUMMYFUNCTION("COUNT(IMPORTRANGE(""https://docs.google.com/spreadsheets/d/1ptS0qWBCKWkc9h2aXWT_YgMhN7yIv5WgAHRbF8l9Zpo/edit"",""29!d2:d41""))"),32)</f>
        <v>32</v>
      </c>
      <c r="F766" s="23">
        <f ca="1">IFERROR(__xludf.DUMMYFUNCTION("SUM(IMPORTRANGE(""https://docs.google.com/spreadsheets/d/1ptS0qWBCKWkc9h2aXWT_YgMhN7yIv5WgAHRbF8l9Zpo/edit"",""29!Q2:Q41""))"),6406.422)</f>
        <v>6406.4219999999996</v>
      </c>
      <c r="G766" s="18">
        <f ca="1">IFERROR(__xludf.DUMMYFUNCTION("IMPORTRANGE(""https://docs.google.com/spreadsheets/d/1ptS0qWBCKWkc9h2aXWT_YgMhN7yIv5WgAHRbF8l9Zpo/edit"",""29!e48"")"),1837)</f>
        <v>1837</v>
      </c>
      <c r="H766" s="18">
        <f ca="1">IFERROR(__xludf.DUMMYFUNCTION("IMPORTRANGE(""https://docs.google.com/spreadsheets/d/1ptS0qWBCKWkc9h2aXWT_YgMhN7yIv5WgAHRbF8l9Zpo/edit"",""29!e49"")"),0)</f>
        <v>0</v>
      </c>
      <c r="I766" s="18">
        <f t="shared" ca="1" si="2112"/>
        <v>1837</v>
      </c>
      <c r="J766" s="18">
        <f ca="1">IFERROR(__xludf.DUMMYFUNCTION("IMPORTRANGE(""https://docs.google.com/spreadsheets/d/1ptS0qWBCKWkc9h2aXWT_YgMhN7yIv5WgAHRbF8l9Zpo/edit"",""29!e52"")"),2742)</f>
        <v>2742</v>
      </c>
      <c r="K766" s="18">
        <f ca="1">IFERROR(__xludf.DUMMYFUNCTION("IMPORTRANGE(""https://docs.google.com/spreadsheets/d/1ptS0qWBCKWkc9h2aXWT_YgMhN7yIv5WgAHRbF8l9Zpo/edit"",""29!e53"")"),0)</f>
        <v>0</v>
      </c>
      <c r="L766" s="18">
        <f t="shared" ca="1" si="2113"/>
        <v>2742</v>
      </c>
      <c r="M766" s="18">
        <f t="shared" ca="1" si="2114"/>
        <v>4579</v>
      </c>
      <c r="N766" s="19">
        <f t="shared" ca="1" si="2115"/>
        <v>200.20068749999999</v>
      </c>
      <c r="O766" s="16">
        <v>9354</v>
      </c>
      <c r="P766" s="20">
        <f t="shared" ca="1" si="2116"/>
        <v>0.48952319863160143</v>
      </c>
      <c r="Q766" s="21">
        <v>1.5</v>
      </c>
      <c r="R766" s="20">
        <f t="shared" ca="1" si="2117"/>
        <v>0.47650102766671737</v>
      </c>
      <c r="S766" s="22">
        <f t="shared" ca="1" si="2118"/>
        <v>0.71475154150007603</v>
      </c>
      <c r="T766" s="21">
        <f ca="1">F766/30.713</f>
        <v>208.58991306612833</v>
      </c>
      <c r="U766" s="21">
        <f t="shared" ca="1" si="2119"/>
        <v>6.5184347833165104</v>
      </c>
      <c r="V766" s="18">
        <f t="shared" ca="1" si="2120"/>
        <v>143.09375</v>
      </c>
      <c r="W766" s="76"/>
      <c r="X766" s="100" t="s">
        <v>35</v>
      </c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9"/>
      <c r="AS766" s="76"/>
      <c r="AT766" s="76"/>
    </row>
    <row r="767" spans="1:46" ht="15.75" customHeight="1" x14ac:dyDescent="0.25">
      <c r="A767" s="70"/>
      <c r="B767" s="16">
        <v>6</v>
      </c>
      <c r="C767" s="16" t="s">
        <v>23</v>
      </c>
      <c r="D767" s="17">
        <v>28</v>
      </c>
      <c r="E767" s="18">
        <f ca="1">IFERROR(__xludf.DUMMYFUNCTION("COUNT(IMPORTRANGE(""https://docs.google.com/spreadsheets/d/1829CoYW82aTBBUgqkPnJa94KlBWI-DowAnP4ENQCmaQ/edit"",""29!d2:d36""))"),26)</f>
        <v>26</v>
      </c>
      <c r="F767" s="23">
        <f ca="1">IFERROR(__xludf.DUMMYFUNCTION("SUM(IMPORTRANGE(""https://docs.google.com/spreadsheets/d/1829CoYW82aTBBUgqkPnJa94KlBWI-DowAnP4ENQCmaQ/edit"",""29!Q2:Q36""))"),5162.21999999999)</f>
        <v>5162.2199999999903</v>
      </c>
      <c r="G767" s="18">
        <f ca="1">IFERROR(__xludf.DUMMYFUNCTION("IMPORTRANGE(""https://docs.google.com/spreadsheets/d/1829CoYW82aTBBUgqkPnJa94KlBWI-DowAnP4ENQCmaQ/edit"",""29!e43"")"),1199)</f>
        <v>1199</v>
      </c>
      <c r="H767" s="18">
        <f ca="1">IFERROR(__xludf.DUMMYFUNCTION("IMPORTRANGE(""https://docs.google.com/spreadsheets/d/1829CoYW82aTBBUgqkPnJa94KlBWI-DowAnP4ENQCmaQ/edit"",""29!e44"")"),8)</f>
        <v>8</v>
      </c>
      <c r="I767" s="18">
        <f t="shared" ca="1" si="2112"/>
        <v>1207</v>
      </c>
      <c r="J767" s="18">
        <f ca="1">IFERROR(__xludf.DUMMYFUNCTION("IMPORTRANGE(""https://docs.google.com/spreadsheets/d/1829CoYW82aTBBUgqkPnJa94KlBWI-DowAnP4ENQCmaQ/edit"",""29!e47"")"),2451)</f>
        <v>2451</v>
      </c>
      <c r="K767" s="18">
        <f ca="1">IFERROR(__xludf.DUMMYFUNCTION("IMPORTRANGE(""https://docs.google.com/spreadsheets/d/1829CoYW82aTBBUgqkPnJa94KlBWI-DowAnP4ENQCmaQ/edit"",""29!e48"")"),15)</f>
        <v>15</v>
      </c>
      <c r="L767" s="18">
        <f t="shared" ca="1" si="2113"/>
        <v>2466</v>
      </c>
      <c r="M767" s="18">
        <f t="shared" ca="1" si="2114"/>
        <v>3673</v>
      </c>
      <c r="N767" s="19">
        <f t="shared" ca="1" si="2115"/>
        <v>198.5469230769227</v>
      </c>
      <c r="O767" s="16">
        <v>6853</v>
      </c>
      <c r="P767" s="20">
        <f t="shared" ca="1" si="2116"/>
        <v>0.53596964832919891</v>
      </c>
      <c r="Q767" s="21">
        <v>1.5</v>
      </c>
      <c r="R767" s="20">
        <f t="shared" ca="1" si="2117"/>
        <v>0.47434372550311132</v>
      </c>
      <c r="S767" s="22">
        <f t="shared" ca="1" si="2118"/>
        <v>0.71151558825466699</v>
      </c>
      <c r="T767" s="21">
        <f ca="1">F767/33.74</f>
        <v>152.99999999999972</v>
      </c>
      <c r="U767" s="21">
        <f t="shared" ca="1" si="2119"/>
        <v>5.8846153846153735</v>
      </c>
      <c r="V767" s="18">
        <f t="shared" ca="1" si="2120"/>
        <v>141.26923076923077</v>
      </c>
      <c r="W767" s="76"/>
      <c r="X767" s="1" t="s">
        <v>2</v>
      </c>
      <c r="Y767" s="1" t="s">
        <v>3</v>
      </c>
      <c r="Z767" s="1" t="s">
        <v>4</v>
      </c>
      <c r="AA767" s="1" t="s">
        <v>5</v>
      </c>
      <c r="AB767" s="2" t="s">
        <v>6</v>
      </c>
      <c r="AC767" s="1" t="s">
        <v>7</v>
      </c>
      <c r="AD767" s="1" t="s">
        <v>8</v>
      </c>
      <c r="AE767" s="1" t="s">
        <v>9</v>
      </c>
      <c r="AF767" s="1" t="s">
        <v>10</v>
      </c>
      <c r="AG767" s="1" t="s">
        <v>11</v>
      </c>
      <c r="AH767" s="1" t="s">
        <v>12</v>
      </c>
      <c r="AI767" s="1" t="s">
        <v>13</v>
      </c>
      <c r="AJ767" s="2" t="s">
        <v>14</v>
      </c>
      <c r="AK767" s="1" t="s">
        <v>15</v>
      </c>
      <c r="AL767" s="1" t="s">
        <v>16</v>
      </c>
      <c r="AM767" s="3" t="s">
        <v>17</v>
      </c>
      <c r="AN767" s="4" t="s">
        <v>18</v>
      </c>
      <c r="AO767" s="5" t="s">
        <v>19</v>
      </c>
      <c r="AP767" s="6" t="s">
        <v>20</v>
      </c>
      <c r="AQ767" s="6" t="s">
        <v>21</v>
      </c>
      <c r="AR767" s="7" t="s">
        <v>22</v>
      </c>
      <c r="AS767" s="76"/>
      <c r="AT767" s="76"/>
    </row>
    <row r="768" spans="1:46" ht="15.75" customHeight="1" x14ac:dyDescent="0.25">
      <c r="A768" s="70"/>
      <c r="B768" s="16">
        <v>7</v>
      </c>
      <c r="C768" s="16" t="s">
        <v>24</v>
      </c>
      <c r="D768" s="17">
        <v>37</v>
      </c>
      <c r="E768" s="31">
        <f ca="1">IFERROR(__xludf.DUMMYFUNCTION("COUNT(IMPORTRANGE(""https://docs.google.com/spreadsheets/d/1E2x4oDZxEIsuC5nl-5Z0--MoN8b1dt9SbpRcCfNP84Q/edit"",""29!d2:d45""))"),37)</f>
        <v>37</v>
      </c>
      <c r="F768" s="32">
        <f ca="1">IFERROR(__xludf.DUMMYFUNCTION("SUM(IMPORTRANGE(""https://docs.google.com/spreadsheets/d/1E2x4oDZxEIsuC5nl-5Z0--MoN8b1dt9SbpRcCfNP84Q/edit"",""29!Q2:Q45""))"),7050.94899999999)</f>
        <v>7050.9489999999896</v>
      </c>
      <c r="G768" s="31">
        <f ca="1">IFERROR(__xludf.DUMMYFUNCTION("IMPORTRANGE(""https://docs.google.com/spreadsheets/d/1E2x4oDZxEIsuC5nl-5Z0--MoN8b1dt9SbpRcCfNP84Q/edit"",""29!e53"")"),797)</f>
        <v>797</v>
      </c>
      <c r="H768" s="31">
        <f ca="1">IFERROR(__xludf.DUMMYFUNCTION("IMPORTRANGE(""https://docs.google.com/spreadsheets/d/1E2x4oDZxEIsuC5nl-5Z0--MoN8b1dt9SbpRcCfNP84Q/edit"",""29!e54"")"),0)</f>
        <v>0</v>
      </c>
      <c r="I768" s="31">
        <f t="shared" ca="1" si="2112"/>
        <v>797</v>
      </c>
      <c r="J768" s="31">
        <f ca="1">IFERROR(__xludf.DUMMYFUNCTION("IMPORTRANGE(""https://docs.google.com/spreadsheets/d/1E2x4oDZxEIsuC5nl-5Z0--MoN8b1dt9SbpRcCfNP84Q/edit"",""29!e57"")"),1161)</f>
        <v>1161</v>
      </c>
      <c r="K768" s="31">
        <f ca="1">IFERROR(__xludf.DUMMYFUNCTION("IMPORTRANGE(""https://docs.google.com/spreadsheets/d/1E2x4oDZxEIsuC5nl-5Z0--MoN8b1dt9SbpRcCfNP84Q/edit"",""29!e58"")"),0)</f>
        <v>0</v>
      </c>
      <c r="L768" s="18">
        <f t="shared" ca="1" si="2113"/>
        <v>1161</v>
      </c>
      <c r="M768" s="18">
        <f t="shared" ca="1" si="2114"/>
        <v>1958</v>
      </c>
      <c r="N768" s="19">
        <f t="shared" ca="1" si="2115"/>
        <v>190.56618918918892</v>
      </c>
      <c r="O768" s="16">
        <v>1580</v>
      </c>
      <c r="P768" s="33">
        <f t="shared" ca="1" si="2116"/>
        <v>1.2392405063291139</v>
      </c>
      <c r="Q768" s="21">
        <v>1.5</v>
      </c>
      <c r="R768" s="20">
        <f t="shared" ca="1" si="2117"/>
        <v>0.18512874413548239</v>
      </c>
      <c r="S768" s="22">
        <f t="shared" ca="1" si="2118"/>
        <v>0.27769311620322357</v>
      </c>
      <c r="T768" s="21">
        <f ca="1">F768/26.805</f>
        <v>263.0460361872781</v>
      </c>
      <c r="U768" s="21">
        <f t="shared" ca="1" si="2119"/>
        <v>7.1093523293858949</v>
      </c>
      <c r="V768" s="18">
        <f t="shared" ca="1" si="2120"/>
        <v>52.918918918918919</v>
      </c>
      <c r="W768" s="76"/>
      <c r="X768" s="8">
        <v>1</v>
      </c>
      <c r="Y768" s="8" t="s">
        <v>28</v>
      </c>
      <c r="Z768" s="8">
        <f t="shared" ref="Z768:AI768" si="2131">SUM(D763)</f>
        <v>26</v>
      </c>
      <c r="AA768" s="9">
        <f t="shared" ca="1" si="2131"/>
        <v>26</v>
      </c>
      <c r="AB768" s="11">
        <f t="shared" ca="1" si="2131"/>
        <v>5155.0929999999998</v>
      </c>
      <c r="AC768" s="9">
        <f t="shared" ca="1" si="2131"/>
        <v>1876</v>
      </c>
      <c r="AD768" s="9">
        <f t="shared" ca="1" si="2131"/>
        <v>129</v>
      </c>
      <c r="AE768" s="9">
        <f t="shared" ca="1" si="2131"/>
        <v>2005</v>
      </c>
      <c r="AF768" s="9">
        <f t="shared" ca="1" si="2131"/>
        <v>2105</v>
      </c>
      <c r="AG768" s="9">
        <f t="shared" ca="1" si="2131"/>
        <v>167</v>
      </c>
      <c r="AH768" s="9">
        <f t="shared" ca="1" si="2131"/>
        <v>2272</v>
      </c>
      <c r="AI768" s="9">
        <f t="shared" ca="1" si="2131"/>
        <v>4277</v>
      </c>
      <c r="AJ768" s="11">
        <f t="shared" ref="AJ768:AJ774" ca="1" si="2132">AB768/AA768</f>
        <v>198.27280769230768</v>
      </c>
      <c r="AK768" s="8">
        <f t="shared" ref="AK768:AK769" si="2133">SUM(O763)</f>
        <v>7315</v>
      </c>
      <c r="AL768" s="12">
        <f t="shared" ref="AL768:AL774" ca="1" si="2134">AI768/AK768</f>
        <v>0.58468899521531104</v>
      </c>
      <c r="AM768" s="13">
        <f t="shared" ref="AM768:AM769" si="2135">SUM(Q763)</f>
        <v>1.5</v>
      </c>
      <c r="AN768" s="12">
        <f t="shared" ref="AN768:AN774" ca="1" si="2136">AO768/AM768</f>
        <v>0.55310996975870919</v>
      </c>
      <c r="AO768" s="14">
        <f t="shared" ref="AO768:AO774" ca="1" si="2137">AI768/AB768</f>
        <v>0.82966495463806378</v>
      </c>
      <c r="AP768" s="13">
        <f t="shared" ref="AP768:AQ768" ca="1" si="2138">SUM(T763)</f>
        <v>166.84768747774865</v>
      </c>
      <c r="AQ768" s="13">
        <f t="shared" ca="1" si="2138"/>
        <v>6.4172187491441788</v>
      </c>
      <c r="AR768" s="9">
        <f t="shared" ref="AR768:AR774" ca="1" si="2139">AI768/AA768</f>
        <v>164.5</v>
      </c>
      <c r="AS768" s="76"/>
      <c r="AT768" s="76"/>
    </row>
    <row r="769" spans="1:46" ht="15.75" customHeight="1" x14ac:dyDescent="0.25">
      <c r="A769" s="70"/>
      <c r="B769" s="16">
        <v>8</v>
      </c>
      <c r="C769" s="16" t="s">
        <v>25</v>
      </c>
      <c r="D769" s="34">
        <v>27</v>
      </c>
      <c r="E769" s="18">
        <f ca="1">IFERROR(__xludf.DUMMYFUNCTION("COUNT(IMPORTRANGE(""https://docs.google.com/spreadsheets/d/1KbRFOEYB0B44J_NSh1MwYQ1sLDlZXUHI-wuMLcZDn5k/edit"",""29!d2:D33""))"),26)</f>
        <v>26</v>
      </c>
      <c r="F769" s="23">
        <f ca="1">IFERROR(__xludf.DUMMYFUNCTION("SUM(IMPORTRANGE(""https://docs.google.com/spreadsheets/d/1KbRFOEYB0B44J_NSh1MwYQ1sLDlZXUHI-wuMLcZDn5k/edit"",""29!Q2:Q33""))"),4560.94)</f>
        <v>4560.9399999999996</v>
      </c>
      <c r="G769" s="18">
        <f ca="1">IFERROR(__xludf.DUMMYFUNCTION("IMPORTRANGE(""https://docs.google.com/spreadsheets/d/1KbRFOEYB0B44J_NSh1MwYQ1sLDlZXUHI-wuMLcZDn5k/edit"",""29!e40"")"),1690)</f>
        <v>1690</v>
      </c>
      <c r="H769" s="18">
        <f ca="1">IFERROR(__xludf.DUMMYFUNCTION("IMPORTRANGE(""https://docs.google.com/spreadsheets/d/1KbRFOEYB0B44J_NSh1MwYQ1sLDlZXUHI-wuMLcZDn5k/edit"",""29!e41"")"),179)</f>
        <v>179</v>
      </c>
      <c r="I769" s="18">
        <f t="shared" ca="1" si="2112"/>
        <v>1869</v>
      </c>
      <c r="J769" s="18">
        <f ca="1">IFERROR(__xludf.DUMMYFUNCTION("IMPORTRANGE(""https://docs.google.com/spreadsheets/d/1KbRFOEYB0B44J_NSh1MwYQ1sLDlZXUHI-wuMLcZDn5k/edit"",""29!e44"")"),2795)</f>
        <v>2795</v>
      </c>
      <c r="K769" s="18">
        <f ca="1">IFERROR(__xludf.DUMMYFUNCTION("IMPORTRANGE(""https://docs.google.com/spreadsheets/d/1KbRFOEYB0B44J_NSh1MwYQ1sLDlZXUHI-wuMLcZDn5k/edit"",""29!e45"")"),331)</f>
        <v>331</v>
      </c>
      <c r="L769" s="18">
        <f ca="1">J769+K769</f>
        <v>3126</v>
      </c>
      <c r="M769" s="18">
        <f t="shared" ca="1" si="2114"/>
        <v>4995</v>
      </c>
      <c r="N769" s="19">
        <f t="shared" ca="1" si="2115"/>
        <v>175.42076923076922</v>
      </c>
      <c r="O769" s="16">
        <v>6622</v>
      </c>
      <c r="P769" s="20">
        <f t="shared" ca="1" si="2116"/>
        <v>0.75430383569918458</v>
      </c>
      <c r="Q769" s="21">
        <v>1.5</v>
      </c>
      <c r="R769" s="20">
        <f t="shared" ca="1" si="2117"/>
        <v>0.73011265221642907</v>
      </c>
      <c r="S769" s="22">
        <f t="shared" ca="1" si="2118"/>
        <v>1.0951689783246437</v>
      </c>
      <c r="T769" s="21">
        <f ca="1">F769/23.84</f>
        <v>191.31459731543623</v>
      </c>
      <c r="U769" s="21">
        <f t="shared" ca="1" si="2119"/>
        <v>7.3582537429013932</v>
      </c>
      <c r="V769" s="18">
        <f t="shared" ca="1" si="2120"/>
        <v>192.11538461538461</v>
      </c>
      <c r="W769" s="76"/>
      <c r="X769" s="8">
        <v>2</v>
      </c>
      <c r="Y769" s="8" t="s">
        <v>30</v>
      </c>
      <c r="Z769" s="8">
        <f t="shared" ref="Z769:AI769" si="2140">SUM(D764)</f>
        <v>48</v>
      </c>
      <c r="AA769" s="9">
        <f t="shared" ca="1" si="2140"/>
        <v>48</v>
      </c>
      <c r="AB769" s="10">
        <f t="shared" ca="1" si="2140"/>
        <v>9743.5919999999896</v>
      </c>
      <c r="AC769" s="9">
        <f t="shared" ca="1" si="2140"/>
        <v>2802</v>
      </c>
      <c r="AD769" s="9">
        <f t="shared" ca="1" si="2140"/>
        <v>0</v>
      </c>
      <c r="AE769" s="9">
        <f t="shared" ca="1" si="2140"/>
        <v>2802</v>
      </c>
      <c r="AF769" s="9">
        <f t="shared" ca="1" si="2140"/>
        <v>3018</v>
      </c>
      <c r="AG769" s="9">
        <f t="shared" ca="1" si="2140"/>
        <v>0</v>
      </c>
      <c r="AH769" s="9">
        <f t="shared" ca="1" si="2140"/>
        <v>3018</v>
      </c>
      <c r="AI769" s="9">
        <f t="shared" ca="1" si="2140"/>
        <v>5820</v>
      </c>
      <c r="AJ769" s="11">
        <f t="shared" ca="1" si="2132"/>
        <v>202.99149999999977</v>
      </c>
      <c r="AK769" s="8">
        <f t="shared" si="2133"/>
        <v>11164</v>
      </c>
      <c r="AL769" s="12">
        <f t="shared" ca="1" si="2134"/>
        <v>0.5213185238265855</v>
      </c>
      <c r="AM769" s="13">
        <f t="shared" si="2135"/>
        <v>1.5</v>
      </c>
      <c r="AN769" s="12">
        <f t="shared" ca="1" si="2136"/>
        <v>0.39821043409863677</v>
      </c>
      <c r="AO769" s="14">
        <f t="shared" ca="1" si="2137"/>
        <v>0.59731565114795515</v>
      </c>
      <c r="AP769" s="13">
        <f t="shared" ref="AP769:AQ769" ca="1" si="2141">SUM(T764)</f>
        <v>329.14204641421441</v>
      </c>
      <c r="AQ769" s="13">
        <f t="shared" ca="1" si="2141"/>
        <v>6.8571259669628004</v>
      </c>
      <c r="AR769" s="9">
        <f t="shared" ca="1" si="2139"/>
        <v>121.25</v>
      </c>
      <c r="AS769" s="76"/>
      <c r="AT769" s="76"/>
    </row>
    <row r="770" spans="1:46" ht="15.75" customHeight="1" x14ac:dyDescent="0.25">
      <c r="A770" s="70"/>
      <c r="B770" s="16">
        <v>9</v>
      </c>
      <c r="C770" s="16" t="s">
        <v>36</v>
      </c>
      <c r="D770" s="34">
        <v>24</v>
      </c>
      <c r="E770" s="18">
        <f ca="1">IFERROR(__xludf.DUMMYFUNCTION("COUNT(IMPORTRANGE(""https://docs.google.com/spreadsheets/d/1VqqqRGfmmkT0JC4ILJva2p8P11jjV0FX-TSKAaqOigw/edit"",""29!d2:d31""))"),24)</f>
        <v>24</v>
      </c>
      <c r="F770" s="23">
        <f ca="1">IFERROR(__xludf.DUMMYFUNCTION("SUM(IMPORTRANGE(""https://docs.google.com/spreadsheets/d/1VqqqRGfmmkT0JC4ILJva2p8P11jjV0FX-TSKAaqOigw/edit"",""29!Q2:Q31""))"),4615.04299999999)</f>
        <v>4615.0429999999897</v>
      </c>
      <c r="G770" s="18">
        <f ca="1">IFERROR(__xludf.DUMMYFUNCTION("IMPORTRANGE(""https://docs.google.com/spreadsheets/d/1VqqqRGfmmkT0JC4ILJva2p8P11jjV0FX-TSKAaqOigw/edit"",""29!e38"")"),1034)</f>
        <v>1034</v>
      </c>
      <c r="H770" s="18">
        <f ca="1">IFERROR(__xludf.DUMMYFUNCTION("IMPORTRANGE(""https://docs.google.com/spreadsheets/d/1VqqqRGfmmkT0JC4ILJva2p8P11jjV0FX-TSKAaqOigw/edit"",""29!e39"")"),0)</f>
        <v>0</v>
      </c>
      <c r="I770" s="18">
        <f t="shared" ca="1" si="2112"/>
        <v>1034</v>
      </c>
      <c r="J770" s="18">
        <f ca="1">IFERROR(__xludf.DUMMYFUNCTION("IMPORTRANGE(""https://docs.google.com/spreadsheets/d/1VqqqRGfmmkT0JC4ILJva2p8P11jjV0FX-TSKAaqOigw/edit"",""29!e42"")"),1577)</f>
        <v>1577</v>
      </c>
      <c r="K770" s="18">
        <f ca="1">IFERROR(__xludf.DUMMYFUNCTION("IMPORTRANGE(""https://docs.google.com/spreadsheets/d/1VqqqRGfmmkT0JC4ILJva2p8P11jjV0FX-TSKAaqOigw/edit"",""29!e43"")"),0)</f>
        <v>0</v>
      </c>
      <c r="L770" s="18">
        <f t="shared" ref="L770:L779" ca="1" si="2142">SUM(J770:K770)</f>
        <v>1577</v>
      </c>
      <c r="M770" s="18">
        <f t="shared" ca="1" si="2114"/>
        <v>2611</v>
      </c>
      <c r="N770" s="19">
        <f t="shared" ca="1" si="2115"/>
        <v>192.29345833333289</v>
      </c>
      <c r="O770" s="16">
        <v>4796</v>
      </c>
      <c r="P770" s="20">
        <f t="shared" ca="1" si="2116"/>
        <v>0.54441201000834027</v>
      </c>
      <c r="Q770" s="21">
        <v>1.5</v>
      </c>
      <c r="R770" s="20">
        <f t="shared" ca="1" si="2117"/>
        <v>0.37717236148540123</v>
      </c>
      <c r="S770" s="22">
        <f t="shared" ca="1" si="2118"/>
        <v>0.56575854222810185</v>
      </c>
      <c r="T770" s="21">
        <f ca="1">F770/37.414</f>
        <v>123.35069759982866</v>
      </c>
      <c r="U770" s="21">
        <f t="shared" ca="1" si="2119"/>
        <v>5.1396123999928607</v>
      </c>
      <c r="V770" s="18">
        <f t="shared" ca="1" si="2120"/>
        <v>108.79166666666667</v>
      </c>
      <c r="W770" s="76"/>
      <c r="X770" s="8">
        <v>3</v>
      </c>
      <c r="Y770" s="8" t="s">
        <v>34</v>
      </c>
      <c r="Z770" s="8">
        <f t="shared" ref="Z770:AI770" si="2143">SUM(D766)</f>
        <v>32</v>
      </c>
      <c r="AA770" s="9">
        <f t="shared" ca="1" si="2143"/>
        <v>32</v>
      </c>
      <c r="AB770" s="10">
        <f t="shared" ca="1" si="2143"/>
        <v>6406.4219999999996</v>
      </c>
      <c r="AC770" s="9">
        <f t="shared" ca="1" si="2143"/>
        <v>1837</v>
      </c>
      <c r="AD770" s="9">
        <f t="shared" ca="1" si="2143"/>
        <v>0</v>
      </c>
      <c r="AE770" s="9">
        <f t="shared" ca="1" si="2143"/>
        <v>1837</v>
      </c>
      <c r="AF770" s="9">
        <f t="shared" ca="1" si="2143"/>
        <v>2742</v>
      </c>
      <c r="AG770" s="9">
        <f t="shared" ca="1" si="2143"/>
        <v>0</v>
      </c>
      <c r="AH770" s="9">
        <f t="shared" ca="1" si="2143"/>
        <v>2742</v>
      </c>
      <c r="AI770" s="9">
        <f t="shared" ca="1" si="2143"/>
        <v>4579</v>
      </c>
      <c r="AJ770" s="11">
        <f t="shared" ca="1" si="2132"/>
        <v>200.20068749999999</v>
      </c>
      <c r="AK770" s="8">
        <f>SUM(O766)</f>
        <v>9354</v>
      </c>
      <c r="AL770" s="12">
        <f t="shared" ca="1" si="2134"/>
        <v>0.48952319863160143</v>
      </c>
      <c r="AM770" s="13">
        <f>SUM(Q766)</f>
        <v>1.5</v>
      </c>
      <c r="AN770" s="12">
        <f t="shared" ca="1" si="2136"/>
        <v>0.47650102766671737</v>
      </c>
      <c r="AO770" s="14">
        <f t="shared" ca="1" si="2137"/>
        <v>0.71475154150007603</v>
      </c>
      <c r="AP770" s="13">
        <f t="shared" ref="AP770:AQ770" ca="1" si="2144">SUM(T766)</f>
        <v>208.58991306612833</v>
      </c>
      <c r="AQ770" s="13">
        <f t="shared" ca="1" si="2144"/>
        <v>6.5184347833165104</v>
      </c>
      <c r="AR770" s="9">
        <f t="shared" ca="1" si="2139"/>
        <v>143.09375</v>
      </c>
      <c r="AS770" s="76"/>
      <c r="AT770" s="76"/>
    </row>
    <row r="771" spans="1:46" ht="15.75" customHeight="1" x14ac:dyDescent="0.25">
      <c r="A771" s="70"/>
      <c r="B771" s="16">
        <v>10</v>
      </c>
      <c r="C771" s="16" t="s">
        <v>37</v>
      </c>
      <c r="D771" s="17">
        <v>24</v>
      </c>
      <c r="E771" s="18">
        <f ca="1">IFERROR(__xludf.DUMMYFUNCTION("COUNT(IMPORTRANGE(""https://docs.google.com/spreadsheets/d/1IYeRjQd_D6MRqoBKNaky3aSEUloYCJc5XDnPAbdyetk/edit"",""29!d2:d31""))"),24)</f>
        <v>24</v>
      </c>
      <c r="F771" s="23">
        <f ca="1">IFERROR(__xludf.DUMMYFUNCTION("SUM(IMPORTRANGE(""https://docs.google.com/spreadsheets/d/1IYeRjQd_D6MRqoBKNaky3aSEUloYCJc5XDnPAbdyetk/edit"",""29!Q2:Q31""))"),4770.924)</f>
        <v>4770.924</v>
      </c>
      <c r="G771" s="18">
        <f ca="1">IFERROR(__xludf.DUMMYFUNCTION("(IMPORTRANGE(""https://docs.google.com/spreadsheets/d/1IYeRjQd_D6MRqoBKNaky3aSEUloYCJc5XDnPAbdyetk/edit"",""29!e38""))"),1296)</f>
        <v>1296</v>
      </c>
      <c r="H771" s="18">
        <f ca="1">IFERROR(__xludf.DUMMYFUNCTION("(IMPORTRANGE(""https://docs.google.com/spreadsheets/d/1IYeRjQd_D6MRqoBKNaky3aSEUloYCJc5XDnPAbdyetk/edit"",""29!e39""))"),0)</f>
        <v>0</v>
      </c>
      <c r="I771" s="18">
        <f t="shared" ca="1" si="2112"/>
        <v>1296</v>
      </c>
      <c r="J771" s="18">
        <f ca="1">IFERROR(__xludf.DUMMYFUNCTION("(IMPORTRANGE(""https://docs.google.com/spreadsheets/d/1IYeRjQd_D6MRqoBKNaky3aSEUloYCJc5XDnPAbdyetk/edit"",""29!e42""))"),2392)</f>
        <v>2392</v>
      </c>
      <c r="K771" s="18">
        <f ca="1">IFERROR(__xludf.DUMMYFUNCTION("(IMPORTRANGE(""https://docs.google.com/spreadsheets/d/1IYeRjQd_D6MRqoBKNaky3aSEUloYCJc5XDnPAbdyetk/edit"",""29!e43""))"),0)</f>
        <v>0</v>
      </c>
      <c r="L771" s="18">
        <f t="shared" ca="1" si="2142"/>
        <v>2392</v>
      </c>
      <c r="M771" s="18">
        <f t="shared" ca="1" si="2114"/>
        <v>3688</v>
      </c>
      <c r="N771" s="19">
        <f t="shared" ca="1" si="2115"/>
        <v>198.7885</v>
      </c>
      <c r="O771" s="16">
        <v>5887</v>
      </c>
      <c r="P771" s="20">
        <f t="shared" ca="1" si="2116"/>
        <v>0.62646509257686422</v>
      </c>
      <c r="Q771" s="21">
        <v>1.5</v>
      </c>
      <c r="R771" s="20">
        <f t="shared" ca="1" si="2117"/>
        <v>0.5153439180055408</v>
      </c>
      <c r="S771" s="22">
        <f t="shared" ca="1" si="2118"/>
        <v>0.7730158770083112</v>
      </c>
      <c r="T771" s="21">
        <f ca="1">F771/24.792</f>
        <v>192.4380445304937</v>
      </c>
      <c r="U771" s="21">
        <f t="shared" ca="1" si="2119"/>
        <v>8.0182518554372368</v>
      </c>
      <c r="V771" s="18">
        <f t="shared" ca="1" si="2120"/>
        <v>153.66666666666666</v>
      </c>
      <c r="W771" s="76"/>
      <c r="X771" s="8">
        <v>4</v>
      </c>
      <c r="Y771" s="8" t="s">
        <v>38</v>
      </c>
      <c r="Z771" s="8">
        <f t="shared" ref="Z771:AI771" si="2145">SUM(D774)</f>
        <v>24</v>
      </c>
      <c r="AA771" s="9">
        <f t="shared" ca="1" si="2145"/>
        <v>23</v>
      </c>
      <c r="AB771" s="10">
        <f t="shared" ca="1" si="2145"/>
        <v>4532.55</v>
      </c>
      <c r="AC771" s="9">
        <f t="shared" ca="1" si="2145"/>
        <v>1592</v>
      </c>
      <c r="AD771" s="9">
        <f t="shared" ca="1" si="2145"/>
        <v>57</v>
      </c>
      <c r="AE771" s="9">
        <f t="shared" ca="1" si="2145"/>
        <v>1649</v>
      </c>
      <c r="AF771" s="9">
        <f t="shared" ca="1" si="2145"/>
        <v>2041</v>
      </c>
      <c r="AG771" s="9">
        <f t="shared" ca="1" si="2145"/>
        <v>0</v>
      </c>
      <c r="AH771" s="9">
        <f t="shared" ca="1" si="2145"/>
        <v>2041</v>
      </c>
      <c r="AI771" s="9">
        <f t="shared" ca="1" si="2145"/>
        <v>3690</v>
      </c>
      <c r="AJ771" s="11">
        <f t="shared" ca="1" si="2132"/>
        <v>197.06739130434784</v>
      </c>
      <c r="AK771" s="8">
        <v>7324</v>
      </c>
      <c r="AL771" s="12">
        <f t="shared" ca="1" si="2134"/>
        <v>0.50382304751501916</v>
      </c>
      <c r="AM771" s="13">
        <f>SUM(Q774)</f>
        <v>1.5</v>
      </c>
      <c r="AN771" s="12">
        <f t="shared" ca="1" si="2136"/>
        <v>0.54274084124830391</v>
      </c>
      <c r="AO771" s="14">
        <f t="shared" ca="1" si="2137"/>
        <v>0.81411126187245586</v>
      </c>
      <c r="AP771" s="13">
        <f t="shared" ref="AP771:AQ771" ca="1" si="2146">SUM(T774)</f>
        <v>110.00000000000001</v>
      </c>
      <c r="AQ771" s="13">
        <f t="shared" ca="1" si="2146"/>
        <v>4.7826086956521747</v>
      </c>
      <c r="AR771" s="9">
        <f t="shared" ca="1" si="2139"/>
        <v>160.43478260869566</v>
      </c>
      <c r="AS771" s="76"/>
      <c r="AT771" s="76"/>
    </row>
    <row r="772" spans="1:46" ht="15.75" customHeight="1" x14ac:dyDescent="0.25">
      <c r="A772" s="70"/>
      <c r="B772" s="16">
        <v>12</v>
      </c>
      <c r="C772" s="16" t="s">
        <v>39</v>
      </c>
      <c r="D772" s="17">
        <v>22</v>
      </c>
      <c r="E772" s="18">
        <f ca="1">IFERROR(__xludf.DUMMYFUNCTION("COUNT(IMPORTRANGE(""https://docs.google.com/spreadsheets/d/1TAY2D35yAzyl8a_p5CuZehQvmatfj0b0Q8ICl8GtJBY/edit"",""29!d2:d29""))"),22)</f>
        <v>22</v>
      </c>
      <c r="F772" s="23">
        <f ca="1">IFERROR(__xludf.DUMMYFUNCTION("SUM(IMPORTRANGE(""https://docs.google.com/spreadsheets/d/1TAY2D35yAzyl8a_p5CuZehQvmatfj0b0Q8ICl8GtJBY/edit"",""29!Q2:Q29""))"),4298.057)</f>
        <v>4298.0569999999998</v>
      </c>
      <c r="G772" s="18">
        <f ca="1">IFERROR(__xludf.DUMMYFUNCTION("IMPORTRANGE(""https://docs.google.com/spreadsheets/d/1TAY2D35yAzyl8a_p5CuZehQvmatfj0b0Q8ICl8GtJBY/edit"",""29!e36"")"),907)</f>
        <v>907</v>
      </c>
      <c r="H772" s="18">
        <f ca="1">IFERROR(__xludf.DUMMYFUNCTION("(IMPORTRANGE(""https://docs.google.com/spreadsheets/d/1TAY2D35yAzyl8a_p5CuZehQvmatfj0b0Q8ICl8GtJBY/edit"",""29!e37""))"),69)</f>
        <v>69</v>
      </c>
      <c r="I772" s="18">
        <f t="shared" ca="1" si="2112"/>
        <v>976</v>
      </c>
      <c r="J772" s="18">
        <f ca="1">IFERROR(__xludf.DUMMYFUNCTION("IMPORTRANGE(""https://docs.google.com/spreadsheets/d/1TAY2D35yAzyl8a_p5CuZehQvmatfj0b0Q8ICl8GtJBY/edit"",""29!e40"")"),2002)</f>
        <v>2002</v>
      </c>
      <c r="K772" s="18">
        <f ca="1">IFERROR(__xludf.DUMMYFUNCTION("IMPORTRANGE(""https://docs.google.com/spreadsheets/d/1TAY2D35yAzyl8a_p5CuZehQvmatfj0b0Q8ICl8GtJBY/edit"",""29!e41"")"),0)</f>
        <v>0</v>
      </c>
      <c r="L772" s="18">
        <f t="shared" ca="1" si="2142"/>
        <v>2002</v>
      </c>
      <c r="M772" s="18">
        <f t="shared" ca="1" si="2114"/>
        <v>2978</v>
      </c>
      <c r="N772" s="19">
        <f t="shared" ca="1" si="2115"/>
        <v>195.36622727272726</v>
      </c>
      <c r="O772" s="16">
        <v>3569</v>
      </c>
      <c r="P772" s="20">
        <f t="shared" ca="1" si="2116"/>
        <v>0.83440739702998035</v>
      </c>
      <c r="Q772" s="21">
        <v>1.5</v>
      </c>
      <c r="R772" s="20">
        <f t="shared" ca="1" si="2117"/>
        <v>0.46191414709794065</v>
      </c>
      <c r="S772" s="22">
        <f t="shared" ca="1" si="2118"/>
        <v>0.69287122064691098</v>
      </c>
      <c r="T772" s="21">
        <f ca="1">F772/21.463</f>
        <v>200.25425150258582</v>
      </c>
      <c r="U772" s="21">
        <f t="shared" ca="1" si="2119"/>
        <v>9.1024659773902652</v>
      </c>
      <c r="V772" s="18">
        <f t="shared" ca="1" si="2120"/>
        <v>135.36363636363637</v>
      </c>
      <c r="W772" s="76"/>
      <c r="X772" s="8">
        <v>5</v>
      </c>
      <c r="Y772" s="8" t="s">
        <v>40</v>
      </c>
      <c r="Z772" s="8">
        <f t="shared" ref="Z772:AI772" si="2147">SUM(D776)</f>
        <v>24</v>
      </c>
      <c r="AA772" s="9">
        <f t="shared" ca="1" si="2147"/>
        <v>22</v>
      </c>
      <c r="AB772" s="10">
        <f t="shared" ca="1" si="2147"/>
        <v>4251.5619999999999</v>
      </c>
      <c r="AC772" s="9">
        <f t="shared" ca="1" si="2147"/>
        <v>2521</v>
      </c>
      <c r="AD772" s="9">
        <f t="shared" ca="1" si="2147"/>
        <v>0</v>
      </c>
      <c r="AE772" s="9">
        <f t="shared" ca="1" si="2147"/>
        <v>2521</v>
      </c>
      <c r="AF772" s="9">
        <f t="shared" ca="1" si="2147"/>
        <v>2258</v>
      </c>
      <c r="AG772" s="9">
        <f t="shared" ca="1" si="2147"/>
        <v>0</v>
      </c>
      <c r="AH772" s="9">
        <f t="shared" ca="1" si="2147"/>
        <v>2258</v>
      </c>
      <c r="AI772" s="9">
        <f t="shared" ca="1" si="2147"/>
        <v>4779</v>
      </c>
      <c r="AJ772" s="11">
        <f t="shared" ca="1" si="2132"/>
        <v>193.25281818181818</v>
      </c>
      <c r="AK772" s="8">
        <f t="shared" ref="AK772:AK773" si="2148">SUM(O776)</f>
        <v>8239</v>
      </c>
      <c r="AL772" s="12">
        <f t="shared" ca="1" si="2134"/>
        <v>0.58004612210219686</v>
      </c>
      <c r="AM772" s="13">
        <f t="shared" ref="AM772:AM773" si="2149">SUM(Q776)</f>
        <v>1.5</v>
      </c>
      <c r="AN772" s="12">
        <f t="shared" ca="1" si="2136"/>
        <v>0.74937164270449308</v>
      </c>
      <c r="AO772" s="14">
        <f t="shared" ca="1" si="2137"/>
        <v>1.1240574640567396</v>
      </c>
      <c r="AP772" s="13">
        <f t="shared" ref="AP772:AQ772" ca="1" si="2150">SUM(T776)</f>
        <v>149.47656716942657</v>
      </c>
      <c r="AQ772" s="13">
        <f t="shared" ca="1" si="2150"/>
        <v>6.7943894167921171</v>
      </c>
      <c r="AR772" s="9">
        <f t="shared" ca="1" si="2139"/>
        <v>217.22727272727272</v>
      </c>
      <c r="AS772" s="76"/>
      <c r="AT772" s="76"/>
    </row>
    <row r="773" spans="1:46" ht="15.75" customHeight="1" x14ac:dyDescent="0.25">
      <c r="A773" s="70"/>
      <c r="B773" s="16">
        <v>12</v>
      </c>
      <c r="C773" s="16" t="s">
        <v>41</v>
      </c>
      <c r="D773" s="17">
        <v>20</v>
      </c>
      <c r="E773" s="18">
        <f ca="1">IFERROR(__xludf.DUMMYFUNCTION("COUNT(IMPORTRANGE(""https://docs.google.com/spreadsheets/d/1VAsUtLQHi7oV9NsI9EIHPnO1bcPJHeRgSbMoxSvPBME/edit"",""29!d2:d25""))"),20)</f>
        <v>20</v>
      </c>
      <c r="F773" s="23">
        <f ca="1">IFERROR(__xludf.DUMMYFUNCTION("SUM(IMPORTRANGE(""https://docs.google.com/spreadsheets/d/1VAsUtLQHi7oV9NsI9EIHPnO1bcPJHeRgSbMoxSvPBME/edit"",""29!Q2:Q25""))"),4006.364)</f>
        <v>4006.364</v>
      </c>
      <c r="G773" s="18">
        <f ca="1">IFERROR(__xludf.DUMMYFUNCTION("IMPORTRANGE(""https://docs.google.com/spreadsheets/d/1VAsUtLQHi7oV9NsI9EIHPnO1bcPJHeRgSbMoxSvPBME/edit"",""29!e32"")"),876)</f>
        <v>876</v>
      </c>
      <c r="H773" s="18">
        <f ca="1">IFERROR(__xludf.DUMMYFUNCTION("IMPORTRANGE(""https://docs.google.com/spreadsheets/d/1VAsUtLQHi7oV9NsI9EIHPnO1bcPJHeRgSbMoxSvPBME/edit"",""29!e33"")"),0)</f>
        <v>0</v>
      </c>
      <c r="I773" s="18">
        <f t="shared" ca="1" si="2112"/>
        <v>876</v>
      </c>
      <c r="J773" s="18">
        <f ca="1">IFERROR(__xludf.DUMMYFUNCTION("IMPORTRANGE(""https://docs.google.com/spreadsheets/d/1VAsUtLQHi7oV9NsI9EIHPnO1bcPJHeRgSbMoxSvPBME/edit"",""29!e36"")"),1574)</f>
        <v>1574</v>
      </c>
      <c r="K773" s="18">
        <f ca="1">IFERROR(__xludf.DUMMYFUNCTION("IMPORTRANGE(""https://docs.google.com/spreadsheets/d/1VAsUtLQHi7oV9NsI9EIHPnO1bcPJHeRgSbMoxSvPBME/edit"",""29!e37"")"),0)</f>
        <v>0</v>
      </c>
      <c r="L773" s="18">
        <f t="shared" ca="1" si="2142"/>
        <v>1574</v>
      </c>
      <c r="M773" s="18">
        <f t="shared" ca="1" si="2114"/>
        <v>2450</v>
      </c>
      <c r="N773" s="19">
        <f t="shared" ca="1" si="2115"/>
        <v>200.31819999999999</v>
      </c>
      <c r="O773" s="16">
        <v>3801</v>
      </c>
      <c r="P773" s="20">
        <f t="shared" ca="1" si="2116"/>
        <v>0.64456721915285453</v>
      </c>
      <c r="Q773" s="21">
        <v>1.5</v>
      </c>
      <c r="R773" s="20">
        <f t="shared" ca="1" si="2117"/>
        <v>0.40768470696455278</v>
      </c>
      <c r="S773" s="22">
        <f t="shared" ca="1" si="2118"/>
        <v>0.61152706044682914</v>
      </c>
      <c r="T773" s="21">
        <f ca="1">F773/29.628</f>
        <v>135.22222222222223</v>
      </c>
      <c r="U773" s="21">
        <f t="shared" ca="1" si="2119"/>
        <v>6.7611111111111111</v>
      </c>
      <c r="V773" s="18">
        <f t="shared" ca="1" si="2120"/>
        <v>122.5</v>
      </c>
      <c r="W773" s="76"/>
      <c r="X773" s="8">
        <v>6</v>
      </c>
      <c r="Y773" s="8" t="s">
        <v>42</v>
      </c>
      <c r="Z773" s="8">
        <f t="shared" ref="Z773:AI773" si="2151">SUM(D777)</f>
        <v>26</v>
      </c>
      <c r="AA773" s="9">
        <f t="shared" ca="1" si="2151"/>
        <v>25</v>
      </c>
      <c r="AB773" s="10">
        <f t="shared" ca="1" si="2151"/>
        <v>4752.5169999999898</v>
      </c>
      <c r="AC773" s="9">
        <f t="shared" ca="1" si="2151"/>
        <v>2175</v>
      </c>
      <c r="AD773" s="9">
        <f t="shared" ca="1" si="2151"/>
        <v>252</v>
      </c>
      <c r="AE773" s="9">
        <f t="shared" ca="1" si="2151"/>
        <v>2427</v>
      </c>
      <c r="AF773" s="9">
        <f t="shared" ca="1" si="2151"/>
        <v>2901</v>
      </c>
      <c r="AG773" s="9">
        <f t="shared" ca="1" si="2151"/>
        <v>320</v>
      </c>
      <c r="AH773" s="9">
        <f t="shared" ca="1" si="2151"/>
        <v>3221</v>
      </c>
      <c r="AI773" s="9">
        <f t="shared" ca="1" si="2151"/>
        <v>5648</v>
      </c>
      <c r="AJ773" s="11">
        <f t="shared" ca="1" si="2132"/>
        <v>190.10067999999958</v>
      </c>
      <c r="AK773" s="8">
        <f t="shared" si="2148"/>
        <v>9877</v>
      </c>
      <c r="AL773" s="12">
        <f t="shared" ca="1" si="2134"/>
        <v>0.5718335526981877</v>
      </c>
      <c r="AM773" s="13">
        <f t="shared" si="2149"/>
        <v>1.5</v>
      </c>
      <c r="AN773" s="12">
        <f t="shared" ca="1" si="2136"/>
        <v>0.79228192836203248</v>
      </c>
      <c r="AO773" s="14">
        <f t="shared" ca="1" si="2137"/>
        <v>1.1884228925430487</v>
      </c>
      <c r="AP773" s="13">
        <f t="shared" ref="AP773:AQ773" ca="1" si="2152">SUM(T777)</f>
        <v>181.70586885872643</v>
      </c>
      <c r="AQ773" s="13">
        <f t="shared" ca="1" si="2152"/>
        <v>7.2682347543490575</v>
      </c>
      <c r="AR773" s="9">
        <f t="shared" ca="1" si="2139"/>
        <v>225.92</v>
      </c>
      <c r="AS773" s="76"/>
      <c r="AT773" s="76"/>
    </row>
    <row r="774" spans="1:46" ht="15.75" customHeight="1" x14ac:dyDescent="0.25">
      <c r="A774" s="70"/>
      <c r="B774" s="16">
        <v>13</v>
      </c>
      <c r="C774" s="16" t="s">
        <v>43</v>
      </c>
      <c r="D774" s="17">
        <v>24</v>
      </c>
      <c r="E774" s="18">
        <f ca="1">IFERROR(__xludf.DUMMYFUNCTION("COUNT(IMPORTRANGE(""https://docs.google.com/spreadsheets/d/1p9Y_DGk7-TpRBFth-ljZceOIGCjQ0ylUeUq6xqnsZ-Q/edit"",""29!d2:d31""))"),23)</f>
        <v>23</v>
      </c>
      <c r="F774" s="23">
        <f ca="1">IFERROR(__xludf.DUMMYFUNCTION("SUM(IMPORTRANGE(""https://docs.google.com/spreadsheets/d/1p9Y_DGk7-TpRBFth-ljZceOIGCjQ0ylUeUq6xqnsZ-Q/edit"",""29!Q2:Q31""))"),4532.55)</f>
        <v>4532.55</v>
      </c>
      <c r="G774" s="18">
        <f ca="1">IFERROR(__xludf.DUMMYFUNCTION("IMPORTRANGE(""https://docs.google.com/spreadsheets/d/1p9Y_DGk7-TpRBFth-ljZceOIGCjQ0ylUeUq6xqnsZ-Q/edit"",""29!e38"")"),1592)</f>
        <v>1592</v>
      </c>
      <c r="H774" s="18">
        <f ca="1">IFERROR(__xludf.DUMMYFUNCTION("IMPORTRANGE(""https://docs.google.com/spreadsheets/d/1p9Y_DGk7-TpRBFth-ljZceOIGCjQ0ylUeUq6xqnsZ-Q/edit"",""29!e39"")"),57)</f>
        <v>57</v>
      </c>
      <c r="I774" s="18">
        <f t="shared" ca="1" si="2112"/>
        <v>1649</v>
      </c>
      <c r="J774" s="18">
        <f ca="1">IFERROR(__xludf.DUMMYFUNCTION("IMPORTRANGE(""https://docs.google.com/spreadsheets/d/1p9Y_DGk7-TpRBFth-ljZceOIGCjQ0ylUeUq6xqnsZ-Q/edit"",""29!e42"")"),2041)</f>
        <v>2041</v>
      </c>
      <c r="K774" s="18">
        <f ca="1">IFERROR(__xludf.DUMMYFUNCTION("IMPORTRANGE(""https://docs.google.com/spreadsheets/d/1p9Y_DGk7-TpRBFth-ljZceOIGCjQ0ylUeUq6xqnsZ-Q/edit"",""29!e43"")"),0)</f>
        <v>0</v>
      </c>
      <c r="L774" s="18">
        <f t="shared" ca="1" si="2142"/>
        <v>2041</v>
      </c>
      <c r="M774" s="18">
        <f t="shared" ca="1" si="2114"/>
        <v>3690</v>
      </c>
      <c r="N774" s="19">
        <f t="shared" ca="1" si="2115"/>
        <v>197.06739130434784</v>
      </c>
      <c r="O774" s="16">
        <v>8345</v>
      </c>
      <c r="P774" s="20">
        <f t="shared" ca="1" si="2116"/>
        <v>0.44218094667465546</v>
      </c>
      <c r="Q774" s="21">
        <v>1.5</v>
      </c>
      <c r="R774" s="20">
        <f t="shared" ca="1" si="2117"/>
        <v>0.54274084124830391</v>
      </c>
      <c r="S774" s="22">
        <f t="shared" ca="1" si="2118"/>
        <v>0.81411126187245586</v>
      </c>
      <c r="T774" s="21">
        <f ca="1">F774/41.205</f>
        <v>110.00000000000001</v>
      </c>
      <c r="U774" s="21">
        <f t="shared" ca="1" si="2119"/>
        <v>4.7826086956521747</v>
      </c>
      <c r="V774" s="18">
        <f t="shared" ca="1" si="2120"/>
        <v>160.43478260869566</v>
      </c>
      <c r="W774" s="76"/>
      <c r="X774" s="24" t="s">
        <v>33</v>
      </c>
      <c r="Y774" s="24">
        <v>6</v>
      </c>
      <c r="Z774" s="24">
        <f t="shared" ref="Z774:AI774" si="2153">SUM(Z768:Z773)</f>
        <v>180</v>
      </c>
      <c r="AA774" s="25">
        <f t="shared" ca="1" si="2153"/>
        <v>176</v>
      </c>
      <c r="AB774" s="27">
        <f t="shared" ca="1" si="2153"/>
        <v>34841.735999999983</v>
      </c>
      <c r="AC774" s="25">
        <f t="shared" ca="1" si="2153"/>
        <v>12803</v>
      </c>
      <c r="AD774" s="25">
        <f t="shared" ca="1" si="2153"/>
        <v>438</v>
      </c>
      <c r="AE774" s="25">
        <f t="shared" ca="1" si="2153"/>
        <v>13241</v>
      </c>
      <c r="AF774" s="25">
        <f t="shared" ca="1" si="2153"/>
        <v>15065</v>
      </c>
      <c r="AG774" s="25">
        <f t="shared" ca="1" si="2153"/>
        <v>487</v>
      </c>
      <c r="AH774" s="25">
        <f t="shared" ca="1" si="2153"/>
        <v>15552</v>
      </c>
      <c r="AI774" s="25">
        <f t="shared" ca="1" si="2153"/>
        <v>28793</v>
      </c>
      <c r="AJ774" s="27">
        <f t="shared" ca="1" si="2132"/>
        <v>197.96440909090899</v>
      </c>
      <c r="AK774" s="24">
        <f>SUM(AK768:AK773)</f>
        <v>53273</v>
      </c>
      <c r="AL774" s="28">
        <f t="shared" ca="1" si="2134"/>
        <v>0.54048016819026523</v>
      </c>
      <c r="AM774" s="29">
        <v>1.5</v>
      </c>
      <c r="AN774" s="28">
        <f t="shared" ca="1" si="2136"/>
        <v>0.55092930310169796</v>
      </c>
      <c r="AO774" s="30">
        <f t="shared" ca="1" si="2137"/>
        <v>0.82639395465254695</v>
      </c>
      <c r="AP774" s="29">
        <f ca="1">SUM(AP768:AP773)</f>
        <v>1145.7620829862444</v>
      </c>
      <c r="AQ774" s="29">
        <f ca="1">AP774/AA774</f>
        <v>6.5100118351491156</v>
      </c>
      <c r="AR774" s="25">
        <f t="shared" ca="1" si="2139"/>
        <v>163.59659090909091</v>
      </c>
      <c r="AS774" s="76"/>
      <c r="AT774" s="76"/>
    </row>
    <row r="775" spans="1:46" ht="15.75" customHeight="1" x14ac:dyDescent="0.25">
      <c r="A775" s="70"/>
      <c r="B775" s="16">
        <v>14</v>
      </c>
      <c r="C775" s="16" t="s">
        <v>27</v>
      </c>
      <c r="D775" s="17">
        <v>24</v>
      </c>
      <c r="E775" s="18">
        <f ca="1">IFERROR(__xludf.DUMMYFUNCTION("COUNT(IMPORTRANGE(""https://docs.google.com/spreadsheets/d/1zJUDEKztv_fercXA0LYNw155qdzS7TJGhWLhquaW5IY/edit"",""29!d2:d31""))"),22)</f>
        <v>22</v>
      </c>
      <c r="F775" s="23">
        <f ca="1">IFERROR(__xludf.DUMMYFUNCTION("SUM(IMPORTRANGE(""https://docs.google.com/spreadsheets/d/1zJUDEKztv_fercXA0LYNw155qdzS7TJGhWLhquaW5IY/edit"",""29!Q2:Q31""))"),4166.73499999999)</f>
        <v>4166.7349999999897</v>
      </c>
      <c r="G775" s="18">
        <f ca="1">IFERROR(__xludf.DUMMYFUNCTION("IMPORTRANGE(""https://docs.google.com/spreadsheets/d/1zJUDEKztv_fercXA0LYNw155qdzS7TJGhWLhquaW5IY/edit"",""29!e38"")"),1684)</f>
        <v>1684</v>
      </c>
      <c r="H775" s="18">
        <f ca="1">IFERROR(__xludf.DUMMYFUNCTION("IMPORTRANGE(""https://docs.google.com/spreadsheets/d/1zJUDEKztv_fercXA0LYNw155qdzS7TJGhWLhquaW5IY/edit"",""29!e39"")"),0)</f>
        <v>0</v>
      </c>
      <c r="I775" s="18">
        <f t="shared" ca="1" si="2112"/>
        <v>1684</v>
      </c>
      <c r="J775" s="18">
        <f ca="1">IFERROR(__xludf.DUMMYFUNCTION("IMPORTRANGE(""https://docs.google.com/spreadsheets/d/1zJUDEKztv_fercXA0LYNw155qdzS7TJGhWLhquaW5IY/edit"",""29!e42"")"),2246)</f>
        <v>2246</v>
      </c>
      <c r="K775" s="18">
        <f ca="1">IFERROR(__xludf.DUMMYFUNCTION("IMPORTRANGE(""https://docs.google.com/spreadsheets/d/1zJUDEKztv_fercXA0LYNw155qdzS7TJGhWLhquaW5IY/edit"",""29!e43"")"),0)</f>
        <v>0</v>
      </c>
      <c r="L775" s="18">
        <f t="shared" ca="1" si="2142"/>
        <v>2246</v>
      </c>
      <c r="M775" s="18">
        <f t="shared" ca="1" si="2114"/>
        <v>3930</v>
      </c>
      <c r="N775" s="19">
        <f t="shared" ca="1" si="2115"/>
        <v>189.39704545454498</v>
      </c>
      <c r="O775" s="16">
        <v>8101</v>
      </c>
      <c r="P775" s="20">
        <f t="shared" ca="1" si="2116"/>
        <v>0.48512529317368225</v>
      </c>
      <c r="Q775" s="21">
        <v>1.5</v>
      </c>
      <c r="R775" s="20">
        <f t="shared" ca="1" si="2117"/>
        <v>0.62878968784912082</v>
      </c>
      <c r="S775" s="22">
        <f t="shared" ca="1" si="2118"/>
        <v>0.94318453177368122</v>
      </c>
      <c r="T775" s="21">
        <f ca="1">F775/19.985</f>
        <v>208.4931198398794</v>
      </c>
      <c r="U775" s="21">
        <f t="shared" ca="1" si="2119"/>
        <v>9.47695999272179</v>
      </c>
      <c r="V775" s="18">
        <f t="shared" ca="1" si="2120"/>
        <v>178.63636363636363</v>
      </c>
      <c r="W775" s="76"/>
      <c r="X775" s="97" t="s">
        <v>44</v>
      </c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9"/>
      <c r="AS775" s="76"/>
      <c r="AT775" s="76"/>
    </row>
    <row r="776" spans="1:46" ht="15.75" customHeight="1" x14ac:dyDescent="0.25">
      <c r="A776" s="70"/>
      <c r="B776" s="16">
        <v>15</v>
      </c>
      <c r="C776" s="16" t="s">
        <v>40</v>
      </c>
      <c r="D776" s="17">
        <v>24</v>
      </c>
      <c r="E776" s="18">
        <f ca="1">IFERROR(__xludf.DUMMYFUNCTION("COUNT(IMPORTRANGE(""https://docs.google.com/spreadsheets/d/15GJA66Ucb-8RQ5vWVpq5HYaWoZZFX82SCeHChBujbrI/edit"",""29!d2:d31""))"),22)</f>
        <v>22</v>
      </c>
      <c r="F776" s="23">
        <f ca="1">IFERROR(__xludf.DUMMYFUNCTION("SUM(IMPORTRANGE(""https://docs.google.com/spreadsheets/d/15GJA66Ucb-8RQ5vWVpq5HYaWoZZFX82SCeHChBujbrI/edit"",""29!Q2:Q31""))"),4251.562)</f>
        <v>4251.5619999999999</v>
      </c>
      <c r="G776" s="18">
        <f ca="1">IFERROR(__xludf.DUMMYFUNCTION("IMPORTRANGE(""https://docs.google.com/spreadsheets/d/15GJA66Ucb-8RQ5vWVpq5HYaWoZZFX82SCeHChBujbrI/edit"",""29!e38"")"),2521)</f>
        <v>2521</v>
      </c>
      <c r="H776" s="18">
        <f ca="1">IFERROR(__xludf.DUMMYFUNCTION("IMPORTRANGE(""https://docs.google.com/spreadsheets/d/15GJA66Ucb-8RQ5vWVpq5HYaWoZZFX82SCeHChBujbrI/edit"",""29!e39"")"),0)</f>
        <v>0</v>
      </c>
      <c r="I776" s="18">
        <f t="shared" ca="1" si="2112"/>
        <v>2521</v>
      </c>
      <c r="J776" s="18">
        <f ca="1">IFERROR(__xludf.DUMMYFUNCTION("IMPORTRANGE(""https://docs.google.com/spreadsheets/d/15GJA66Ucb-8RQ5vWVpq5HYaWoZZFX82SCeHChBujbrI/edit"",""29!e42"")"),2258)</f>
        <v>2258</v>
      </c>
      <c r="K776" s="18">
        <f ca="1">IFERROR(__xludf.DUMMYFUNCTION("IMPORTRANGE(""https://docs.google.com/spreadsheets/d/15GJA66Ucb-8RQ5vWVpq5HYaWoZZFX82SCeHChBujbrI/edit"",""29!e43"")"),0)</f>
        <v>0</v>
      </c>
      <c r="L776" s="18">
        <f t="shared" ca="1" si="2142"/>
        <v>2258</v>
      </c>
      <c r="M776" s="18">
        <f t="shared" ca="1" si="2114"/>
        <v>4779</v>
      </c>
      <c r="N776" s="19">
        <f t="shared" ca="1" si="2115"/>
        <v>193.25281818181818</v>
      </c>
      <c r="O776" s="16">
        <v>8239</v>
      </c>
      <c r="P776" s="20">
        <f t="shared" ca="1" si="2116"/>
        <v>0.58004612210219686</v>
      </c>
      <c r="Q776" s="21">
        <v>1.5</v>
      </c>
      <c r="R776" s="20">
        <f t="shared" ca="1" si="2117"/>
        <v>0.74937164270449308</v>
      </c>
      <c r="S776" s="22">
        <f t="shared" ca="1" si="2118"/>
        <v>1.1240574640567396</v>
      </c>
      <c r="T776" s="21">
        <f ca="1">F776/28.443</f>
        <v>149.47656716942657</v>
      </c>
      <c r="U776" s="21">
        <f t="shared" ca="1" si="2119"/>
        <v>6.7943894167921171</v>
      </c>
      <c r="V776" s="18">
        <f t="shared" ca="1" si="2120"/>
        <v>217.22727272727272</v>
      </c>
      <c r="W776" s="76"/>
      <c r="X776" s="1" t="s">
        <v>2</v>
      </c>
      <c r="Y776" s="1" t="s">
        <v>3</v>
      </c>
      <c r="Z776" s="1" t="s">
        <v>4</v>
      </c>
      <c r="AA776" s="1" t="s">
        <v>5</v>
      </c>
      <c r="AB776" s="2" t="s">
        <v>6</v>
      </c>
      <c r="AC776" s="1" t="s">
        <v>7</v>
      </c>
      <c r="AD776" s="1" t="s">
        <v>8</v>
      </c>
      <c r="AE776" s="1" t="s">
        <v>9</v>
      </c>
      <c r="AF776" s="1" t="s">
        <v>10</v>
      </c>
      <c r="AG776" s="1" t="s">
        <v>11</v>
      </c>
      <c r="AH776" s="1" t="s">
        <v>12</v>
      </c>
      <c r="AI776" s="1" t="s">
        <v>13</v>
      </c>
      <c r="AJ776" s="2" t="s">
        <v>14</v>
      </c>
      <c r="AK776" s="1" t="s">
        <v>15</v>
      </c>
      <c r="AL776" s="1" t="s">
        <v>16</v>
      </c>
      <c r="AM776" s="3" t="s">
        <v>17</v>
      </c>
      <c r="AN776" s="4" t="s">
        <v>18</v>
      </c>
      <c r="AO776" s="5" t="s">
        <v>19</v>
      </c>
      <c r="AP776" s="6" t="s">
        <v>20</v>
      </c>
      <c r="AQ776" s="6" t="s">
        <v>21</v>
      </c>
      <c r="AR776" s="7" t="s">
        <v>22</v>
      </c>
      <c r="AS776" s="76"/>
      <c r="AT776" s="76"/>
    </row>
    <row r="777" spans="1:46" ht="15.75" customHeight="1" x14ac:dyDescent="0.25">
      <c r="A777" s="70"/>
      <c r="B777" s="16">
        <v>16</v>
      </c>
      <c r="C777" s="16" t="s">
        <v>42</v>
      </c>
      <c r="D777" s="17">
        <v>26</v>
      </c>
      <c r="E777" s="18">
        <f ca="1">IFERROR(__xludf.DUMMYFUNCTION("COUNT(IMPORTRANGE(""https://docs.google.com/spreadsheets/d/14Tu_jFPEdrIQ6DHYu6vRvJKQsbXr-48NY1tKy4-8JKI/edit"",""29!d2:d34""))"),25)</f>
        <v>25</v>
      </c>
      <c r="F777" s="23">
        <f ca="1">IFERROR(__xludf.DUMMYFUNCTION("SUM(IMPORTRANGE(""https://docs.google.com/spreadsheets/d/14Tu_jFPEdrIQ6DHYu6vRvJKQsbXr-48NY1tKy4-8JKI/edit"",""29!Q2:Q34""))"),4752.51699999999)</f>
        <v>4752.5169999999898</v>
      </c>
      <c r="G777" s="18">
        <f ca="1">IFERROR(__xludf.DUMMYFUNCTION("IMPORTRANGE(""https://docs.google.com/spreadsheets/d/14Tu_jFPEdrIQ6DHYu6vRvJKQsbXr-48NY1tKy4-8JKI/edit"",""29!e41"")"),2175)</f>
        <v>2175</v>
      </c>
      <c r="H777" s="18">
        <f ca="1">IFERROR(__xludf.DUMMYFUNCTION("IMPORTRANGE(""https://docs.google.com/spreadsheets/d/14Tu_jFPEdrIQ6DHYu6vRvJKQsbXr-48NY1tKy4-8JKI/edit"",""29!e42"")"),252)</f>
        <v>252</v>
      </c>
      <c r="I777" s="18">
        <f t="shared" ca="1" si="2112"/>
        <v>2427</v>
      </c>
      <c r="J777" s="18">
        <f ca="1">IFERROR(__xludf.DUMMYFUNCTION("IMPORTRANGE(""https://docs.google.com/spreadsheets/d/14Tu_jFPEdrIQ6DHYu6vRvJKQsbXr-48NY1tKy4-8JKI/edit"",""29!e45"")"),2901)</f>
        <v>2901</v>
      </c>
      <c r="K777" s="18">
        <f ca="1">IFERROR(__xludf.DUMMYFUNCTION("IMPORTRANGE(""https://docs.google.com/spreadsheets/d/14Tu_jFPEdrIQ6DHYu6vRvJKQsbXr-48NY1tKy4-8JKI/edit"",""29!e46"")"),320)</f>
        <v>320</v>
      </c>
      <c r="L777" s="18">
        <f t="shared" ca="1" si="2142"/>
        <v>3221</v>
      </c>
      <c r="M777" s="18">
        <f t="shared" ca="1" si="2114"/>
        <v>5648</v>
      </c>
      <c r="N777" s="19">
        <f t="shared" ca="1" si="2115"/>
        <v>190.10067999999958</v>
      </c>
      <c r="O777" s="16">
        <v>9877</v>
      </c>
      <c r="P777" s="20">
        <f t="shared" ca="1" si="2116"/>
        <v>0.5718335526981877</v>
      </c>
      <c r="Q777" s="21">
        <v>1.5</v>
      </c>
      <c r="R777" s="20">
        <f t="shared" ca="1" si="2117"/>
        <v>0.79228192836203248</v>
      </c>
      <c r="S777" s="22">
        <f t="shared" ca="1" si="2118"/>
        <v>1.1884228925430487</v>
      </c>
      <c r="T777" s="21">
        <f ca="1">F777/26.155</f>
        <v>181.70586885872643</v>
      </c>
      <c r="U777" s="21">
        <f t="shared" ca="1" si="2119"/>
        <v>7.2682347543490575</v>
      </c>
      <c r="V777" s="18">
        <f t="shared" ca="1" si="2120"/>
        <v>225.92</v>
      </c>
      <c r="W777" s="76"/>
      <c r="X777" s="8">
        <v>1</v>
      </c>
      <c r="Y777" s="8" t="s">
        <v>26</v>
      </c>
      <c r="Z777" s="8">
        <f t="shared" ref="Z777:AI777" si="2154">SUM(D762)</f>
        <v>16</v>
      </c>
      <c r="AA777" s="9">
        <f t="shared" ca="1" si="2154"/>
        <v>16</v>
      </c>
      <c r="AB777" s="11">
        <f t="shared" ca="1" si="2154"/>
        <v>3114.0990000000002</v>
      </c>
      <c r="AC777" s="9">
        <f t="shared" ca="1" si="2154"/>
        <v>1435</v>
      </c>
      <c r="AD777" s="9">
        <f t="shared" ca="1" si="2154"/>
        <v>0</v>
      </c>
      <c r="AE777" s="9">
        <f t="shared" ca="1" si="2154"/>
        <v>1435</v>
      </c>
      <c r="AF777" s="9">
        <f t="shared" ca="1" si="2154"/>
        <v>1960</v>
      </c>
      <c r="AG777" s="9">
        <f t="shared" ca="1" si="2154"/>
        <v>0</v>
      </c>
      <c r="AH777" s="9">
        <f t="shared" ca="1" si="2154"/>
        <v>1960</v>
      </c>
      <c r="AI777" s="9">
        <f t="shared" ca="1" si="2154"/>
        <v>3395</v>
      </c>
      <c r="AJ777" s="11">
        <f t="shared" ref="AJ777:AJ783" ca="1" si="2155">AB777/AA777</f>
        <v>194.63118750000001</v>
      </c>
      <c r="AK777" s="8">
        <f>SUM(O762)</f>
        <v>5161</v>
      </c>
      <c r="AL777" s="12">
        <f t="shared" ref="AL777:AL783" ca="1" si="2156">AI777/AK777</f>
        <v>0.65781825227669055</v>
      </c>
      <c r="AM777" s="13">
        <f>SUM(Q762)</f>
        <v>1.5</v>
      </c>
      <c r="AN777" s="12">
        <f t="shared" ref="AN777:AN783" ca="1" si="2157">AO777/AM777</f>
        <v>0.72680198456546607</v>
      </c>
      <c r="AO777" s="14">
        <f t="shared" ref="AO777:AO783" ca="1" si="2158">AI777/AB777</f>
        <v>1.0902029768481991</v>
      </c>
      <c r="AP777" s="13">
        <f t="shared" ref="AP777:AQ777" ca="1" si="2159">SUM(T762)</f>
        <v>216.03184183142562</v>
      </c>
      <c r="AQ777" s="13">
        <f t="shared" ca="1" si="2159"/>
        <v>13.501990114464101</v>
      </c>
      <c r="AR777" s="9">
        <f t="shared" ref="AR777:AR783" ca="1" si="2160">AI777/AA777</f>
        <v>212.1875</v>
      </c>
      <c r="AS777" s="76"/>
      <c r="AT777" s="76"/>
    </row>
    <row r="778" spans="1:46" ht="15.75" customHeight="1" x14ac:dyDescent="0.25">
      <c r="A778" s="70"/>
      <c r="B778" s="16">
        <v>17</v>
      </c>
      <c r="C778" s="16" t="s">
        <v>29</v>
      </c>
      <c r="D778" s="17">
        <v>24</v>
      </c>
      <c r="E778" s="18">
        <f ca="1">IFERROR(__xludf.DUMMYFUNCTION("COUNT(IMPORTRANGE(""https://docs.google.com/spreadsheets/d/1ja_RQYsP0p5wRrACHojay4CW1wLx0QdS5tSwp-vYQ-s/edit"",""29!d2:d31""))"),24)</f>
        <v>24</v>
      </c>
      <c r="F778" s="23">
        <f ca="1">IFERROR(__xludf.DUMMYFUNCTION("SUM(IMPORTRANGE(""https://docs.google.com/spreadsheets/d/1ja_RQYsP0p5wRrACHojay4CW1wLx0QdS5tSwp-vYQ-s/edit"",""29!Q2:Q31""))"),4768.37999999999)</f>
        <v>4768.3799999999901</v>
      </c>
      <c r="G778" s="18">
        <f ca="1">IFERROR(__xludf.DUMMYFUNCTION("IMPORTRANGE(""https://docs.google.com/spreadsheets/d/1ja_RQYsP0p5wRrACHojay4CW1wLx0QdS5tSwp-vYQ-s/edit"",""29!e38"")"),2019)</f>
        <v>2019</v>
      </c>
      <c r="H778" s="18">
        <f ca="1">IFERROR(__xludf.DUMMYFUNCTION("IMPORTRANGE(""https://docs.google.com/spreadsheets/d/1ja_RQYsP0p5wRrACHojay4CW1wLx0QdS5tSwp-vYQ-s/edit"",""29!e39"")"),0)</f>
        <v>0</v>
      </c>
      <c r="I778" s="18">
        <f t="shared" ca="1" si="2112"/>
        <v>2019</v>
      </c>
      <c r="J778" s="18">
        <f ca="1">IFERROR(__xludf.DUMMYFUNCTION("IMPORTRANGE(""https://docs.google.com/spreadsheets/d/1ja_RQYsP0p5wRrACHojay4CW1wLx0QdS5tSwp-vYQ-s/edit"",""29!e42"")"),3048)</f>
        <v>3048</v>
      </c>
      <c r="K778" s="18">
        <f ca="1">IFERROR(__xludf.DUMMYFUNCTION("IMPORTRANGE(""https://docs.google.com/spreadsheets/d/1ja_RQYsP0p5wRrACHojay4CW1wLx0QdS5tSwp-vYQ-s/edit"",""29!e43"")"),0)</f>
        <v>0</v>
      </c>
      <c r="L778" s="18">
        <f t="shared" ca="1" si="2142"/>
        <v>3048</v>
      </c>
      <c r="M778" s="18">
        <f t="shared" ca="1" si="2114"/>
        <v>5067</v>
      </c>
      <c r="N778" s="19">
        <f t="shared" ca="1" si="2115"/>
        <v>198.68249999999958</v>
      </c>
      <c r="O778" s="16">
        <v>9201</v>
      </c>
      <c r="P778" s="20">
        <f t="shared" ca="1" si="2116"/>
        <v>0.55070101075970002</v>
      </c>
      <c r="Q778" s="21">
        <v>1.5</v>
      </c>
      <c r="R778" s="20">
        <f t="shared" ca="1" si="2117"/>
        <v>0.70841669497817017</v>
      </c>
      <c r="S778" s="22">
        <f t="shared" ca="1" si="2118"/>
        <v>1.0626250424672552</v>
      </c>
      <c r="T778" s="21">
        <f ca="1">F778/26.491</f>
        <v>179.99999999999963</v>
      </c>
      <c r="U778" s="21">
        <f t="shared" ca="1" si="2119"/>
        <v>7.4999999999999849</v>
      </c>
      <c r="V778" s="18">
        <f t="shared" ca="1" si="2120"/>
        <v>211.125</v>
      </c>
      <c r="W778" s="76"/>
      <c r="X778" s="8">
        <v>2</v>
      </c>
      <c r="Y778" s="8" t="s">
        <v>32</v>
      </c>
      <c r="Z778" s="8">
        <f t="shared" ref="Z778:AI778" si="2161">SUM(D765)</f>
        <v>33</v>
      </c>
      <c r="AA778" s="9">
        <f t="shared" ca="1" si="2161"/>
        <v>33</v>
      </c>
      <c r="AB778" s="10">
        <f t="shared" ca="1" si="2161"/>
        <v>6399.84399999999</v>
      </c>
      <c r="AC778" s="8">
        <f t="shared" ca="1" si="2161"/>
        <v>3881</v>
      </c>
      <c r="AD778" s="8">
        <f t="shared" ca="1" si="2161"/>
        <v>0</v>
      </c>
      <c r="AE778" s="9">
        <f t="shared" ca="1" si="2161"/>
        <v>3881</v>
      </c>
      <c r="AF778" s="8">
        <f t="shared" ca="1" si="2161"/>
        <v>3934</v>
      </c>
      <c r="AG778" s="8">
        <f t="shared" ca="1" si="2161"/>
        <v>0</v>
      </c>
      <c r="AH778" s="9">
        <f t="shared" ca="1" si="2161"/>
        <v>3934</v>
      </c>
      <c r="AI778" s="9">
        <f t="shared" ca="1" si="2161"/>
        <v>7815</v>
      </c>
      <c r="AJ778" s="11">
        <f t="shared" ca="1" si="2155"/>
        <v>193.93466666666637</v>
      </c>
      <c r="AK778" s="8">
        <f>SUM(O765)</f>
        <v>13817</v>
      </c>
      <c r="AL778" s="12">
        <f t="shared" ca="1" si="2156"/>
        <v>0.56560758485923135</v>
      </c>
      <c r="AM778" s="13">
        <f>SUM(Q765)</f>
        <v>1.5</v>
      </c>
      <c r="AN778" s="12">
        <f t="shared" ca="1" si="2157"/>
        <v>0.81408234325711815</v>
      </c>
      <c r="AO778" s="14">
        <f t="shared" ca="1" si="2158"/>
        <v>1.2211235148856772</v>
      </c>
      <c r="AP778" s="13">
        <f t="shared" ref="AP778:AQ778" ca="1" si="2162">SUM(T765)</f>
        <v>255.08565506795767</v>
      </c>
      <c r="AQ778" s="13">
        <f t="shared" ca="1" si="2162"/>
        <v>7.7298683353926565</v>
      </c>
      <c r="AR778" s="9">
        <f t="shared" ca="1" si="2160"/>
        <v>236.81818181818181</v>
      </c>
      <c r="AS778" s="76"/>
      <c r="AT778" s="76"/>
    </row>
    <row r="779" spans="1:46" ht="15.75" customHeight="1" x14ac:dyDescent="0.25">
      <c r="A779" s="70"/>
      <c r="B779" s="16">
        <v>18</v>
      </c>
      <c r="C779" s="16" t="s">
        <v>31</v>
      </c>
      <c r="D779" s="17">
        <v>12</v>
      </c>
      <c r="E779" s="18">
        <f ca="1">IFERROR(__xludf.DUMMYFUNCTION("COUNT(IMPORTRANGE(""https://docs.google.com/spreadsheets/d/1ObnK1oSznTOmyW9Zcd2kxExl7TOnO2MNq_0giEKc_mE/edit"",""29!d2:d16""))"),11)</f>
        <v>11</v>
      </c>
      <c r="F779" s="19">
        <f ca="1">IFERROR(__xludf.DUMMYFUNCTION("SUM(IMPORTRANGE(""https://docs.google.com/spreadsheets/d/1ObnK1oSznTOmyW9Zcd2kxExl7TOnO2MNq_0giEKc_mE/edit"",""29!Q2:Q16""))"),1912.46)</f>
        <v>1912.46</v>
      </c>
      <c r="G779" s="18">
        <f ca="1">IFERROR(__xludf.DUMMYFUNCTION("IMPORTRANGE(""https://docs.google.com/spreadsheets/d/1ObnK1oSznTOmyW9Zcd2kxExl7TOnO2MNq_0giEKc_mE/edit"",""29!e23"")"),647)</f>
        <v>647</v>
      </c>
      <c r="H779" s="18">
        <f ca="1">IFERROR(__xludf.DUMMYFUNCTION("IMPORTRANGE(""https://docs.google.com/spreadsheets/d/1ObnK1oSznTOmyW9Zcd2kxExl7TOnO2MNq_0giEKc_mE/edit"",""29!e24"")"),0)</f>
        <v>0</v>
      </c>
      <c r="I779" s="18">
        <f t="shared" ca="1" si="2112"/>
        <v>647</v>
      </c>
      <c r="J779" s="18">
        <f ca="1">IFERROR(__xludf.DUMMYFUNCTION("IMPORTRANGE(""https://docs.google.com/spreadsheets/d/1ObnK1oSznTOmyW9Zcd2kxExl7TOnO2MNq_0giEKc_mE/edit"",""29!e27"")"),646)</f>
        <v>646</v>
      </c>
      <c r="K779" s="18">
        <f ca="1">IFERROR(__xludf.DUMMYFUNCTION("IMPORTRANGE(""https://docs.google.com/spreadsheets/d/1ObnK1oSznTOmyW9Zcd2kxExl7TOnO2MNq_0giEKc_mE/edit"",""29!e28"")"),0)</f>
        <v>0</v>
      </c>
      <c r="L779" s="18">
        <f t="shared" ca="1" si="2142"/>
        <v>646</v>
      </c>
      <c r="M779" s="18">
        <f t="shared" ca="1" si="2114"/>
        <v>1293</v>
      </c>
      <c r="N779" s="19">
        <f t="shared" ca="1" si="2115"/>
        <v>173.86</v>
      </c>
      <c r="O779" s="16">
        <v>2717</v>
      </c>
      <c r="P779" s="20">
        <f t="shared" ca="1" si="2116"/>
        <v>0.47589252852410746</v>
      </c>
      <c r="Q779" s="21">
        <v>1.5</v>
      </c>
      <c r="R779" s="20">
        <f t="shared" ca="1" si="2117"/>
        <v>0.45072838124718945</v>
      </c>
      <c r="S779" s="22">
        <f t="shared" ca="1" si="2118"/>
        <v>0.6760925718707842</v>
      </c>
      <c r="T779" s="21">
        <f ca="1">F779/43.465</f>
        <v>44</v>
      </c>
      <c r="U779" s="21">
        <f t="shared" ca="1" si="2119"/>
        <v>4</v>
      </c>
      <c r="V779" s="18">
        <f t="shared" ca="1" si="2120"/>
        <v>117.54545454545455</v>
      </c>
      <c r="W779" s="76"/>
      <c r="X779" s="8">
        <v>3</v>
      </c>
      <c r="Y779" s="8" t="s">
        <v>36</v>
      </c>
      <c r="Z779" s="8">
        <f t="shared" ref="Z779:AI779" si="2163">SUM(D770)</f>
        <v>24</v>
      </c>
      <c r="AA779" s="9">
        <f t="shared" ca="1" si="2163"/>
        <v>24</v>
      </c>
      <c r="AB779" s="10">
        <f t="shared" ca="1" si="2163"/>
        <v>4615.0429999999897</v>
      </c>
      <c r="AC779" s="9">
        <f t="shared" ca="1" si="2163"/>
        <v>1034</v>
      </c>
      <c r="AD779" s="9">
        <f t="shared" ca="1" si="2163"/>
        <v>0</v>
      </c>
      <c r="AE779" s="9">
        <f t="shared" ca="1" si="2163"/>
        <v>1034</v>
      </c>
      <c r="AF779" s="9">
        <f t="shared" ca="1" si="2163"/>
        <v>1577</v>
      </c>
      <c r="AG779" s="9">
        <f t="shared" ca="1" si="2163"/>
        <v>0</v>
      </c>
      <c r="AH779" s="9">
        <f t="shared" ca="1" si="2163"/>
        <v>1577</v>
      </c>
      <c r="AI779" s="9">
        <f t="shared" ca="1" si="2163"/>
        <v>2611</v>
      </c>
      <c r="AJ779" s="11">
        <f t="shared" ca="1" si="2155"/>
        <v>192.29345833333289</v>
      </c>
      <c r="AK779" s="8">
        <f t="shared" ref="AK779:AK782" si="2164">SUM(O770)</f>
        <v>4796</v>
      </c>
      <c r="AL779" s="12">
        <f t="shared" ca="1" si="2156"/>
        <v>0.54441201000834027</v>
      </c>
      <c r="AM779" s="13">
        <f t="shared" ref="AM779:AM782" si="2165">SUM(Q770)</f>
        <v>1.5</v>
      </c>
      <c r="AN779" s="12">
        <f t="shared" ca="1" si="2157"/>
        <v>0.37717236148540123</v>
      </c>
      <c r="AO779" s="14">
        <f t="shared" ca="1" si="2158"/>
        <v>0.56575854222810185</v>
      </c>
      <c r="AP779" s="13">
        <f t="shared" ref="AP779:AQ779" ca="1" si="2166">SUM(T770)</f>
        <v>123.35069759982866</v>
      </c>
      <c r="AQ779" s="13">
        <f t="shared" ca="1" si="2166"/>
        <v>5.1396123999928607</v>
      </c>
      <c r="AR779" s="9">
        <f t="shared" ca="1" si="2160"/>
        <v>108.79166666666667</v>
      </c>
      <c r="AS779" s="76"/>
      <c r="AT779" s="76"/>
    </row>
    <row r="780" spans="1:46" ht="15.75" customHeight="1" x14ac:dyDescent="0.2">
      <c r="A780" s="70"/>
      <c r="B780" s="98" t="s">
        <v>33</v>
      </c>
      <c r="C780" s="98">
        <v>18</v>
      </c>
      <c r="D780" s="98">
        <f t="shared" ref="D780:M780" si="2167">SUM(D762:D779)</f>
        <v>471</v>
      </c>
      <c r="E780" s="74">
        <f t="shared" ca="1" si="2167"/>
        <v>461</v>
      </c>
      <c r="F780" s="99">
        <f t="shared" ca="1" si="2167"/>
        <v>89667.750999999931</v>
      </c>
      <c r="G780" s="74">
        <f t="shared" ca="1" si="2167"/>
        <v>30268</v>
      </c>
      <c r="H780" s="74">
        <f t="shared" ca="1" si="2167"/>
        <v>694</v>
      </c>
      <c r="I780" s="74">
        <f t="shared" ca="1" si="2167"/>
        <v>30962</v>
      </c>
      <c r="J780" s="74">
        <f t="shared" ca="1" si="2167"/>
        <v>40851</v>
      </c>
      <c r="K780" s="74">
        <f t="shared" ca="1" si="2167"/>
        <v>833</v>
      </c>
      <c r="L780" s="74">
        <f t="shared" ca="1" si="2167"/>
        <v>41684</v>
      </c>
      <c r="M780" s="74">
        <f t="shared" ca="1" si="2167"/>
        <v>72646</v>
      </c>
      <c r="N780" s="99">
        <f t="shared" ca="1" si="2115"/>
        <v>194.50705206073738</v>
      </c>
      <c r="O780" s="98">
        <f>SUM(O762:O779)</f>
        <v>126399</v>
      </c>
      <c r="P780" s="69">
        <f t="shared" ca="1" si="2116"/>
        <v>0.57473555961676914</v>
      </c>
      <c r="Q780" s="72">
        <v>1.5</v>
      </c>
      <c r="R780" s="69">
        <f t="shared" ca="1" si="2117"/>
        <v>0.54011242756235411</v>
      </c>
      <c r="S780" s="73">
        <f t="shared" ca="1" si="2118"/>
        <v>0.81016864134353117</v>
      </c>
      <c r="T780" s="72">
        <f ca="1">SUM(T762:T779)</f>
        <v>3307.998549083351</v>
      </c>
      <c r="U780" s="72">
        <f t="shared" ca="1" si="2119"/>
        <v>7.1757018418293947</v>
      </c>
      <c r="V780" s="74">
        <f t="shared" ca="1" si="2120"/>
        <v>157.58351409978309</v>
      </c>
      <c r="W780" s="76"/>
      <c r="X780" s="8">
        <v>4</v>
      </c>
      <c r="Y780" s="8" t="s">
        <v>37</v>
      </c>
      <c r="Z780" s="8">
        <f t="shared" ref="Z780:AI780" si="2168">SUM(D771)</f>
        <v>24</v>
      </c>
      <c r="AA780" s="9">
        <f t="shared" ca="1" si="2168"/>
        <v>24</v>
      </c>
      <c r="AB780" s="10">
        <f t="shared" ca="1" si="2168"/>
        <v>4770.924</v>
      </c>
      <c r="AC780" s="9">
        <f t="shared" ca="1" si="2168"/>
        <v>1296</v>
      </c>
      <c r="AD780" s="9">
        <f t="shared" ca="1" si="2168"/>
        <v>0</v>
      </c>
      <c r="AE780" s="9">
        <f t="shared" ca="1" si="2168"/>
        <v>1296</v>
      </c>
      <c r="AF780" s="9">
        <f t="shared" ca="1" si="2168"/>
        <v>2392</v>
      </c>
      <c r="AG780" s="9">
        <f t="shared" ca="1" si="2168"/>
        <v>0</v>
      </c>
      <c r="AH780" s="9">
        <f t="shared" ca="1" si="2168"/>
        <v>2392</v>
      </c>
      <c r="AI780" s="9">
        <f t="shared" ca="1" si="2168"/>
        <v>3688</v>
      </c>
      <c r="AJ780" s="11">
        <f t="shared" ca="1" si="2155"/>
        <v>198.7885</v>
      </c>
      <c r="AK780" s="8">
        <f t="shared" si="2164"/>
        <v>5887</v>
      </c>
      <c r="AL780" s="12">
        <f t="shared" ca="1" si="2156"/>
        <v>0.62646509257686422</v>
      </c>
      <c r="AM780" s="13">
        <f t="shared" si="2165"/>
        <v>1.5</v>
      </c>
      <c r="AN780" s="12">
        <f t="shared" ca="1" si="2157"/>
        <v>0.5153439180055408</v>
      </c>
      <c r="AO780" s="14">
        <f t="shared" ca="1" si="2158"/>
        <v>0.7730158770083112</v>
      </c>
      <c r="AP780" s="13">
        <f t="shared" ref="AP780:AQ780" ca="1" si="2169">SUM(T771)</f>
        <v>192.4380445304937</v>
      </c>
      <c r="AQ780" s="13">
        <f t="shared" ca="1" si="2169"/>
        <v>8.0182518554372368</v>
      </c>
      <c r="AR780" s="9">
        <f t="shared" ca="1" si="2160"/>
        <v>153.66666666666666</v>
      </c>
      <c r="AS780" s="76"/>
      <c r="AT780" s="76"/>
    </row>
    <row r="781" spans="1:46" ht="15.75" customHeight="1" x14ac:dyDescent="0.2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6"/>
      <c r="X781" s="8">
        <v>5</v>
      </c>
      <c r="Y781" s="8" t="s">
        <v>39</v>
      </c>
      <c r="Z781" s="8">
        <f t="shared" ref="Z781:AI781" si="2170">SUM(D772)</f>
        <v>22</v>
      </c>
      <c r="AA781" s="9">
        <f t="shared" ca="1" si="2170"/>
        <v>22</v>
      </c>
      <c r="AB781" s="10">
        <f t="shared" ca="1" si="2170"/>
        <v>4298.0569999999998</v>
      </c>
      <c r="AC781" s="9">
        <f t="shared" ca="1" si="2170"/>
        <v>907</v>
      </c>
      <c r="AD781" s="9">
        <f t="shared" ca="1" si="2170"/>
        <v>69</v>
      </c>
      <c r="AE781" s="9">
        <f t="shared" ca="1" si="2170"/>
        <v>976</v>
      </c>
      <c r="AF781" s="9">
        <f t="shared" ca="1" si="2170"/>
        <v>2002</v>
      </c>
      <c r="AG781" s="9">
        <f t="shared" ca="1" si="2170"/>
        <v>0</v>
      </c>
      <c r="AH781" s="9">
        <f t="shared" ca="1" si="2170"/>
        <v>2002</v>
      </c>
      <c r="AI781" s="9">
        <f t="shared" ca="1" si="2170"/>
        <v>2978</v>
      </c>
      <c r="AJ781" s="11">
        <f t="shared" ca="1" si="2155"/>
        <v>195.36622727272726</v>
      </c>
      <c r="AK781" s="8">
        <f t="shared" si="2164"/>
        <v>3569</v>
      </c>
      <c r="AL781" s="12">
        <f t="shared" ca="1" si="2156"/>
        <v>0.83440739702998035</v>
      </c>
      <c r="AM781" s="13">
        <f t="shared" si="2165"/>
        <v>1.5</v>
      </c>
      <c r="AN781" s="12">
        <f t="shared" ca="1" si="2157"/>
        <v>0.46191414709794065</v>
      </c>
      <c r="AO781" s="14">
        <f t="shared" ca="1" si="2158"/>
        <v>0.69287122064691098</v>
      </c>
      <c r="AP781" s="13">
        <f t="shared" ref="AP781:AQ781" ca="1" si="2171">SUM(T772)</f>
        <v>200.25425150258582</v>
      </c>
      <c r="AQ781" s="13">
        <f t="shared" ca="1" si="2171"/>
        <v>9.1024659773902652</v>
      </c>
      <c r="AR781" s="9">
        <f t="shared" ca="1" si="2160"/>
        <v>135.36363636363637</v>
      </c>
      <c r="AS781" s="76"/>
      <c r="AT781" s="76"/>
    </row>
    <row r="782" spans="1:46" ht="15.75" customHeight="1" x14ac:dyDescent="0.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6"/>
      <c r="X782" s="8">
        <v>6</v>
      </c>
      <c r="Y782" s="8" t="s">
        <v>41</v>
      </c>
      <c r="Z782" s="8">
        <f t="shared" ref="Z782:AI782" si="2172">SUM(D773)</f>
        <v>20</v>
      </c>
      <c r="AA782" s="9">
        <f t="shared" ca="1" si="2172"/>
        <v>20</v>
      </c>
      <c r="AB782" s="10">
        <f t="shared" ca="1" si="2172"/>
        <v>4006.364</v>
      </c>
      <c r="AC782" s="9">
        <f t="shared" ca="1" si="2172"/>
        <v>876</v>
      </c>
      <c r="AD782" s="9">
        <f t="shared" ca="1" si="2172"/>
        <v>0</v>
      </c>
      <c r="AE782" s="9">
        <f t="shared" ca="1" si="2172"/>
        <v>876</v>
      </c>
      <c r="AF782" s="9">
        <f t="shared" ca="1" si="2172"/>
        <v>1574</v>
      </c>
      <c r="AG782" s="9">
        <f t="shared" ca="1" si="2172"/>
        <v>0</v>
      </c>
      <c r="AH782" s="9">
        <f t="shared" ca="1" si="2172"/>
        <v>1574</v>
      </c>
      <c r="AI782" s="9">
        <f t="shared" ca="1" si="2172"/>
        <v>2450</v>
      </c>
      <c r="AJ782" s="11">
        <f t="shared" ca="1" si="2155"/>
        <v>200.31819999999999</v>
      </c>
      <c r="AK782" s="8">
        <f t="shared" si="2164"/>
        <v>3801</v>
      </c>
      <c r="AL782" s="12">
        <f t="shared" ca="1" si="2156"/>
        <v>0.64456721915285453</v>
      </c>
      <c r="AM782" s="13">
        <f t="shared" si="2165"/>
        <v>1.5</v>
      </c>
      <c r="AN782" s="12">
        <f t="shared" ca="1" si="2157"/>
        <v>0.40768470696455278</v>
      </c>
      <c r="AO782" s="14">
        <f t="shared" ca="1" si="2158"/>
        <v>0.61152706044682914</v>
      </c>
      <c r="AP782" s="13">
        <f t="shared" ref="AP782:AQ782" ca="1" si="2173">SUM(T773)</f>
        <v>135.22222222222223</v>
      </c>
      <c r="AQ782" s="13">
        <f t="shared" ca="1" si="2173"/>
        <v>6.7611111111111111</v>
      </c>
      <c r="AR782" s="9">
        <f t="shared" ca="1" si="2160"/>
        <v>122.5</v>
      </c>
      <c r="AS782" s="76"/>
      <c r="AT782" s="76"/>
    </row>
    <row r="783" spans="1:46" ht="15.75" customHeight="1" x14ac:dyDescent="0.25">
      <c r="A783" s="110" t="s">
        <v>45</v>
      </c>
      <c r="B783" s="76"/>
      <c r="C783" s="76"/>
      <c r="D783" s="75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24" t="s">
        <v>33</v>
      </c>
      <c r="Y783" s="24">
        <v>6</v>
      </c>
      <c r="Z783" s="24">
        <f t="shared" ref="Z783:AI783" si="2174">SUM(Z777:Z782)</f>
        <v>139</v>
      </c>
      <c r="AA783" s="25">
        <f t="shared" ca="1" si="2174"/>
        <v>139</v>
      </c>
      <c r="AB783" s="27">
        <f t="shared" ca="1" si="2174"/>
        <v>27204.33099999998</v>
      </c>
      <c r="AC783" s="25">
        <f t="shared" ca="1" si="2174"/>
        <v>9429</v>
      </c>
      <c r="AD783" s="25">
        <f t="shared" ca="1" si="2174"/>
        <v>69</v>
      </c>
      <c r="AE783" s="25">
        <f t="shared" ca="1" si="2174"/>
        <v>9498</v>
      </c>
      <c r="AF783" s="25">
        <f t="shared" ca="1" si="2174"/>
        <v>13439</v>
      </c>
      <c r="AG783" s="25">
        <f t="shared" ca="1" si="2174"/>
        <v>0</v>
      </c>
      <c r="AH783" s="25">
        <f t="shared" ca="1" si="2174"/>
        <v>13439</v>
      </c>
      <c r="AI783" s="25">
        <f t="shared" ca="1" si="2174"/>
        <v>22937</v>
      </c>
      <c r="AJ783" s="27">
        <f t="shared" ca="1" si="2155"/>
        <v>195.71461151079123</v>
      </c>
      <c r="AK783" s="24">
        <f>SUM(AK777:AK782)</f>
        <v>37031</v>
      </c>
      <c r="AL783" s="28">
        <f t="shared" ca="1" si="2156"/>
        <v>0.61939996219383764</v>
      </c>
      <c r="AM783" s="29">
        <v>1.5</v>
      </c>
      <c r="AN783" s="28">
        <f t="shared" ca="1" si="2157"/>
        <v>0.56209187181751852</v>
      </c>
      <c r="AO783" s="30">
        <f t="shared" ca="1" si="2158"/>
        <v>0.84313780772627778</v>
      </c>
      <c r="AP783" s="29">
        <f ca="1">SUM(AP777:AP782)</f>
        <v>1122.3827127545137</v>
      </c>
      <c r="AQ783" s="29">
        <f ca="1">AP783/AA783</f>
        <v>8.0746957752123283</v>
      </c>
      <c r="AR783" s="25">
        <f t="shared" ca="1" si="2160"/>
        <v>165.01438848920864</v>
      </c>
      <c r="AS783" s="76"/>
      <c r="AT783" s="76"/>
    </row>
    <row r="784" spans="1:46" ht="15.75" customHeight="1" x14ac:dyDescent="0.2">
      <c r="A784" s="110" t="s">
        <v>45</v>
      </c>
      <c r="B784" s="76"/>
      <c r="C784" s="76"/>
      <c r="D784" s="75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7" t="s">
        <v>1</v>
      </c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9"/>
      <c r="AS784" s="76"/>
      <c r="AT784" s="76"/>
    </row>
    <row r="785" spans="1:46" ht="15.75" customHeight="1" x14ac:dyDescent="0.2">
      <c r="A785" s="113">
        <v>46264</v>
      </c>
      <c r="B785" s="80" t="s">
        <v>2</v>
      </c>
      <c r="C785" s="80" t="s">
        <v>3</v>
      </c>
      <c r="D785" s="80" t="s">
        <v>4</v>
      </c>
      <c r="E785" s="80" t="s">
        <v>5</v>
      </c>
      <c r="F785" s="81" t="s">
        <v>6</v>
      </c>
      <c r="G785" s="80" t="s">
        <v>7</v>
      </c>
      <c r="H785" s="80" t="s">
        <v>8</v>
      </c>
      <c r="I785" s="80" t="s">
        <v>9</v>
      </c>
      <c r="J785" s="80" t="s">
        <v>10</v>
      </c>
      <c r="K785" s="80" t="s">
        <v>11</v>
      </c>
      <c r="L785" s="80" t="s">
        <v>12</v>
      </c>
      <c r="M785" s="80" t="s">
        <v>13</v>
      </c>
      <c r="N785" s="81" t="s">
        <v>14</v>
      </c>
      <c r="O785" s="80" t="s">
        <v>15</v>
      </c>
      <c r="P785" s="80" t="s">
        <v>16</v>
      </c>
      <c r="Q785" s="80" t="s">
        <v>17</v>
      </c>
      <c r="R785" s="80" t="s">
        <v>18</v>
      </c>
      <c r="S785" s="106" t="s">
        <v>19</v>
      </c>
      <c r="T785" s="107" t="s">
        <v>20</v>
      </c>
      <c r="U785" s="107" t="s">
        <v>21</v>
      </c>
      <c r="V785" s="105" t="s">
        <v>22</v>
      </c>
      <c r="W785" s="76"/>
      <c r="X785" s="1" t="s">
        <v>2</v>
      </c>
      <c r="Y785" s="1" t="s">
        <v>3</v>
      </c>
      <c r="Z785" s="1" t="s">
        <v>4</v>
      </c>
      <c r="AA785" s="1" t="s">
        <v>5</v>
      </c>
      <c r="AB785" s="2" t="s">
        <v>6</v>
      </c>
      <c r="AC785" s="1" t="s">
        <v>7</v>
      </c>
      <c r="AD785" s="1" t="s">
        <v>8</v>
      </c>
      <c r="AE785" s="1" t="s">
        <v>9</v>
      </c>
      <c r="AF785" s="1" t="s">
        <v>10</v>
      </c>
      <c r="AG785" s="1" t="s">
        <v>11</v>
      </c>
      <c r="AH785" s="1" t="s">
        <v>12</v>
      </c>
      <c r="AI785" s="1" t="s">
        <v>13</v>
      </c>
      <c r="AJ785" s="2" t="s">
        <v>14</v>
      </c>
      <c r="AK785" s="1" t="s">
        <v>15</v>
      </c>
      <c r="AL785" s="1" t="s">
        <v>16</v>
      </c>
      <c r="AM785" s="3" t="s">
        <v>17</v>
      </c>
      <c r="AN785" s="4" t="s">
        <v>18</v>
      </c>
      <c r="AO785" s="5" t="s">
        <v>19</v>
      </c>
      <c r="AP785" s="6" t="s">
        <v>20</v>
      </c>
      <c r="AQ785" s="6" t="s">
        <v>21</v>
      </c>
      <c r="AR785" s="7" t="s">
        <v>22</v>
      </c>
      <c r="AS785" s="76"/>
      <c r="AT785" s="76"/>
    </row>
    <row r="786" spans="1:46" ht="15.75" customHeight="1" x14ac:dyDescent="0.2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6"/>
      <c r="X786" s="8">
        <v>1</v>
      </c>
      <c r="Y786" s="8" t="s">
        <v>23</v>
      </c>
      <c r="Z786" s="8">
        <f t="shared" ref="Z786:AI786" si="2175">SUM(D794)</f>
        <v>26</v>
      </c>
      <c r="AA786" s="9">
        <f t="shared" ca="1" si="2175"/>
        <v>26</v>
      </c>
      <c r="AB786" s="10">
        <f t="shared" ca="1" si="2175"/>
        <v>5195.95999999999</v>
      </c>
      <c r="AC786" s="9">
        <f t="shared" ca="1" si="2175"/>
        <v>1006</v>
      </c>
      <c r="AD786" s="9">
        <f t="shared" ca="1" si="2175"/>
        <v>0</v>
      </c>
      <c r="AE786" s="9">
        <f t="shared" ca="1" si="2175"/>
        <v>1006</v>
      </c>
      <c r="AF786" s="9">
        <f t="shared" ca="1" si="2175"/>
        <v>2021</v>
      </c>
      <c r="AG786" s="9">
        <f t="shared" ca="1" si="2175"/>
        <v>0</v>
      </c>
      <c r="AH786" s="9">
        <f t="shared" ca="1" si="2175"/>
        <v>2021</v>
      </c>
      <c r="AI786" s="9">
        <f t="shared" ca="1" si="2175"/>
        <v>3027</v>
      </c>
      <c r="AJ786" s="11">
        <f t="shared" ref="AJ786:AJ788" ca="1" si="2176">AB786/AA786</f>
        <v>199.844615384615</v>
      </c>
      <c r="AK786" s="8">
        <f>SUM(O794)</f>
        <v>6853</v>
      </c>
      <c r="AL786" s="12">
        <f t="shared" ref="AL786:AL792" ca="1" si="2177">AI786/AK786</f>
        <v>0.44170436305267768</v>
      </c>
      <c r="AM786" s="13">
        <f t="shared" ref="AM786:AM788" si="2178">SUM(Q794)</f>
        <v>1.5</v>
      </c>
      <c r="AN786" s="12">
        <f t="shared" ref="AN786:AN792" ca="1" si="2179">AO786/AM786</f>
        <v>0.38837866342312183</v>
      </c>
      <c r="AO786" s="14">
        <f t="shared" ref="AO786:AO792" ca="1" si="2180">AI786/AB786</f>
        <v>0.58256799513468271</v>
      </c>
      <c r="AP786" s="13">
        <f t="shared" ref="AP786:AQ786" ca="1" si="2181">SUM(T794)</f>
        <v>153.99999999999969</v>
      </c>
      <c r="AQ786" s="13">
        <f t="shared" ca="1" si="2181"/>
        <v>5.9230769230769109</v>
      </c>
      <c r="AR786" s="9">
        <f t="shared" ref="AR786:AR792" ca="1" si="2182">AI786/AA786</f>
        <v>116.42307692307692</v>
      </c>
      <c r="AS786" s="76"/>
      <c r="AT786" s="76"/>
    </row>
    <row r="787" spans="1:46" ht="15.75" customHeight="1" x14ac:dyDescent="0.2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6"/>
      <c r="X787" s="8">
        <v>2</v>
      </c>
      <c r="Y787" s="8" t="s">
        <v>24</v>
      </c>
      <c r="Z787" s="8">
        <f t="shared" ref="Z787:AI787" si="2183">SUM(D795)</f>
        <v>35</v>
      </c>
      <c r="AA787" s="9">
        <f t="shared" ca="1" si="2183"/>
        <v>35</v>
      </c>
      <c r="AB787" s="10">
        <f t="shared" ca="1" si="2183"/>
        <v>6664.0379999999896</v>
      </c>
      <c r="AC787" s="9">
        <f t="shared" ca="1" si="2183"/>
        <v>791</v>
      </c>
      <c r="AD787" s="9">
        <f t="shared" ca="1" si="2183"/>
        <v>0</v>
      </c>
      <c r="AE787" s="9">
        <f t="shared" ca="1" si="2183"/>
        <v>791</v>
      </c>
      <c r="AF787" s="9">
        <f t="shared" ca="1" si="2183"/>
        <v>1132</v>
      </c>
      <c r="AG787" s="9">
        <f t="shared" ca="1" si="2183"/>
        <v>0</v>
      </c>
      <c r="AH787" s="9">
        <f t="shared" ca="1" si="2183"/>
        <v>1132</v>
      </c>
      <c r="AI787" s="9">
        <f t="shared" ca="1" si="2183"/>
        <v>1923</v>
      </c>
      <c r="AJ787" s="11">
        <f t="shared" ca="1" si="2176"/>
        <v>190.40108571428541</v>
      </c>
      <c r="AK787" s="8">
        <v>1580</v>
      </c>
      <c r="AL787" s="15">
        <f t="shared" ca="1" si="2177"/>
        <v>1.2170886075949368</v>
      </c>
      <c r="AM787" s="13">
        <f t="shared" si="2178"/>
        <v>1.5</v>
      </c>
      <c r="AN787" s="12">
        <f t="shared" ca="1" si="2179"/>
        <v>0.19237585379915331</v>
      </c>
      <c r="AO787" s="14">
        <f t="shared" ca="1" si="2180"/>
        <v>0.28856378069872995</v>
      </c>
      <c r="AP787" s="13">
        <f t="shared" ref="AP787:AQ787" ca="1" si="2184">SUM(T795)</f>
        <v>248.61175153889161</v>
      </c>
      <c r="AQ787" s="13">
        <f t="shared" ca="1" si="2184"/>
        <v>7.1031929011111892</v>
      </c>
      <c r="AR787" s="9">
        <f t="shared" ca="1" si="2182"/>
        <v>54.942857142857143</v>
      </c>
      <c r="AS787" s="76"/>
      <c r="AT787" s="76"/>
    </row>
    <row r="788" spans="1:46" ht="15.75" customHeight="1" x14ac:dyDescent="0.2">
      <c r="A788" s="70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6"/>
      <c r="X788" s="8">
        <v>3</v>
      </c>
      <c r="Y788" s="8" t="s">
        <v>25</v>
      </c>
      <c r="Z788" s="8">
        <f t="shared" ref="Z788:AI788" si="2185">SUM(D796)</f>
        <v>26</v>
      </c>
      <c r="AA788" s="9">
        <f t="shared" ca="1" si="2185"/>
        <v>26</v>
      </c>
      <c r="AB788" s="10">
        <f t="shared" ca="1" si="2185"/>
        <v>4938.4160000000002</v>
      </c>
      <c r="AC788" s="9">
        <f t="shared" ca="1" si="2185"/>
        <v>1574</v>
      </c>
      <c r="AD788" s="9">
        <f t="shared" ca="1" si="2185"/>
        <v>43</v>
      </c>
      <c r="AE788" s="9">
        <f t="shared" ca="1" si="2185"/>
        <v>1617</v>
      </c>
      <c r="AF788" s="9">
        <f t="shared" ca="1" si="2185"/>
        <v>2405</v>
      </c>
      <c r="AG788" s="9">
        <f t="shared" ca="1" si="2185"/>
        <v>198</v>
      </c>
      <c r="AH788" s="9">
        <f t="shared" ca="1" si="2185"/>
        <v>2603</v>
      </c>
      <c r="AI788" s="9">
        <f t="shared" ca="1" si="2185"/>
        <v>4220</v>
      </c>
      <c r="AJ788" s="11">
        <f t="shared" ca="1" si="2176"/>
        <v>189.93907692307693</v>
      </c>
      <c r="AK788" s="8">
        <f>SUM(O796)</f>
        <v>6622</v>
      </c>
      <c r="AL788" s="12">
        <f t="shared" ca="1" si="2177"/>
        <v>0.63726970703714891</v>
      </c>
      <c r="AM788" s="13">
        <f t="shared" si="2178"/>
        <v>1.5</v>
      </c>
      <c r="AN788" s="12">
        <f t="shared" ca="1" si="2179"/>
        <v>0.56968334245906649</v>
      </c>
      <c r="AO788" s="14">
        <f t="shared" ca="1" si="2180"/>
        <v>0.85452501368859968</v>
      </c>
      <c r="AP788" s="13">
        <f t="shared" ref="AP788:AQ788" ca="1" si="2186">SUM(T796)</f>
        <v>207.14832214765102</v>
      </c>
      <c r="AQ788" s="13">
        <f t="shared" ca="1" si="2186"/>
        <v>7.9672431595250393</v>
      </c>
      <c r="AR788" s="9">
        <f t="shared" ca="1" si="2182"/>
        <v>162.30769230769232</v>
      </c>
      <c r="AS788" s="76"/>
      <c r="AT788" s="76"/>
    </row>
    <row r="789" spans="1:46" ht="15.75" customHeight="1" x14ac:dyDescent="0.25">
      <c r="A789" s="70"/>
      <c r="B789" s="16">
        <v>1</v>
      </c>
      <c r="C789" s="16" t="s">
        <v>26</v>
      </c>
      <c r="D789" s="17">
        <v>15</v>
      </c>
      <c r="E789" s="18">
        <f ca="1">IFERROR(__xludf.DUMMYFUNCTION("COUNT(IMPORTRANGE(""https://docs.google.com/spreadsheets/d/1iVFEBQOAONhqDIMRa2hQ7WkCQv0dJWSAmc0AzfvSCMg/edit"",""30!d2:d21""))"),15)</f>
        <v>15</v>
      </c>
      <c r="F789" s="19">
        <f ca="1">IFERROR(__xludf.DUMMYFUNCTION("SUM(IMPORTRANGE(""https://docs.google.com/spreadsheets/d/1iVFEBQOAONhqDIMRa2hQ7WkCQv0dJWSAmc0AzfvSCMg/edit"",""30!Q2:Q21""))"),2710.479)</f>
        <v>2710.4789999999998</v>
      </c>
      <c r="G789" s="18">
        <f ca="1">IFERROR(__xludf.DUMMYFUNCTION("IMPORTRANGE(""https://docs.google.com/spreadsheets/d/1iVFEBQOAONhqDIMRa2hQ7WkCQv0dJWSAmc0AzfvSCMg/edit"",""30!e28"")"),1343)</f>
        <v>1343</v>
      </c>
      <c r="H789" s="18">
        <f ca="1">IFERROR(__xludf.DUMMYFUNCTION("IMPORTRANGE(""https://docs.google.com/spreadsheets/d/1iVFEBQOAONhqDIMRa2hQ7WkCQv0dJWSAmc0AzfvSCMg/edit"",""30!e29"")"),0)</f>
        <v>0</v>
      </c>
      <c r="I789" s="18">
        <f t="shared" ref="I789:I806" ca="1" si="2187">SUM(G789:H789)</f>
        <v>1343</v>
      </c>
      <c r="J789" s="18">
        <f ca="1">IFERROR(__xludf.DUMMYFUNCTION("IMPORTRANGE(""https://docs.google.com/spreadsheets/d/1iVFEBQOAONhqDIMRa2hQ7WkCQv0dJWSAmc0AzfvSCMg/edit"",""30!e32"")"),1756)</f>
        <v>1756</v>
      </c>
      <c r="K789" s="18">
        <f ca="1">IFERROR(__xludf.DUMMYFUNCTION("IMPORTRANGE(""https://docs.google.com/spreadsheets/d/1iVFEBQOAONhqDIMRa2hQ7WkCQv0dJWSAmc0AzfvSCMg/edit"",""30!e33"")"),50)</f>
        <v>50</v>
      </c>
      <c r="L789" s="18">
        <f t="shared" ref="L789:L795" ca="1" si="2188">SUM(J789:K789)</f>
        <v>1806</v>
      </c>
      <c r="M789" s="18">
        <f t="shared" ref="M789:M806" ca="1" si="2189">SUM(I789+L789)</f>
        <v>3149</v>
      </c>
      <c r="N789" s="19">
        <f t="shared" ref="N789:N807" ca="1" si="2190">F789/E789</f>
        <v>180.6986</v>
      </c>
      <c r="O789" s="16">
        <v>5161</v>
      </c>
      <c r="P789" s="20">
        <f t="shared" ref="P789:P807" ca="1" si="2191">M789/O789</f>
        <v>0.61015307111024997</v>
      </c>
      <c r="Q789" s="21">
        <v>1.5</v>
      </c>
      <c r="R789" s="20">
        <f t="shared" ref="R789:R807" ca="1" si="2192">S789/Q789</f>
        <v>0.77452484720720338</v>
      </c>
      <c r="S789" s="22">
        <f t="shared" ref="S789:S807" ca="1" si="2193">M789/F789</f>
        <v>1.161787270810805</v>
      </c>
      <c r="T789" s="21">
        <f ca="1">F789/14.415</f>
        <v>188.0318418314256</v>
      </c>
      <c r="U789" s="21">
        <f t="shared" ref="U789:U807" ca="1" si="2194">T789/E789</f>
        <v>12.53545612209504</v>
      </c>
      <c r="V789" s="18">
        <f t="shared" ref="V789:V807" ca="1" si="2195">M789/E789</f>
        <v>209.93333333333334</v>
      </c>
      <c r="W789" s="76"/>
      <c r="X789" s="8">
        <v>4</v>
      </c>
      <c r="Y789" s="8" t="s">
        <v>27</v>
      </c>
      <c r="Z789" s="8">
        <f t="shared" ref="Z789:AK789" si="2196">SUM(D802)</f>
        <v>23</v>
      </c>
      <c r="AA789" s="9">
        <f t="shared" ca="1" si="2196"/>
        <v>23</v>
      </c>
      <c r="AB789" s="10">
        <f t="shared" ca="1" si="2196"/>
        <v>4272.68299999999</v>
      </c>
      <c r="AC789" s="9">
        <f t="shared" ca="1" si="2196"/>
        <v>1510</v>
      </c>
      <c r="AD789" s="9">
        <f t="shared" ca="1" si="2196"/>
        <v>81</v>
      </c>
      <c r="AE789" s="9">
        <f t="shared" ca="1" si="2196"/>
        <v>1591</v>
      </c>
      <c r="AF789" s="9">
        <f t="shared" ca="1" si="2196"/>
        <v>1879</v>
      </c>
      <c r="AG789" s="9">
        <f t="shared" ca="1" si="2196"/>
        <v>88</v>
      </c>
      <c r="AH789" s="9">
        <f t="shared" ca="1" si="2196"/>
        <v>1967</v>
      </c>
      <c r="AI789" s="9">
        <f t="shared" ca="1" si="2196"/>
        <v>3558</v>
      </c>
      <c r="AJ789" s="11">
        <f t="shared" ca="1" si="2196"/>
        <v>185.7688260869561</v>
      </c>
      <c r="AK789" s="8">
        <f t="shared" si="2196"/>
        <v>8101</v>
      </c>
      <c r="AL789" s="12">
        <f t="shared" ca="1" si="2177"/>
        <v>0.43920503641525738</v>
      </c>
      <c r="AM789" s="13">
        <f>SUM(Q802)</f>
        <v>1.5</v>
      </c>
      <c r="AN789" s="12">
        <f t="shared" ca="1" si="2179"/>
        <v>0.55515468851773131</v>
      </c>
      <c r="AO789" s="14">
        <f t="shared" ca="1" si="2180"/>
        <v>0.83273203277659691</v>
      </c>
      <c r="AP789" s="13">
        <f t="shared" ref="AP789:AQ789" ca="1" si="2197">SUM(T802)</f>
        <v>213.79449587190342</v>
      </c>
      <c r="AQ789" s="13">
        <f t="shared" ca="1" si="2197"/>
        <v>9.2954128639958018</v>
      </c>
      <c r="AR789" s="9">
        <f t="shared" ca="1" si="2182"/>
        <v>154.69565217391303</v>
      </c>
      <c r="AS789" s="76"/>
      <c r="AT789" s="76"/>
    </row>
    <row r="790" spans="1:46" ht="15.75" customHeight="1" x14ac:dyDescent="0.25">
      <c r="A790" s="70"/>
      <c r="B790" s="16">
        <v>2</v>
      </c>
      <c r="C790" s="16" t="s">
        <v>28</v>
      </c>
      <c r="D790" s="17">
        <v>24</v>
      </c>
      <c r="E790" s="18">
        <f ca="1">IFERROR(__xludf.DUMMYFUNCTION("COUNT(IMPORTRANGE(""https://docs.google.com/spreadsheets/d/1tJCeYclgeJZ4Dc78t_SkhVjtacKW-5-VGim8X1rzUzk/edit"",""30!d2:d34""))"),24)</f>
        <v>24</v>
      </c>
      <c r="F790" s="19">
        <f ca="1">IFERROR(__xludf.DUMMYFUNCTION("SUM(IMPORTRANGE(""https://docs.google.com/spreadsheets/d/1tJCeYclgeJZ4Dc78t_SkhVjtacKW-5-VGim8X1rzUzk/edit"",""30!Q2:Q34""))"),4658.388)</f>
        <v>4658.3879999999999</v>
      </c>
      <c r="G790" s="18">
        <f ca="1">IFERROR(__xludf.DUMMYFUNCTION("IMPORTRANGE(""https://docs.google.com/spreadsheets/d/1tJCeYclgeJZ4Dc78t_SkhVjtacKW-5-VGim8X1rzUzk/edit"",""30!e41"")"),1536)</f>
        <v>1536</v>
      </c>
      <c r="H790" s="18">
        <f ca="1">IFERROR(__xludf.DUMMYFUNCTION("IMPORTRANGE(""https://docs.google.com/spreadsheets/d/1tJCeYclgeJZ4Dc78t_SkhVjtacKW-5-VGim8X1rzUzk/edit"",""30!e42"")"),64)</f>
        <v>64</v>
      </c>
      <c r="I790" s="18">
        <f t="shared" ca="1" si="2187"/>
        <v>1600</v>
      </c>
      <c r="J790" s="18">
        <f ca="1">IFERROR(__xludf.DUMMYFUNCTION("IMPORTRANGE(""https://docs.google.com/spreadsheets/d/1tJCeYclgeJZ4Dc78t_SkhVjtacKW-5-VGim8X1rzUzk/edit"",""30!e45"")"),1733)</f>
        <v>1733</v>
      </c>
      <c r="K790" s="18">
        <f ca="1">IFERROR(__xludf.DUMMYFUNCTION("IMPORTRANGE(""https://docs.google.com/spreadsheets/d/1tJCeYclgeJZ4Dc78t_SkhVjtacKW-5-VGim8X1rzUzk/edit"",""30!e46"")"),109)</f>
        <v>109</v>
      </c>
      <c r="L790" s="18">
        <f t="shared" ca="1" si="2188"/>
        <v>1842</v>
      </c>
      <c r="M790" s="18">
        <f t="shared" ca="1" si="2189"/>
        <v>3442</v>
      </c>
      <c r="N790" s="19">
        <f t="shared" ca="1" si="2190"/>
        <v>194.09950000000001</v>
      </c>
      <c r="O790" s="16">
        <v>7315</v>
      </c>
      <c r="P790" s="20">
        <f t="shared" ca="1" si="2191"/>
        <v>0.47053998632946004</v>
      </c>
      <c r="Q790" s="21">
        <v>1.5</v>
      </c>
      <c r="R790" s="20">
        <f t="shared" ca="1" si="2192"/>
        <v>0.49258813706944693</v>
      </c>
      <c r="S790" s="22">
        <f t="shared" ca="1" si="2193"/>
        <v>0.73888220560417039</v>
      </c>
      <c r="T790" s="21">
        <f ca="1">F790/30.897</f>
        <v>150.77153121662298</v>
      </c>
      <c r="U790" s="21">
        <f t="shared" ca="1" si="2194"/>
        <v>6.2821471340259576</v>
      </c>
      <c r="V790" s="18">
        <f t="shared" ca="1" si="2195"/>
        <v>143.41666666666666</v>
      </c>
      <c r="W790" s="76"/>
      <c r="X790" s="8">
        <v>5</v>
      </c>
      <c r="Y790" s="8" t="s">
        <v>29</v>
      </c>
      <c r="Z790" s="8">
        <f t="shared" ref="Z790:AI790" si="2198">SUM(D805)</f>
        <v>23</v>
      </c>
      <c r="AA790" s="9">
        <f t="shared" ca="1" si="2198"/>
        <v>22</v>
      </c>
      <c r="AB790" s="10">
        <f t="shared" ca="1" si="2198"/>
        <v>4291.5419999999904</v>
      </c>
      <c r="AC790" s="9">
        <f t="shared" ca="1" si="2198"/>
        <v>1613</v>
      </c>
      <c r="AD790" s="9">
        <f t="shared" ca="1" si="2198"/>
        <v>0</v>
      </c>
      <c r="AE790" s="9">
        <f t="shared" ca="1" si="2198"/>
        <v>1613</v>
      </c>
      <c r="AF790" s="9">
        <f t="shared" ca="1" si="2198"/>
        <v>2449</v>
      </c>
      <c r="AG790" s="9">
        <f t="shared" ca="1" si="2198"/>
        <v>0</v>
      </c>
      <c r="AH790" s="9">
        <f t="shared" ca="1" si="2198"/>
        <v>2449</v>
      </c>
      <c r="AI790" s="9">
        <f t="shared" ca="1" si="2198"/>
        <v>4062</v>
      </c>
      <c r="AJ790" s="11">
        <f t="shared" ref="AJ790:AJ792" ca="1" si="2199">AB790/AA790</f>
        <v>195.07009090909048</v>
      </c>
      <c r="AK790" s="8">
        <f t="shared" ref="AK790:AK791" si="2200">SUM(O805)</f>
        <v>9201</v>
      </c>
      <c r="AL790" s="12">
        <f t="shared" ca="1" si="2177"/>
        <v>0.44147375285295076</v>
      </c>
      <c r="AM790" s="13">
        <f t="shared" ref="AM790:AM791" si="2201">SUM(Q805)</f>
        <v>1.5</v>
      </c>
      <c r="AN790" s="12">
        <f t="shared" ca="1" si="2179"/>
        <v>0.63100862114363698</v>
      </c>
      <c r="AO790" s="14">
        <f t="shared" ca="1" si="2180"/>
        <v>0.94651293171545547</v>
      </c>
      <c r="AP790" s="13">
        <f t="shared" ref="AP790:AQ790" ca="1" si="2202">SUM(T805)</f>
        <v>161.99999999999963</v>
      </c>
      <c r="AQ790" s="13">
        <f t="shared" ca="1" si="2202"/>
        <v>7.3636363636363464</v>
      </c>
      <c r="AR790" s="9">
        <f t="shared" ca="1" si="2182"/>
        <v>184.63636363636363</v>
      </c>
      <c r="AS790" s="76"/>
      <c r="AT790" s="76"/>
    </row>
    <row r="791" spans="1:46" ht="15.75" customHeight="1" x14ac:dyDescent="0.25">
      <c r="A791" s="70"/>
      <c r="B791" s="16">
        <v>3</v>
      </c>
      <c r="C791" s="16" t="s">
        <v>30</v>
      </c>
      <c r="D791" s="17">
        <v>45</v>
      </c>
      <c r="E791" s="18">
        <f ca="1">IFERROR(__xludf.DUMMYFUNCTION("COUNT(IMPORTRANGE(""https://docs.google.com/spreadsheets/d/130gLEONC13J8KkQ6dk06x3bLRy_jCrAw2hXatQf2W50/edit"",""30!d2:d61""))"),44)</f>
        <v>44</v>
      </c>
      <c r="F791" s="23">
        <f ca="1">IFERROR(__xludf.DUMMYFUNCTION("SUM(IMPORTRANGE(""https://docs.google.com/spreadsheets/d/130gLEONC13J8KkQ6dk06x3bLRy_jCrAw2hXatQf2W50/edit"",""30!Q2:Q61""))"),8614.47299999999)</f>
        <v>8614.4729999999909</v>
      </c>
      <c r="G791" s="18">
        <f ca="1">IFERROR(__xludf.DUMMYFUNCTION("IMPORTRANGE(""https://docs.google.com/spreadsheets/d/130gLEONC13J8KkQ6dk06x3bLRy_jCrAw2hXatQf2W50/edit"",""30!e68"")"),2079)</f>
        <v>2079</v>
      </c>
      <c r="H791" s="18">
        <f ca="1">IFERROR(__xludf.DUMMYFUNCTION("IMPORTRANGE(""https://docs.google.com/spreadsheets/d/130gLEONC13J8KkQ6dk06x3bLRy_jCrAw2hXatQf2W50/edit"",""30!e69"")"),34)</f>
        <v>34</v>
      </c>
      <c r="I791" s="18">
        <f t="shared" ca="1" si="2187"/>
        <v>2113</v>
      </c>
      <c r="J791" s="18">
        <f ca="1">IFERROR(__xludf.DUMMYFUNCTION("IMPORTRANGE(""https://docs.google.com/spreadsheets/d/130gLEONC13J8KkQ6dk06x3bLRy_jCrAw2hXatQf2W50/edit"",""30!e72"")"),3856)</f>
        <v>3856</v>
      </c>
      <c r="K791" s="18">
        <f ca="1">IFERROR(__xludf.DUMMYFUNCTION("IMPORTRANGE(""https://docs.google.com/spreadsheets/d/130gLEONC13J8KkQ6dk06x3bLRy_jCrAw2hXatQf2W50/edit"",""30!e73"")"),31)</f>
        <v>31</v>
      </c>
      <c r="L791" s="18">
        <f t="shared" ca="1" si="2188"/>
        <v>3887</v>
      </c>
      <c r="M791" s="18">
        <f t="shared" ca="1" si="2189"/>
        <v>6000</v>
      </c>
      <c r="N791" s="19">
        <f t="shared" ca="1" si="2190"/>
        <v>195.78347727272705</v>
      </c>
      <c r="O791" s="16">
        <v>11164</v>
      </c>
      <c r="P791" s="20">
        <f t="shared" ca="1" si="2191"/>
        <v>0.53744177714080976</v>
      </c>
      <c r="Q791" s="21">
        <v>1.5</v>
      </c>
      <c r="R791" s="20">
        <f t="shared" ca="1" si="2192"/>
        <v>0.46433484671668301</v>
      </c>
      <c r="S791" s="22">
        <f t="shared" ca="1" si="2193"/>
        <v>0.69650227007502452</v>
      </c>
      <c r="T791" s="21">
        <f ca="1">F791/29.603</f>
        <v>290.99999999999966</v>
      </c>
      <c r="U791" s="21">
        <f t="shared" ca="1" si="2194"/>
        <v>6.6136363636363562</v>
      </c>
      <c r="V791" s="18">
        <f t="shared" ca="1" si="2195"/>
        <v>136.36363636363637</v>
      </c>
      <c r="W791" s="76"/>
      <c r="X791" s="8">
        <v>6</v>
      </c>
      <c r="Y791" s="8" t="s">
        <v>31</v>
      </c>
      <c r="Z791" s="8">
        <f t="shared" ref="Z791:AI791" si="2203">SUM(D806)</f>
        <v>11</v>
      </c>
      <c r="AA791" s="9">
        <f t="shared" ca="1" si="2203"/>
        <v>11</v>
      </c>
      <c r="AB791" s="11">
        <f t="shared" ca="1" si="2203"/>
        <v>2086.3199999999902</v>
      </c>
      <c r="AC791" s="9">
        <f t="shared" ca="1" si="2203"/>
        <v>370</v>
      </c>
      <c r="AD791" s="9">
        <f t="shared" ca="1" si="2203"/>
        <v>0</v>
      </c>
      <c r="AE791" s="9">
        <f t="shared" ca="1" si="2203"/>
        <v>370</v>
      </c>
      <c r="AF791" s="9">
        <f t="shared" ca="1" si="2203"/>
        <v>586</v>
      </c>
      <c r="AG791" s="9">
        <f t="shared" ca="1" si="2203"/>
        <v>8</v>
      </c>
      <c r="AH791" s="9">
        <f t="shared" ca="1" si="2203"/>
        <v>594</v>
      </c>
      <c r="AI791" s="9">
        <f t="shared" ca="1" si="2203"/>
        <v>964</v>
      </c>
      <c r="AJ791" s="11">
        <f t="shared" ca="1" si="2199"/>
        <v>189.66545454545366</v>
      </c>
      <c r="AK791" s="8">
        <f t="shared" si="2200"/>
        <v>2717</v>
      </c>
      <c r="AL791" s="12">
        <f t="shared" ca="1" si="2177"/>
        <v>0.35480309164519691</v>
      </c>
      <c r="AM791" s="13">
        <f t="shared" si="2201"/>
        <v>1.5</v>
      </c>
      <c r="AN791" s="12">
        <f t="shared" ca="1" si="2179"/>
        <v>0.30803839615527323</v>
      </c>
      <c r="AO791" s="14">
        <f t="shared" ca="1" si="2180"/>
        <v>0.46205759423290987</v>
      </c>
      <c r="AP791" s="13">
        <f t="shared" ref="AP791:AQ791" ca="1" si="2204">SUM(T806)</f>
        <v>47.999999999999773</v>
      </c>
      <c r="AQ791" s="13">
        <f t="shared" ca="1" si="2204"/>
        <v>4.3636363636363429</v>
      </c>
      <c r="AR791" s="9">
        <f t="shared" ca="1" si="2182"/>
        <v>87.63636363636364</v>
      </c>
      <c r="AS791" s="76"/>
      <c r="AT791" s="76"/>
    </row>
    <row r="792" spans="1:46" ht="15.75" customHeight="1" x14ac:dyDescent="0.25">
      <c r="A792" s="70"/>
      <c r="B792" s="16">
        <v>4</v>
      </c>
      <c r="C792" s="16" t="s">
        <v>32</v>
      </c>
      <c r="D792" s="17">
        <v>32</v>
      </c>
      <c r="E792" s="18">
        <f ca="1">IFERROR(__xludf.DUMMYFUNCTION("COUNT(IMPORTRANGE(""https://docs.google.com/spreadsheets/d/1gYHli7FuKQLm2Q-5LMR0UtkD-gRRA_p8s-phLPLDLgc/edit"",""30!d2:d43""))"),32)</f>
        <v>32</v>
      </c>
      <c r="F792" s="23">
        <f ca="1">IFERROR(__xludf.DUMMYFUNCTION("SUM(IMPORTRANGE(""https://docs.google.com/spreadsheets/d/1gYHli7FuKQLm2Q-5LMR0UtkD-gRRA_p8s-phLPLDLgc/edit"",""30!Q2:Q43""))"),6322.42799999999)</f>
        <v>6322.4279999999899</v>
      </c>
      <c r="G792" s="16">
        <f ca="1">IFERROR(__xludf.DUMMYFUNCTION("IMPORTRANGE(""https://docs.google.com/spreadsheets/d/1gYHli7FuKQLm2Q-5LMR0UtkD-gRRA_p8s-phLPLDLgc/edit"",""30!e50"")"),3068)</f>
        <v>3068</v>
      </c>
      <c r="H792" s="16">
        <f ca="1">IFERROR(__xludf.DUMMYFUNCTION("IMPORTRANGE(""https://docs.google.com/spreadsheets/d/1gYHli7FuKQLm2Q-5LMR0UtkD-gRRA_p8s-phLPLDLgc/edit"",""30!e51"")"),0)</f>
        <v>0</v>
      </c>
      <c r="I792" s="18">
        <f t="shared" ca="1" si="2187"/>
        <v>3068</v>
      </c>
      <c r="J792" s="16">
        <f ca="1">IFERROR(__xludf.DUMMYFUNCTION("IMPORTRANGE(""https://docs.google.com/spreadsheets/d/1gYHli7FuKQLm2Q-5LMR0UtkD-gRRA_p8s-phLPLDLgc/edit"",""30!e54"")"),3372)</f>
        <v>3372</v>
      </c>
      <c r="K792" s="16">
        <f ca="1">IFERROR(__xludf.DUMMYFUNCTION("IMPORTRANGE(""https://docs.google.com/spreadsheets/d/1gYHli7FuKQLm2Q-5LMR0UtkD-gRRA_p8s-phLPLDLgc/edit"",""30!e55"")"),0)</f>
        <v>0</v>
      </c>
      <c r="L792" s="18">
        <f t="shared" ca="1" si="2188"/>
        <v>3372</v>
      </c>
      <c r="M792" s="18">
        <f t="shared" ca="1" si="2189"/>
        <v>6440</v>
      </c>
      <c r="N792" s="19">
        <f t="shared" ca="1" si="2190"/>
        <v>197.57587499999968</v>
      </c>
      <c r="O792" s="16">
        <v>13817</v>
      </c>
      <c r="P792" s="20">
        <f t="shared" ca="1" si="2191"/>
        <v>0.4660924947528407</v>
      </c>
      <c r="Q792" s="21">
        <v>1.5</v>
      </c>
      <c r="R792" s="20">
        <f t="shared" ca="1" si="2192"/>
        <v>0.6790640135930911</v>
      </c>
      <c r="S792" s="22">
        <f t="shared" ca="1" si="2193"/>
        <v>1.0185960203896367</v>
      </c>
      <c r="T792" s="21">
        <f ca="1">F792/25.089</f>
        <v>251.9999999999996</v>
      </c>
      <c r="U792" s="21">
        <f t="shared" ca="1" si="2194"/>
        <v>7.8749999999999876</v>
      </c>
      <c r="V792" s="18">
        <f t="shared" ca="1" si="2195"/>
        <v>201.25</v>
      </c>
      <c r="W792" s="76"/>
      <c r="X792" s="24" t="s">
        <v>33</v>
      </c>
      <c r="Y792" s="24">
        <v>6</v>
      </c>
      <c r="Z792" s="24">
        <f t="shared" ref="Z792:AI792" si="2205">SUM(Z786:Z791)</f>
        <v>144</v>
      </c>
      <c r="AA792" s="25">
        <f t="shared" ca="1" si="2205"/>
        <v>143</v>
      </c>
      <c r="AB792" s="26">
        <f t="shared" ca="1" si="2205"/>
        <v>27448.958999999948</v>
      </c>
      <c r="AC792" s="25">
        <f t="shared" ca="1" si="2205"/>
        <v>6864</v>
      </c>
      <c r="AD792" s="25">
        <f t="shared" ca="1" si="2205"/>
        <v>124</v>
      </c>
      <c r="AE792" s="25">
        <f t="shared" ca="1" si="2205"/>
        <v>6988</v>
      </c>
      <c r="AF792" s="25">
        <f t="shared" ca="1" si="2205"/>
        <v>10472</v>
      </c>
      <c r="AG792" s="25">
        <f t="shared" ca="1" si="2205"/>
        <v>294</v>
      </c>
      <c r="AH792" s="25">
        <f t="shared" ca="1" si="2205"/>
        <v>10766</v>
      </c>
      <c r="AI792" s="25">
        <f t="shared" ca="1" si="2205"/>
        <v>17754</v>
      </c>
      <c r="AJ792" s="27">
        <f t="shared" ca="1" si="2199"/>
        <v>191.95076223776186</v>
      </c>
      <c r="AK792" s="24">
        <f>SUM(AK786:AK791)</f>
        <v>35074</v>
      </c>
      <c r="AL792" s="28">
        <f t="shared" ca="1" si="2177"/>
        <v>0.5061869190853624</v>
      </c>
      <c r="AM792" s="29">
        <v>1.5</v>
      </c>
      <c r="AN792" s="28">
        <f t="shared" ca="1" si="2179"/>
        <v>0.43120032348039222</v>
      </c>
      <c r="AO792" s="30">
        <f t="shared" ca="1" si="2180"/>
        <v>0.64680048522058831</v>
      </c>
      <c r="AP792" s="29">
        <f ca="1">SUM(AP786:AP791)</f>
        <v>1033.5545695584451</v>
      </c>
      <c r="AQ792" s="29">
        <f ca="1">AP792/AA792</f>
        <v>7.227654332576539</v>
      </c>
      <c r="AR792" s="25">
        <f t="shared" ca="1" si="2182"/>
        <v>124.15384615384616</v>
      </c>
      <c r="AS792" s="76"/>
      <c r="AT792" s="76"/>
    </row>
    <row r="793" spans="1:46" ht="15.75" customHeight="1" x14ac:dyDescent="0.25">
      <c r="A793" s="70"/>
      <c r="B793" s="16">
        <v>5</v>
      </c>
      <c r="C793" s="16" t="s">
        <v>34</v>
      </c>
      <c r="D793" s="17">
        <v>30</v>
      </c>
      <c r="E793" s="18">
        <f ca="1">IFERROR(__xludf.DUMMYFUNCTION("COUNT(IMPORTRANGE(""https://docs.google.com/spreadsheets/d/1ptS0qWBCKWkc9h2aXWT_YgMhN7yIv5WgAHRbF8l9Zpo/edit"",""30!d2:d41""))"),30)</f>
        <v>30</v>
      </c>
      <c r="F793" s="23">
        <f ca="1">IFERROR(__xludf.DUMMYFUNCTION("SUM(IMPORTRANGE(""https://docs.google.com/spreadsheets/d/1ptS0qWBCKWkc9h2aXWT_YgMhN7yIv5WgAHRbF8l9Zpo/edit"",""30!Q2:Q41""))"),5937.993)</f>
        <v>5937.9930000000004</v>
      </c>
      <c r="G793" s="18">
        <f ca="1">IFERROR(__xludf.DUMMYFUNCTION("IMPORTRANGE(""https://docs.google.com/spreadsheets/d/1ptS0qWBCKWkc9h2aXWT_YgMhN7yIv5WgAHRbF8l9Zpo/edit"",""30!e48"")"),1650)</f>
        <v>1650</v>
      </c>
      <c r="H793" s="18">
        <f ca="1">IFERROR(__xludf.DUMMYFUNCTION("IMPORTRANGE(""https://docs.google.com/spreadsheets/d/1ptS0qWBCKWkc9h2aXWT_YgMhN7yIv5WgAHRbF8l9Zpo/edit"",""30!e49"")"),0)</f>
        <v>0</v>
      </c>
      <c r="I793" s="18">
        <f t="shared" ca="1" si="2187"/>
        <v>1650</v>
      </c>
      <c r="J793" s="18">
        <f ca="1">IFERROR(__xludf.DUMMYFUNCTION("IMPORTRANGE(""https://docs.google.com/spreadsheets/d/1ptS0qWBCKWkc9h2aXWT_YgMhN7yIv5WgAHRbF8l9Zpo/edit"",""30!e52"")"),2382)</f>
        <v>2382</v>
      </c>
      <c r="K793" s="18">
        <f ca="1">IFERROR(__xludf.DUMMYFUNCTION("IMPORTRANGE(""https://docs.google.com/spreadsheets/d/1ptS0qWBCKWkc9h2aXWT_YgMhN7yIv5WgAHRbF8l9Zpo/edit"",""30!e53"")"),0)</f>
        <v>0</v>
      </c>
      <c r="L793" s="18">
        <f t="shared" ca="1" si="2188"/>
        <v>2382</v>
      </c>
      <c r="M793" s="18">
        <f t="shared" ca="1" si="2189"/>
        <v>4032</v>
      </c>
      <c r="N793" s="19">
        <f t="shared" ca="1" si="2190"/>
        <v>197.93310000000002</v>
      </c>
      <c r="O793" s="16">
        <v>9354</v>
      </c>
      <c r="P793" s="20">
        <f t="shared" ca="1" si="2191"/>
        <v>0.4310455420141116</v>
      </c>
      <c r="Q793" s="21">
        <v>1.5</v>
      </c>
      <c r="R793" s="20">
        <f t="shared" ca="1" si="2192"/>
        <v>0.45267820288774335</v>
      </c>
      <c r="S793" s="22">
        <f t="shared" ca="1" si="2193"/>
        <v>0.679017304331615</v>
      </c>
      <c r="T793" s="21">
        <f ca="1">F793/30.713</f>
        <v>193.33809787386448</v>
      </c>
      <c r="U793" s="21">
        <f t="shared" ca="1" si="2194"/>
        <v>6.4446032624621497</v>
      </c>
      <c r="V793" s="18">
        <f t="shared" ca="1" si="2195"/>
        <v>134.4</v>
      </c>
      <c r="W793" s="76"/>
      <c r="X793" s="100" t="s">
        <v>35</v>
      </c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9"/>
      <c r="AS793" s="76"/>
      <c r="AT793" s="76"/>
    </row>
    <row r="794" spans="1:46" ht="15.75" customHeight="1" x14ac:dyDescent="0.25">
      <c r="A794" s="70"/>
      <c r="B794" s="16">
        <v>6</v>
      </c>
      <c r="C794" s="16" t="s">
        <v>23</v>
      </c>
      <c r="D794" s="17">
        <v>26</v>
      </c>
      <c r="E794" s="18">
        <f ca="1">IFERROR(__xludf.DUMMYFUNCTION("COUNT(IMPORTRANGE(""https://docs.google.com/spreadsheets/d/1829CoYW82aTBBUgqkPnJa94KlBWI-DowAnP4ENQCmaQ/edit"",""30!d2:d36""))"),26)</f>
        <v>26</v>
      </c>
      <c r="F794" s="23">
        <f ca="1">IFERROR(__xludf.DUMMYFUNCTION("SUM(IMPORTRANGE(""https://docs.google.com/spreadsheets/d/1829CoYW82aTBBUgqkPnJa94KlBWI-DowAnP4ENQCmaQ/edit"",""30!Q2:Q36""))"),5195.95999999999)</f>
        <v>5195.95999999999</v>
      </c>
      <c r="G794" s="18">
        <f ca="1">IFERROR(__xludf.DUMMYFUNCTION("IMPORTRANGE(""https://docs.google.com/spreadsheets/d/1829CoYW82aTBBUgqkPnJa94KlBWI-DowAnP4ENQCmaQ/edit"",""30!e43"")"),1006)</f>
        <v>1006</v>
      </c>
      <c r="H794" s="18">
        <f ca="1">IFERROR(__xludf.DUMMYFUNCTION("IMPORTRANGE(""https://docs.google.com/spreadsheets/d/1829CoYW82aTBBUgqkPnJa94KlBWI-DowAnP4ENQCmaQ/edit"",""30!e44"")"),0)</f>
        <v>0</v>
      </c>
      <c r="I794" s="18">
        <f t="shared" ca="1" si="2187"/>
        <v>1006</v>
      </c>
      <c r="J794" s="18">
        <f ca="1">IFERROR(__xludf.DUMMYFUNCTION("IMPORTRANGE(""https://docs.google.com/spreadsheets/d/1829CoYW82aTBBUgqkPnJa94KlBWI-DowAnP4ENQCmaQ/edit"",""30!e47"")"),2021)</f>
        <v>2021</v>
      </c>
      <c r="K794" s="18">
        <f ca="1">IFERROR(__xludf.DUMMYFUNCTION("IMPORTRANGE(""https://docs.google.com/spreadsheets/d/1829CoYW82aTBBUgqkPnJa94KlBWI-DowAnP4ENQCmaQ/edit"",""30!e48"")"),0)</f>
        <v>0</v>
      </c>
      <c r="L794" s="18">
        <f t="shared" ca="1" si="2188"/>
        <v>2021</v>
      </c>
      <c r="M794" s="18">
        <f t="shared" ca="1" si="2189"/>
        <v>3027</v>
      </c>
      <c r="N794" s="19">
        <f t="shared" ca="1" si="2190"/>
        <v>199.844615384615</v>
      </c>
      <c r="O794" s="16">
        <v>6853</v>
      </c>
      <c r="P794" s="20">
        <f t="shared" ca="1" si="2191"/>
        <v>0.44170436305267768</v>
      </c>
      <c r="Q794" s="21">
        <v>1.5</v>
      </c>
      <c r="R794" s="20">
        <f t="shared" ca="1" si="2192"/>
        <v>0.38837866342312183</v>
      </c>
      <c r="S794" s="22">
        <f t="shared" ca="1" si="2193"/>
        <v>0.58256799513468271</v>
      </c>
      <c r="T794" s="21">
        <f ca="1">F794/33.74</f>
        <v>153.99999999999969</v>
      </c>
      <c r="U794" s="21">
        <f t="shared" ca="1" si="2194"/>
        <v>5.9230769230769109</v>
      </c>
      <c r="V794" s="18">
        <f t="shared" ca="1" si="2195"/>
        <v>116.42307692307692</v>
      </c>
      <c r="W794" s="76"/>
      <c r="X794" s="1" t="s">
        <v>2</v>
      </c>
      <c r="Y794" s="1" t="s">
        <v>3</v>
      </c>
      <c r="Z794" s="1" t="s">
        <v>4</v>
      </c>
      <c r="AA794" s="1" t="s">
        <v>5</v>
      </c>
      <c r="AB794" s="2" t="s">
        <v>6</v>
      </c>
      <c r="AC794" s="1" t="s">
        <v>7</v>
      </c>
      <c r="AD794" s="1" t="s">
        <v>8</v>
      </c>
      <c r="AE794" s="1" t="s">
        <v>9</v>
      </c>
      <c r="AF794" s="1" t="s">
        <v>10</v>
      </c>
      <c r="AG794" s="1" t="s">
        <v>11</v>
      </c>
      <c r="AH794" s="1" t="s">
        <v>12</v>
      </c>
      <c r="AI794" s="1" t="s">
        <v>13</v>
      </c>
      <c r="AJ794" s="2" t="s">
        <v>14</v>
      </c>
      <c r="AK794" s="1" t="s">
        <v>15</v>
      </c>
      <c r="AL794" s="1" t="s">
        <v>16</v>
      </c>
      <c r="AM794" s="3" t="s">
        <v>17</v>
      </c>
      <c r="AN794" s="4" t="s">
        <v>18</v>
      </c>
      <c r="AO794" s="5" t="s">
        <v>19</v>
      </c>
      <c r="AP794" s="6" t="s">
        <v>20</v>
      </c>
      <c r="AQ794" s="6" t="s">
        <v>21</v>
      </c>
      <c r="AR794" s="7" t="s">
        <v>22</v>
      </c>
      <c r="AS794" s="76"/>
      <c r="AT794" s="76"/>
    </row>
    <row r="795" spans="1:46" ht="15.75" customHeight="1" x14ac:dyDescent="0.25">
      <c r="A795" s="70"/>
      <c r="B795" s="16">
        <v>7</v>
      </c>
      <c r="C795" s="16" t="s">
        <v>24</v>
      </c>
      <c r="D795" s="17">
        <v>35</v>
      </c>
      <c r="E795" s="31">
        <f ca="1">IFERROR(__xludf.DUMMYFUNCTION("COUNT(IMPORTRANGE(""https://docs.google.com/spreadsheets/d/1E2x4oDZxEIsuC5nl-5Z0--MoN8b1dt9SbpRcCfNP84Q/edit"",""30!d2:d45""))"),35)</f>
        <v>35</v>
      </c>
      <c r="F795" s="32">
        <f ca="1">IFERROR(__xludf.DUMMYFUNCTION("SUM(IMPORTRANGE(""https://docs.google.com/spreadsheets/d/1E2x4oDZxEIsuC5nl-5Z0--MoN8b1dt9SbpRcCfNP84Q/edit"",""30!Q2:Q45""))"),6664.03799999999)</f>
        <v>6664.0379999999896</v>
      </c>
      <c r="G795" s="31">
        <f ca="1">IFERROR(__xludf.DUMMYFUNCTION("IMPORTRANGE(""https://docs.google.com/spreadsheets/d/1E2x4oDZxEIsuC5nl-5Z0--MoN8b1dt9SbpRcCfNP84Q/edit"",""30!e53"")"),791)</f>
        <v>791</v>
      </c>
      <c r="H795" s="31">
        <f ca="1">IFERROR(__xludf.DUMMYFUNCTION("IMPORTRANGE(""https://docs.google.com/spreadsheets/d/1E2x4oDZxEIsuC5nl-5Z0--MoN8b1dt9SbpRcCfNP84Q/edit"",""30!e54"")"),0)</f>
        <v>0</v>
      </c>
      <c r="I795" s="31">
        <f t="shared" ca="1" si="2187"/>
        <v>791</v>
      </c>
      <c r="J795" s="31">
        <f ca="1">IFERROR(__xludf.DUMMYFUNCTION("IMPORTRANGE(""https://docs.google.com/spreadsheets/d/1E2x4oDZxEIsuC5nl-5Z0--MoN8b1dt9SbpRcCfNP84Q/edit"",""30!e57"")"),1132)</f>
        <v>1132</v>
      </c>
      <c r="K795" s="31">
        <f ca="1">IFERROR(__xludf.DUMMYFUNCTION("IMPORTRANGE(""https://docs.google.com/spreadsheets/d/1E2x4oDZxEIsuC5nl-5Z0--MoN8b1dt9SbpRcCfNP84Q/edit"",""30!e58"")"),0)</f>
        <v>0</v>
      </c>
      <c r="L795" s="18">
        <f t="shared" ca="1" si="2188"/>
        <v>1132</v>
      </c>
      <c r="M795" s="18">
        <f t="shared" ca="1" si="2189"/>
        <v>1923</v>
      </c>
      <c r="N795" s="19">
        <f t="shared" ca="1" si="2190"/>
        <v>190.40108571428541</v>
      </c>
      <c r="O795" s="16">
        <v>1580</v>
      </c>
      <c r="P795" s="33">
        <f t="shared" ca="1" si="2191"/>
        <v>1.2170886075949368</v>
      </c>
      <c r="Q795" s="21">
        <v>1.5</v>
      </c>
      <c r="R795" s="20">
        <f t="shared" ca="1" si="2192"/>
        <v>0.19237585379915331</v>
      </c>
      <c r="S795" s="22">
        <f t="shared" ca="1" si="2193"/>
        <v>0.28856378069872995</v>
      </c>
      <c r="T795" s="21">
        <f ca="1">F795/26.805</f>
        <v>248.61175153889161</v>
      </c>
      <c r="U795" s="21">
        <f t="shared" ca="1" si="2194"/>
        <v>7.1031929011111892</v>
      </c>
      <c r="V795" s="18">
        <f t="shared" ca="1" si="2195"/>
        <v>54.942857142857143</v>
      </c>
      <c r="W795" s="76"/>
      <c r="X795" s="8">
        <v>1</v>
      </c>
      <c r="Y795" s="8" t="s">
        <v>28</v>
      </c>
      <c r="Z795" s="8">
        <f t="shared" ref="Z795:AI795" si="2206">SUM(D790)</f>
        <v>24</v>
      </c>
      <c r="AA795" s="9">
        <f t="shared" ca="1" si="2206"/>
        <v>24</v>
      </c>
      <c r="AB795" s="11">
        <f t="shared" ca="1" si="2206"/>
        <v>4658.3879999999999</v>
      </c>
      <c r="AC795" s="9">
        <f t="shared" ca="1" si="2206"/>
        <v>1536</v>
      </c>
      <c r="AD795" s="9">
        <f t="shared" ca="1" si="2206"/>
        <v>64</v>
      </c>
      <c r="AE795" s="9">
        <f t="shared" ca="1" si="2206"/>
        <v>1600</v>
      </c>
      <c r="AF795" s="9">
        <f t="shared" ca="1" si="2206"/>
        <v>1733</v>
      </c>
      <c r="AG795" s="9">
        <f t="shared" ca="1" si="2206"/>
        <v>109</v>
      </c>
      <c r="AH795" s="9">
        <f t="shared" ca="1" si="2206"/>
        <v>1842</v>
      </c>
      <c r="AI795" s="9">
        <f t="shared" ca="1" si="2206"/>
        <v>3442</v>
      </c>
      <c r="AJ795" s="11">
        <f t="shared" ref="AJ795:AJ801" ca="1" si="2207">AB795/AA795</f>
        <v>194.09950000000001</v>
      </c>
      <c r="AK795" s="8">
        <f t="shared" ref="AK795:AK796" si="2208">SUM(O790)</f>
        <v>7315</v>
      </c>
      <c r="AL795" s="12">
        <f t="shared" ref="AL795:AL801" ca="1" si="2209">AI795/AK795</f>
        <v>0.47053998632946004</v>
      </c>
      <c r="AM795" s="13">
        <f t="shared" ref="AM795:AM796" si="2210">SUM(Q790)</f>
        <v>1.5</v>
      </c>
      <c r="AN795" s="12">
        <f t="shared" ref="AN795:AN801" ca="1" si="2211">AO795/AM795</f>
        <v>0.49258813706944693</v>
      </c>
      <c r="AO795" s="14">
        <f t="shared" ref="AO795:AO801" ca="1" si="2212">AI795/AB795</f>
        <v>0.73888220560417039</v>
      </c>
      <c r="AP795" s="13">
        <f t="shared" ref="AP795:AQ795" ca="1" si="2213">SUM(T790)</f>
        <v>150.77153121662298</v>
      </c>
      <c r="AQ795" s="13">
        <f t="shared" ca="1" si="2213"/>
        <v>6.2821471340259576</v>
      </c>
      <c r="AR795" s="9">
        <f t="shared" ref="AR795:AR801" ca="1" si="2214">AI795/AA795</f>
        <v>143.41666666666666</v>
      </c>
      <c r="AS795" s="76"/>
      <c r="AT795" s="76"/>
    </row>
    <row r="796" spans="1:46" ht="15.75" customHeight="1" x14ac:dyDescent="0.25">
      <c r="A796" s="70"/>
      <c r="B796" s="16">
        <v>8</v>
      </c>
      <c r="C796" s="16" t="s">
        <v>25</v>
      </c>
      <c r="D796" s="34">
        <v>26</v>
      </c>
      <c r="E796" s="18">
        <f ca="1">IFERROR(__xludf.DUMMYFUNCTION("COUNT(IMPORTRANGE(""https://docs.google.com/spreadsheets/d/1KbRFOEYB0B44J_NSh1MwYQ1sLDlZXUHI-wuMLcZDn5k/edit"",""30!d2:D33""))"),26)</f>
        <v>26</v>
      </c>
      <c r="F796" s="23">
        <f ca="1">IFERROR(__xludf.DUMMYFUNCTION("SUM(IMPORTRANGE(""https://docs.google.com/spreadsheets/d/1KbRFOEYB0B44J_NSh1MwYQ1sLDlZXUHI-wuMLcZDn5k/edit"",""30!Q2:Q33""))"),4938.416)</f>
        <v>4938.4160000000002</v>
      </c>
      <c r="G796" s="18">
        <f ca="1">IFERROR(__xludf.DUMMYFUNCTION("IMPORTRANGE(""https://docs.google.com/spreadsheets/d/1KbRFOEYB0B44J_NSh1MwYQ1sLDlZXUHI-wuMLcZDn5k/edit"",""30!e40"")"),1574)</f>
        <v>1574</v>
      </c>
      <c r="H796" s="18">
        <f ca="1">IFERROR(__xludf.DUMMYFUNCTION("IMPORTRANGE(""https://docs.google.com/spreadsheets/d/1KbRFOEYB0B44J_NSh1MwYQ1sLDlZXUHI-wuMLcZDn5k/edit"",""30!e41"")"),43)</f>
        <v>43</v>
      </c>
      <c r="I796" s="18">
        <f t="shared" ca="1" si="2187"/>
        <v>1617</v>
      </c>
      <c r="J796" s="18">
        <f ca="1">IFERROR(__xludf.DUMMYFUNCTION("IMPORTRANGE(""https://docs.google.com/spreadsheets/d/1KbRFOEYB0B44J_NSh1MwYQ1sLDlZXUHI-wuMLcZDn5k/edit"",""30!e44"")"),2405)</f>
        <v>2405</v>
      </c>
      <c r="K796" s="18">
        <f ca="1">IFERROR(__xludf.DUMMYFUNCTION("IMPORTRANGE(""https://docs.google.com/spreadsheets/d/1KbRFOEYB0B44J_NSh1MwYQ1sLDlZXUHI-wuMLcZDn5k/edit"",""30!e45"")"),198)</f>
        <v>198</v>
      </c>
      <c r="L796" s="18">
        <f ca="1">J796+K796</f>
        <v>2603</v>
      </c>
      <c r="M796" s="18">
        <f t="shared" ca="1" si="2189"/>
        <v>4220</v>
      </c>
      <c r="N796" s="19">
        <f t="shared" ca="1" si="2190"/>
        <v>189.93907692307693</v>
      </c>
      <c r="O796" s="16">
        <v>6622</v>
      </c>
      <c r="P796" s="20">
        <f t="shared" ca="1" si="2191"/>
        <v>0.63726970703714891</v>
      </c>
      <c r="Q796" s="21">
        <v>1.5</v>
      </c>
      <c r="R796" s="20">
        <f t="shared" ca="1" si="2192"/>
        <v>0.56968334245906649</v>
      </c>
      <c r="S796" s="22">
        <f t="shared" ca="1" si="2193"/>
        <v>0.85452501368859968</v>
      </c>
      <c r="T796" s="21">
        <f ca="1">F796/23.84</f>
        <v>207.14832214765102</v>
      </c>
      <c r="U796" s="21">
        <f t="shared" ca="1" si="2194"/>
        <v>7.9672431595250393</v>
      </c>
      <c r="V796" s="18">
        <f t="shared" ca="1" si="2195"/>
        <v>162.30769230769232</v>
      </c>
      <c r="W796" s="76"/>
      <c r="X796" s="8">
        <v>2</v>
      </c>
      <c r="Y796" s="8" t="s">
        <v>30</v>
      </c>
      <c r="Z796" s="8">
        <f t="shared" ref="Z796:AI796" si="2215">SUM(D791)</f>
        <v>45</v>
      </c>
      <c r="AA796" s="9">
        <f t="shared" ca="1" si="2215"/>
        <v>44</v>
      </c>
      <c r="AB796" s="10">
        <f t="shared" ca="1" si="2215"/>
        <v>8614.4729999999909</v>
      </c>
      <c r="AC796" s="9">
        <f t="shared" ca="1" si="2215"/>
        <v>2079</v>
      </c>
      <c r="AD796" s="9">
        <f t="shared" ca="1" si="2215"/>
        <v>34</v>
      </c>
      <c r="AE796" s="9">
        <f t="shared" ca="1" si="2215"/>
        <v>2113</v>
      </c>
      <c r="AF796" s="9">
        <f t="shared" ca="1" si="2215"/>
        <v>3856</v>
      </c>
      <c r="AG796" s="9">
        <f t="shared" ca="1" si="2215"/>
        <v>31</v>
      </c>
      <c r="AH796" s="9">
        <f t="shared" ca="1" si="2215"/>
        <v>3887</v>
      </c>
      <c r="AI796" s="9">
        <f t="shared" ca="1" si="2215"/>
        <v>6000</v>
      </c>
      <c r="AJ796" s="11">
        <f t="shared" ca="1" si="2207"/>
        <v>195.78347727272705</v>
      </c>
      <c r="AK796" s="8">
        <f t="shared" si="2208"/>
        <v>11164</v>
      </c>
      <c r="AL796" s="12">
        <f t="shared" ca="1" si="2209"/>
        <v>0.53744177714080976</v>
      </c>
      <c r="AM796" s="13">
        <f t="shared" si="2210"/>
        <v>1.5</v>
      </c>
      <c r="AN796" s="12">
        <f t="shared" ca="1" si="2211"/>
        <v>0.46433484671668301</v>
      </c>
      <c r="AO796" s="14">
        <f t="shared" ca="1" si="2212"/>
        <v>0.69650227007502452</v>
      </c>
      <c r="AP796" s="13">
        <f t="shared" ref="AP796:AQ796" ca="1" si="2216">SUM(T791)</f>
        <v>290.99999999999966</v>
      </c>
      <c r="AQ796" s="13">
        <f t="shared" ca="1" si="2216"/>
        <v>6.6136363636363562</v>
      </c>
      <c r="AR796" s="9">
        <f t="shared" ca="1" si="2214"/>
        <v>136.36363636363637</v>
      </c>
      <c r="AS796" s="76"/>
      <c r="AT796" s="76"/>
    </row>
    <row r="797" spans="1:46" ht="15.75" customHeight="1" x14ac:dyDescent="0.25">
      <c r="A797" s="70"/>
      <c r="B797" s="16">
        <v>9</v>
      </c>
      <c r="C797" s="16" t="s">
        <v>36</v>
      </c>
      <c r="D797" s="34">
        <v>23</v>
      </c>
      <c r="E797" s="18">
        <f ca="1">IFERROR(__xludf.DUMMYFUNCTION("COUNT(IMPORTRANGE(""https://docs.google.com/spreadsheets/d/1VqqqRGfmmkT0JC4ILJva2p8P11jjV0FX-TSKAaqOigw/edit"",""30!d2:d31""))"),23)</f>
        <v>23</v>
      </c>
      <c r="F797" s="23">
        <f ca="1">IFERROR(__xludf.DUMMYFUNCTION("SUM(IMPORTRANGE(""https://docs.google.com/spreadsheets/d/1VqqqRGfmmkT0JC4ILJva2p8P11jjV0FX-TSKAaqOigw/edit"",""30!Q2:Q31""))"),4540.21499999999)</f>
        <v>4540.2149999999901</v>
      </c>
      <c r="G797" s="18">
        <f ca="1">IFERROR(__xludf.DUMMYFUNCTION("IMPORTRANGE(""https://docs.google.com/spreadsheets/d/1VqqqRGfmmkT0JC4ILJva2p8P11jjV0FX-TSKAaqOigw/edit"",""30!e38"")"),900)</f>
        <v>900</v>
      </c>
      <c r="H797" s="18">
        <f ca="1">IFERROR(__xludf.DUMMYFUNCTION("IMPORTRANGE(""https://docs.google.com/spreadsheets/d/1VqqqRGfmmkT0JC4ILJva2p8P11jjV0FX-TSKAaqOigw/edit"",""30!e39"")"),20)</f>
        <v>20</v>
      </c>
      <c r="I797" s="18">
        <f t="shared" ca="1" si="2187"/>
        <v>920</v>
      </c>
      <c r="J797" s="18">
        <f ca="1">IFERROR(__xludf.DUMMYFUNCTION("IMPORTRANGE(""https://docs.google.com/spreadsheets/d/1VqqqRGfmmkT0JC4ILJva2p8P11jjV0FX-TSKAaqOigw/edit"",""30!e42"")"),1566)</f>
        <v>1566</v>
      </c>
      <c r="K797" s="18">
        <f ca="1">IFERROR(__xludf.DUMMYFUNCTION("IMPORTRANGE(""https://docs.google.com/spreadsheets/d/1VqqqRGfmmkT0JC4ILJva2p8P11jjV0FX-TSKAaqOigw/edit"",""30!e43"")"),0)</f>
        <v>0</v>
      </c>
      <c r="L797" s="18">
        <f t="shared" ref="L797:L806" ca="1" si="2217">SUM(J797:K797)</f>
        <v>1566</v>
      </c>
      <c r="M797" s="18">
        <f t="shared" ca="1" si="2189"/>
        <v>2486</v>
      </c>
      <c r="N797" s="19">
        <f t="shared" ca="1" si="2190"/>
        <v>197.40065217391262</v>
      </c>
      <c r="O797" s="16">
        <v>4796</v>
      </c>
      <c r="P797" s="20">
        <f t="shared" ca="1" si="2191"/>
        <v>0.51834862385321101</v>
      </c>
      <c r="Q797" s="21">
        <v>1.5</v>
      </c>
      <c r="R797" s="20">
        <f t="shared" ca="1" si="2192"/>
        <v>0.36503410814979836</v>
      </c>
      <c r="S797" s="22">
        <f t="shared" ca="1" si="2193"/>
        <v>0.54755116222469757</v>
      </c>
      <c r="T797" s="21">
        <f ca="1">F797/37.414</f>
        <v>121.35069759982868</v>
      </c>
      <c r="U797" s="21">
        <f t="shared" ca="1" si="2194"/>
        <v>5.2761172869490727</v>
      </c>
      <c r="V797" s="18">
        <f t="shared" ca="1" si="2195"/>
        <v>108.08695652173913</v>
      </c>
      <c r="W797" s="76"/>
      <c r="X797" s="8">
        <v>3</v>
      </c>
      <c r="Y797" s="8" t="s">
        <v>34</v>
      </c>
      <c r="Z797" s="8">
        <f t="shared" ref="Z797:AI797" si="2218">SUM(D793)</f>
        <v>30</v>
      </c>
      <c r="AA797" s="9">
        <f t="shared" ca="1" si="2218"/>
        <v>30</v>
      </c>
      <c r="AB797" s="10">
        <f t="shared" ca="1" si="2218"/>
        <v>5937.9930000000004</v>
      </c>
      <c r="AC797" s="9">
        <f t="shared" ca="1" si="2218"/>
        <v>1650</v>
      </c>
      <c r="AD797" s="9">
        <f t="shared" ca="1" si="2218"/>
        <v>0</v>
      </c>
      <c r="AE797" s="9">
        <f t="shared" ca="1" si="2218"/>
        <v>1650</v>
      </c>
      <c r="AF797" s="9">
        <f t="shared" ca="1" si="2218"/>
        <v>2382</v>
      </c>
      <c r="AG797" s="9">
        <f t="shared" ca="1" si="2218"/>
        <v>0</v>
      </c>
      <c r="AH797" s="9">
        <f t="shared" ca="1" si="2218"/>
        <v>2382</v>
      </c>
      <c r="AI797" s="9">
        <f t="shared" ca="1" si="2218"/>
        <v>4032</v>
      </c>
      <c r="AJ797" s="11">
        <f t="shared" ca="1" si="2207"/>
        <v>197.93310000000002</v>
      </c>
      <c r="AK797" s="8">
        <f>SUM(O793)</f>
        <v>9354</v>
      </c>
      <c r="AL797" s="12">
        <f t="shared" ca="1" si="2209"/>
        <v>0.4310455420141116</v>
      </c>
      <c r="AM797" s="13">
        <f>SUM(Q793)</f>
        <v>1.5</v>
      </c>
      <c r="AN797" s="12">
        <f t="shared" ca="1" si="2211"/>
        <v>0.45267820288774335</v>
      </c>
      <c r="AO797" s="14">
        <f t="shared" ca="1" si="2212"/>
        <v>0.679017304331615</v>
      </c>
      <c r="AP797" s="13">
        <f t="shared" ref="AP797:AQ797" ca="1" si="2219">SUM(T793)</f>
        <v>193.33809787386448</v>
      </c>
      <c r="AQ797" s="13">
        <f t="shared" ca="1" si="2219"/>
        <v>6.4446032624621497</v>
      </c>
      <c r="AR797" s="9">
        <f t="shared" ca="1" si="2214"/>
        <v>134.4</v>
      </c>
      <c r="AS797" s="76"/>
      <c r="AT797" s="76"/>
    </row>
    <row r="798" spans="1:46" ht="15.75" customHeight="1" x14ac:dyDescent="0.25">
      <c r="A798" s="70"/>
      <c r="B798" s="16">
        <v>10</v>
      </c>
      <c r="C798" s="16" t="s">
        <v>37</v>
      </c>
      <c r="D798" s="17">
        <v>23</v>
      </c>
      <c r="E798" s="18">
        <f ca="1">IFERROR(__xludf.DUMMYFUNCTION("COUNT(IMPORTRANGE(""https://docs.google.com/spreadsheets/d/1IYeRjQd_D6MRqoBKNaky3aSEUloYCJc5XDnPAbdyetk/edit"",""30!d2:d31""))"),23)</f>
        <v>23</v>
      </c>
      <c r="F798" s="23">
        <f ca="1">IFERROR(__xludf.DUMMYFUNCTION("SUM(IMPORTRANGE(""https://docs.google.com/spreadsheets/d/1IYeRjQd_D6MRqoBKNaky3aSEUloYCJc5XDnPAbdyetk/edit"",""30!Q2:Q31""))"),4498.212)</f>
        <v>4498.2120000000004</v>
      </c>
      <c r="G798" s="18">
        <f ca="1">IFERROR(__xludf.DUMMYFUNCTION("(IMPORTRANGE(""https://docs.google.com/spreadsheets/d/1IYeRjQd_D6MRqoBKNaky3aSEUloYCJc5XDnPAbdyetk/edit"",""30!e38""))"),886)</f>
        <v>886</v>
      </c>
      <c r="H798" s="18">
        <f ca="1">IFERROR(__xludf.DUMMYFUNCTION("(IMPORTRANGE(""https://docs.google.com/spreadsheets/d/1IYeRjQd_D6MRqoBKNaky3aSEUloYCJc5XDnPAbdyetk/edit"",""30!e39""))"),0)</f>
        <v>0</v>
      </c>
      <c r="I798" s="18">
        <f t="shared" ca="1" si="2187"/>
        <v>886</v>
      </c>
      <c r="J798" s="18">
        <f ca="1">IFERROR(__xludf.DUMMYFUNCTION("(IMPORTRANGE(""https://docs.google.com/spreadsheets/d/1IYeRjQd_D6MRqoBKNaky3aSEUloYCJc5XDnPAbdyetk/edit"",""30!e42""))"),1993)</f>
        <v>1993</v>
      </c>
      <c r="K798" s="18">
        <f ca="1">IFERROR(__xludf.DUMMYFUNCTION("(IMPORTRANGE(""https://docs.google.com/spreadsheets/d/1IYeRjQd_D6MRqoBKNaky3aSEUloYCJc5XDnPAbdyetk/edit"",""30!e43""))"),0)</f>
        <v>0</v>
      </c>
      <c r="L798" s="18">
        <f t="shared" ca="1" si="2217"/>
        <v>1993</v>
      </c>
      <c r="M798" s="18">
        <f t="shared" ca="1" si="2189"/>
        <v>2879</v>
      </c>
      <c r="N798" s="19">
        <f t="shared" ca="1" si="2190"/>
        <v>195.57443478260871</v>
      </c>
      <c r="O798" s="16">
        <v>5887</v>
      </c>
      <c r="P798" s="20">
        <f t="shared" ca="1" si="2191"/>
        <v>0.4890436555121454</v>
      </c>
      <c r="Q798" s="21">
        <v>1.5</v>
      </c>
      <c r="R798" s="20">
        <f t="shared" ca="1" si="2192"/>
        <v>0.42668805590606512</v>
      </c>
      <c r="S798" s="22">
        <f t="shared" ca="1" si="2193"/>
        <v>0.64003208385909771</v>
      </c>
      <c r="T798" s="21">
        <f ca="1">F798/24.792</f>
        <v>181.43804453049373</v>
      </c>
      <c r="U798" s="21">
        <f t="shared" ca="1" si="2194"/>
        <v>7.8886106317605966</v>
      </c>
      <c r="V798" s="18">
        <f t="shared" ca="1" si="2195"/>
        <v>125.17391304347827</v>
      </c>
      <c r="W798" s="76"/>
      <c r="X798" s="8">
        <v>4</v>
      </c>
      <c r="Y798" s="8" t="s">
        <v>38</v>
      </c>
      <c r="Z798" s="8">
        <f t="shared" ref="Z798:AI798" si="2220">SUM(D801)</f>
        <v>23</v>
      </c>
      <c r="AA798" s="9">
        <f t="shared" ca="1" si="2220"/>
        <v>23</v>
      </c>
      <c r="AB798" s="10">
        <f t="shared" ca="1" si="2220"/>
        <v>4573.7550000000001</v>
      </c>
      <c r="AC798" s="9">
        <f t="shared" ca="1" si="2220"/>
        <v>1349</v>
      </c>
      <c r="AD798" s="9">
        <f t="shared" ca="1" si="2220"/>
        <v>43</v>
      </c>
      <c r="AE798" s="9">
        <f t="shared" ca="1" si="2220"/>
        <v>1392</v>
      </c>
      <c r="AF798" s="9">
        <f t="shared" ca="1" si="2220"/>
        <v>1765</v>
      </c>
      <c r="AG798" s="9">
        <f t="shared" ca="1" si="2220"/>
        <v>0</v>
      </c>
      <c r="AH798" s="9">
        <f t="shared" ca="1" si="2220"/>
        <v>1765</v>
      </c>
      <c r="AI798" s="9">
        <f t="shared" ca="1" si="2220"/>
        <v>3157</v>
      </c>
      <c r="AJ798" s="11">
        <f t="shared" ca="1" si="2207"/>
        <v>198.85891304347825</v>
      </c>
      <c r="AK798" s="8">
        <v>7324</v>
      </c>
      <c r="AL798" s="12">
        <f t="shared" ca="1" si="2209"/>
        <v>0.43104860731840522</v>
      </c>
      <c r="AM798" s="13">
        <f>SUM(Q801)</f>
        <v>1.5</v>
      </c>
      <c r="AN798" s="12">
        <f t="shared" ca="1" si="2211"/>
        <v>0.46016165419150495</v>
      </c>
      <c r="AO798" s="14">
        <f t="shared" ca="1" si="2212"/>
        <v>0.6902424812872574</v>
      </c>
      <c r="AP798" s="13">
        <f t="shared" ref="AP798:AQ798" ca="1" si="2221">SUM(T801)</f>
        <v>111.00000000000001</v>
      </c>
      <c r="AQ798" s="13">
        <f t="shared" ca="1" si="2221"/>
        <v>4.8260869565217401</v>
      </c>
      <c r="AR798" s="9">
        <f t="shared" ca="1" si="2214"/>
        <v>137.2608695652174</v>
      </c>
      <c r="AS798" s="76"/>
      <c r="AT798" s="76"/>
    </row>
    <row r="799" spans="1:46" ht="15.75" customHeight="1" x14ac:dyDescent="0.25">
      <c r="A799" s="70"/>
      <c r="B799" s="16">
        <v>12</v>
      </c>
      <c r="C799" s="16" t="s">
        <v>39</v>
      </c>
      <c r="D799" s="17">
        <v>21</v>
      </c>
      <c r="E799" s="18">
        <f ca="1">IFERROR(__xludf.DUMMYFUNCTION("COUNT(IMPORTRANGE(""https://docs.google.com/spreadsheets/d/1TAY2D35yAzyl8a_p5CuZehQvmatfj0b0Q8ICl8GtJBY/edit"",""30!d2:d29""))"),20)</f>
        <v>20</v>
      </c>
      <c r="F799" s="23">
        <f ca="1">IFERROR(__xludf.DUMMYFUNCTION("SUM(IMPORTRANGE(""https://docs.google.com/spreadsheets/d/1TAY2D35yAzyl8a_p5CuZehQvmatfj0b0Q8ICl8GtJBY/edit"",""30!Q2:Q29""))"),4019.038)</f>
        <v>4019.038</v>
      </c>
      <c r="G799" s="18">
        <f ca="1">IFERROR(__xludf.DUMMYFUNCTION("IMPORTRANGE(""https://docs.google.com/spreadsheets/d/1TAY2D35yAzyl8a_p5CuZehQvmatfj0b0Q8ICl8GtJBY/edit"",""30!e36"")"),725)</f>
        <v>725</v>
      </c>
      <c r="H799" s="18">
        <f ca="1">IFERROR(__xludf.DUMMYFUNCTION("(IMPORTRANGE(""https://docs.google.com/spreadsheets/d/1TAY2D35yAzyl8a_p5CuZehQvmatfj0b0Q8ICl8GtJBY/edit"",""30!e37""))"),0)</f>
        <v>0</v>
      </c>
      <c r="I799" s="18">
        <f t="shared" ca="1" si="2187"/>
        <v>725</v>
      </c>
      <c r="J799" s="18">
        <f ca="1">IFERROR(__xludf.DUMMYFUNCTION("IMPORTRANGE(""https://docs.google.com/spreadsheets/d/1TAY2D35yAzyl8a_p5CuZehQvmatfj0b0Q8ICl8GtJBY/edit"",""30!e40"")"),1721)</f>
        <v>1721</v>
      </c>
      <c r="K799" s="18">
        <f ca="1">IFERROR(__xludf.DUMMYFUNCTION("IMPORTRANGE(""https://docs.google.com/spreadsheets/d/1TAY2D35yAzyl8a_p5CuZehQvmatfj0b0Q8ICl8GtJBY/edit"",""30!e41"")"),0)</f>
        <v>0</v>
      </c>
      <c r="L799" s="18">
        <f t="shared" ca="1" si="2217"/>
        <v>1721</v>
      </c>
      <c r="M799" s="18">
        <f t="shared" ca="1" si="2189"/>
        <v>2446</v>
      </c>
      <c r="N799" s="19">
        <f t="shared" ca="1" si="2190"/>
        <v>200.95189999999999</v>
      </c>
      <c r="O799" s="16">
        <v>3569</v>
      </c>
      <c r="P799" s="20">
        <f t="shared" ca="1" si="2191"/>
        <v>0.68534603530400673</v>
      </c>
      <c r="Q799" s="21">
        <v>1.5</v>
      </c>
      <c r="R799" s="20">
        <f t="shared" ca="1" si="2192"/>
        <v>0.40573556822967749</v>
      </c>
      <c r="S799" s="22">
        <f t="shared" ca="1" si="2193"/>
        <v>0.60860335234451624</v>
      </c>
      <c r="T799" s="21">
        <f ca="1">F799/21.463</f>
        <v>187.25425150258584</v>
      </c>
      <c r="U799" s="21">
        <f t="shared" ca="1" si="2194"/>
        <v>9.3627125751292919</v>
      </c>
      <c r="V799" s="18">
        <f t="shared" ca="1" si="2195"/>
        <v>122.3</v>
      </c>
      <c r="W799" s="76"/>
      <c r="X799" s="8">
        <v>5</v>
      </c>
      <c r="Y799" s="8" t="s">
        <v>40</v>
      </c>
      <c r="Z799" s="8">
        <f t="shared" ref="Z799:AI799" si="2222">SUM(D803)</f>
        <v>23</v>
      </c>
      <c r="AA799" s="9">
        <f t="shared" ca="1" si="2222"/>
        <v>23</v>
      </c>
      <c r="AB799" s="10">
        <f t="shared" ca="1" si="2222"/>
        <v>4579.3230000000003</v>
      </c>
      <c r="AC799" s="9">
        <f t="shared" ca="1" si="2222"/>
        <v>2129</v>
      </c>
      <c r="AD799" s="9">
        <f t="shared" ca="1" si="2222"/>
        <v>21</v>
      </c>
      <c r="AE799" s="9">
        <f t="shared" ca="1" si="2222"/>
        <v>2150</v>
      </c>
      <c r="AF799" s="9">
        <f t="shared" ca="1" si="2222"/>
        <v>2621</v>
      </c>
      <c r="AG799" s="9">
        <f t="shared" ca="1" si="2222"/>
        <v>35</v>
      </c>
      <c r="AH799" s="9">
        <f t="shared" ca="1" si="2222"/>
        <v>2656</v>
      </c>
      <c r="AI799" s="9">
        <f t="shared" ca="1" si="2222"/>
        <v>4806</v>
      </c>
      <c r="AJ799" s="11">
        <f t="shared" ca="1" si="2207"/>
        <v>199.10100000000003</v>
      </c>
      <c r="AK799" s="8">
        <f t="shared" ref="AK799:AK800" si="2223">SUM(O803)</f>
        <v>8239</v>
      </c>
      <c r="AL799" s="12">
        <f t="shared" ca="1" si="2209"/>
        <v>0.58332321883723748</v>
      </c>
      <c r="AM799" s="13">
        <f t="shared" ref="AM799:AM800" si="2224">SUM(Q803)</f>
        <v>1.5</v>
      </c>
      <c r="AN799" s="12">
        <f t="shared" ca="1" si="2211"/>
        <v>0.69966674113182226</v>
      </c>
      <c r="AO799" s="14">
        <f t="shared" ca="1" si="2212"/>
        <v>1.0495001116977334</v>
      </c>
      <c r="AP799" s="13">
        <f t="shared" ref="AP799:AQ799" ca="1" si="2225">SUM(T803)</f>
        <v>161</v>
      </c>
      <c r="AQ799" s="13">
        <f t="shared" ca="1" si="2225"/>
        <v>7</v>
      </c>
      <c r="AR799" s="9">
        <f t="shared" ca="1" si="2214"/>
        <v>208.95652173913044</v>
      </c>
      <c r="AS799" s="76"/>
      <c r="AT799" s="76"/>
    </row>
    <row r="800" spans="1:46" ht="15.75" customHeight="1" x14ac:dyDescent="0.25">
      <c r="A800" s="70"/>
      <c r="B800" s="16">
        <v>12</v>
      </c>
      <c r="C800" s="16" t="s">
        <v>41</v>
      </c>
      <c r="D800" s="17">
        <v>19</v>
      </c>
      <c r="E800" s="18">
        <f ca="1">IFERROR(__xludf.DUMMYFUNCTION("COUNT(IMPORTRANGE(""https://docs.google.com/spreadsheets/d/1VAsUtLQHi7oV9NsI9EIHPnO1bcPJHeRgSbMoxSvPBME/edit"",""30!d2:d25""))"),19)</f>
        <v>19</v>
      </c>
      <c r="F800" s="23">
        <f ca="1">IFERROR(__xludf.DUMMYFUNCTION("SUM(IMPORTRANGE(""https://docs.google.com/spreadsheets/d/1VAsUtLQHi7oV9NsI9EIHPnO1bcPJHeRgSbMoxSvPBME/edit"",""30!Q2:Q25""))"),3802.26)</f>
        <v>3802.26</v>
      </c>
      <c r="G800" s="18">
        <f ca="1">IFERROR(__xludf.DUMMYFUNCTION("IMPORTRANGE(""https://docs.google.com/spreadsheets/d/1VAsUtLQHi7oV9NsI9EIHPnO1bcPJHeRgSbMoxSvPBME/edit"",""30!e32"")"),618)</f>
        <v>618</v>
      </c>
      <c r="H800" s="18">
        <f ca="1">IFERROR(__xludf.DUMMYFUNCTION("IMPORTRANGE(""https://docs.google.com/spreadsheets/d/1VAsUtLQHi7oV9NsI9EIHPnO1bcPJHeRgSbMoxSvPBME/edit"",""30!e33"")"),23)</f>
        <v>23</v>
      </c>
      <c r="I800" s="18">
        <f t="shared" ca="1" si="2187"/>
        <v>641</v>
      </c>
      <c r="J800" s="18">
        <f ca="1">IFERROR(__xludf.DUMMYFUNCTION("IMPORTRANGE(""https://docs.google.com/spreadsheets/d/1VAsUtLQHi7oV9NsI9EIHPnO1bcPJHeRgSbMoxSvPBME/edit"",""30!e36"")"),1216)</f>
        <v>1216</v>
      </c>
      <c r="K800" s="18">
        <f ca="1">IFERROR(__xludf.DUMMYFUNCTION("IMPORTRANGE(""https://docs.google.com/spreadsheets/d/1VAsUtLQHi7oV9NsI9EIHPnO1bcPJHeRgSbMoxSvPBME/edit"",""30!e37"")"),12)</f>
        <v>12</v>
      </c>
      <c r="L800" s="18">
        <f t="shared" ca="1" si="2217"/>
        <v>1228</v>
      </c>
      <c r="M800" s="18">
        <f t="shared" ca="1" si="2189"/>
        <v>1869</v>
      </c>
      <c r="N800" s="19">
        <f t="shared" ca="1" si="2190"/>
        <v>200.11894736842106</v>
      </c>
      <c r="O800" s="16">
        <v>3801</v>
      </c>
      <c r="P800" s="20">
        <f t="shared" ca="1" si="2191"/>
        <v>0.49171270718232046</v>
      </c>
      <c r="Q800" s="21">
        <v>1.5</v>
      </c>
      <c r="R800" s="20">
        <f t="shared" ca="1" si="2192"/>
        <v>0.32769984167311017</v>
      </c>
      <c r="S800" s="22">
        <f t="shared" ca="1" si="2193"/>
        <v>0.49154976250966526</v>
      </c>
      <c r="T800" s="21">
        <f ca="1">F800/29.628</f>
        <v>128.33333333333334</v>
      </c>
      <c r="U800" s="21">
        <f t="shared" ca="1" si="2194"/>
        <v>6.7543859649122808</v>
      </c>
      <c r="V800" s="18">
        <f t="shared" ca="1" si="2195"/>
        <v>98.368421052631575</v>
      </c>
      <c r="W800" s="76"/>
      <c r="X800" s="8">
        <v>6</v>
      </c>
      <c r="Y800" s="8" t="s">
        <v>42</v>
      </c>
      <c r="Z800" s="8">
        <f t="shared" ref="Z800:AI800" si="2226">SUM(D804)</f>
        <v>24</v>
      </c>
      <c r="AA800" s="9">
        <f t="shared" ca="1" si="2226"/>
        <v>23</v>
      </c>
      <c r="AB800" s="10">
        <f t="shared" ca="1" si="2226"/>
        <v>4594.04899999999</v>
      </c>
      <c r="AC800" s="9">
        <f t="shared" ca="1" si="2226"/>
        <v>2085</v>
      </c>
      <c r="AD800" s="9">
        <f t="shared" ca="1" si="2226"/>
        <v>120</v>
      </c>
      <c r="AE800" s="9">
        <f t="shared" ca="1" si="2226"/>
        <v>2205</v>
      </c>
      <c r="AF800" s="9">
        <f t="shared" ca="1" si="2226"/>
        <v>2500</v>
      </c>
      <c r="AG800" s="9">
        <f t="shared" ca="1" si="2226"/>
        <v>193</v>
      </c>
      <c r="AH800" s="9">
        <f t="shared" ca="1" si="2226"/>
        <v>2693</v>
      </c>
      <c r="AI800" s="9">
        <f t="shared" ca="1" si="2226"/>
        <v>4898</v>
      </c>
      <c r="AJ800" s="11">
        <f t="shared" ca="1" si="2207"/>
        <v>199.74126086956477</v>
      </c>
      <c r="AK800" s="8">
        <f t="shared" si="2223"/>
        <v>9877</v>
      </c>
      <c r="AL800" s="12">
        <f t="shared" ca="1" si="2209"/>
        <v>0.49589956464513518</v>
      </c>
      <c r="AM800" s="13">
        <f t="shared" si="2224"/>
        <v>1.5</v>
      </c>
      <c r="AN800" s="12">
        <f t="shared" ca="1" si="2211"/>
        <v>0.71077459847148783</v>
      </c>
      <c r="AO800" s="14">
        <f t="shared" ca="1" si="2212"/>
        <v>1.0661618977072318</v>
      </c>
      <c r="AP800" s="13">
        <f t="shared" ref="AP800:AQ800" ca="1" si="2227">SUM(T804)</f>
        <v>175.64706557063619</v>
      </c>
      <c r="AQ800" s="13">
        <f t="shared" ca="1" si="2227"/>
        <v>7.6368289378537471</v>
      </c>
      <c r="AR800" s="9">
        <f t="shared" ca="1" si="2214"/>
        <v>212.95652173913044</v>
      </c>
      <c r="AS800" s="76"/>
      <c r="AT800" s="76"/>
    </row>
    <row r="801" spans="1:46" ht="15.75" customHeight="1" x14ac:dyDescent="0.25">
      <c r="A801" s="70"/>
      <c r="B801" s="16">
        <v>13</v>
      </c>
      <c r="C801" s="16" t="s">
        <v>43</v>
      </c>
      <c r="D801" s="17">
        <v>23</v>
      </c>
      <c r="E801" s="18">
        <f ca="1">IFERROR(__xludf.DUMMYFUNCTION("COUNT(IMPORTRANGE(""https://docs.google.com/spreadsheets/d/1p9Y_DGk7-TpRBFth-ljZceOIGCjQ0ylUeUq6xqnsZ-Q/edit"",""30!d2:d31""))"),23)</f>
        <v>23</v>
      </c>
      <c r="F801" s="23">
        <f ca="1">IFERROR(__xludf.DUMMYFUNCTION("SUM(IMPORTRANGE(""https://docs.google.com/spreadsheets/d/1p9Y_DGk7-TpRBFth-ljZceOIGCjQ0ylUeUq6xqnsZ-Q/edit"",""30!Q2:Q31""))"),4573.755)</f>
        <v>4573.7550000000001</v>
      </c>
      <c r="G801" s="18">
        <f ca="1">IFERROR(__xludf.DUMMYFUNCTION("IMPORTRANGE(""https://docs.google.com/spreadsheets/d/1p9Y_DGk7-TpRBFth-ljZceOIGCjQ0ylUeUq6xqnsZ-Q/edit"",""30!e38"")"),1349)</f>
        <v>1349</v>
      </c>
      <c r="H801" s="18">
        <f ca="1">IFERROR(__xludf.DUMMYFUNCTION("IMPORTRANGE(""https://docs.google.com/spreadsheets/d/1p9Y_DGk7-TpRBFth-ljZceOIGCjQ0ylUeUq6xqnsZ-Q/edit"",""30!e39"")"),43)</f>
        <v>43</v>
      </c>
      <c r="I801" s="18">
        <f t="shared" ca="1" si="2187"/>
        <v>1392</v>
      </c>
      <c r="J801" s="18">
        <f ca="1">IFERROR(__xludf.DUMMYFUNCTION("IMPORTRANGE(""https://docs.google.com/spreadsheets/d/1p9Y_DGk7-TpRBFth-ljZceOIGCjQ0ylUeUq6xqnsZ-Q/edit"",""30!e42"")"),1765)</f>
        <v>1765</v>
      </c>
      <c r="K801" s="18">
        <f ca="1">IFERROR(__xludf.DUMMYFUNCTION("IMPORTRANGE(""https://docs.google.com/spreadsheets/d/1p9Y_DGk7-TpRBFth-ljZceOIGCjQ0ylUeUq6xqnsZ-Q/edit"",""30!e43"")"),0)</f>
        <v>0</v>
      </c>
      <c r="L801" s="18">
        <f t="shared" ca="1" si="2217"/>
        <v>1765</v>
      </c>
      <c r="M801" s="18">
        <f t="shared" ca="1" si="2189"/>
        <v>3157</v>
      </c>
      <c r="N801" s="19">
        <f t="shared" ca="1" si="2190"/>
        <v>198.85891304347825</v>
      </c>
      <c r="O801" s="16">
        <v>8345</v>
      </c>
      <c r="P801" s="20">
        <f t="shared" ca="1" si="2191"/>
        <v>0.37831036548831637</v>
      </c>
      <c r="Q801" s="21">
        <v>1.5</v>
      </c>
      <c r="R801" s="20">
        <f t="shared" ca="1" si="2192"/>
        <v>0.46016165419150495</v>
      </c>
      <c r="S801" s="22">
        <f t="shared" ca="1" si="2193"/>
        <v>0.6902424812872574</v>
      </c>
      <c r="T801" s="21">
        <f ca="1">F801/41.205</f>
        <v>111.00000000000001</v>
      </c>
      <c r="U801" s="21">
        <f t="shared" ca="1" si="2194"/>
        <v>4.8260869565217401</v>
      </c>
      <c r="V801" s="18">
        <f t="shared" ca="1" si="2195"/>
        <v>137.2608695652174</v>
      </c>
      <c r="W801" s="76"/>
      <c r="X801" s="24" t="s">
        <v>33</v>
      </c>
      <c r="Y801" s="24">
        <v>6</v>
      </c>
      <c r="Z801" s="24">
        <f t="shared" ref="Z801:AI801" si="2228">SUM(Z795:Z800)</f>
        <v>169</v>
      </c>
      <c r="AA801" s="25">
        <f t="shared" ca="1" si="2228"/>
        <v>167</v>
      </c>
      <c r="AB801" s="27">
        <f t="shared" ca="1" si="2228"/>
        <v>32957.980999999985</v>
      </c>
      <c r="AC801" s="25">
        <f t="shared" ca="1" si="2228"/>
        <v>10828</v>
      </c>
      <c r="AD801" s="25">
        <f t="shared" ca="1" si="2228"/>
        <v>282</v>
      </c>
      <c r="AE801" s="25">
        <f t="shared" ca="1" si="2228"/>
        <v>11110</v>
      </c>
      <c r="AF801" s="25">
        <f t="shared" ca="1" si="2228"/>
        <v>14857</v>
      </c>
      <c r="AG801" s="25">
        <f t="shared" ca="1" si="2228"/>
        <v>368</v>
      </c>
      <c r="AH801" s="25">
        <f t="shared" ca="1" si="2228"/>
        <v>15225</v>
      </c>
      <c r="AI801" s="25">
        <f t="shared" ca="1" si="2228"/>
        <v>26335</v>
      </c>
      <c r="AJ801" s="27">
        <f t="shared" ca="1" si="2207"/>
        <v>197.35317964071848</v>
      </c>
      <c r="AK801" s="24">
        <f>SUM(AK795:AK800)</f>
        <v>53273</v>
      </c>
      <c r="AL801" s="28">
        <f t="shared" ca="1" si="2209"/>
        <v>0.49434047265969627</v>
      </c>
      <c r="AM801" s="29">
        <v>1.5</v>
      </c>
      <c r="AN801" s="28">
        <f t="shared" ca="1" si="2211"/>
        <v>0.53269848862000002</v>
      </c>
      <c r="AO801" s="30">
        <f t="shared" ca="1" si="2212"/>
        <v>0.79904773292999998</v>
      </c>
      <c r="AP801" s="29">
        <f ca="1">SUM(AP795:AP800)</f>
        <v>1082.7566946611232</v>
      </c>
      <c r="AQ801" s="29">
        <f ca="1">AP801/AA801</f>
        <v>6.4835730219228935</v>
      </c>
      <c r="AR801" s="25">
        <f t="shared" ca="1" si="2214"/>
        <v>157.69461077844312</v>
      </c>
      <c r="AS801" s="76"/>
      <c r="AT801" s="76"/>
    </row>
    <row r="802" spans="1:46" ht="15.75" customHeight="1" x14ac:dyDescent="0.25">
      <c r="A802" s="70"/>
      <c r="B802" s="16">
        <v>14</v>
      </c>
      <c r="C802" s="16" t="s">
        <v>27</v>
      </c>
      <c r="D802" s="17">
        <v>23</v>
      </c>
      <c r="E802" s="18">
        <f ca="1">IFERROR(__xludf.DUMMYFUNCTION("COUNT(IMPORTRANGE(""https://docs.google.com/spreadsheets/d/1zJUDEKztv_fercXA0LYNw155qdzS7TJGhWLhquaW5IY/edit"",""30!d2:d31""))"),23)</f>
        <v>23</v>
      </c>
      <c r="F802" s="23">
        <f ca="1">IFERROR(__xludf.DUMMYFUNCTION("SUM(IMPORTRANGE(""https://docs.google.com/spreadsheets/d/1zJUDEKztv_fercXA0LYNw155qdzS7TJGhWLhquaW5IY/edit"",""30!Q2:Q31""))"),4272.68299999999)</f>
        <v>4272.68299999999</v>
      </c>
      <c r="G802" s="18">
        <f ca="1">IFERROR(__xludf.DUMMYFUNCTION("IMPORTRANGE(""https://docs.google.com/spreadsheets/d/1zJUDEKztv_fercXA0LYNw155qdzS7TJGhWLhquaW5IY/edit"",""30!e38"")"),1510)</f>
        <v>1510</v>
      </c>
      <c r="H802" s="18">
        <f ca="1">IFERROR(__xludf.DUMMYFUNCTION("IMPORTRANGE(""https://docs.google.com/spreadsheets/d/1zJUDEKztv_fercXA0LYNw155qdzS7TJGhWLhquaW5IY/edit"",""30!e39"")"),81)</f>
        <v>81</v>
      </c>
      <c r="I802" s="18">
        <f t="shared" ca="1" si="2187"/>
        <v>1591</v>
      </c>
      <c r="J802" s="18">
        <f ca="1">IFERROR(__xludf.DUMMYFUNCTION("IMPORTRANGE(""https://docs.google.com/spreadsheets/d/1zJUDEKztv_fercXA0LYNw155qdzS7TJGhWLhquaW5IY/edit"",""30!e42"")"),1879)</f>
        <v>1879</v>
      </c>
      <c r="K802" s="18">
        <f ca="1">IFERROR(__xludf.DUMMYFUNCTION("IMPORTRANGE(""https://docs.google.com/spreadsheets/d/1zJUDEKztv_fercXA0LYNw155qdzS7TJGhWLhquaW5IY/edit"",""30!e43"")"),88)</f>
        <v>88</v>
      </c>
      <c r="L802" s="18">
        <f t="shared" ca="1" si="2217"/>
        <v>1967</v>
      </c>
      <c r="M802" s="18">
        <f t="shared" ca="1" si="2189"/>
        <v>3558</v>
      </c>
      <c r="N802" s="19">
        <f t="shared" ca="1" si="2190"/>
        <v>185.7688260869561</v>
      </c>
      <c r="O802" s="16">
        <v>8101</v>
      </c>
      <c r="P802" s="20">
        <f t="shared" ca="1" si="2191"/>
        <v>0.43920503641525738</v>
      </c>
      <c r="Q802" s="21">
        <v>1.5</v>
      </c>
      <c r="R802" s="20">
        <f t="shared" ca="1" si="2192"/>
        <v>0.55515468851773131</v>
      </c>
      <c r="S802" s="22">
        <f t="shared" ca="1" si="2193"/>
        <v>0.83273203277659691</v>
      </c>
      <c r="T802" s="21">
        <f ca="1">F802/19.985</f>
        <v>213.79449587190342</v>
      </c>
      <c r="U802" s="21">
        <f t="shared" ca="1" si="2194"/>
        <v>9.2954128639958018</v>
      </c>
      <c r="V802" s="18">
        <f t="shared" ca="1" si="2195"/>
        <v>154.69565217391303</v>
      </c>
      <c r="W802" s="76"/>
      <c r="X802" s="97" t="s">
        <v>44</v>
      </c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9"/>
      <c r="AS802" s="76"/>
      <c r="AT802" s="76"/>
    </row>
    <row r="803" spans="1:46" ht="15.75" customHeight="1" x14ac:dyDescent="0.25">
      <c r="A803" s="70"/>
      <c r="B803" s="16">
        <v>15</v>
      </c>
      <c r="C803" s="16" t="s">
        <v>40</v>
      </c>
      <c r="D803" s="17">
        <v>23</v>
      </c>
      <c r="E803" s="18">
        <f ca="1">IFERROR(__xludf.DUMMYFUNCTION("COUNT(IMPORTRANGE(""https://docs.google.com/spreadsheets/d/15GJA66Ucb-8RQ5vWVpq5HYaWoZZFX82SCeHChBujbrI/edit"",""30!d2:d31""))"),23)</f>
        <v>23</v>
      </c>
      <c r="F803" s="23">
        <f ca="1">IFERROR(__xludf.DUMMYFUNCTION("SUM(IMPORTRANGE(""https://docs.google.com/spreadsheets/d/15GJA66Ucb-8RQ5vWVpq5HYaWoZZFX82SCeHChBujbrI/edit"",""30!Q2:Q31""))"),4579.323)</f>
        <v>4579.3230000000003</v>
      </c>
      <c r="G803" s="18">
        <f ca="1">IFERROR(__xludf.DUMMYFUNCTION("IMPORTRANGE(""https://docs.google.com/spreadsheets/d/15GJA66Ucb-8RQ5vWVpq5HYaWoZZFX82SCeHChBujbrI/edit"",""30!e38"")"),2129)</f>
        <v>2129</v>
      </c>
      <c r="H803" s="18">
        <f ca="1">IFERROR(__xludf.DUMMYFUNCTION("IMPORTRANGE(""https://docs.google.com/spreadsheets/d/15GJA66Ucb-8RQ5vWVpq5HYaWoZZFX82SCeHChBujbrI/edit"",""30!e39"")"),21)</f>
        <v>21</v>
      </c>
      <c r="I803" s="18">
        <f t="shared" ca="1" si="2187"/>
        <v>2150</v>
      </c>
      <c r="J803" s="18">
        <f ca="1">IFERROR(__xludf.DUMMYFUNCTION("IMPORTRANGE(""https://docs.google.com/spreadsheets/d/15GJA66Ucb-8RQ5vWVpq5HYaWoZZFX82SCeHChBujbrI/edit"",""30!e42"")"),2621)</f>
        <v>2621</v>
      </c>
      <c r="K803" s="18">
        <f ca="1">IFERROR(__xludf.DUMMYFUNCTION("IMPORTRANGE(""https://docs.google.com/spreadsheets/d/15GJA66Ucb-8RQ5vWVpq5HYaWoZZFX82SCeHChBujbrI/edit"",""30!e43"")"),35)</f>
        <v>35</v>
      </c>
      <c r="L803" s="18">
        <f t="shared" ca="1" si="2217"/>
        <v>2656</v>
      </c>
      <c r="M803" s="18">
        <f t="shared" ca="1" si="2189"/>
        <v>4806</v>
      </c>
      <c r="N803" s="19">
        <f t="shared" ca="1" si="2190"/>
        <v>199.10100000000003</v>
      </c>
      <c r="O803" s="16">
        <v>8239</v>
      </c>
      <c r="P803" s="20">
        <f t="shared" ca="1" si="2191"/>
        <v>0.58332321883723748</v>
      </c>
      <c r="Q803" s="21">
        <v>1.5</v>
      </c>
      <c r="R803" s="20">
        <f t="shared" ca="1" si="2192"/>
        <v>0.69966674113182226</v>
      </c>
      <c r="S803" s="22">
        <f t="shared" ca="1" si="2193"/>
        <v>1.0495001116977334</v>
      </c>
      <c r="T803" s="21">
        <f ca="1">F803/28.443</f>
        <v>161</v>
      </c>
      <c r="U803" s="21">
        <f t="shared" ca="1" si="2194"/>
        <v>7</v>
      </c>
      <c r="V803" s="18">
        <f t="shared" ca="1" si="2195"/>
        <v>208.95652173913044</v>
      </c>
      <c r="W803" s="76"/>
      <c r="X803" s="1" t="s">
        <v>2</v>
      </c>
      <c r="Y803" s="1" t="s">
        <v>3</v>
      </c>
      <c r="Z803" s="1" t="s">
        <v>4</v>
      </c>
      <c r="AA803" s="1" t="s">
        <v>5</v>
      </c>
      <c r="AB803" s="2" t="s">
        <v>6</v>
      </c>
      <c r="AC803" s="1" t="s">
        <v>7</v>
      </c>
      <c r="AD803" s="1" t="s">
        <v>8</v>
      </c>
      <c r="AE803" s="1" t="s">
        <v>9</v>
      </c>
      <c r="AF803" s="1" t="s">
        <v>10</v>
      </c>
      <c r="AG803" s="1" t="s">
        <v>11</v>
      </c>
      <c r="AH803" s="1" t="s">
        <v>12</v>
      </c>
      <c r="AI803" s="1" t="s">
        <v>13</v>
      </c>
      <c r="AJ803" s="2" t="s">
        <v>14</v>
      </c>
      <c r="AK803" s="1" t="s">
        <v>15</v>
      </c>
      <c r="AL803" s="1" t="s">
        <v>16</v>
      </c>
      <c r="AM803" s="3" t="s">
        <v>17</v>
      </c>
      <c r="AN803" s="4" t="s">
        <v>18</v>
      </c>
      <c r="AO803" s="5" t="s">
        <v>19</v>
      </c>
      <c r="AP803" s="6" t="s">
        <v>20</v>
      </c>
      <c r="AQ803" s="6" t="s">
        <v>21</v>
      </c>
      <c r="AR803" s="7" t="s">
        <v>22</v>
      </c>
      <c r="AS803" s="76"/>
      <c r="AT803" s="76"/>
    </row>
    <row r="804" spans="1:46" ht="15.75" customHeight="1" x14ac:dyDescent="0.25">
      <c r="A804" s="70"/>
      <c r="B804" s="16">
        <v>16</v>
      </c>
      <c r="C804" s="16" t="s">
        <v>42</v>
      </c>
      <c r="D804" s="17">
        <v>24</v>
      </c>
      <c r="E804" s="18">
        <f ca="1">IFERROR(__xludf.DUMMYFUNCTION("COUNT(IMPORTRANGE(""https://docs.google.com/spreadsheets/d/14Tu_jFPEdrIQ6DHYu6vRvJKQsbXr-48NY1tKy4-8JKI/edit"",""30!d2:d34""))"),23)</f>
        <v>23</v>
      </c>
      <c r="F804" s="23">
        <f ca="1">IFERROR(__xludf.DUMMYFUNCTION("SUM(IMPORTRANGE(""https://docs.google.com/spreadsheets/d/14Tu_jFPEdrIQ6DHYu6vRvJKQsbXr-48NY1tKy4-8JKI/edit"",""30!Q2:Q34""))"),4594.04899999999)</f>
        <v>4594.04899999999</v>
      </c>
      <c r="G804" s="18">
        <f ca="1">IFERROR(__xludf.DUMMYFUNCTION("IMPORTRANGE(""https://docs.google.com/spreadsheets/d/14Tu_jFPEdrIQ6DHYu6vRvJKQsbXr-48NY1tKy4-8JKI/edit"",""30!e41"")"),2085)</f>
        <v>2085</v>
      </c>
      <c r="H804" s="18">
        <f ca="1">IFERROR(__xludf.DUMMYFUNCTION("IMPORTRANGE(""https://docs.google.com/spreadsheets/d/14Tu_jFPEdrIQ6DHYu6vRvJKQsbXr-48NY1tKy4-8JKI/edit"",""30!e42"")"),120)</f>
        <v>120</v>
      </c>
      <c r="I804" s="18">
        <f t="shared" ca="1" si="2187"/>
        <v>2205</v>
      </c>
      <c r="J804" s="18">
        <f ca="1">IFERROR(__xludf.DUMMYFUNCTION("IMPORTRANGE(""https://docs.google.com/spreadsheets/d/14Tu_jFPEdrIQ6DHYu6vRvJKQsbXr-48NY1tKy4-8JKI/edit"",""30!e45"")"),2500)</f>
        <v>2500</v>
      </c>
      <c r="K804" s="18">
        <f ca="1">IFERROR(__xludf.DUMMYFUNCTION("IMPORTRANGE(""https://docs.google.com/spreadsheets/d/14Tu_jFPEdrIQ6DHYu6vRvJKQsbXr-48NY1tKy4-8JKI/edit"",""30!e46"")"),193)</f>
        <v>193</v>
      </c>
      <c r="L804" s="18">
        <f t="shared" ca="1" si="2217"/>
        <v>2693</v>
      </c>
      <c r="M804" s="18">
        <f t="shared" ca="1" si="2189"/>
        <v>4898</v>
      </c>
      <c r="N804" s="19">
        <f t="shared" ca="1" si="2190"/>
        <v>199.74126086956477</v>
      </c>
      <c r="O804" s="16">
        <v>9877</v>
      </c>
      <c r="P804" s="20">
        <f t="shared" ca="1" si="2191"/>
        <v>0.49589956464513518</v>
      </c>
      <c r="Q804" s="21">
        <v>1.5</v>
      </c>
      <c r="R804" s="20">
        <f t="shared" ca="1" si="2192"/>
        <v>0.71077459847148783</v>
      </c>
      <c r="S804" s="22">
        <f t="shared" ca="1" si="2193"/>
        <v>1.0661618977072318</v>
      </c>
      <c r="T804" s="21">
        <f ca="1">F804/26.155</f>
        <v>175.64706557063619</v>
      </c>
      <c r="U804" s="21">
        <f t="shared" ca="1" si="2194"/>
        <v>7.6368289378537471</v>
      </c>
      <c r="V804" s="18">
        <f t="shared" ca="1" si="2195"/>
        <v>212.95652173913044</v>
      </c>
      <c r="W804" s="76"/>
      <c r="X804" s="8">
        <v>1</v>
      </c>
      <c r="Y804" s="8" t="s">
        <v>26</v>
      </c>
      <c r="Z804" s="8">
        <f t="shared" ref="Z804:AI804" si="2229">SUM(D789)</f>
        <v>15</v>
      </c>
      <c r="AA804" s="9">
        <f t="shared" ca="1" si="2229"/>
        <v>15</v>
      </c>
      <c r="AB804" s="11">
        <f t="shared" ca="1" si="2229"/>
        <v>2710.4789999999998</v>
      </c>
      <c r="AC804" s="9">
        <f t="shared" ca="1" si="2229"/>
        <v>1343</v>
      </c>
      <c r="AD804" s="9">
        <f t="shared" ca="1" si="2229"/>
        <v>0</v>
      </c>
      <c r="AE804" s="9">
        <f t="shared" ca="1" si="2229"/>
        <v>1343</v>
      </c>
      <c r="AF804" s="9">
        <f t="shared" ca="1" si="2229"/>
        <v>1756</v>
      </c>
      <c r="AG804" s="9">
        <f t="shared" ca="1" si="2229"/>
        <v>50</v>
      </c>
      <c r="AH804" s="9">
        <f t="shared" ca="1" si="2229"/>
        <v>1806</v>
      </c>
      <c r="AI804" s="9">
        <f t="shared" ca="1" si="2229"/>
        <v>3149</v>
      </c>
      <c r="AJ804" s="11">
        <f t="shared" ref="AJ804:AJ810" ca="1" si="2230">AB804/AA804</f>
        <v>180.6986</v>
      </c>
      <c r="AK804" s="8">
        <f>SUM(O789)</f>
        <v>5161</v>
      </c>
      <c r="AL804" s="12">
        <f t="shared" ref="AL804:AL810" ca="1" si="2231">AI804/AK804</f>
        <v>0.61015307111024997</v>
      </c>
      <c r="AM804" s="13">
        <f>SUM(Q789)</f>
        <v>1.5</v>
      </c>
      <c r="AN804" s="12">
        <f t="shared" ref="AN804:AN810" ca="1" si="2232">AO804/AM804</f>
        <v>0.77452484720720338</v>
      </c>
      <c r="AO804" s="14">
        <f t="shared" ref="AO804:AO810" ca="1" si="2233">AI804/AB804</f>
        <v>1.161787270810805</v>
      </c>
      <c r="AP804" s="13">
        <f t="shared" ref="AP804:AQ804" ca="1" si="2234">SUM(T789)</f>
        <v>188.0318418314256</v>
      </c>
      <c r="AQ804" s="13">
        <f t="shared" ca="1" si="2234"/>
        <v>12.53545612209504</v>
      </c>
      <c r="AR804" s="9">
        <f t="shared" ref="AR804:AR810" ca="1" si="2235">AI804/AA804</f>
        <v>209.93333333333334</v>
      </c>
      <c r="AS804" s="76"/>
      <c r="AT804" s="76"/>
    </row>
    <row r="805" spans="1:46" ht="15.75" customHeight="1" x14ac:dyDescent="0.25">
      <c r="A805" s="70"/>
      <c r="B805" s="16">
        <v>17</v>
      </c>
      <c r="C805" s="16" t="s">
        <v>29</v>
      </c>
      <c r="D805" s="17">
        <v>23</v>
      </c>
      <c r="E805" s="18">
        <f ca="1">IFERROR(__xludf.DUMMYFUNCTION("COUNT(IMPORTRANGE(""https://docs.google.com/spreadsheets/d/1ja_RQYsP0p5wRrACHojay4CW1wLx0QdS5tSwp-vYQ-s/edit"",""30!d2:d31""))"),22)</f>
        <v>22</v>
      </c>
      <c r="F805" s="23">
        <f ca="1">IFERROR(__xludf.DUMMYFUNCTION("SUM(IMPORTRANGE(""https://docs.google.com/spreadsheets/d/1ja_RQYsP0p5wRrACHojay4CW1wLx0QdS5tSwp-vYQ-s/edit"",""30!Q2:Q31""))"),4291.54199999999)</f>
        <v>4291.5419999999904</v>
      </c>
      <c r="G805" s="18">
        <f ca="1">IFERROR(__xludf.DUMMYFUNCTION("IMPORTRANGE(""https://docs.google.com/spreadsheets/d/1ja_RQYsP0p5wRrACHojay4CW1wLx0QdS5tSwp-vYQ-s/edit"",""30!e38"")"),1613)</f>
        <v>1613</v>
      </c>
      <c r="H805" s="18">
        <f ca="1">IFERROR(__xludf.DUMMYFUNCTION("IMPORTRANGE(""https://docs.google.com/spreadsheets/d/1ja_RQYsP0p5wRrACHojay4CW1wLx0QdS5tSwp-vYQ-s/edit"",""30!e39"")"),0)</f>
        <v>0</v>
      </c>
      <c r="I805" s="18">
        <f t="shared" ca="1" si="2187"/>
        <v>1613</v>
      </c>
      <c r="J805" s="18">
        <f ca="1">IFERROR(__xludf.DUMMYFUNCTION("IMPORTRANGE(""https://docs.google.com/spreadsheets/d/1ja_RQYsP0p5wRrACHojay4CW1wLx0QdS5tSwp-vYQ-s/edit"",""30!e42"")"),2449)</f>
        <v>2449</v>
      </c>
      <c r="K805" s="18">
        <f ca="1">IFERROR(__xludf.DUMMYFUNCTION("IMPORTRANGE(""https://docs.google.com/spreadsheets/d/1ja_RQYsP0p5wRrACHojay4CW1wLx0QdS5tSwp-vYQ-s/edit"",""30!e43"")"),0)</f>
        <v>0</v>
      </c>
      <c r="L805" s="18">
        <f t="shared" ca="1" si="2217"/>
        <v>2449</v>
      </c>
      <c r="M805" s="18">
        <f t="shared" ca="1" si="2189"/>
        <v>4062</v>
      </c>
      <c r="N805" s="19">
        <f t="shared" ca="1" si="2190"/>
        <v>195.07009090909048</v>
      </c>
      <c r="O805" s="16">
        <v>9201</v>
      </c>
      <c r="P805" s="20">
        <f t="shared" ca="1" si="2191"/>
        <v>0.44147375285295076</v>
      </c>
      <c r="Q805" s="21">
        <v>1.5</v>
      </c>
      <c r="R805" s="20">
        <f t="shared" ca="1" si="2192"/>
        <v>0.63100862114363698</v>
      </c>
      <c r="S805" s="22">
        <f t="shared" ca="1" si="2193"/>
        <v>0.94651293171545547</v>
      </c>
      <c r="T805" s="21">
        <f ca="1">F805/26.491</f>
        <v>161.99999999999963</v>
      </c>
      <c r="U805" s="21">
        <f t="shared" ca="1" si="2194"/>
        <v>7.3636363636363464</v>
      </c>
      <c r="V805" s="18">
        <f t="shared" ca="1" si="2195"/>
        <v>184.63636363636363</v>
      </c>
      <c r="W805" s="76"/>
      <c r="X805" s="8">
        <v>2</v>
      </c>
      <c r="Y805" s="8" t="s">
        <v>32</v>
      </c>
      <c r="Z805" s="8">
        <f t="shared" ref="Z805:AI805" si="2236">SUM(D792)</f>
        <v>32</v>
      </c>
      <c r="AA805" s="9">
        <f t="shared" ca="1" si="2236"/>
        <v>32</v>
      </c>
      <c r="AB805" s="10">
        <f t="shared" ca="1" si="2236"/>
        <v>6322.4279999999899</v>
      </c>
      <c r="AC805" s="8">
        <f t="shared" ca="1" si="2236"/>
        <v>3068</v>
      </c>
      <c r="AD805" s="8">
        <f t="shared" ca="1" si="2236"/>
        <v>0</v>
      </c>
      <c r="AE805" s="9">
        <f t="shared" ca="1" si="2236"/>
        <v>3068</v>
      </c>
      <c r="AF805" s="8">
        <f t="shared" ca="1" si="2236"/>
        <v>3372</v>
      </c>
      <c r="AG805" s="8">
        <f t="shared" ca="1" si="2236"/>
        <v>0</v>
      </c>
      <c r="AH805" s="9">
        <f t="shared" ca="1" si="2236"/>
        <v>3372</v>
      </c>
      <c r="AI805" s="9">
        <f t="shared" ca="1" si="2236"/>
        <v>6440</v>
      </c>
      <c r="AJ805" s="11">
        <f t="shared" ca="1" si="2230"/>
        <v>197.57587499999968</v>
      </c>
      <c r="AK805" s="8">
        <f>SUM(O792)</f>
        <v>13817</v>
      </c>
      <c r="AL805" s="12">
        <f t="shared" ca="1" si="2231"/>
        <v>0.4660924947528407</v>
      </c>
      <c r="AM805" s="13">
        <f>SUM(Q792)</f>
        <v>1.5</v>
      </c>
      <c r="AN805" s="12">
        <f t="shared" ca="1" si="2232"/>
        <v>0.6790640135930911</v>
      </c>
      <c r="AO805" s="14">
        <f t="shared" ca="1" si="2233"/>
        <v>1.0185960203896367</v>
      </c>
      <c r="AP805" s="13">
        <f t="shared" ref="AP805:AQ805" ca="1" si="2237">SUM(T792)</f>
        <v>251.9999999999996</v>
      </c>
      <c r="AQ805" s="13">
        <f t="shared" ca="1" si="2237"/>
        <v>7.8749999999999876</v>
      </c>
      <c r="AR805" s="9">
        <f t="shared" ca="1" si="2235"/>
        <v>201.25</v>
      </c>
      <c r="AS805" s="76"/>
      <c r="AT805" s="76"/>
    </row>
    <row r="806" spans="1:46" ht="15.75" customHeight="1" x14ac:dyDescent="0.25">
      <c r="A806" s="70"/>
      <c r="B806" s="16">
        <v>18</v>
      </c>
      <c r="C806" s="16" t="s">
        <v>31</v>
      </c>
      <c r="D806" s="17">
        <v>11</v>
      </c>
      <c r="E806" s="18">
        <f ca="1">IFERROR(__xludf.DUMMYFUNCTION("COUNT(IMPORTRANGE(""https://docs.google.com/spreadsheets/d/1ObnK1oSznTOmyW9Zcd2kxExl7TOnO2MNq_0giEKc_mE/edit"",""30!d2:d16""))"),11)</f>
        <v>11</v>
      </c>
      <c r="F806" s="19">
        <f ca="1">IFERROR(__xludf.DUMMYFUNCTION("SUM(IMPORTRANGE(""https://docs.google.com/spreadsheets/d/1ObnK1oSznTOmyW9Zcd2kxExl7TOnO2MNq_0giEKc_mE/edit"",""30!Q2:Q16""))"),2086.31999999999)</f>
        <v>2086.3199999999902</v>
      </c>
      <c r="G806" s="18">
        <f ca="1">IFERROR(__xludf.DUMMYFUNCTION("IMPORTRANGE(""https://docs.google.com/spreadsheets/d/1ObnK1oSznTOmyW9Zcd2kxExl7TOnO2MNq_0giEKc_mE/edit"",""30!e23"")"),370)</f>
        <v>370</v>
      </c>
      <c r="H806" s="18">
        <f ca="1">IFERROR(__xludf.DUMMYFUNCTION("IMPORTRANGE(""https://docs.google.com/spreadsheets/d/1ObnK1oSznTOmyW9Zcd2kxExl7TOnO2MNq_0giEKc_mE/edit"",""30!e24"")"),0)</f>
        <v>0</v>
      </c>
      <c r="I806" s="18">
        <f t="shared" ca="1" si="2187"/>
        <v>370</v>
      </c>
      <c r="J806" s="18">
        <f ca="1">IFERROR(__xludf.DUMMYFUNCTION("IMPORTRANGE(""https://docs.google.com/spreadsheets/d/1ObnK1oSznTOmyW9Zcd2kxExl7TOnO2MNq_0giEKc_mE/edit"",""30!e27"")"),586)</f>
        <v>586</v>
      </c>
      <c r="K806" s="18">
        <f ca="1">IFERROR(__xludf.DUMMYFUNCTION("IMPORTRANGE(""https://docs.google.com/spreadsheets/d/1ObnK1oSznTOmyW9Zcd2kxExl7TOnO2MNq_0giEKc_mE/edit"",""30!e28"")"),8)</f>
        <v>8</v>
      </c>
      <c r="L806" s="18">
        <f t="shared" ca="1" si="2217"/>
        <v>594</v>
      </c>
      <c r="M806" s="18">
        <f t="shared" ca="1" si="2189"/>
        <v>964</v>
      </c>
      <c r="N806" s="19">
        <f t="shared" ca="1" si="2190"/>
        <v>189.66545454545366</v>
      </c>
      <c r="O806" s="16">
        <v>2717</v>
      </c>
      <c r="P806" s="20">
        <f t="shared" ca="1" si="2191"/>
        <v>0.35480309164519691</v>
      </c>
      <c r="Q806" s="21">
        <v>1.5</v>
      </c>
      <c r="R806" s="20">
        <f t="shared" ca="1" si="2192"/>
        <v>0.30803839615527323</v>
      </c>
      <c r="S806" s="22">
        <f t="shared" ca="1" si="2193"/>
        <v>0.46205759423290987</v>
      </c>
      <c r="T806" s="21">
        <f ca="1">F806/43.465</f>
        <v>47.999999999999773</v>
      </c>
      <c r="U806" s="21">
        <f t="shared" ca="1" si="2194"/>
        <v>4.3636363636363429</v>
      </c>
      <c r="V806" s="18">
        <f t="shared" ca="1" si="2195"/>
        <v>87.63636363636364</v>
      </c>
      <c r="W806" s="76"/>
      <c r="X806" s="8">
        <v>3</v>
      </c>
      <c r="Y806" s="8" t="s">
        <v>36</v>
      </c>
      <c r="Z806" s="8">
        <f t="shared" ref="Z806:AI806" si="2238">SUM(D797)</f>
        <v>23</v>
      </c>
      <c r="AA806" s="9">
        <f t="shared" ca="1" si="2238"/>
        <v>23</v>
      </c>
      <c r="AB806" s="10">
        <f t="shared" ca="1" si="2238"/>
        <v>4540.2149999999901</v>
      </c>
      <c r="AC806" s="9">
        <f t="shared" ca="1" si="2238"/>
        <v>900</v>
      </c>
      <c r="AD806" s="9">
        <f t="shared" ca="1" si="2238"/>
        <v>20</v>
      </c>
      <c r="AE806" s="9">
        <f t="shared" ca="1" si="2238"/>
        <v>920</v>
      </c>
      <c r="AF806" s="9">
        <f t="shared" ca="1" si="2238"/>
        <v>1566</v>
      </c>
      <c r="AG806" s="9">
        <f t="shared" ca="1" si="2238"/>
        <v>0</v>
      </c>
      <c r="AH806" s="9">
        <f t="shared" ca="1" si="2238"/>
        <v>1566</v>
      </c>
      <c r="AI806" s="9">
        <f t="shared" ca="1" si="2238"/>
        <v>2486</v>
      </c>
      <c r="AJ806" s="11">
        <f t="shared" ca="1" si="2230"/>
        <v>197.40065217391262</v>
      </c>
      <c r="AK806" s="8">
        <f t="shared" ref="AK806:AK809" si="2239">SUM(O797)</f>
        <v>4796</v>
      </c>
      <c r="AL806" s="12">
        <f t="shared" ca="1" si="2231"/>
        <v>0.51834862385321101</v>
      </c>
      <c r="AM806" s="13">
        <f t="shared" ref="AM806:AM809" si="2240">SUM(Q797)</f>
        <v>1.5</v>
      </c>
      <c r="AN806" s="12">
        <f t="shared" ca="1" si="2232"/>
        <v>0.36503410814979836</v>
      </c>
      <c r="AO806" s="14">
        <f t="shared" ca="1" si="2233"/>
        <v>0.54755116222469757</v>
      </c>
      <c r="AP806" s="13">
        <f t="shared" ref="AP806:AQ806" ca="1" si="2241">SUM(T797)</f>
        <v>121.35069759982868</v>
      </c>
      <c r="AQ806" s="13">
        <f t="shared" ca="1" si="2241"/>
        <v>5.2761172869490727</v>
      </c>
      <c r="AR806" s="9">
        <f t="shared" ca="1" si="2235"/>
        <v>108.08695652173913</v>
      </c>
      <c r="AS806" s="76"/>
      <c r="AT806" s="76"/>
    </row>
    <row r="807" spans="1:46" ht="15.75" customHeight="1" x14ac:dyDescent="0.2">
      <c r="A807" s="70"/>
      <c r="B807" s="98" t="s">
        <v>33</v>
      </c>
      <c r="C807" s="98">
        <v>18</v>
      </c>
      <c r="D807" s="98">
        <f t="shared" ref="D807:M807" si="2242">SUM(D789:D806)</f>
        <v>446</v>
      </c>
      <c r="E807" s="74">
        <f t="shared" ca="1" si="2242"/>
        <v>442</v>
      </c>
      <c r="F807" s="99">
        <f t="shared" ca="1" si="2242"/>
        <v>86299.571999999913</v>
      </c>
      <c r="G807" s="74">
        <f t="shared" ca="1" si="2242"/>
        <v>25232</v>
      </c>
      <c r="H807" s="74">
        <f t="shared" ca="1" si="2242"/>
        <v>449</v>
      </c>
      <c r="I807" s="74">
        <f t="shared" ca="1" si="2242"/>
        <v>25681</v>
      </c>
      <c r="J807" s="74">
        <f t="shared" ca="1" si="2242"/>
        <v>36953</v>
      </c>
      <c r="K807" s="74">
        <f t="shared" ca="1" si="2242"/>
        <v>724</v>
      </c>
      <c r="L807" s="74">
        <f t="shared" ca="1" si="2242"/>
        <v>37677</v>
      </c>
      <c r="M807" s="74">
        <f t="shared" ca="1" si="2242"/>
        <v>63358</v>
      </c>
      <c r="N807" s="99">
        <f t="shared" ca="1" si="2190"/>
        <v>195.24790045248849</v>
      </c>
      <c r="O807" s="98">
        <f>SUM(O789:O806)</f>
        <v>126399</v>
      </c>
      <c r="P807" s="69">
        <f t="shared" ca="1" si="2191"/>
        <v>0.50125396561681657</v>
      </c>
      <c r="Q807" s="72">
        <v>1.5</v>
      </c>
      <c r="R807" s="69">
        <f t="shared" ca="1" si="2192"/>
        <v>0.48944236556198345</v>
      </c>
      <c r="S807" s="73">
        <f t="shared" ca="1" si="2193"/>
        <v>0.73416354834297515</v>
      </c>
      <c r="T807" s="72">
        <f ca="1">SUM(T789:T806)</f>
        <v>3174.7194330172351</v>
      </c>
      <c r="U807" s="72">
        <f t="shared" ca="1" si="2194"/>
        <v>7.1826231516227041</v>
      </c>
      <c r="V807" s="74">
        <f t="shared" ca="1" si="2195"/>
        <v>143.34389140271495</v>
      </c>
      <c r="W807" s="76"/>
      <c r="X807" s="8">
        <v>4</v>
      </c>
      <c r="Y807" s="8" t="s">
        <v>37</v>
      </c>
      <c r="Z807" s="8">
        <f t="shared" ref="Z807:AI807" si="2243">SUM(D798)</f>
        <v>23</v>
      </c>
      <c r="AA807" s="9">
        <f t="shared" ca="1" si="2243"/>
        <v>23</v>
      </c>
      <c r="AB807" s="10">
        <f t="shared" ca="1" si="2243"/>
        <v>4498.2120000000004</v>
      </c>
      <c r="AC807" s="9">
        <f t="shared" ca="1" si="2243"/>
        <v>886</v>
      </c>
      <c r="AD807" s="9">
        <f t="shared" ca="1" si="2243"/>
        <v>0</v>
      </c>
      <c r="AE807" s="9">
        <f t="shared" ca="1" si="2243"/>
        <v>886</v>
      </c>
      <c r="AF807" s="9">
        <f t="shared" ca="1" si="2243"/>
        <v>1993</v>
      </c>
      <c r="AG807" s="9">
        <f t="shared" ca="1" si="2243"/>
        <v>0</v>
      </c>
      <c r="AH807" s="9">
        <f t="shared" ca="1" si="2243"/>
        <v>1993</v>
      </c>
      <c r="AI807" s="9">
        <f t="shared" ca="1" si="2243"/>
        <v>2879</v>
      </c>
      <c r="AJ807" s="11">
        <f t="shared" ca="1" si="2230"/>
        <v>195.57443478260871</v>
      </c>
      <c r="AK807" s="8">
        <f t="shared" si="2239"/>
        <v>5887</v>
      </c>
      <c r="AL807" s="12">
        <f t="shared" ca="1" si="2231"/>
        <v>0.4890436555121454</v>
      </c>
      <c r="AM807" s="13">
        <f t="shared" si="2240"/>
        <v>1.5</v>
      </c>
      <c r="AN807" s="12">
        <f t="shared" ca="1" si="2232"/>
        <v>0.42668805590606512</v>
      </c>
      <c r="AO807" s="14">
        <f t="shared" ca="1" si="2233"/>
        <v>0.64003208385909771</v>
      </c>
      <c r="AP807" s="13">
        <f t="shared" ref="AP807:AQ807" ca="1" si="2244">SUM(T798)</f>
        <v>181.43804453049373</v>
      </c>
      <c r="AQ807" s="13">
        <f t="shared" ca="1" si="2244"/>
        <v>7.8886106317605966</v>
      </c>
      <c r="AR807" s="9">
        <f t="shared" ca="1" si="2235"/>
        <v>125.17391304347827</v>
      </c>
      <c r="AS807" s="76"/>
      <c r="AT807" s="76"/>
    </row>
    <row r="808" spans="1:46" ht="15.75" customHeight="1" x14ac:dyDescent="0.2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6"/>
      <c r="X808" s="8">
        <v>5</v>
      </c>
      <c r="Y808" s="8" t="s">
        <v>39</v>
      </c>
      <c r="Z808" s="8">
        <f t="shared" ref="Z808:AI808" si="2245">SUM(D799)</f>
        <v>21</v>
      </c>
      <c r="AA808" s="9">
        <f t="shared" ca="1" si="2245"/>
        <v>20</v>
      </c>
      <c r="AB808" s="10">
        <f t="shared" ca="1" si="2245"/>
        <v>4019.038</v>
      </c>
      <c r="AC808" s="9">
        <f t="shared" ca="1" si="2245"/>
        <v>725</v>
      </c>
      <c r="AD808" s="9">
        <f t="shared" ca="1" si="2245"/>
        <v>0</v>
      </c>
      <c r="AE808" s="9">
        <f t="shared" ca="1" si="2245"/>
        <v>725</v>
      </c>
      <c r="AF808" s="9">
        <f t="shared" ca="1" si="2245"/>
        <v>1721</v>
      </c>
      <c r="AG808" s="9">
        <f t="shared" ca="1" si="2245"/>
        <v>0</v>
      </c>
      <c r="AH808" s="9">
        <f t="shared" ca="1" si="2245"/>
        <v>1721</v>
      </c>
      <c r="AI808" s="9">
        <f t="shared" ca="1" si="2245"/>
        <v>2446</v>
      </c>
      <c r="AJ808" s="11">
        <f t="shared" ca="1" si="2230"/>
        <v>200.95189999999999</v>
      </c>
      <c r="AK808" s="8">
        <f t="shared" si="2239"/>
        <v>3569</v>
      </c>
      <c r="AL808" s="12">
        <f t="shared" ca="1" si="2231"/>
        <v>0.68534603530400673</v>
      </c>
      <c r="AM808" s="13">
        <f t="shared" si="2240"/>
        <v>1.5</v>
      </c>
      <c r="AN808" s="12">
        <f t="shared" ca="1" si="2232"/>
        <v>0.40573556822967749</v>
      </c>
      <c r="AO808" s="14">
        <f t="shared" ca="1" si="2233"/>
        <v>0.60860335234451624</v>
      </c>
      <c r="AP808" s="13">
        <f t="shared" ref="AP808:AQ808" ca="1" si="2246">SUM(T799)</f>
        <v>187.25425150258584</v>
      </c>
      <c r="AQ808" s="13">
        <f t="shared" ca="1" si="2246"/>
        <v>9.3627125751292919</v>
      </c>
      <c r="AR808" s="9">
        <f t="shared" ca="1" si="2235"/>
        <v>122.3</v>
      </c>
      <c r="AS808" s="76"/>
      <c r="AT808" s="76"/>
    </row>
    <row r="809" spans="1:46" ht="15.75" customHeight="1" x14ac:dyDescent="0.2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6"/>
      <c r="X809" s="8">
        <v>6</v>
      </c>
      <c r="Y809" s="8" t="s">
        <v>41</v>
      </c>
      <c r="Z809" s="8">
        <f t="shared" ref="Z809:AI809" si="2247">SUM(D800)</f>
        <v>19</v>
      </c>
      <c r="AA809" s="9">
        <f t="shared" ca="1" si="2247"/>
        <v>19</v>
      </c>
      <c r="AB809" s="10">
        <f t="shared" ca="1" si="2247"/>
        <v>3802.26</v>
      </c>
      <c r="AC809" s="9">
        <f t="shared" ca="1" si="2247"/>
        <v>618</v>
      </c>
      <c r="AD809" s="9">
        <f t="shared" ca="1" si="2247"/>
        <v>23</v>
      </c>
      <c r="AE809" s="9">
        <f t="shared" ca="1" si="2247"/>
        <v>641</v>
      </c>
      <c r="AF809" s="9">
        <f t="shared" ca="1" si="2247"/>
        <v>1216</v>
      </c>
      <c r="AG809" s="9">
        <f t="shared" ca="1" si="2247"/>
        <v>12</v>
      </c>
      <c r="AH809" s="9">
        <f t="shared" ca="1" si="2247"/>
        <v>1228</v>
      </c>
      <c r="AI809" s="9">
        <f t="shared" ca="1" si="2247"/>
        <v>1869</v>
      </c>
      <c r="AJ809" s="11">
        <f t="shared" ca="1" si="2230"/>
        <v>200.11894736842106</v>
      </c>
      <c r="AK809" s="8">
        <f t="shared" si="2239"/>
        <v>3801</v>
      </c>
      <c r="AL809" s="12">
        <f t="shared" ca="1" si="2231"/>
        <v>0.49171270718232046</v>
      </c>
      <c r="AM809" s="13">
        <f t="shared" si="2240"/>
        <v>1.5</v>
      </c>
      <c r="AN809" s="12">
        <f t="shared" ca="1" si="2232"/>
        <v>0.32769984167311017</v>
      </c>
      <c r="AO809" s="14">
        <f t="shared" ca="1" si="2233"/>
        <v>0.49154976250966526</v>
      </c>
      <c r="AP809" s="13">
        <f t="shared" ref="AP809:AQ809" ca="1" si="2248">SUM(T800)</f>
        <v>128.33333333333334</v>
      </c>
      <c r="AQ809" s="13">
        <f t="shared" ca="1" si="2248"/>
        <v>6.7543859649122808</v>
      </c>
      <c r="AR809" s="9">
        <f t="shared" ca="1" si="2235"/>
        <v>98.368421052631575</v>
      </c>
      <c r="AS809" s="76"/>
      <c r="AT809" s="76"/>
    </row>
    <row r="810" spans="1:46" ht="15.75" customHeight="1" x14ac:dyDescent="0.25">
      <c r="A810" s="110" t="s">
        <v>45</v>
      </c>
      <c r="B810" s="76"/>
      <c r="C810" s="76"/>
      <c r="D810" s="75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24" t="s">
        <v>33</v>
      </c>
      <c r="Y810" s="24">
        <v>6</v>
      </c>
      <c r="Z810" s="24">
        <f t="shared" ref="Z810:AI810" si="2249">SUM(Z804:Z809)</f>
        <v>133</v>
      </c>
      <c r="AA810" s="25">
        <f t="shared" ca="1" si="2249"/>
        <v>132</v>
      </c>
      <c r="AB810" s="27">
        <f t="shared" ca="1" si="2249"/>
        <v>25892.631999999983</v>
      </c>
      <c r="AC810" s="25">
        <f t="shared" ca="1" si="2249"/>
        <v>7540</v>
      </c>
      <c r="AD810" s="25">
        <f t="shared" ca="1" si="2249"/>
        <v>43</v>
      </c>
      <c r="AE810" s="25">
        <f t="shared" ca="1" si="2249"/>
        <v>7583</v>
      </c>
      <c r="AF810" s="25">
        <f t="shared" ca="1" si="2249"/>
        <v>11624</v>
      </c>
      <c r="AG810" s="25">
        <f t="shared" ca="1" si="2249"/>
        <v>62</v>
      </c>
      <c r="AH810" s="25">
        <f t="shared" ca="1" si="2249"/>
        <v>11686</v>
      </c>
      <c r="AI810" s="25">
        <f t="shared" ca="1" si="2249"/>
        <v>19269</v>
      </c>
      <c r="AJ810" s="27">
        <f t="shared" ca="1" si="2230"/>
        <v>196.15630303030289</v>
      </c>
      <c r="AK810" s="24">
        <f>SUM(AK804:AK809)</f>
        <v>37031</v>
      </c>
      <c r="AL810" s="28">
        <f t="shared" ca="1" si="2231"/>
        <v>0.52034781669412111</v>
      </c>
      <c r="AM810" s="29">
        <v>1.5</v>
      </c>
      <c r="AN810" s="28">
        <f t="shared" ca="1" si="2232"/>
        <v>0.49612569320878652</v>
      </c>
      <c r="AO810" s="30">
        <f t="shared" ca="1" si="2233"/>
        <v>0.74418853981317978</v>
      </c>
      <c r="AP810" s="29">
        <f ca="1">SUM(AP804:AP809)</f>
        <v>1058.4081687976668</v>
      </c>
      <c r="AQ810" s="29">
        <f ca="1">AP810/AA810</f>
        <v>8.0182437030126277</v>
      </c>
      <c r="AR810" s="25">
        <f t="shared" ca="1" si="2235"/>
        <v>145.97727272727272</v>
      </c>
      <c r="AS810" s="76"/>
      <c r="AT810" s="76"/>
    </row>
    <row r="811" spans="1:46" ht="15.75" customHeight="1" x14ac:dyDescent="0.2">
      <c r="A811" s="110" t="s">
        <v>45</v>
      </c>
      <c r="B811" s="76"/>
      <c r="C811" s="76"/>
      <c r="D811" s="75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7" t="s">
        <v>1</v>
      </c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9"/>
      <c r="AS811" s="76"/>
      <c r="AT811" s="76"/>
    </row>
    <row r="812" spans="1:46" ht="15.75" customHeight="1" x14ac:dyDescent="0.2">
      <c r="A812" s="109">
        <v>46265</v>
      </c>
      <c r="B812" s="80" t="s">
        <v>2</v>
      </c>
      <c r="C812" s="80" t="s">
        <v>3</v>
      </c>
      <c r="D812" s="80" t="s">
        <v>4</v>
      </c>
      <c r="E812" s="80" t="s">
        <v>5</v>
      </c>
      <c r="F812" s="81" t="s">
        <v>6</v>
      </c>
      <c r="G812" s="80" t="s">
        <v>7</v>
      </c>
      <c r="H812" s="80" t="s">
        <v>8</v>
      </c>
      <c r="I812" s="80" t="s">
        <v>9</v>
      </c>
      <c r="J812" s="80" t="s">
        <v>10</v>
      </c>
      <c r="K812" s="80" t="s">
        <v>11</v>
      </c>
      <c r="L812" s="80" t="s">
        <v>12</v>
      </c>
      <c r="M812" s="80" t="s">
        <v>13</v>
      </c>
      <c r="N812" s="81" t="s">
        <v>14</v>
      </c>
      <c r="O812" s="80" t="s">
        <v>15</v>
      </c>
      <c r="P812" s="80" t="s">
        <v>16</v>
      </c>
      <c r="Q812" s="80" t="s">
        <v>17</v>
      </c>
      <c r="R812" s="80" t="s">
        <v>18</v>
      </c>
      <c r="S812" s="106" t="s">
        <v>19</v>
      </c>
      <c r="T812" s="107" t="s">
        <v>20</v>
      </c>
      <c r="U812" s="107" t="s">
        <v>21</v>
      </c>
      <c r="V812" s="105" t="s">
        <v>22</v>
      </c>
      <c r="W812" s="76"/>
      <c r="X812" s="1" t="s">
        <v>2</v>
      </c>
      <c r="Y812" s="1" t="s">
        <v>3</v>
      </c>
      <c r="Z812" s="1" t="s">
        <v>4</v>
      </c>
      <c r="AA812" s="1" t="s">
        <v>5</v>
      </c>
      <c r="AB812" s="2" t="s">
        <v>6</v>
      </c>
      <c r="AC812" s="1" t="s">
        <v>7</v>
      </c>
      <c r="AD812" s="1" t="s">
        <v>8</v>
      </c>
      <c r="AE812" s="1" t="s">
        <v>9</v>
      </c>
      <c r="AF812" s="1" t="s">
        <v>10</v>
      </c>
      <c r="AG812" s="1" t="s">
        <v>11</v>
      </c>
      <c r="AH812" s="1" t="s">
        <v>12</v>
      </c>
      <c r="AI812" s="1" t="s">
        <v>13</v>
      </c>
      <c r="AJ812" s="2" t="s">
        <v>14</v>
      </c>
      <c r="AK812" s="1" t="s">
        <v>15</v>
      </c>
      <c r="AL812" s="1" t="s">
        <v>16</v>
      </c>
      <c r="AM812" s="3" t="s">
        <v>17</v>
      </c>
      <c r="AN812" s="4" t="s">
        <v>18</v>
      </c>
      <c r="AO812" s="5" t="s">
        <v>19</v>
      </c>
      <c r="AP812" s="6" t="s">
        <v>20</v>
      </c>
      <c r="AQ812" s="6" t="s">
        <v>21</v>
      </c>
      <c r="AR812" s="7" t="s">
        <v>22</v>
      </c>
      <c r="AS812" s="76"/>
      <c r="AT812" s="76"/>
    </row>
    <row r="813" spans="1:46" ht="15.75" customHeight="1" x14ac:dyDescent="0.2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6"/>
      <c r="X813" s="8">
        <v>1</v>
      </c>
      <c r="Y813" s="8" t="s">
        <v>23</v>
      </c>
      <c r="Z813" s="8">
        <f t="shared" ref="Z813:AI813" si="2250">SUM(D821)</f>
        <v>35</v>
      </c>
      <c r="AA813" s="9">
        <f t="shared" ca="1" si="2250"/>
        <v>34</v>
      </c>
      <c r="AB813" s="10">
        <f t="shared" ca="1" si="2250"/>
        <v>6680.5199999999904</v>
      </c>
      <c r="AC813" s="9">
        <f t="shared" ca="1" si="2250"/>
        <v>1856</v>
      </c>
      <c r="AD813" s="9">
        <f t="shared" ca="1" si="2250"/>
        <v>0</v>
      </c>
      <c r="AE813" s="9">
        <f t="shared" ca="1" si="2250"/>
        <v>1856</v>
      </c>
      <c r="AF813" s="9">
        <f t="shared" ca="1" si="2250"/>
        <v>2955</v>
      </c>
      <c r="AG813" s="9">
        <f t="shared" ca="1" si="2250"/>
        <v>0</v>
      </c>
      <c r="AH813" s="9">
        <f t="shared" ca="1" si="2250"/>
        <v>2955</v>
      </c>
      <c r="AI813" s="9">
        <f t="shared" ca="1" si="2250"/>
        <v>4811</v>
      </c>
      <c r="AJ813" s="11">
        <f t="shared" ref="AJ813:AJ815" ca="1" si="2251">AB813/AA813</f>
        <v>196.48588235294091</v>
      </c>
      <c r="AK813" s="8">
        <f>SUM(O821)</f>
        <v>6853</v>
      </c>
      <c r="AL813" s="12">
        <f t="shared" ref="AL813:AL819" ca="1" si="2252">AI813/AK813</f>
        <v>0.70202830876988176</v>
      </c>
      <c r="AM813" s="13">
        <f t="shared" ref="AM813:AM815" si="2253">SUM(Q821)</f>
        <v>1.5</v>
      </c>
      <c r="AN813" s="12">
        <f t="shared" ref="AN813:AN819" ca="1" si="2254">AO813/AM813</f>
        <v>0.48010234732226503</v>
      </c>
      <c r="AO813" s="14">
        <f t="shared" ref="AO813:AO819" ca="1" si="2255">AI813/AB813</f>
        <v>0.72015352098339758</v>
      </c>
      <c r="AP813" s="13">
        <f t="shared" ref="AP813:AQ813" ca="1" si="2256">SUM(T821)</f>
        <v>197.99999999999972</v>
      </c>
      <c r="AQ813" s="13">
        <f t="shared" ca="1" si="2256"/>
        <v>5.8235294117646976</v>
      </c>
      <c r="AR813" s="9">
        <f t="shared" ref="AR813:AR819" ca="1" si="2257">AI813/AA813</f>
        <v>141.5</v>
      </c>
      <c r="AS813" s="76"/>
      <c r="AT813" s="76"/>
    </row>
    <row r="814" spans="1:46" ht="15.75" customHeight="1" x14ac:dyDescent="0.2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6"/>
      <c r="X814" s="8">
        <v>2</v>
      </c>
      <c r="Y814" s="8" t="s">
        <v>24</v>
      </c>
      <c r="Z814" s="8">
        <f t="shared" ref="Z814:AI814" si="2258">SUM(D822)</f>
        <v>44</v>
      </c>
      <c r="AA814" s="9">
        <f t="shared" ca="1" si="2258"/>
        <v>42</v>
      </c>
      <c r="AB814" s="10">
        <f t="shared" ca="1" si="2258"/>
        <v>8287.31699999999</v>
      </c>
      <c r="AC814" s="9">
        <f t="shared" ca="1" si="2258"/>
        <v>943</v>
      </c>
      <c r="AD814" s="9">
        <f t="shared" ca="1" si="2258"/>
        <v>0</v>
      </c>
      <c r="AE814" s="9">
        <f t="shared" ca="1" si="2258"/>
        <v>943</v>
      </c>
      <c r="AF814" s="9">
        <f t="shared" ca="1" si="2258"/>
        <v>1648</v>
      </c>
      <c r="AG814" s="9">
        <f t="shared" ca="1" si="2258"/>
        <v>0</v>
      </c>
      <c r="AH814" s="9">
        <f t="shared" ca="1" si="2258"/>
        <v>1648</v>
      </c>
      <c r="AI814" s="9">
        <f t="shared" ca="1" si="2258"/>
        <v>2591</v>
      </c>
      <c r="AJ814" s="11">
        <f t="shared" ca="1" si="2251"/>
        <v>197.31707142857118</v>
      </c>
      <c r="AK814" s="8">
        <v>1580</v>
      </c>
      <c r="AL814" s="15">
        <f t="shared" ca="1" si="2252"/>
        <v>1.6398734177215191</v>
      </c>
      <c r="AM814" s="13">
        <f t="shared" si="2253"/>
        <v>1.5</v>
      </c>
      <c r="AN814" s="12">
        <f t="shared" ca="1" si="2254"/>
        <v>0.20843094735405143</v>
      </c>
      <c r="AO814" s="14">
        <f t="shared" ca="1" si="2255"/>
        <v>0.31264642103107715</v>
      </c>
      <c r="AP814" s="13">
        <f t="shared" ref="AP814:AQ814" ca="1" si="2259">SUM(T822)</f>
        <v>309.17056519306061</v>
      </c>
      <c r="AQ814" s="13">
        <f t="shared" ca="1" si="2259"/>
        <v>7.3612039331681096</v>
      </c>
      <c r="AR814" s="9">
        <f t="shared" ca="1" si="2257"/>
        <v>61.69047619047619</v>
      </c>
      <c r="AS814" s="76"/>
      <c r="AT814" s="76"/>
    </row>
    <row r="815" spans="1:46" ht="15.75" customHeight="1" x14ac:dyDescent="0.2">
      <c r="A815" s="70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6"/>
      <c r="X815" s="8">
        <v>3</v>
      </c>
      <c r="Y815" s="8" t="s">
        <v>25</v>
      </c>
      <c r="Z815" s="8">
        <f t="shared" ref="Z815:AI815" si="2260">SUM(D823)</f>
        <v>32</v>
      </c>
      <c r="AA815" s="9">
        <f t="shared" ca="1" si="2260"/>
        <v>30</v>
      </c>
      <c r="AB815" s="10">
        <f t="shared" ca="1" si="2260"/>
        <v>5974.5720000000001</v>
      </c>
      <c r="AC815" s="9">
        <f t="shared" ca="1" si="2260"/>
        <v>2171</v>
      </c>
      <c r="AD815" s="9">
        <f t="shared" ca="1" si="2260"/>
        <v>442</v>
      </c>
      <c r="AE815" s="9">
        <f t="shared" ca="1" si="2260"/>
        <v>2613</v>
      </c>
      <c r="AF815" s="9">
        <f t="shared" ca="1" si="2260"/>
        <v>3198</v>
      </c>
      <c r="AG815" s="9">
        <f t="shared" ca="1" si="2260"/>
        <v>353</v>
      </c>
      <c r="AH815" s="9">
        <f t="shared" ca="1" si="2260"/>
        <v>3551</v>
      </c>
      <c r="AI815" s="9">
        <f t="shared" ca="1" si="2260"/>
        <v>6164</v>
      </c>
      <c r="AJ815" s="11">
        <f t="shared" ca="1" si="2251"/>
        <v>199.1524</v>
      </c>
      <c r="AK815" s="8">
        <f>SUM(O823)</f>
        <v>6622</v>
      </c>
      <c r="AL815" s="12">
        <f t="shared" ca="1" si="2252"/>
        <v>0.93083660525520995</v>
      </c>
      <c r="AM815" s="13">
        <f t="shared" si="2253"/>
        <v>1.5</v>
      </c>
      <c r="AN815" s="12">
        <f t="shared" ca="1" si="2254"/>
        <v>0.68780380139921871</v>
      </c>
      <c r="AO815" s="14">
        <f t="shared" ca="1" si="2255"/>
        <v>1.0317057020988281</v>
      </c>
      <c r="AP815" s="13">
        <f t="shared" ref="AP815:AQ815" ca="1" si="2261">SUM(T823)</f>
        <v>250.61124161073826</v>
      </c>
      <c r="AQ815" s="13">
        <f t="shared" ca="1" si="2261"/>
        <v>8.3537080536912747</v>
      </c>
      <c r="AR815" s="9">
        <f t="shared" ca="1" si="2257"/>
        <v>205.46666666666667</v>
      </c>
      <c r="AS815" s="76"/>
      <c r="AT815" s="76"/>
    </row>
    <row r="816" spans="1:46" ht="15.75" customHeight="1" x14ac:dyDescent="0.25">
      <c r="A816" s="70"/>
      <c r="B816" s="16">
        <v>1</v>
      </c>
      <c r="C816" s="16" t="s">
        <v>26</v>
      </c>
      <c r="D816" s="17">
        <v>20</v>
      </c>
      <c r="E816" s="18">
        <f ca="1">IFERROR(__xludf.DUMMYFUNCTION("COUNT(IMPORTRANGE(""https://docs.google.com/spreadsheets/d/1iVFEBQOAONhqDIMRa2hQ7WkCQv0dJWSAmc0AzfvSCMg/edit"",""31!d2:d21""))"),20)</f>
        <v>20</v>
      </c>
      <c r="F816" s="19">
        <f ca="1">IFERROR(__xludf.DUMMYFUNCTION("SUM(IMPORTRANGE(""https://docs.google.com/spreadsheets/d/1iVFEBQOAONhqDIMRa2hQ7WkCQv0dJWSAmc0AzfvSCMg/edit"",""31!Q2:Q21""))"),3993.567)</f>
        <v>3993.567</v>
      </c>
      <c r="G816" s="18">
        <f ca="1">IFERROR(__xludf.DUMMYFUNCTION("IMPORTRANGE(""https://docs.google.com/spreadsheets/d/1iVFEBQOAONhqDIMRa2hQ7WkCQv0dJWSAmc0AzfvSCMg/edit"",""31!e28"")"),2053)</f>
        <v>2053</v>
      </c>
      <c r="H816" s="18">
        <f ca="1">IFERROR(__xludf.DUMMYFUNCTION("IMPORTRANGE(""https://docs.google.com/spreadsheets/d/1iVFEBQOAONhqDIMRa2hQ7WkCQv0dJWSAmc0AzfvSCMg/edit"",""31!e29"")"),0)</f>
        <v>0</v>
      </c>
      <c r="I816" s="18">
        <f t="shared" ref="I816:I833" ca="1" si="2262">SUM(G816:H816)</f>
        <v>2053</v>
      </c>
      <c r="J816" s="18">
        <f ca="1">IFERROR(__xludf.DUMMYFUNCTION("IMPORTRANGE(""https://docs.google.com/spreadsheets/d/1iVFEBQOAONhqDIMRa2hQ7WkCQv0dJWSAmc0AzfvSCMg/edit"",""31!e32"")"),3148)</f>
        <v>3148</v>
      </c>
      <c r="K816" s="18">
        <f ca="1">IFERROR(__xludf.DUMMYFUNCTION("IMPORTRANGE(""https://docs.google.com/spreadsheets/d/1iVFEBQOAONhqDIMRa2hQ7WkCQv0dJWSAmc0AzfvSCMg/edit"",""31!e33"")"),0)</f>
        <v>0</v>
      </c>
      <c r="L816" s="18">
        <f t="shared" ref="L816:L822" ca="1" si="2263">SUM(J816:K816)</f>
        <v>3148</v>
      </c>
      <c r="M816" s="18">
        <f t="shared" ref="M816:M833" ca="1" si="2264">SUM(I816+L816)</f>
        <v>5201</v>
      </c>
      <c r="N816" s="19">
        <f t="shared" ref="N816:N834" ca="1" si="2265">F816/E816</f>
        <v>199.67834999999999</v>
      </c>
      <c r="O816" s="16">
        <v>5161</v>
      </c>
      <c r="P816" s="33">
        <f t="shared" ref="P816:P834" ca="1" si="2266">M816/O816</f>
        <v>1.0077504359620229</v>
      </c>
      <c r="Q816" s="21">
        <v>1.5</v>
      </c>
      <c r="R816" s="20">
        <f t="shared" ref="R816:R834" ca="1" si="2267">S816/Q816</f>
        <v>0.86822966368996279</v>
      </c>
      <c r="S816" s="22">
        <f t="shared" ref="S816:S834" ca="1" si="2268">M816/F816</f>
        <v>1.3023444955349441</v>
      </c>
      <c r="T816" s="21">
        <f ca="1">F816/14.415</f>
        <v>277.04245577523415</v>
      </c>
      <c r="U816" s="21">
        <f t="shared" ref="U816:U834" ca="1" si="2269">T816/E816</f>
        <v>13.852122788761708</v>
      </c>
      <c r="V816" s="18">
        <f t="shared" ref="V816:V834" ca="1" si="2270">M816/E816</f>
        <v>260.05</v>
      </c>
      <c r="W816" s="76"/>
      <c r="X816" s="8">
        <v>4</v>
      </c>
      <c r="Y816" s="8" t="s">
        <v>27</v>
      </c>
      <c r="Z816" s="8">
        <f t="shared" ref="Z816:AK816" si="2271">SUM(D829)</f>
        <v>30</v>
      </c>
      <c r="AA816" s="9">
        <f t="shared" ca="1" si="2271"/>
        <v>29</v>
      </c>
      <c r="AB816" s="10">
        <f t="shared" ca="1" si="2271"/>
        <v>5551.72299999999</v>
      </c>
      <c r="AC816" s="9">
        <f t="shared" ca="1" si="2271"/>
        <v>2451</v>
      </c>
      <c r="AD816" s="9">
        <f t="shared" ca="1" si="2271"/>
        <v>160</v>
      </c>
      <c r="AE816" s="9">
        <f t="shared" ca="1" si="2271"/>
        <v>2611</v>
      </c>
      <c r="AF816" s="9">
        <f t="shared" ca="1" si="2271"/>
        <v>3427</v>
      </c>
      <c r="AG816" s="9">
        <f t="shared" ca="1" si="2271"/>
        <v>0</v>
      </c>
      <c r="AH816" s="9">
        <f t="shared" ca="1" si="2271"/>
        <v>3427</v>
      </c>
      <c r="AI816" s="9">
        <f t="shared" ca="1" si="2271"/>
        <v>6038</v>
      </c>
      <c r="AJ816" s="11">
        <f t="shared" ca="1" si="2271"/>
        <v>191.43872413793068</v>
      </c>
      <c r="AK816" s="8">
        <f t="shared" si="2271"/>
        <v>8101</v>
      </c>
      <c r="AL816" s="12">
        <f t="shared" ca="1" si="2252"/>
        <v>0.74534008147142328</v>
      </c>
      <c r="AM816" s="13">
        <f>SUM(Q829)</f>
        <v>1.5</v>
      </c>
      <c r="AN816" s="12">
        <f t="shared" ca="1" si="2254"/>
        <v>0.7250601900226904</v>
      </c>
      <c r="AO816" s="14">
        <f t="shared" ca="1" si="2255"/>
        <v>1.0875902850340355</v>
      </c>
      <c r="AP816" s="13">
        <f t="shared" ref="AP816:AQ816" ca="1" si="2272">SUM(T829)</f>
        <v>277.79449587190345</v>
      </c>
      <c r="AQ816" s="13">
        <f t="shared" ca="1" si="2272"/>
        <v>9.5791205473070153</v>
      </c>
      <c r="AR816" s="9">
        <f t="shared" ca="1" si="2257"/>
        <v>208.20689655172413</v>
      </c>
      <c r="AS816" s="76"/>
      <c r="AT816" s="76"/>
    </row>
    <row r="817" spans="1:46" ht="15.75" customHeight="1" x14ac:dyDescent="0.25">
      <c r="A817" s="70"/>
      <c r="B817" s="16">
        <v>2</v>
      </c>
      <c r="C817" s="16" t="s">
        <v>28</v>
      </c>
      <c r="D817" s="17">
        <v>33</v>
      </c>
      <c r="E817" s="18">
        <f ca="1">IFERROR(__xludf.DUMMYFUNCTION("COUNT(IMPORTRANGE(""https://docs.google.com/spreadsheets/d/1tJCeYclgeJZ4Dc78t_SkhVjtacKW-5-VGim8X1rzUzk/edit"",""31!d2:d34""))"),33)</f>
        <v>33</v>
      </c>
      <c r="F817" s="19">
        <f ca="1">IFERROR(__xludf.DUMMYFUNCTION("SUM(IMPORTRANGE(""https://docs.google.com/spreadsheets/d/1tJCeYclgeJZ4Dc78t_SkhVjtacKW-5-VGim8X1rzUzk/edit"",""31!Q2:Q34""))"),6405.245)</f>
        <v>6405.2449999999999</v>
      </c>
      <c r="G817" s="18">
        <f ca="1">IFERROR(__xludf.DUMMYFUNCTION("IMPORTRANGE(""https://docs.google.com/spreadsheets/d/1tJCeYclgeJZ4Dc78t_SkhVjtacKW-5-VGim8X1rzUzk/edit"",""31!e41"")"),2987)</f>
        <v>2987</v>
      </c>
      <c r="H817" s="18">
        <f ca="1">IFERROR(__xludf.DUMMYFUNCTION("IMPORTRANGE(""https://docs.google.com/spreadsheets/d/1tJCeYclgeJZ4Dc78t_SkhVjtacKW-5-VGim8X1rzUzk/edit"",""31!e42"")"),0)</f>
        <v>0</v>
      </c>
      <c r="I817" s="18">
        <f t="shared" ca="1" si="2262"/>
        <v>2987</v>
      </c>
      <c r="J817" s="18">
        <f ca="1">IFERROR(__xludf.DUMMYFUNCTION("IMPORTRANGE(""https://docs.google.com/spreadsheets/d/1tJCeYclgeJZ4Dc78t_SkhVjtacKW-5-VGim8X1rzUzk/edit"",""31!e45"")"),2674)</f>
        <v>2674</v>
      </c>
      <c r="K817" s="18">
        <f ca="1">IFERROR(__xludf.DUMMYFUNCTION("IMPORTRANGE(""https://docs.google.com/spreadsheets/d/1tJCeYclgeJZ4Dc78t_SkhVjtacKW-5-VGim8X1rzUzk/edit"",""31!e46"")"),349)</f>
        <v>349</v>
      </c>
      <c r="L817" s="18">
        <f t="shared" ca="1" si="2263"/>
        <v>3023</v>
      </c>
      <c r="M817" s="18">
        <f t="shared" ca="1" si="2264"/>
        <v>6010</v>
      </c>
      <c r="N817" s="19">
        <f t="shared" ca="1" si="2265"/>
        <v>194.09833333333333</v>
      </c>
      <c r="O817" s="16">
        <v>7315</v>
      </c>
      <c r="P817" s="20">
        <f t="shared" ca="1" si="2266"/>
        <v>0.82159945317840055</v>
      </c>
      <c r="Q817" s="21">
        <v>1.5</v>
      </c>
      <c r="R817" s="20">
        <f t="shared" ca="1" si="2267"/>
        <v>0.62552902608201044</v>
      </c>
      <c r="S817" s="22">
        <f t="shared" ca="1" si="2268"/>
        <v>0.93829353912301561</v>
      </c>
      <c r="T817" s="21">
        <f ca="1">F817/30.897</f>
        <v>207.30960934718581</v>
      </c>
      <c r="U817" s="21">
        <f t="shared" ca="1" si="2269"/>
        <v>6.2821093741571454</v>
      </c>
      <c r="V817" s="18">
        <f t="shared" ca="1" si="2270"/>
        <v>182.12121212121212</v>
      </c>
      <c r="W817" s="76"/>
      <c r="X817" s="8">
        <v>5</v>
      </c>
      <c r="Y817" s="8" t="s">
        <v>29</v>
      </c>
      <c r="Z817" s="8">
        <f t="shared" ref="Z817:AI817" si="2273">SUM(D832)</f>
        <v>30</v>
      </c>
      <c r="AA817" s="9">
        <f t="shared" ca="1" si="2273"/>
        <v>30</v>
      </c>
      <c r="AB817" s="10">
        <f t="shared" ca="1" si="2273"/>
        <v>6145.9119999999903</v>
      </c>
      <c r="AC817" s="9">
        <f t="shared" ca="1" si="2273"/>
        <v>2984</v>
      </c>
      <c r="AD817" s="9">
        <f t="shared" ca="1" si="2273"/>
        <v>0</v>
      </c>
      <c r="AE817" s="9">
        <f t="shared" ca="1" si="2273"/>
        <v>2984</v>
      </c>
      <c r="AF817" s="9">
        <f t="shared" ca="1" si="2273"/>
        <v>3901</v>
      </c>
      <c r="AG817" s="9">
        <f t="shared" ca="1" si="2273"/>
        <v>0</v>
      </c>
      <c r="AH817" s="9">
        <f t="shared" ca="1" si="2273"/>
        <v>3901</v>
      </c>
      <c r="AI817" s="9">
        <f t="shared" ca="1" si="2273"/>
        <v>6885</v>
      </c>
      <c r="AJ817" s="11">
        <f t="shared" ref="AJ817:AJ819" ca="1" si="2274">AB817/AA817</f>
        <v>204.86373333333302</v>
      </c>
      <c r="AK817" s="8">
        <f t="shared" ref="AK817:AK818" si="2275">SUM(O832)</f>
        <v>9201</v>
      </c>
      <c r="AL817" s="12">
        <f t="shared" ca="1" si="2252"/>
        <v>0.74828822954026741</v>
      </c>
      <c r="AM817" s="13">
        <f t="shared" ref="AM817:AM818" si="2276">SUM(Q832)</f>
        <v>1.5</v>
      </c>
      <c r="AN817" s="12">
        <f t="shared" ca="1" si="2254"/>
        <v>0.74683789810202406</v>
      </c>
      <c r="AO817" s="14">
        <f t="shared" ca="1" si="2255"/>
        <v>1.1202568471530361</v>
      </c>
      <c r="AP817" s="13">
        <f t="shared" ref="AP817:AQ817" ca="1" si="2277">SUM(T832)</f>
        <v>231.99999999999963</v>
      </c>
      <c r="AQ817" s="13">
        <f t="shared" ca="1" si="2277"/>
        <v>7.733333333333321</v>
      </c>
      <c r="AR817" s="9">
        <f t="shared" ca="1" si="2257"/>
        <v>229.5</v>
      </c>
      <c r="AS817" s="76"/>
      <c r="AT817" s="76"/>
    </row>
    <row r="818" spans="1:46" ht="15.75" customHeight="1" x14ac:dyDescent="0.25">
      <c r="A818" s="70"/>
      <c r="B818" s="16">
        <v>3</v>
      </c>
      <c r="C818" s="16" t="s">
        <v>30</v>
      </c>
      <c r="D818" s="17">
        <v>60</v>
      </c>
      <c r="E818" s="18">
        <f ca="1">IFERROR(__xludf.DUMMYFUNCTION("COUNT(IMPORTRANGE(""https://docs.google.com/spreadsheets/d/130gLEONC13J8KkQ6dk06x3bLRy_jCrAw2hXatQf2W50/edit"",""31!d2:d61""))"),58)</f>
        <v>58</v>
      </c>
      <c r="F818" s="23">
        <f ca="1">IFERROR(__xludf.DUMMYFUNCTION("SUM(IMPORTRANGE(""https://docs.google.com/spreadsheets/d/130gLEONC13J8KkQ6dk06x3bLRy_jCrAw2hXatQf2W50/edit"",""31!Q2:Q61""))"),11697.3899999999)</f>
        <v>11697.389999999899</v>
      </c>
      <c r="G818" s="18">
        <f ca="1">IFERROR(__xludf.DUMMYFUNCTION("IMPORTRANGE(""https://docs.google.com/spreadsheets/d/130gLEONC13J8KkQ6dk06x3bLRy_jCrAw2hXatQf2W50/edit"",""31!e68"")"),3536)</f>
        <v>3536</v>
      </c>
      <c r="H818" s="18">
        <f ca="1">IFERROR(__xludf.DUMMYFUNCTION("IMPORTRANGE(""https://docs.google.com/spreadsheets/d/130gLEONC13J8KkQ6dk06x3bLRy_jCrAw2hXatQf2W50/edit"",""31!e69"")"),12)</f>
        <v>12</v>
      </c>
      <c r="I818" s="18">
        <f t="shared" ca="1" si="2262"/>
        <v>3548</v>
      </c>
      <c r="J818" s="18">
        <f ca="1">IFERROR(__xludf.DUMMYFUNCTION("IMPORTRANGE(""https://docs.google.com/spreadsheets/d/130gLEONC13J8KkQ6dk06x3bLRy_jCrAw2hXatQf2W50/edit"",""31!e72"")"),6010)</f>
        <v>6010</v>
      </c>
      <c r="K818" s="18">
        <f ca="1">IFERROR(__xludf.DUMMYFUNCTION("IMPORTRANGE(""https://docs.google.com/spreadsheets/d/130gLEONC13J8KkQ6dk06x3bLRy_jCrAw2hXatQf2W50/edit"",""31!e73"")"),0)</f>
        <v>0</v>
      </c>
      <c r="L818" s="18">
        <f t="shared" ca="1" si="2263"/>
        <v>6010</v>
      </c>
      <c r="M818" s="18">
        <f t="shared" ca="1" si="2264"/>
        <v>9558</v>
      </c>
      <c r="N818" s="19">
        <f t="shared" ca="1" si="2265"/>
        <v>201.67913793103276</v>
      </c>
      <c r="O818" s="16">
        <v>11164</v>
      </c>
      <c r="P818" s="20">
        <f t="shared" ca="1" si="2266"/>
        <v>0.85614475098530995</v>
      </c>
      <c r="Q818" s="21">
        <v>1.5</v>
      </c>
      <c r="R818" s="20">
        <f t="shared" ca="1" si="2267"/>
        <v>0.54473690284756293</v>
      </c>
      <c r="S818" s="22">
        <f t="shared" ca="1" si="2268"/>
        <v>0.81710535427134445</v>
      </c>
      <c r="T818" s="21">
        <f ca="1">F818/29.603</f>
        <v>395.14204641421134</v>
      </c>
      <c r="U818" s="21">
        <f t="shared" ca="1" si="2269"/>
        <v>6.812793903693299</v>
      </c>
      <c r="V818" s="18">
        <f t="shared" ca="1" si="2270"/>
        <v>164.79310344827587</v>
      </c>
      <c r="W818" s="76"/>
      <c r="X818" s="8">
        <v>6</v>
      </c>
      <c r="Y818" s="8" t="s">
        <v>31</v>
      </c>
      <c r="Z818" s="8">
        <f t="shared" ref="Z818:AI818" si="2278">SUM(D833)</f>
        <v>15</v>
      </c>
      <c r="AA818" s="9">
        <f t="shared" ca="1" si="2278"/>
        <v>14</v>
      </c>
      <c r="AB818" s="11">
        <f t="shared" ca="1" si="2278"/>
        <v>2758.306</v>
      </c>
      <c r="AC818" s="9">
        <f t="shared" ca="1" si="2278"/>
        <v>890</v>
      </c>
      <c r="AD818" s="9">
        <f t="shared" ca="1" si="2278"/>
        <v>0</v>
      </c>
      <c r="AE818" s="9">
        <f t="shared" ca="1" si="2278"/>
        <v>890</v>
      </c>
      <c r="AF818" s="9">
        <f t="shared" ca="1" si="2278"/>
        <v>1003</v>
      </c>
      <c r="AG818" s="9">
        <f t="shared" ca="1" si="2278"/>
        <v>0</v>
      </c>
      <c r="AH818" s="9">
        <f t="shared" ca="1" si="2278"/>
        <v>1003</v>
      </c>
      <c r="AI818" s="9">
        <f t="shared" ca="1" si="2278"/>
        <v>1893</v>
      </c>
      <c r="AJ818" s="11">
        <f t="shared" ca="1" si="2274"/>
        <v>197.02185714285716</v>
      </c>
      <c r="AK818" s="8">
        <f t="shared" si="2275"/>
        <v>2717</v>
      </c>
      <c r="AL818" s="12">
        <f t="shared" ca="1" si="2252"/>
        <v>0.69672432830327569</v>
      </c>
      <c r="AM818" s="13">
        <f t="shared" si="2276"/>
        <v>1.5</v>
      </c>
      <c r="AN818" s="12">
        <f t="shared" ca="1" si="2254"/>
        <v>0.45752719241447465</v>
      </c>
      <c r="AO818" s="14">
        <f t="shared" ca="1" si="2255"/>
        <v>0.686290788621712</v>
      </c>
      <c r="AP818" s="13">
        <f t="shared" ref="AP818:AQ818" ca="1" si="2279">SUM(T833)</f>
        <v>63.460393419993096</v>
      </c>
      <c r="AQ818" s="13">
        <f t="shared" ca="1" si="2279"/>
        <v>4.5328852442852208</v>
      </c>
      <c r="AR818" s="9">
        <f t="shared" ca="1" si="2257"/>
        <v>135.21428571428572</v>
      </c>
      <c r="AS818" s="76"/>
      <c r="AT818" s="76"/>
    </row>
    <row r="819" spans="1:46" ht="15.75" customHeight="1" x14ac:dyDescent="0.25">
      <c r="A819" s="70"/>
      <c r="B819" s="16">
        <v>4</v>
      </c>
      <c r="C819" s="16" t="s">
        <v>32</v>
      </c>
      <c r="D819" s="17">
        <v>42</v>
      </c>
      <c r="E819" s="18">
        <f ca="1">IFERROR(__xludf.DUMMYFUNCTION("COUNT(IMPORTRANGE(""https://docs.google.com/spreadsheets/d/1gYHli7FuKQLm2Q-5LMR0UtkD-gRRA_p8s-phLPLDLgc/edit"",""31!d2:d43""))"),42)</f>
        <v>42</v>
      </c>
      <c r="F819" s="23">
        <f ca="1">IFERROR(__xludf.DUMMYFUNCTION("SUM(IMPORTRANGE(""https://docs.google.com/spreadsheets/d/1gYHli7FuKQLm2Q-5LMR0UtkD-gRRA_p8s-phLPLDLgc/edit"",""31!Q2:Q43""))"),8003.39099999999)</f>
        <v>8003.3909999999896</v>
      </c>
      <c r="G819" s="16">
        <f ca="1">IFERROR(__xludf.DUMMYFUNCTION("IMPORTRANGE(""https://docs.google.com/spreadsheets/d/1gYHli7FuKQLm2Q-5LMR0UtkD-gRRA_p8s-phLPLDLgc/edit"",""31!e50"")"),4450)</f>
        <v>4450</v>
      </c>
      <c r="H819" s="16">
        <f ca="1">IFERROR(__xludf.DUMMYFUNCTION("IMPORTRANGE(""https://docs.google.com/spreadsheets/d/1gYHli7FuKQLm2Q-5LMR0UtkD-gRRA_p8s-phLPLDLgc/edit"",""31!e51"")"),0)</f>
        <v>0</v>
      </c>
      <c r="I819" s="18">
        <f t="shared" ca="1" si="2262"/>
        <v>4450</v>
      </c>
      <c r="J819" s="16">
        <f ca="1">IFERROR(__xludf.DUMMYFUNCTION("IMPORTRANGE(""https://docs.google.com/spreadsheets/d/1gYHli7FuKQLm2Q-5LMR0UtkD-gRRA_p8s-phLPLDLgc/edit"",""31!e54"")"),5889)</f>
        <v>5889</v>
      </c>
      <c r="K819" s="16">
        <f ca="1">IFERROR(__xludf.DUMMYFUNCTION("IMPORTRANGE(""https://docs.google.com/spreadsheets/d/1gYHli7FuKQLm2Q-5LMR0UtkD-gRRA_p8s-phLPLDLgc/edit"",""31!e55"")"),0)</f>
        <v>0</v>
      </c>
      <c r="L819" s="18">
        <f t="shared" ca="1" si="2263"/>
        <v>5889</v>
      </c>
      <c r="M819" s="18">
        <f t="shared" ca="1" si="2264"/>
        <v>10339</v>
      </c>
      <c r="N819" s="19">
        <f t="shared" ca="1" si="2265"/>
        <v>190.55692857142833</v>
      </c>
      <c r="O819" s="16">
        <v>13817</v>
      </c>
      <c r="P819" s="20">
        <f t="shared" ca="1" si="2266"/>
        <v>0.74828110298907147</v>
      </c>
      <c r="Q819" s="21">
        <v>1.5</v>
      </c>
      <c r="R819" s="20">
        <f t="shared" ca="1" si="2267"/>
        <v>0.8612182844330204</v>
      </c>
      <c r="S819" s="22">
        <f t="shared" ca="1" si="2268"/>
        <v>1.2918274266495307</v>
      </c>
      <c r="T819" s="21">
        <f ca="1">F819/25.089</f>
        <v>318.9999999999996</v>
      </c>
      <c r="U819" s="21">
        <f t="shared" ca="1" si="2269"/>
        <v>7.595238095238086</v>
      </c>
      <c r="V819" s="18">
        <f t="shared" ca="1" si="2270"/>
        <v>246.16666666666666</v>
      </c>
      <c r="W819" s="76"/>
      <c r="X819" s="24" t="s">
        <v>33</v>
      </c>
      <c r="Y819" s="24">
        <v>6</v>
      </c>
      <c r="Z819" s="24">
        <f t="shared" ref="Z819:AI819" si="2280">SUM(Z813:Z818)</f>
        <v>186</v>
      </c>
      <c r="AA819" s="25">
        <f t="shared" ca="1" si="2280"/>
        <v>179</v>
      </c>
      <c r="AB819" s="26">
        <f t="shared" ca="1" si="2280"/>
        <v>35398.349999999962</v>
      </c>
      <c r="AC819" s="25">
        <f t="shared" ca="1" si="2280"/>
        <v>11295</v>
      </c>
      <c r="AD819" s="25">
        <f t="shared" ca="1" si="2280"/>
        <v>602</v>
      </c>
      <c r="AE819" s="25">
        <f t="shared" ca="1" si="2280"/>
        <v>11897</v>
      </c>
      <c r="AF819" s="25">
        <f t="shared" ca="1" si="2280"/>
        <v>16132</v>
      </c>
      <c r="AG819" s="25">
        <f t="shared" ca="1" si="2280"/>
        <v>353</v>
      </c>
      <c r="AH819" s="25">
        <f t="shared" ca="1" si="2280"/>
        <v>16485</v>
      </c>
      <c r="AI819" s="25">
        <f t="shared" ca="1" si="2280"/>
        <v>28382</v>
      </c>
      <c r="AJ819" s="27">
        <f t="shared" ca="1" si="2274"/>
        <v>197.75614525139645</v>
      </c>
      <c r="AK819" s="24">
        <f>SUM(AK813:AK818)</f>
        <v>35074</v>
      </c>
      <c r="AL819" s="28">
        <f t="shared" ca="1" si="2252"/>
        <v>0.80920339852882472</v>
      </c>
      <c r="AM819" s="29">
        <v>1.5</v>
      </c>
      <c r="AN819" s="28">
        <f t="shared" ca="1" si="2254"/>
        <v>0.5345258559603302</v>
      </c>
      <c r="AO819" s="30">
        <f t="shared" ca="1" si="2255"/>
        <v>0.80178878394049524</v>
      </c>
      <c r="AP819" s="29">
        <f ca="1">SUM(AP813:AP818)</f>
        <v>1331.0366960956949</v>
      </c>
      <c r="AQ819" s="29">
        <f ca="1">AP819/AA819</f>
        <v>7.4359591960653342</v>
      </c>
      <c r="AR819" s="25">
        <f t="shared" ca="1" si="2257"/>
        <v>158.55865921787711</v>
      </c>
      <c r="AS819" s="76"/>
      <c r="AT819" s="76"/>
    </row>
    <row r="820" spans="1:46" ht="15.75" customHeight="1" x14ac:dyDescent="0.25">
      <c r="A820" s="70"/>
      <c r="B820" s="16">
        <v>5</v>
      </c>
      <c r="C820" s="16" t="s">
        <v>34</v>
      </c>
      <c r="D820" s="17">
        <v>40</v>
      </c>
      <c r="E820" s="18">
        <f ca="1">IFERROR(__xludf.DUMMYFUNCTION("COUNT(IMPORTRANGE(""https://docs.google.com/spreadsheets/d/1ptS0qWBCKWkc9h2aXWT_YgMhN7yIv5WgAHRbF8l9Zpo/edit"",""31!d2:d41""))"),40)</f>
        <v>40</v>
      </c>
      <c r="F820" s="23">
        <f ca="1">IFERROR(__xludf.DUMMYFUNCTION("SUM(IMPORTRANGE(""https://docs.google.com/spreadsheets/d/1ptS0qWBCKWkc9h2aXWT_YgMhN7yIv5WgAHRbF8l9Zpo/edit"",""31!Q2:Q41""))"),7710.384)</f>
        <v>7710.384</v>
      </c>
      <c r="G820" s="18">
        <f ca="1">IFERROR(__xludf.DUMMYFUNCTION("IMPORTRANGE(""https://docs.google.com/spreadsheets/d/1ptS0qWBCKWkc9h2aXWT_YgMhN7yIv5WgAHRbF8l9Zpo/edit"",""31!e48"")"),2570)</f>
        <v>2570</v>
      </c>
      <c r="H820" s="18">
        <f ca="1">IFERROR(__xludf.DUMMYFUNCTION("IMPORTRANGE(""https://docs.google.com/spreadsheets/d/1ptS0qWBCKWkc9h2aXWT_YgMhN7yIv5WgAHRbF8l9Zpo/edit"",""31!e49"")"),85)</f>
        <v>85</v>
      </c>
      <c r="I820" s="18">
        <f t="shared" ca="1" si="2262"/>
        <v>2655</v>
      </c>
      <c r="J820" s="18">
        <f ca="1">IFERROR(__xludf.DUMMYFUNCTION("IMPORTRANGE(""https://docs.google.com/spreadsheets/d/1ptS0qWBCKWkc9h2aXWT_YgMhN7yIv5WgAHRbF8l9Zpo/edit"",""31!e52"")"),3392)</f>
        <v>3392</v>
      </c>
      <c r="K820" s="18">
        <f ca="1">IFERROR(__xludf.DUMMYFUNCTION("IMPORTRANGE(""https://docs.google.com/spreadsheets/d/1ptS0qWBCKWkc9h2aXWT_YgMhN7yIv5WgAHRbF8l9Zpo/edit"",""31!e53"")"),0)</f>
        <v>0</v>
      </c>
      <c r="L820" s="18">
        <f t="shared" ca="1" si="2263"/>
        <v>3392</v>
      </c>
      <c r="M820" s="18">
        <f t="shared" ca="1" si="2264"/>
        <v>6047</v>
      </c>
      <c r="N820" s="19">
        <f t="shared" ca="1" si="2265"/>
        <v>192.75960000000001</v>
      </c>
      <c r="O820" s="16">
        <v>9354</v>
      </c>
      <c r="P820" s="20">
        <f t="shared" ca="1" si="2266"/>
        <v>0.64646140688475517</v>
      </c>
      <c r="Q820" s="21">
        <v>1.5</v>
      </c>
      <c r="R820" s="20">
        <f t="shared" ca="1" si="2267"/>
        <v>0.52284469013908164</v>
      </c>
      <c r="S820" s="22">
        <f t="shared" ca="1" si="2268"/>
        <v>0.78426703520862251</v>
      </c>
      <c r="T820" s="21">
        <f ca="1">F820/30.713</f>
        <v>251.04626705303943</v>
      </c>
      <c r="U820" s="21">
        <f t="shared" ca="1" si="2269"/>
        <v>6.2761566763259857</v>
      </c>
      <c r="V820" s="18">
        <f t="shared" ca="1" si="2270"/>
        <v>151.17500000000001</v>
      </c>
      <c r="W820" s="76"/>
      <c r="X820" s="100" t="s">
        <v>35</v>
      </c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9"/>
      <c r="AS820" s="76"/>
      <c r="AT820" s="76"/>
    </row>
    <row r="821" spans="1:46" ht="15.75" customHeight="1" x14ac:dyDescent="0.25">
      <c r="A821" s="70"/>
      <c r="B821" s="16">
        <v>6</v>
      </c>
      <c r="C821" s="16" t="s">
        <v>23</v>
      </c>
      <c r="D821" s="17">
        <v>35</v>
      </c>
      <c r="E821" s="18">
        <f ca="1">IFERROR(__xludf.DUMMYFUNCTION("COUNT(IMPORTRANGE(""https://docs.google.com/spreadsheets/d/1829CoYW82aTBBUgqkPnJa94KlBWI-DowAnP4ENQCmaQ/edit"",""31!d2:d36""))"),34)</f>
        <v>34</v>
      </c>
      <c r="F821" s="23">
        <f ca="1">IFERROR(__xludf.DUMMYFUNCTION("SUM(IMPORTRANGE(""https://docs.google.com/spreadsheets/d/1829CoYW82aTBBUgqkPnJa94KlBWI-DowAnP4ENQCmaQ/edit"",""31!Q2:Q36""))"),6680.51999999999)</f>
        <v>6680.5199999999904</v>
      </c>
      <c r="G821" s="18">
        <f ca="1">IFERROR(__xludf.DUMMYFUNCTION("IMPORTRANGE(""https://docs.google.com/spreadsheets/d/1829CoYW82aTBBUgqkPnJa94KlBWI-DowAnP4ENQCmaQ/edit"",""31!e43"")"),1856)</f>
        <v>1856</v>
      </c>
      <c r="H821" s="18">
        <f ca="1">IFERROR(__xludf.DUMMYFUNCTION("IMPORTRANGE(""https://docs.google.com/spreadsheets/d/1829CoYW82aTBBUgqkPnJa94KlBWI-DowAnP4ENQCmaQ/edit"",""31!e44"")"),0)</f>
        <v>0</v>
      </c>
      <c r="I821" s="18">
        <f t="shared" ca="1" si="2262"/>
        <v>1856</v>
      </c>
      <c r="J821" s="18">
        <f ca="1">IFERROR(__xludf.DUMMYFUNCTION("IMPORTRANGE(""https://docs.google.com/spreadsheets/d/1829CoYW82aTBBUgqkPnJa94KlBWI-DowAnP4ENQCmaQ/edit"",""31!e47"")"),2955)</f>
        <v>2955</v>
      </c>
      <c r="K821" s="18">
        <f ca="1">IFERROR(__xludf.DUMMYFUNCTION("IMPORTRANGE(""https://docs.google.com/spreadsheets/d/1829CoYW82aTBBUgqkPnJa94KlBWI-DowAnP4ENQCmaQ/edit"",""31!e48"")"),0)</f>
        <v>0</v>
      </c>
      <c r="L821" s="18">
        <f t="shared" ca="1" si="2263"/>
        <v>2955</v>
      </c>
      <c r="M821" s="18">
        <f t="shared" ca="1" si="2264"/>
        <v>4811</v>
      </c>
      <c r="N821" s="19">
        <f t="shared" ca="1" si="2265"/>
        <v>196.48588235294091</v>
      </c>
      <c r="O821" s="16">
        <v>6853</v>
      </c>
      <c r="P821" s="20">
        <f t="shared" ca="1" si="2266"/>
        <v>0.70202830876988176</v>
      </c>
      <c r="Q821" s="21">
        <v>1.5</v>
      </c>
      <c r="R821" s="20">
        <f t="shared" ca="1" si="2267"/>
        <v>0.48010234732226503</v>
      </c>
      <c r="S821" s="22">
        <f t="shared" ca="1" si="2268"/>
        <v>0.72015352098339758</v>
      </c>
      <c r="T821" s="21">
        <f ca="1">F821/33.74</f>
        <v>197.99999999999972</v>
      </c>
      <c r="U821" s="21">
        <f t="shared" ca="1" si="2269"/>
        <v>5.8235294117646976</v>
      </c>
      <c r="V821" s="18">
        <f t="shared" ca="1" si="2270"/>
        <v>141.5</v>
      </c>
      <c r="W821" s="76"/>
      <c r="X821" s="1" t="s">
        <v>2</v>
      </c>
      <c r="Y821" s="1" t="s">
        <v>3</v>
      </c>
      <c r="Z821" s="1" t="s">
        <v>4</v>
      </c>
      <c r="AA821" s="1" t="s">
        <v>5</v>
      </c>
      <c r="AB821" s="2" t="s">
        <v>6</v>
      </c>
      <c r="AC821" s="1" t="s">
        <v>7</v>
      </c>
      <c r="AD821" s="1" t="s">
        <v>8</v>
      </c>
      <c r="AE821" s="1" t="s">
        <v>9</v>
      </c>
      <c r="AF821" s="1" t="s">
        <v>10</v>
      </c>
      <c r="AG821" s="1" t="s">
        <v>11</v>
      </c>
      <c r="AH821" s="1" t="s">
        <v>12</v>
      </c>
      <c r="AI821" s="1" t="s">
        <v>13</v>
      </c>
      <c r="AJ821" s="2" t="s">
        <v>14</v>
      </c>
      <c r="AK821" s="1" t="s">
        <v>15</v>
      </c>
      <c r="AL821" s="1" t="s">
        <v>16</v>
      </c>
      <c r="AM821" s="3" t="s">
        <v>17</v>
      </c>
      <c r="AN821" s="4" t="s">
        <v>18</v>
      </c>
      <c r="AO821" s="5" t="s">
        <v>19</v>
      </c>
      <c r="AP821" s="6" t="s">
        <v>20</v>
      </c>
      <c r="AQ821" s="6" t="s">
        <v>21</v>
      </c>
      <c r="AR821" s="7" t="s">
        <v>22</v>
      </c>
      <c r="AS821" s="76"/>
      <c r="AT821" s="76"/>
    </row>
    <row r="822" spans="1:46" ht="15.75" customHeight="1" x14ac:dyDescent="0.25">
      <c r="A822" s="70"/>
      <c r="B822" s="16">
        <v>7</v>
      </c>
      <c r="C822" s="16" t="s">
        <v>24</v>
      </c>
      <c r="D822" s="17">
        <v>44</v>
      </c>
      <c r="E822" s="31">
        <f ca="1">IFERROR(__xludf.DUMMYFUNCTION("COUNT(IMPORTRANGE(""https://docs.google.com/spreadsheets/d/1E2x4oDZxEIsuC5nl-5Z0--MoN8b1dt9SbpRcCfNP84Q/edit"",""31!d2:d45""))"),42)</f>
        <v>42</v>
      </c>
      <c r="F822" s="32">
        <f ca="1">IFERROR(__xludf.DUMMYFUNCTION("SUM(IMPORTRANGE(""https://docs.google.com/spreadsheets/d/1E2x4oDZxEIsuC5nl-5Z0--MoN8b1dt9SbpRcCfNP84Q/edit"",""31!Q2:Q45""))"),8287.31699999999)</f>
        <v>8287.31699999999</v>
      </c>
      <c r="G822" s="31">
        <f ca="1">IFERROR(__xludf.DUMMYFUNCTION("IMPORTRANGE(""https://docs.google.com/spreadsheets/d/1E2x4oDZxEIsuC5nl-5Z0--MoN8b1dt9SbpRcCfNP84Q/edit"",""31!e53"")"),943)</f>
        <v>943</v>
      </c>
      <c r="H822" s="31">
        <f ca="1">IFERROR(__xludf.DUMMYFUNCTION("IMPORTRANGE(""https://docs.google.com/spreadsheets/d/1E2x4oDZxEIsuC5nl-5Z0--MoN8b1dt9SbpRcCfNP84Q/edit"",""31!e54"")"),0)</f>
        <v>0</v>
      </c>
      <c r="I822" s="31">
        <f t="shared" ca="1" si="2262"/>
        <v>943</v>
      </c>
      <c r="J822" s="31">
        <f ca="1">IFERROR(__xludf.DUMMYFUNCTION("IMPORTRANGE(""https://docs.google.com/spreadsheets/d/1E2x4oDZxEIsuC5nl-5Z0--MoN8b1dt9SbpRcCfNP84Q/edit"",""31!e57"")"),1648)</f>
        <v>1648</v>
      </c>
      <c r="K822" s="31">
        <f ca="1">IFERROR(__xludf.DUMMYFUNCTION("IMPORTRANGE(""https://docs.google.com/spreadsheets/d/1E2x4oDZxEIsuC5nl-5Z0--MoN8b1dt9SbpRcCfNP84Q/edit"",""31!e58"")"),0)</f>
        <v>0</v>
      </c>
      <c r="L822" s="18">
        <f t="shared" ca="1" si="2263"/>
        <v>1648</v>
      </c>
      <c r="M822" s="18">
        <f t="shared" ca="1" si="2264"/>
        <v>2591</v>
      </c>
      <c r="N822" s="19">
        <f t="shared" ca="1" si="2265"/>
        <v>197.31707142857118</v>
      </c>
      <c r="O822" s="16">
        <v>1580</v>
      </c>
      <c r="P822" s="33">
        <f t="shared" ca="1" si="2266"/>
        <v>1.6398734177215191</v>
      </c>
      <c r="Q822" s="21">
        <v>1.5</v>
      </c>
      <c r="R822" s="20">
        <f t="shared" ca="1" si="2267"/>
        <v>0.20843094735405143</v>
      </c>
      <c r="S822" s="22">
        <f t="shared" ca="1" si="2268"/>
        <v>0.31264642103107715</v>
      </c>
      <c r="T822" s="21">
        <f ca="1">F822/26.805</f>
        <v>309.17056519306061</v>
      </c>
      <c r="U822" s="21">
        <f t="shared" ca="1" si="2269"/>
        <v>7.3612039331681096</v>
      </c>
      <c r="V822" s="18">
        <f t="shared" ca="1" si="2270"/>
        <v>61.69047619047619</v>
      </c>
      <c r="W822" s="76"/>
      <c r="X822" s="8">
        <v>1</v>
      </c>
      <c r="Y822" s="8" t="s">
        <v>28</v>
      </c>
      <c r="Z822" s="8">
        <f t="shared" ref="Z822:AI822" si="2281">SUM(D817)</f>
        <v>33</v>
      </c>
      <c r="AA822" s="9">
        <f t="shared" ca="1" si="2281"/>
        <v>33</v>
      </c>
      <c r="AB822" s="11">
        <f t="shared" ca="1" si="2281"/>
        <v>6405.2449999999999</v>
      </c>
      <c r="AC822" s="9">
        <f t="shared" ca="1" si="2281"/>
        <v>2987</v>
      </c>
      <c r="AD822" s="9">
        <f t="shared" ca="1" si="2281"/>
        <v>0</v>
      </c>
      <c r="AE822" s="9">
        <f t="shared" ca="1" si="2281"/>
        <v>2987</v>
      </c>
      <c r="AF822" s="9">
        <f t="shared" ca="1" si="2281"/>
        <v>2674</v>
      </c>
      <c r="AG822" s="9">
        <f t="shared" ca="1" si="2281"/>
        <v>349</v>
      </c>
      <c r="AH822" s="9">
        <f t="shared" ca="1" si="2281"/>
        <v>3023</v>
      </c>
      <c r="AI822" s="9">
        <f t="shared" ca="1" si="2281"/>
        <v>6010</v>
      </c>
      <c r="AJ822" s="11">
        <f t="shared" ref="AJ822:AJ828" ca="1" si="2282">AB822/AA822</f>
        <v>194.09833333333333</v>
      </c>
      <c r="AK822" s="8">
        <f t="shared" ref="AK822:AK823" si="2283">SUM(O817)</f>
        <v>7315</v>
      </c>
      <c r="AL822" s="12">
        <f t="shared" ref="AL822:AL828" ca="1" si="2284">AI822/AK822</f>
        <v>0.82159945317840055</v>
      </c>
      <c r="AM822" s="13">
        <f t="shared" ref="AM822:AM823" si="2285">SUM(Q817)</f>
        <v>1.5</v>
      </c>
      <c r="AN822" s="12">
        <f t="shared" ref="AN822:AN828" ca="1" si="2286">AO822/AM822</f>
        <v>0.62552902608201044</v>
      </c>
      <c r="AO822" s="14">
        <f t="shared" ref="AO822:AO828" ca="1" si="2287">AI822/AB822</f>
        <v>0.93829353912301561</v>
      </c>
      <c r="AP822" s="13">
        <f t="shared" ref="AP822:AQ822" ca="1" si="2288">SUM(T817)</f>
        <v>207.30960934718581</v>
      </c>
      <c r="AQ822" s="13">
        <f t="shared" ca="1" si="2288"/>
        <v>6.2821093741571454</v>
      </c>
      <c r="AR822" s="9">
        <f t="shared" ref="AR822:AR828" ca="1" si="2289">AI822/AA822</f>
        <v>182.12121212121212</v>
      </c>
      <c r="AS822" s="76"/>
      <c r="AT822" s="76"/>
    </row>
    <row r="823" spans="1:46" ht="15.75" customHeight="1" x14ac:dyDescent="0.25">
      <c r="A823" s="70"/>
      <c r="B823" s="16">
        <v>8</v>
      </c>
      <c r="C823" s="16" t="s">
        <v>25</v>
      </c>
      <c r="D823" s="34">
        <v>32</v>
      </c>
      <c r="E823" s="18">
        <f ca="1">IFERROR(__xludf.DUMMYFUNCTION("COUNT(IMPORTRANGE(""https://docs.google.com/spreadsheets/d/1KbRFOEYB0B44J_NSh1MwYQ1sLDlZXUHI-wuMLcZDn5k/edit"",""31!d2:D33""))"),30)</f>
        <v>30</v>
      </c>
      <c r="F823" s="23">
        <f ca="1">IFERROR(__xludf.DUMMYFUNCTION("SUM(IMPORTRANGE(""https://docs.google.com/spreadsheets/d/1KbRFOEYB0B44J_NSh1MwYQ1sLDlZXUHI-wuMLcZDn5k/edit"",""31!Q2:Q33""))"),5974.572)</f>
        <v>5974.5720000000001</v>
      </c>
      <c r="G823" s="18">
        <f ca="1">IFERROR(__xludf.DUMMYFUNCTION("IMPORTRANGE(""https://docs.google.com/spreadsheets/d/1KbRFOEYB0B44J_NSh1MwYQ1sLDlZXUHI-wuMLcZDn5k/edit"",""31!e40"")"),2171)</f>
        <v>2171</v>
      </c>
      <c r="H823" s="18">
        <f ca="1">IFERROR(__xludf.DUMMYFUNCTION("IMPORTRANGE(""https://docs.google.com/spreadsheets/d/1KbRFOEYB0B44J_NSh1MwYQ1sLDlZXUHI-wuMLcZDn5k/edit"",""31!e41"")"),442)</f>
        <v>442</v>
      </c>
      <c r="I823" s="18">
        <f t="shared" ca="1" si="2262"/>
        <v>2613</v>
      </c>
      <c r="J823" s="18">
        <f ca="1">IFERROR(__xludf.DUMMYFUNCTION("IMPORTRANGE(""https://docs.google.com/spreadsheets/d/1KbRFOEYB0B44J_NSh1MwYQ1sLDlZXUHI-wuMLcZDn5k/edit"",""31!e44"")"),3198)</f>
        <v>3198</v>
      </c>
      <c r="K823" s="18">
        <f ca="1">IFERROR(__xludf.DUMMYFUNCTION("IMPORTRANGE(""https://docs.google.com/spreadsheets/d/1KbRFOEYB0B44J_NSh1MwYQ1sLDlZXUHI-wuMLcZDn5k/edit"",""31!e45"")"),353)</f>
        <v>353</v>
      </c>
      <c r="L823" s="18">
        <f ca="1">J823+K823</f>
        <v>3551</v>
      </c>
      <c r="M823" s="18">
        <f t="shared" ca="1" si="2264"/>
        <v>6164</v>
      </c>
      <c r="N823" s="19">
        <f t="shared" ca="1" si="2265"/>
        <v>199.1524</v>
      </c>
      <c r="O823" s="16">
        <v>6622</v>
      </c>
      <c r="P823" s="20">
        <f t="shared" ca="1" si="2266"/>
        <v>0.93083660525520995</v>
      </c>
      <c r="Q823" s="21">
        <v>1.5</v>
      </c>
      <c r="R823" s="20">
        <f t="shared" ca="1" si="2267"/>
        <v>0.68780380139921871</v>
      </c>
      <c r="S823" s="22">
        <f t="shared" ca="1" si="2268"/>
        <v>1.0317057020988281</v>
      </c>
      <c r="T823" s="21">
        <f ca="1">F823/23.84</f>
        <v>250.61124161073826</v>
      </c>
      <c r="U823" s="21">
        <f t="shared" ca="1" si="2269"/>
        <v>8.3537080536912747</v>
      </c>
      <c r="V823" s="18">
        <f t="shared" ca="1" si="2270"/>
        <v>205.46666666666667</v>
      </c>
      <c r="W823" s="76"/>
      <c r="X823" s="8">
        <v>2</v>
      </c>
      <c r="Y823" s="8" t="s">
        <v>30</v>
      </c>
      <c r="Z823" s="8">
        <f t="shared" ref="Z823:AI823" si="2290">SUM(D818)</f>
        <v>60</v>
      </c>
      <c r="AA823" s="9">
        <f t="shared" ca="1" si="2290"/>
        <v>58</v>
      </c>
      <c r="AB823" s="10">
        <f t="shared" ca="1" si="2290"/>
        <v>11697.389999999899</v>
      </c>
      <c r="AC823" s="9">
        <f t="shared" ca="1" si="2290"/>
        <v>3536</v>
      </c>
      <c r="AD823" s="9">
        <f t="shared" ca="1" si="2290"/>
        <v>12</v>
      </c>
      <c r="AE823" s="9">
        <f t="shared" ca="1" si="2290"/>
        <v>3548</v>
      </c>
      <c r="AF823" s="9">
        <f t="shared" ca="1" si="2290"/>
        <v>6010</v>
      </c>
      <c r="AG823" s="9">
        <f t="shared" ca="1" si="2290"/>
        <v>0</v>
      </c>
      <c r="AH823" s="9">
        <f t="shared" ca="1" si="2290"/>
        <v>6010</v>
      </c>
      <c r="AI823" s="9">
        <f t="shared" ca="1" si="2290"/>
        <v>9558</v>
      </c>
      <c r="AJ823" s="11">
        <f t="shared" ca="1" si="2282"/>
        <v>201.67913793103276</v>
      </c>
      <c r="AK823" s="8">
        <f t="shared" si="2283"/>
        <v>11164</v>
      </c>
      <c r="AL823" s="12">
        <f t="shared" ca="1" si="2284"/>
        <v>0.85614475098530995</v>
      </c>
      <c r="AM823" s="13">
        <f t="shared" si="2285"/>
        <v>1.5</v>
      </c>
      <c r="AN823" s="12">
        <f t="shared" ca="1" si="2286"/>
        <v>0.54473690284756293</v>
      </c>
      <c r="AO823" s="14">
        <f t="shared" ca="1" si="2287"/>
        <v>0.81710535427134445</v>
      </c>
      <c r="AP823" s="13">
        <f t="shared" ref="AP823:AQ823" ca="1" si="2291">SUM(T818)</f>
        <v>395.14204641421134</v>
      </c>
      <c r="AQ823" s="13">
        <f t="shared" ca="1" si="2291"/>
        <v>6.812793903693299</v>
      </c>
      <c r="AR823" s="9">
        <f t="shared" ca="1" si="2289"/>
        <v>164.79310344827587</v>
      </c>
      <c r="AS823" s="76"/>
      <c r="AT823" s="76"/>
    </row>
    <row r="824" spans="1:46" ht="15.75" customHeight="1" x14ac:dyDescent="0.25">
      <c r="A824" s="70"/>
      <c r="B824" s="16">
        <v>9</v>
      </c>
      <c r="C824" s="16" t="s">
        <v>36</v>
      </c>
      <c r="D824" s="34">
        <v>30</v>
      </c>
      <c r="E824" s="18">
        <f ca="1">IFERROR(__xludf.DUMMYFUNCTION("COUNT(IMPORTRANGE(""https://docs.google.com/spreadsheets/d/1VqqqRGfmmkT0JC4ILJva2p8P11jjV0FX-TSKAaqOigw/edit"",""31!d2:d31""))"),30)</f>
        <v>30</v>
      </c>
      <c r="F824" s="23">
        <f ca="1">IFERROR(__xludf.DUMMYFUNCTION("SUM(IMPORTRANGE(""https://docs.google.com/spreadsheets/d/1VqqqRGfmmkT0JC4ILJva2p8P11jjV0FX-TSKAaqOigw/edit"",""31!Q2:Q31""))"),5887.119)</f>
        <v>5887.1189999999997</v>
      </c>
      <c r="G824" s="18">
        <f ca="1">IFERROR(__xludf.DUMMYFUNCTION("IMPORTRANGE(""https://docs.google.com/spreadsheets/d/1VqqqRGfmmkT0JC4ILJva2p8P11jjV0FX-TSKAaqOigw/edit"",""31!e38"")"),1561)</f>
        <v>1561</v>
      </c>
      <c r="H824" s="18">
        <f ca="1">IFERROR(__xludf.DUMMYFUNCTION("IMPORTRANGE(""https://docs.google.com/spreadsheets/d/1VqqqRGfmmkT0JC4ILJva2p8P11jjV0FX-TSKAaqOigw/edit"",""31!e39"")"),0)</f>
        <v>0</v>
      </c>
      <c r="I824" s="18">
        <f t="shared" ca="1" si="2262"/>
        <v>1561</v>
      </c>
      <c r="J824" s="18">
        <f ca="1">IFERROR(__xludf.DUMMYFUNCTION("IMPORTRANGE(""https://docs.google.com/spreadsheets/d/1VqqqRGfmmkT0JC4ILJva2p8P11jjV0FX-TSKAaqOigw/edit"",""31!e42"")"),2333)</f>
        <v>2333</v>
      </c>
      <c r="K824" s="18">
        <f ca="1">IFERROR(__xludf.DUMMYFUNCTION("IMPORTRANGE(""https://docs.google.com/spreadsheets/d/1VqqqRGfmmkT0JC4ILJva2p8P11jjV0FX-TSKAaqOigw/edit"",""31!e43"")"),0)</f>
        <v>0</v>
      </c>
      <c r="L824" s="18">
        <f t="shared" ref="L824:L833" ca="1" si="2292">SUM(J824:K824)</f>
        <v>2333</v>
      </c>
      <c r="M824" s="18">
        <f t="shared" ca="1" si="2264"/>
        <v>3894</v>
      </c>
      <c r="N824" s="19">
        <f t="shared" ca="1" si="2265"/>
        <v>196.23729999999998</v>
      </c>
      <c r="O824" s="16">
        <v>4796</v>
      </c>
      <c r="P824" s="20">
        <f t="shared" ca="1" si="2266"/>
        <v>0.81192660550458717</v>
      </c>
      <c r="Q824" s="21">
        <v>1.5</v>
      </c>
      <c r="R824" s="20">
        <f t="shared" ca="1" si="2267"/>
        <v>0.44096271877636584</v>
      </c>
      <c r="S824" s="22">
        <f t="shared" ca="1" si="2268"/>
        <v>0.66144407816454875</v>
      </c>
      <c r="T824" s="21">
        <f ca="1">F824/37.414</f>
        <v>157.35069759982892</v>
      </c>
      <c r="U824" s="21">
        <f t="shared" ca="1" si="2269"/>
        <v>5.2450232533276306</v>
      </c>
      <c r="V824" s="18">
        <f t="shared" ca="1" si="2270"/>
        <v>129.80000000000001</v>
      </c>
      <c r="W824" s="76"/>
      <c r="X824" s="8">
        <v>3</v>
      </c>
      <c r="Y824" s="8" t="s">
        <v>34</v>
      </c>
      <c r="Z824" s="8">
        <f t="shared" ref="Z824:AI824" si="2293">SUM(D820)</f>
        <v>40</v>
      </c>
      <c r="AA824" s="9">
        <f t="shared" ca="1" si="2293"/>
        <v>40</v>
      </c>
      <c r="AB824" s="10">
        <f t="shared" ca="1" si="2293"/>
        <v>7710.384</v>
      </c>
      <c r="AC824" s="9">
        <f t="shared" ca="1" si="2293"/>
        <v>2570</v>
      </c>
      <c r="AD824" s="9">
        <f t="shared" ca="1" si="2293"/>
        <v>85</v>
      </c>
      <c r="AE824" s="9">
        <f t="shared" ca="1" si="2293"/>
        <v>2655</v>
      </c>
      <c r="AF824" s="9">
        <f t="shared" ca="1" si="2293"/>
        <v>3392</v>
      </c>
      <c r="AG824" s="9">
        <f t="shared" ca="1" si="2293"/>
        <v>0</v>
      </c>
      <c r="AH824" s="9">
        <f t="shared" ca="1" si="2293"/>
        <v>3392</v>
      </c>
      <c r="AI824" s="9">
        <f t="shared" ca="1" si="2293"/>
        <v>6047</v>
      </c>
      <c r="AJ824" s="11">
        <f t="shared" ca="1" si="2282"/>
        <v>192.75960000000001</v>
      </c>
      <c r="AK824" s="8">
        <f>SUM(O820)</f>
        <v>9354</v>
      </c>
      <c r="AL824" s="12">
        <f t="shared" ca="1" si="2284"/>
        <v>0.64646140688475517</v>
      </c>
      <c r="AM824" s="13">
        <f>SUM(Q820)</f>
        <v>1.5</v>
      </c>
      <c r="AN824" s="12">
        <f t="shared" ca="1" si="2286"/>
        <v>0.52284469013908164</v>
      </c>
      <c r="AO824" s="14">
        <f t="shared" ca="1" si="2287"/>
        <v>0.78426703520862251</v>
      </c>
      <c r="AP824" s="13">
        <f t="shared" ref="AP824:AQ824" ca="1" si="2294">SUM(T820)</f>
        <v>251.04626705303943</v>
      </c>
      <c r="AQ824" s="13">
        <f t="shared" ca="1" si="2294"/>
        <v>6.2761566763259857</v>
      </c>
      <c r="AR824" s="9">
        <f t="shared" ca="1" si="2289"/>
        <v>151.17500000000001</v>
      </c>
      <c r="AS824" s="76"/>
      <c r="AT824" s="76"/>
    </row>
    <row r="825" spans="1:46" ht="15.75" customHeight="1" x14ac:dyDescent="0.25">
      <c r="A825" s="70"/>
      <c r="B825" s="16">
        <v>10</v>
      </c>
      <c r="C825" s="16" t="s">
        <v>37</v>
      </c>
      <c r="D825" s="17">
        <v>30</v>
      </c>
      <c r="E825" s="18">
        <f ca="1">IFERROR(__xludf.DUMMYFUNCTION("COUNT(IMPORTRANGE(""https://docs.google.com/spreadsheets/d/1IYeRjQd_D6MRqoBKNaky3aSEUloYCJc5XDnPAbdyetk/edit"",""31!d2:d31""))"),30)</f>
        <v>30</v>
      </c>
      <c r="F825" s="23">
        <f ca="1">IFERROR(__xludf.DUMMYFUNCTION("SUM(IMPORTRANGE(""https://docs.google.com/spreadsheets/d/1IYeRjQd_D6MRqoBKNaky3aSEUloYCJc5XDnPAbdyetk/edit"",""31!Q2:Q31""))"),5936.148)</f>
        <v>5936.1480000000001</v>
      </c>
      <c r="G825" s="18">
        <f ca="1">IFERROR(__xludf.DUMMYFUNCTION("(IMPORTRANGE(""https://docs.google.com/spreadsheets/d/1IYeRjQd_D6MRqoBKNaky3aSEUloYCJc5XDnPAbdyetk/edit"",""31!e38""))"),2132)</f>
        <v>2132</v>
      </c>
      <c r="H825" s="18">
        <f ca="1">IFERROR(__xludf.DUMMYFUNCTION("(IMPORTRANGE(""https://docs.google.com/spreadsheets/d/1IYeRjQd_D6MRqoBKNaky3aSEUloYCJc5XDnPAbdyetk/edit"",""31!e39""))"),0)</f>
        <v>0</v>
      </c>
      <c r="I825" s="18">
        <f t="shared" ca="1" si="2262"/>
        <v>2132</v>
      </c>
      <c r="J825" s="18">
        <f ca="1">IFERROR(__xludf.DUMMYFUNCTION("(IMPORTRANGE(""https://docs.google.com/spreadsheets/d/1IYeRjQd_D6MRqoBKNaky3aSEUloYCJc5XDnPAbdyetk/edit"",""31!e42""))"),3292)</f>
        <v>3292</v>
      </c>
      <c r="K825" s="18">
        <f ca="1">IFERROR(__xludf.DUMMYFUNCTION("(IMPORTRANGE(""https://docs.google.com/spreadsheets/d/1IYeRjQd_D6MRqoBKNaky3aSEUloYCJc5XDnPAbdyetk/edit"",""31!e43""))"),0)</f>
        <v>0</v>
      </c>
      <c r="L825" s="18">
        <f t="shared" ca="1" si="2292"/>
        <v>3292</v>
      </c>
      <c r="M825" s="18">
        <f t="shared" ca="1" si="2264"/>
        <v>5424</v>
      </c>
      <c r="N825" s="19">
        <f t="shared" ca="1" si="2265"/>
        <v>197.8716</v>
      </c>
      <c r="O825" s="16">
        <v>5887</v>
      </c>
      <c r="P825" s="20">
        <f t="shared" ca="1" si="2266"/>
        <v>0.9213521318158655</v>
      </c>
      <c r="Q825" s="21">
        <v>1.5</v>
      </c>
      <c r="R825" s="20">
        <f t="shared" ca="1" si="2267"/>
        <v>0.60914923280214717</v>
      </c>
      <c r="S825" s="22">
        <f t="shared" ca="1" si="2268"/>
        <v>0.91372384920322069</v>
      </c>
      <c r="T825" s="21">
        <f ca="1">F825/24.792</f>
        <v>239.4380445304937</v>
      </c>
      <c r="U825" s="21">
        <f t="shared" ca="1" si="2269"/>
        <v>7.9812681510164563</v>
      </c>
      <c r="V825" s="18">
        <f t="shared" ca="1" si="2270"/>
        <v>180.8</v>
      </c>
      <c r="W825" s="76"/>
      <c r="X825" s="8">
        <v>4</v>
      </c>
      <c r="Y825" s="8" t="s">
        <v>38</v>
      </c>
      <c r="Z825" s="8">
        <f t="shared" ref="Z825:AI825" si="2295">SUM(D828)</f>
        <v>30</v>
      </c>
      <c r="AA825" s="9">
        <f t="shared" ca="1" si="2295"/>
        <v>29</v>
      </c>
      <c r="AB825" s="10">
        <f t="shared" ca="1" si="2295"/>
        <v>6036.0169999999998</v>
      </c>
      <c r="AC825" s="9">
        <f t="shared" ca="1" si="2295"/>
        <v>1765</v>
      </c>
      <c r="AD825" s="9">
        <f t="shared" ca="1" si="2295"/>
        <v>59</v>
      </c>
      <c r="AE825" s="9">
        <f t="shared" ca="1" si="2295"/>
        <v>1824</v>
      </c>
      <c r="AF825" s="9">
        <f t="shared" ca="1" si="2295"/>
        <v>3151</v>
      </c>
      <c r="AG825" s="9">
        <f t="shared" ca="1" si="2295"/>
        <v>0</v>
      </c>
      <c r="AH825" s="9">
        <f t="shared" ca="1" si="2295"/>
        <v>3151</v>
      </c>
      <c r="AI825" s="9">
        <f t="shared" ca="1" si="2295"/>
        <v>4975</v>
      </c>
      <c r="AJ825" s="11">
        <f t="shared" ca="1" si="2282"/>
        <v>208.1385172413793</v>
      </c>
      <c r="AK825" s="8">
        <v>7324</v>
      </c>
      <c r="AL825" s="12">
        <f t="shared" ca="1" si="2284"/>
        <v>0.67927362097214639</v>
      </c>
      <c r="AM825" s="13">
        <f>SUM(Q828)</f>
        <v>1.5</v>
      </c>
      <c r="AN825" s="12">
        <f t="shared" ca="1" si="2286"/>
        <v>0.54947934485053085</v>
      </c>
      <c r="AO825" s="14">
        <f t="shared" ca="1" si="2287"/>
        <v>0.82421901727579627</v>
      </c>
      <c r="AP825" s="13">
        <f t="shared" ref="AP825:AQ825" ca="1" si="2296">SUM(T828)</f>
        <v>146.4874893823565</v>
      </c>
      <c r="AQ825" s="13">
        <f t="shared" ca="1" si="2296"/>
        <v>5.0512927373226377</v>
      </c>
      <c r="AR825" s="9">
        <f t="shared" ca="1" si="2289"/>
        <v>171.55172413793105</v>
      </c>
      <c r="AS825" s="76"/>
      <c r="AT825" s="76"/>
    </row>
    <row r="826" spans="1:46" ht="15.75" customHeight="1" x14ac:dyDescent="0.25">
      <c r="A826" s="70"/>
      <c r="B826" s="16">
        <v>12</v>
      </c>
      <c r="C826" s="16" t="s">
        <v>39</v>
      </c>
      <c r="D826" s="17">
        <v>28</v>
      </c>
      <c r="E826" s="18">
        <f ca="1">IFERROR(__xludf.DUMMYFUNCTION("COUNT(IMPORTRANGE(""https://docs.google.com/spreadsheets/d/1TAY2D35yAzyl8a_p5CuZehQvmatfj0b0Q8ICl8GtJBY/edit"",""31!d2:d29""))"),27)</f>
        <v>27</v>
      </c>
      <c r="F826" s="23">
        <f ca="1">IFERROR(__xludf.DUMMYFUNCTION("SUM(IMPORTRANGE(""https://docs.google.com/spreadsheets/d/1TAY2D35yAzyl8a_p5CuZehQvmatfj0b0Q8ICl8GtJBY/edit"",""31!Q2:Q29""))"),5039.44)</f>
        <v>5039.4399999999996</v>
      </c>
      <c r="G826" s="18">
        <f ca="1">IFERROR(__xludf.DUMMYFUNCTION("IMPORTRANGE(""https://docs.google.com/spreadsheets/d/1TAY2D35yAzyl8a_p5CuZehQvmatfj0b0Q8ICl8GtJBY/edit"",""31!e36"")"),1146)</f>
        <v>1146</v>
      </c>
      <c r="H826" s="18">
        <f ca="1">IFERROR(__xludf.DUMMYFUNCTION("(IMPORTRANGE(""https://docs.google.com/spreadsheets/d/1TAY2D35yAzyl8a_p5CuZehQvmatfj0b0Q8ICl8GtJBY/edit"",""31!e37""))"),93)</f>
        <v>93</v>
      </c>
      <c r="I826" s="18">
        <f t="shared" ca="1" si="2262"/>
        <v>1239</v>
      </c>
      <c r="J826" s="18">
        <f ca="1">IFERROR(__xludf.DUMMYFUNCTION("IMPORTRANGE(""https://docs.google.com/spreadsheets/d/1TAY2D35yAzyl8a_p5CuZehQvmatfj0b0Q8ICl8GtJBY/edit"",""31!e40"")"),1917)</f>
        <v>1917</v>
      </c>
      <c r="K826" s="18">
        <f ca="1">IFERROR(__xludf.DUMMYFUNCTION("IMPORTRANGE(""https://docs.google.com/spreadsheets/d/1TAY2D35yAzyl8a_p5CuZehQvmatfj0b0Q8ICl8GtJBY/edit"",""31!e41"")"),63)</f>
        <v>63</v>
      </c>
      <c r="L826" s="18">
        <f t="shared" ca="1" si="2292"/>
        <v>1980</v>
      </c>
      <c r="M826" s="18">
        <f t="shared" ca="1" si="2264"/>
        <v>3219</v>
      </c>
      <c r="N826" s="19">
        <f t="shared" ca="1" si="2265"/>
        <v>186.64592592592592</v>
      </c>
      <c r="O826" s="16">
        <v>3569</v>
      </c>
      <c r="P826" s="20">
        <f t="shared" ca="1" si="2266"/>
        <v>0.90193331465396465</v>
      </c>
      <c r="Q826" s="21">
        <v>1.5</v>
      </c>
      <c r="R826" s="20">
        <f t="shared" ca="1" si="2267"/>
        <v>0.42584096645659048</v>
      </c>
      <c r="S826" s="22">
        <f t="shared" ca="1" si="2268"/>
        <v>0.63876144968488568</v>
      </c>
      <c r="T826" s="21">
        <f ca="1">F826/21.463</f>
        <v>234.7966267530168</v>
      </c>
      <c r="U826" s="21">
        <f t="shared" ca="1" si="2269"/>
        <v>8.6961713612228451</v>
      </c>
      <c r="V826" s="18">
        <f t="shared" ca="1" si="2270"/>
        <v>119.22222222222223</v>
      </c>
      <c r="W826" s="76"/>
      <c r="X826" s="8">
        <v>5</v>
      </c>
      <c r="Y826" s="8" t="s">
        <v>40</v>
      </c>
      <c r="Z826" s="8">
        <f t="shared" ref="Z826:AI826" si="2297">SUM(D830)</f>
        <v>30</v>
      </c>
      <c r="AA826" s="9">
        <f t="shared" ca="1" si="2297"/>
        <v>30</v>
      </c>
      <c r="AB826" s="10">
        <f t="shared" ca="1" si="2297"/>
        <v>5745.4859999999899</v>
      </c>
      <c r="AC826" s="9">
        <f t="shared" ca="1" si="2297"/>
        <v>3292</v>
      </c>
      <c r="AD826" s="9">
        <f t="shared" ca="1" si="2297"/>
        <v>0</v>
      </c>
      <c r="AE826" s="9">
        <f t="shared" ca="1" si="2297"/>
        <v>3292</v>
      </c>
      <c r="AF826" s="9">
        <f t="shared" ca="1" si="2297"/>
        <v>3848</v>
      </c>
      <c r="AG826" s="9">
        <f t="shared" ca="1" si="2297"/>
        <v>0</v>
      </c>
      <c r="AH826" s="9">
        <f t="shared" ca="1" si="2297"/>
        <v>3848</v>
      </c>
      <c r="AI826" s="9">
        <f t="shared" ca="1" si="2297"/>
        <v>7140</v>
      </c>
      <c r="AJ826" s="11">
        <f t="shared" ca="1" si="2282"/>
        <v>191.51619999999966</v>
      </c>
      <c r="AK826" s="8">
        <f t="shared" ref="AK826:AK827" si="2298">SUM(O830)</f>
        <v>8239</v>
      </c>
      <c r="AL826" s="12">
        <f t="shared" ca="1" si="2284"/>
        <v>0.86661002548853017</v>
      </c>
      <c r="AM826" s="13">
        <f t="shared" ref="AM826:AM827" si="2299">SUM(Q830)</f>
        <v>1.5</v>
      </c>
      <c r="AN826" s="12">
        <f t="shared" ca="1" si="2286"/>
        <v>0.8284764770116938</v>
      </c>
      <c r="AO826" s="14">
        <f t="shared" ca="1" si="2287"/>
        <v>1.2427147155175406</v>
      </c>
      <c r="AP826" s="13">
        <f t="shared" ref="AP826:AQ826" ca="1" si="2300">SUM(T830)</f>
        <v>201.99999999999963</v>
      </c>
      <c r="AQ826" s="13">
        <f t="shared" ca="1" si="2300"/>
        <v>6.733333333333321</v>
      </c>
      <c r="AR826" s="9">
        <f t="shared" ca="1" si="2289"/>
        <v>238</v>
      </c>
      <c r="AS826" s="76"/>
      <c r="AT826" s="76"/>
    </row>
    <row r="827" spans="1:46" ht="15.75" customHeight="1" x14ac:dyDescent="0.25">
      <c r="A827" s="70"/>
      <c r="B827" s="16">
        <v>12</v>
      </c>
      <c r="C827" s="16" t="s">
        <v>41</v>
      </c>
      <c r="D827" s="17">
        <v>24</v>
      </c>
      <c r="E827" s="18">
        <f ca="1">IFERROR(__xludf.DUMMYFUNCTION("COUNT(IMPORTRANGE(""https://docs.google.com/spreadsheets/d/1VAsUtLQHi7oV9NsI9EIHPnO1bcPJHeRgSbMoxSvPBME/edit"",""31!d2:d25""))"),24)</f>
        <v>24</v>
      </c>
      <c r="F827" s="23">
        <f ca="1">IFERROR(__xludf.DUMMYFUNCTION("SUM(IMPORTRANGE(""https://docs.google.com/spreadsheets/d/1VAsUtLQHi7oV9NsI9EIHPnO1bcPJHeRgSbMoxSvPBME/edit"",""31!Q2:Q25""))"),4793.152)</f>
        <v>4793.152</v>
      </c>
      <c r="G827" s="18">
        <f ca="1">IFERROR(__xludf.DUMMYFUNCTION("IMPORTRANGE(""https://docs.google.com/spreadsheets/d/1VAsUtLQHi7oV9NsI9EIHPnO1bcPJHeRgSbMoxSvPBME/edit"",""31!e32"")"),1313)</f>
        <v>1313</v>
      </c>
      <c r="H827" s="18">
        <f ca="1">IFERROR(__xludf.DUMMYFUNCTION("IMPORTRANGE(""https://docs.google.com/spreadsheets/d/1VAsUtLQHi7oV9NsI9EIHPnO1bcPJHeRgSbMoxSvPBME/edit"",""31!e33"")"),45)</f>
        <v>45</v>
      </c>
      <c r="I827" s="18">
        <f t="shared" ca="1" si="2262"/>
        <v>1358</v>
      </c>
      <c r="J827" s="18">
        <f ca="1">IFERROR(__xludf.DUMMYFUNCTION("IMPORTRANGE(""https://docs.google.com/spreadsheets/d/1VAsUtLQHi7oV9NsI9EIHPnO1bcPJHeRgSbMoxSvPBME/edit"",""31!e36"")"),1718)</f>
        <v>1718</v>
      </c>
      <c r="K827" s="18">
        <f ca="1">IFERROR(__xludf.DUMMYFUNCTION("IMPORTRANGE(""https://docs.google.com/spreadsheets/d/1VAsUtLQHi7oV9NsI9EIHPnO1bcPJHeRgSbMoxSvPBME/edit"",""31!e37"")"),0)</f>
        <v>0</v>
      </c>
      <c r="L827" s="18">
        <f t="shared" ca="1" si="2292"/>
        <v>1718</v>
      </c>
      <c r="M827" s="18">
        <f t="shared" ca="1" si="2264"/>
        <v>3076</v>
      </c>
      <c r="N827" s="19">
        <f t="shared" ca="1" si="2265"/>
        <v>199.71466666666666</v>
      </c>
      <c r="O827" s="16">
        <v>3801</v>
      </c>
      <c r="P827" s="20">
        <f t="shared" ca="1" si="2266"/>
        <v>0.80926072086293077</v>
      </c>
      <c r="Q827" s="21">
        <v>1.5</v>
      </c>
      <c r="R827" s="20">
        <f t="shared" ca="1" si="2267"/>
        <v>0.42783259672688589</v>
      </c>
      <c r="S827" s="22">
        <f t="shared" ca="1" si="2268"/>
        <v>0.64174889509032884</v>
      </c>
      <c r="T827" s="21">
        <f ca="1">F827/29.628</f>
        <v>161.77777777777777</v>
      </c>
      <c r="U827" s="21">
        <f t="shared" ca="1" si="2269"/>
        <v>6.7407407407407405</v>
      </c>
      <c r="V827" s="18">
        <f t="shared" ca="1" si="2270"/>
        <v>128.16666666666666</v>
      </c>
      <c r="W827" s="76"/>
      <c r="X827" s="8">
        <v>6</v>
      </c>
      <c r="Y827" s="8" t="s">
        <v>42</v>
      </c>
      <c r="Z827" s="8">
        <f t="shared" ref="Z827:AI827" si="2301">SUM(D831)</f>
        <v>33</v>
      </c>
      <c r="AA827" s="9">
        <f t="shared" ca="1" si="2301"/>
        <v>33</v>
      </c>
      <c r="AB827" s="10">
        <f t="shared" ca="1" si="2301"/>
        <v>6295.6619999999903</v>
      </c>
      <c r="AC827" s="9">
        <f t="shared" ca="1" si="2301"/>
        <v>3092</v>
      </c>
      <c r="AD827" s="9">
        <f t="shared" ca="1" si="2301"/>
        <v>150</v>
      </c>
      <c r="AE827" s="9">
        <f t="shared" ca="1" si="2301"/>
        <v>3242</v>
      </c>
      <c r="AF827" s="9">
        <f t="shared" ca="1" si="2301"/>
        <v>3956</v>
      </c>
      <c r="AG827" s="9">
        <f t="shared" ca="1" si="2301"/>
        <v>117</v>
      </c>
      <c r="AH827" s="9">
        <f t="shared" ca="1" si="2301"/>
        <v>4073</v>
      </c>
      <c r="AI827" s="9">
        <f t="shared" ca="1" si="2301"/>
        <v>7315</v>
      </c>
      <c r="AJ827" s="11">
        <f t="shared" ca="1" si="2282"/>
        <v>190.77763636363608</v>
      </c>
      <c r="AK827" s="8">
        <f t="shared" si="2298"/>
        <v>9877</v>
      </c>
      <c r="AL827" s="12">
        <f t="shared" ca="1" si="2284"/>
        <v>0.74060949681077248</v>
      </c>
      <c r="AM827" s="13">
        <f t="shared" si="2299"/>
        <v>1.5</v>
      </c>
      <c r="AN827" s="12">
        <f t="shared" ca="1" si="2286"/>
        <v>0.77460744663018355</v>
      </c>
      <c r="AO827" s="14">
        <f t="shared" ca="1" si="2287"/>
        <v>1.1619111699452753</v>
      </c>
      <c r="AP827" s="13">
        <f t="shared" ref="AP827:AQ827" ca="1" si="2302">SUM(T831)</f>
        <v>240.70586885872643</v>
      </c>
      <c r="AQ827" s="13">
        <f t="shared" ca="1" si="2302"/>
        <v>7.2941172381432251</v>
      </c>
      <c r="AR827" s="9">
        <f t="shared" ca="1" si="2289"/>
        <v>221.66666666666666</v>
      </c>
      <c r="AS827" s="76"/>
      <c r="AT827" s="76"/>
    </row>
    <row r="828" spans="1:46" ht="15.75" customHeight="1" x14ac:dyDescent="0.25">
      <c r="A828" s="70"/>
      <c r="B828" s="16">
        <v>13</v>
      </c>
      <c r="C828" s="16" t="s">
        <v>43</v>
      </c>
      <c r="D828" s="17">
        <v>30</v>
      </c>
      <c r="E828" s="18">
        <f ca="1">IFERROR(__xludf.DUMMYFUNCTION("COUNT(IMPORTRANGE(""https://docs.google.com/spreadsheets/d/1p9Y_DGk7-TpRBFth-ljZceOIGCjQ0ylUeUq6xqnsZ-Q/edit"",""31!d2:d31""))"),29)</f>
        <v>29</v>
      </c>
      <c r="F828" s="23">
        <f ca="1">IFERROR(__xludf.DUMMYFUNCTION("SUM(IMPORTRANGE(""https://docs.google.com/spreadsheets/d/1p9Y_DGk7-TpRBFth-ljZceOIGCjQ0ylUeUq6xqnsZ-Q/edit"",""31!Q2:Q31""))"),6036.017)</f>
        <v>6036.0169999999998</v>
      </c>
      <c r="G828" s="18">
        <f ca="1">IFERROR(__xludf.DUMMYFUNCTION("IMPORTRANGE(""https://docs.google.com/spreadsheets/d/1p9Y_DGk7-TpRBFth-ljZceOIGCjQ0ylUeUq6xqnsZ-Q/edit"",""31!e38"")"),1765)</f>
        <v>1765</v>
      </c>
      <c r="H828" s="18">
        <f ca="1">IFERROR(__xludf.DUMMYFUNCTION("IMPORTRANGE(""https://docs.google.com/spreadsheets/d/1p9Y_DGk7-TpRBFth-ljZceOIGCjQ0ylUeUq6xqnsZ-Q/edit"",""31!e39"")"),59)</f>
        <v>59</v>
      </c>
      <c r="I828" s="18">
        <f t="shared" ca="1" si="2262"/>
        <v>1824</v>
      </c>
      <c r="J828" s="18">
        <f ca="1">IFERROR(__xludf.DUMMYFUNCTION("IMPORTRANGE(""https://docs.google.com/spreadsheets/d/1p9Y_DGk7-TpRBFth-ljZceOIGCjQ0ylUeUq6xqnsZ-Q/edit"",""31!e42"")"),3151)</f>
        <v>3151</v>
      </c>
      <c r="K828" s="18">
        <f ca="1">IFERROR(__xludf.DUMMYFUNCTION("IMPORTRANGE(""https://docs.google.com/spreadsheets/d/1p9Y_DGk7-TpRBFth-ljZceOIGCjQ0ylUeUq6xqnsZ-Q/edit"",""31!e43"")"),0)</f>
        <v>0</v>
      </c>
      <c r="L828" s="18">
        <f t="shared" ca="1" si="2292"/>
        <v>3151</v>
      </c>
      <c r="M828" s="18">
        <f t="shared" ca="1" si="2264"/>
        <v>4975</v>
      </c>
      <c r="N828" s="19">
        <f t="shared" ca="1" si="2265"/>
        <v>208.1385172413793</v>
      </c>
      <c r="O828" s="16">
        <v>8345</v>
      </c>
      <c r="P828" s="20">
        <f t="shared" ca="1" si="2266"/>
        <v>0.59616536848412227</v>
      </c>
      <c r="Q828" s="21">
        <v>1.5</v>
      </c>
      <c r="R828" s="20">
        <f t="shared" ca="1" si="2267"/>
        <v>0.54947934485053085</v>
      </c>
      <c r="S828" s="22">
        <f t="shared" ca="1" si="2268"/>
        <v>0.82421901727579627</v>
      </c>
      <c r="T828" s="21">
        <f ca="1">F828/41.205</f>
        <v>146.4874893823565</v>
      </c>
      <c r="U828" s="21">
        <f t="shared" ca="1" si="2269"/>
        <v>5.0512927373226377</v>
      </c>
      <c r="V828" s="18">
        <f t="shared" ca="1" si="2270"/>
        <v>171.55172413793105</v>
      </c>
      <c r="W828" s="76"/>
      <c r="X828" s="24" t="s">
        <v>33</v>
      </c>
      <c r="Y828" s="24">
        <v>6</v>
      </c>
      <c r="Z828" s="24">
        <f t="shared" ref="Z828:AI828" si="2303">SUM(Z822:Z827)</f>
        <v>226</v>
      </c>
      <c r="AA828" s="25">
        <f t="shared" ca="1" si="2303"/>
        <v>223</v>
      </c>
      <c r="AB828" s="27">
        <f t="shared" ca="1" si="2303"/>
        <v>43890.183999999877</v>
      </c>
      <c r="AC828" s="25">
        <f t="shared" ca="1" si="2303"/>
        <v>17242</v>
      </c>
      <c r="AD828" s="25">
        <f t="shared" ca="1" si="2303"/>
        <v>306</v>
      </c>
      <c r="AE828" s="25">
        <f t="shared" ca="1" si="2303"/>
        <v>17548</v>
      </c>
      <c r="AF828" s="25">
        <f t="shared" ca="1" si="2303"/>
        <v>23031</v>
      </c>
      <c r="AG828" s="25">
        <f t="shared" ca="1" si="2303"/>
        <v>466</v>
      </c>
      <c r="AH828" s="25">
        <f t="shared" ca="1" si="2303"/>
        <v>23497</v>
      </c>
      <c r="AI828" s="25">
        <f t="shared" ca="1" si="2303"/>
        <v>41045</v>
      </c>
      <c r="AJ828" s="27">
        <f t="shared" ca="1" si="2282"/>
        <v>196.81696860986492</v>
      </c>
      <c r="AK828" s="24">
        <f>SUM(AK822:AK827)</f>
        <v>53273</v>
      </c>
      <c r="AL828" s="28">
        <f t="shared" ca="1" si="2284"/>
        <v>0.77046533891464719</v>
      </c>
      <c r="AM828" s="29">
        <v>1.5</v>
      </c>
      <c r="AN828" s="28">
        <f t="shared" ca="1" si="2286"/>
        <v>0.62344995713240603</v>
      </c>
      <c r="AO828" s="30">
        <f t="shared" ca="1" si="2287"/>
        <v>0.93517493569860899</v>
      </c>
      <c r="AP828" s="29">
        <f ca="1">SUM(AP822:AP827)</f>
        <v>1442.6912810555191</v>
      </c>
      <c r="AQ828" s="29">
        <f ca="1">AP828/AA828</f>
        <v>6.469467628051655</v>
      </c>
      <c r="AR828" s="25">
        <f t="shared" ca="1" si="2289"/>
        <v>184.05829596412556</v>
      </c>
      <c r="AS828" s="76"/>
      <c r="AT828" s="76"/>
    </row>
    <row r="829" spans="1:46" ht="15.75" customHeight="1" x14ac:dyDescent="0.25">
      <c r="A829" s="70"/>
      <c r="B829" s="16">
        <v>14</v>
      </c>
      <c r="C829" s="16" t="s">
        <v>27</v>
      </c>
      <c r="D829" s="17">
        <v>30</v>
      </c>
      <c r="E829" s="18">
        <f ca="1">IFERROR(__xludf.DUMMYFUNCTION("COUNT(IMPORTRANGE(""https://docs.google.com/spreadsheets/d/1zJUDEKztv_fercXA0LYNw155qdzS7TJGhWLhquaW5IY/edit"",""31!d2:d31""))"),29)</f>
        <v>29</v>
      </c>
      <c r="F829" s="23">
        <f ca="1">IFERROR(__xludf.DUMMYFUNCTION("SUM(IMPORTRANGE(""https://docs.google.com/spreadsheets/d/1zJUDEKztv_fercXA0LYNw155qdzS7TJGhWLhquaW5IY/edit"",""31!Q2:Q31""))"),5551.72299999999)</f>
        <v>5551.72299999999</v>
      </c>
      <c r="G829" s="18">
        <f ca="1">IFERROR(__xludf.DUMMYFUNCTION("IMPORTRANGE(""https://docs.google.com/spreadsheets/d/1zJUDEKztv_fercXA0LYNw155qdzS7TJGhWLhquaW5IY/edit"",""31!e38"")"),2451)</f>
        <v>2451</v>
      </c>
      <c r="H829" s="18">
        <f ca="1">IFERROR(__xludf.DUMMYFUNCTION("IMPORTRANGE(""https://docs.google.com/spreadsheets/d/1zJUDEKztv_fercXA0LYNw155qdzS7TJGhWLhquaW5IY/edit"",""31!e39"")"),160)</f>
        <v>160</v>
      </c>
      <c r="I829" s="18">
        <f t="shared" ca="1" si="2262"/>
        <v>2611</v>
      </c>
      <c r="J829" s="18">
        <f ca="1">IFERROR(__xludf.DUMMYFUNCTION("IMPORTRANGE(""https://docs.google.com/spreadsheets/d/1zJUDEKztv_fercXA0LYNw155qdzS7TJGhWLhquaW5IY/edit"",""31!e42"")"),3427)</f>
        <v>3427</v>
      </c>
      <c r="K829" s="18">
        <f ca="1">IFERROR(__xludf.DUMMYFUNCTION("IMPORTRANGE(""https://docs.google.com/spreadsheets/d/1zJUDEKztv_fercXA0LYNw155qdzS7TJGhWLhquaW5IY/edit"",""31!e43"")"),0)</f>
        <v>0</v>
      </c>
      <c r="L829" s="18">
        <f t="shared" ca="1" si="2292"/>
        <v>3427</v>
      </c>
      <c r="M829" s="18">
        <f t="shared" ca="1" si="2264"/>
        <v>6038</v>
      </c>
      <c r="N829" s="19">
        <f t="shared" ca="1" si="2265"/>
        <v>191.43872413793068</v>
      </c>
      <c r="O829" s="16">
        <v>8101</v>
      </c>
      <c r="P829" s="20">
        <f t="shared" ca="1" si="2266"/>
        <v>0.74534008147142328</v>
      </c>
      <c r="Q829" s="21">
        <v>1.5</v>
      </c>
      <c r="R829" s="20">
        <f t="shared" ca="1" si="2267"/>
        <v>0.7250601900226904</v>
      </c>
      <c r="S829" s="22">
        <f t="shared" ca="1" si="2268"/>
        <v>1.0875902850340355</v>
      </c>
      <c r="T829" s="21">
        <f ca="1">F829/19.985</f>
        <v>277.79449587190345</v>
      </c>
      <c r="U829" s="21">
        <f t="shared" ca="1" si="2269"/>
        <v>9.5791205473070153</v>
      </c>
      <c r="V829" s="18">
        <f t="shared" ca="1" si="2270"/>
        <v>208.20689655172413</v>
      </c>
      <c r="W829" s="76"/>
      <c r="X829" s="97" t="s">
        <v>44</v>
      </c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9"/>
      <c r="AS829" s="76"/>
      <c r="AT829" s="76"/>
    </row>
    <row r="830" spans="1:46" ht="15.75" customHeight="1" x14ac:dyDescent="0.25">
      <c r="A830" s="70"/>
      <c r="B830" s="16">
        <v>15</v>
      </c>
      <c r="C830" s="16" t="s">
        <v>40</v>
      </c>
      <c r="D830" s="17">
        <v>30</v>
      </c>
      <c r="E830" s="18">
        <f ca="1">IFERROR(__xludf.DUMMYFUNCTION("COUNT(IMPORTRANGE(""https://docs.google.com/spreadsheets/d/15GJA66Ucb-8RQ5vWVpq5HYaWoZZFX82SCeHChBujbrI/edit"",""31!d2:d31""))"),30)</f>
        <v>30</v>
      </c>
      <c r="F830" s="23">
        <f ca="1">IFERROR(__xludf.DUMMYFUNCTION("SUM(IMPORTRANGE(""https://docs.google.com/spreadsheets/d/15GJA66Ucb-8RQ5vWVpq5HYaWoZZFX82SCeHChBujbrI/edit"",""31!Q2:Q31""))"),5745.48599999999)</f>
        <v>5745.4859999999899</v>
      </c>
      <c r="G830" s="18">
        <f ca="1">IFERROR(__xludf.DUMMYFUNCTION("IMPORTRANGE(""https://docs.google.com/spreadsheets/d/15GJA66Ucb-8RQ5vWVpq5HYaWoZZFX82SCeHChBujbrI/edit"",""31!e38"")"),3292)</f>
        <v>3292</v>
      </c>
      <c r="H830" s="18">
        <f ca="1">IFERROR(__xludf.DUMMYFUNCTION("IMPORTRANGE(""https://docs.google.com/spreadsheets/d/15GJA66Ucb-8RQ5vWVpq5HYaWoZZFX82SCeHChBujbrI/edit"",""31!e39"")"),0)</f>
        <v>0</v>
      </c>
      <c r="I830" s="18">
        <f t="shared" ca="1" si="2262"/>
        <v>3292</v>
      </c>
      <c r="J830" s="18">
        <f ca="1">IFERROR(__xludf.DUMMYFUNCTION("IMPORTRANGE(""https://docs.google.com/spreadsheets/d/15GJA66Ucb-8RQ5vWVpq5HYaWoZZFX82SCeHChBujbrI/edit"",""31!e42"")"),3848)</f>
        <v>3848</v>
      </c>
      <c r="K830" s="18">
        <f ca="1">IFERROR(__xludf.DUMMYFUNCTION("IMPORTRANGE(""https://docs.google.com/spreadsheets/d/15GJA66Ucb-8RQ5vWVpq5HYaWoZZFX82SCeHChBujbrI/edit"",""31!e43"")"),0)</f>
        <v>0</v>
      </c>
      <c r="L830" s="18">
        <f t="shared" ca="1" si="2292"/>
        <v>3848</v>
      </c>
      <c r="M830" s="18">
        <f t="shared" ca="1" si="2264"/>
        <v>7140</v>
      </c>
      <c r="N830" s="19">
        <f t="shared" ca="1" si="2265"/>
        <v>191.51619999999966</v>
      </c>
      <c r="O830" s="16">
        <v>8239</v>
      </c>
      <c r="P830" s="20">
        <f t="shared" ca="1" si="2266"/>
        <v>0.86661002548853017</v>
      </c>
      <c r="Q830" s="21">
        <v>1.5</v>
      </c>
      <c r="R830" s="20">
        <f t="shared" ca="1" si="2267"/>
        <v>0.8284764770116938</v>
      </c>
      <c r="S830" s="22">
        <f t="shared" ca="1" si="2268"/>
        <v>1.2427147155175406</v>
      </c>
      <c r="T830" s="21">
        <f ca="1">F830/28.443</f>
        <v>201.99999999999963</v>
      </c>
      <c r="U830" s="21">
        <f t="shared" ca="1" si="2269"/>
        <v>6.733333333333321</v>
      </c>
      <c r="V830" s="18">
        <f t="shared" ca="1" si="2270"/>
        <v>238</v>
      </c>
      <c r="W830" s="76"/>
      <c r="X830" s="1" t="s">
        <v>2</v>
      </c>
      <c r="Y830" s="1" t="s">
        <v>3</v>
      </c>
      <c r="Z830" s="1" t="s">
        <v>4</v>
      </c>
      <c r="AA830" s="1" t="s">
        <v>5</v>
      </c>
      <c r="AB830" s="2" t="s">
        <v>6</v>
      </c>
      <c r="AC830" s="1" t="s">
        <v>7</v>
      </c>
      <c r="AD830" s="1" t="s">
        <v>8</v>
      </c>
      <c r="AE830" s="1" t="s">
        <v>9</v>
      </c>
      <c r="AF830" s="1" t="s">
        <v>10</v>
      </c>
      <c r="AG830" s="1" t="s">
        <v>11</v>
      </c>
      <c r="AH830" s="1" t="s">
        <v>12</v>
      </c>
      <c r="AI830" s="1" t="s">
        <v>13</v>
      </c>
      <c r="AJ830" s="2" t="s">
        <v>14</v>
      </c>
      <c r="AK830" s="1" t="s">
        <v>15</v>
      </c>
      <c r="AL830" s="1" t="s">
        <v>16</v>
      </c>
      <c r="AM830" s="3" t="s">
        <v>17</v>
      </c>
      <c r="AN830" s="4" t="s">
        <v>18</v>
      </c>
      <c r="AO830" s="5" t="s">
        <v>19</v>
      </c>
      <c r="AP830" s="6" t="s">
        <v>20</v>
      </c>
      <c r="AQ830" s="6" t="s">
        <v>21</v>
      </c>
      <c r="AR830" s="7" t="s">
        <v>22</v>
      </c>
      <c r="AS830" s="76"/>
      <c r="AT830" s="76"/>
    </row>
    <row r="831" spans="1:46" ht="15.75" customHeight="1" x14ac:dyDescent="0.25">
      <c r="A831" s="70"/>
      <c r="B831" s="16">
        <v>16</v>
      </c>
      <c r="C831" s="16" t="s">
        <v>42</v>
      </c>
      <c r="D831" s="17">
        <v>33</v>
      </c>
      <c r="E831" s="18">
        <f ca="1">IFERROR(__xludf.DUMMYFUNCTION("COUNT(IMPORTRANGE(""https://docs.google.com/spreadsheets/d/14Tu_jFPEdrIQ6DHYu6vRvJKQsbXr-48NY1tKy4-8JKI/edit"",""31!d2:d34""))"),33)</f>
        <v>33</v>
      </c>
      <c r="F831" s="23">
        <f ca="1">IFERROR(__xludf.DUMMYFUNCTION("SUM(IMPORTRANGE(""https://docs.google.com/spreadsheets/d/14Tu_jFPEdrIQ6DHYu6vRvJKQsbXr-48NY1tKy4-8JKI/edit"",""31!Q2:Q34""))"),6295.66199999999)</f>
        <v>6295.6619999999903</v>
      </c>
      <c r="G831" s="18">
        <f ca="1">IFERROR(__xludf.DUMMYFUNCTION("IMPORTRANGE(""https://docs.google.com/spreadsheets/d/14Tu_jFPEdrIQ6DHYu6vRvJKQsbXr-48NY1tKy4-8JKI/edit"",""31!e41"")"),3092)</f>
        <v>3092</v>
      </c>
      <c r="H831" s="18">
        <f ca="1">IFERROR(__xludf.DUMMYFUNCTION("IMPORTRANGE(""https://docs.google.com/spreadsheets/d/14Tu_jFPEdrIQ6DHYu6vRvJKQsbXr-48NY1tKy4-8JKI/edit"",""31!e42"")"),150)</f>
        <v>150</v>
      </c>
      <c r="I831" s="18">
        <f t="shared" ca="1" si="2262"/>
        <v>3242</v>
      </c>
      <c r="J831" s="18">
        <f ca="1">IFERROR(__xludf.DUMMYFUNCTION("IMPORTRANGE(""https://docs.google.com/spreadsheets/d/14Tu_jFPEdrIQ6DHYu6vRvJKQsbXr-48NY1tKy4-8JKI/edit"",""31!e45"")"),3956)</f>
        <v>3956</v>
      </c>
      <c r="K831" s="18">
        <f ca="1">IFERROR(__xludf.DUMMYFUNCTION("IMPORTRANGE(""https://docs.google.com/spreadsheets/d/14Tu_jFPEdrIQ6DHYu6vRvJKQsbXr-48NY1tKy4-8JKI/edit"",""31!e46"")"),117)</f>
        <v>117</v>
      </c>
      <c r="L831" s="18">
        <f t="shared" ca="1" si="2292"/>
        <v>4073</v>
      </c>
      <c r="M831" s="18">
        <f t="shared" ca="1" si="2264"/>
        <v>7315</v>
      </c>
      <c r="N831" s="19">
        <f t="shared" ca="1" si="2265"/>
        <v>190.77763636363608</v>
      </c>
      <c r="O831" s="16">
        <v>9877</v>
      </c>
      <c r="P831" s="20">
        <f t="shared" ca="1" si="2266"/>
        <v>0.74060949681077248</v>
      </c>
      <c r="Q831" s="21">
        <v>1.5</v>
      </c>
      <c r="R831" s="20">
        <f t="shared" ca="1" si="2267"/>
        <v>0.77460744663018355</v>
      </c>
      <c r="S831" s="22">
        <f t="shared" ca="1" si="2268"/>
        <v>1.1619111699452753</v>
      </c>
      <c r="T831" s="21">
        <f ca="1">F831/26.155</f>
        <v>240.70586885872643</v>
      </c>
      <c r="U831" s="21">
        <f t="shared" ca="1" si="2269"/>
        <v>7.2941172381432251</v>
      </c>
      <c r="V831" s="18">
        <f t="shared" ca="1" si="2270"/>
        <v>221.66666666666666</v>
      </c>
      <c r="W831" s="76"/>
      <c r="X831" s="8">
        <v>1</v>
      </c>
      <c r="Y831" s="8" t="s">
        <v>26</v>
      </c>
      <c r="Z831" s="8">
        <f t="shared" ref="Z831:AI831" si="2304">SUM(D816)</f>
        <v>20</v>
      </c>
      <c r="AA831" s="9">
        <f t="shared" ca="1" si="2304"/>
        <v>20</v>
      </c>
      <c r="AB831" s="11">
        <f t="shared" ca="1" si="2304"/>
        <v>3993.567</v>
      </c>
      <c r="AC831" s="9">
        <f t="shared" ca="1" si="2304"/>
        <v>2053</v>
      </c>
      <c r="AD831" s="9">
        <f t="shared" ca="1" si="2304"/>
        <v>0</v>
      </c>
      <c r="AE831" s="9">
        <f t="shared" ca="1" si="2304"/>
        <v>2053</v>
      </c>
      <c r="AF831" s="9">
        <f t="shared" ca="1" si="2304"/>
        <v>3148</v>
      </c>
      <c r="AG831" s="9">
        <f t="shared" ca="1" si="2304"/>
        <v>0</v>
      </c>
      <c r="AH831" s="9">
        <f t="shared" ca="1" si="2304"/>
        <v>3148</v>
      </c>
      <c r="AI831" s="9">
        <f t="shared" ca="1" si="2304"/>
        <v>5201</v>
      </c>
      <c r="AJ831" s="11">
        <f t="shared" ref="AJ831:AJ837" ca="1" si="2305">AB831/AA831</f>
        <v>199.67834999999999</v>
      </c>
      <c r="AK831" s="8">
        <f>SUM(O816)</f>
        <v>5161</v>
      </c>
      <c r="AL831" s="12">
        <f t="shared" ref="AL831:AL837" ca="1" si="2306">AI831/AK831</f>
        <v>1.0077504359620229</v>
      </c>
      <c r="AM831" s="13">
        <f>SUM(Q816)</f>
        <v>1.5</v>
      </c>
      <c r="AN831" s="12">
        <f t="shared" ref="AN831:AN837" ca="1" si="2307">AO831/AM831</f>
        <v>0.86822966368996279</v>
      </c>
      <c r="AO831" s="14">
        <f t="shared" ref="AO831:AO837" ca="1" si="2308">AI831/AB831</f>
        <v>1.3023444955349441</v>
      </c>
      <c r="AP831" s="13">
        <f t="shared" ref="AP831:AQ831" ca="1" si="2309">SUM(T816)</f>
        <v>277.04245577523415</v>
      </c>
      <c r="AQ831" s="13">
        <f t="shared" ca="1" si="2309"/>
        <v>13.852122788761708</v>
      </c>
      <c r="AR831" s="9">
        <f t="shared" ref="AR831:AR837" ca="1" si="2310">AI831/AA831</f>
        <v>260.05</v>
      </c>
      <c r="AS831" s="76"/>
      <c r="AT831" s="76"/>
    </row>
    <row r="832" spans="1:46" ht="15.75" customHeight="1" x14ac:dyDescent="0.25">
      <c r="A832" s="70"/>
      <c r="B832" s="16">
        <v>17</v>
      </c>
      <c r="C832" s="16" t="s">
        <v>29</v>
      </c>
      <c r="D832" s="17">
        <v>30</v>
      </c>
      <c r="E832" s="18">
        <f ca="1">IFERROR(__xludf.DUMMYFUNCTION("COUNT(IMPORTRANGE(""https://docs.google.com/spreadsheets/d/1ja_RQYsP0p5wRrACHojay4CW1wLx0QdS5tSwp-vYQ-s/edit"",""31!d2:d31""))"),30)</f>
        <v>30</v>
      </c>
      <c r="F832" s="23">
        <f ca="1">IFERROR(__xludf.DUMMYFUNCTION("SUM(IMPORTRANGE(""https://docs.google.com/spreadsheets/d/1ja_RQYsP0p5wRrACHojay4CW1wLx0QdS5tSwp-vYQ-s/edit"",""31!Q2:Q31""))"),6145.91199999999)</f>
        <v>6145.9119999999903</v>
      </c>
      <c r="G832" s="18">
        <f ca="1">IFERROR(__xludf.DUMMYFUNCTION("IMPORTRANGE(""https://docs.google.com/spreadsheets/d/1ja_RQYsP0p5wRrACHojay4CW1wLx0QdS5tSwp-vYQ-s/edit"",""31!e38"")"),2984)</f>
        <v>2984</v>
      </c>
      <c r="H832" s="18">
        <f ca="1">IFERROR(__xludf.DUMMYFUNCTION("IMPORTRANGE(""https://docs.google.com/spreadsheets/d/1ja_RQYsP0p5wRrACHojay4CW1wLx0QdS5tSwp-vYQ-s/edit"",""31!e39"")"),0)</f>
        <v>0</v>
      </c>
      <c r="I832" s="18">
        <f t="shared" ca="1" si="2262"/>
        <v>2984</v>
      </c>
      <c r="J832" s="18">
        <f ca="1">IFERROR(__xludf.DUMMYFUNCTION("IMPORTRANGE(""https://docs.google.com/spreadsheets/d/1ja_RQYsP0p5wRrACHojay4CW1wLx0QdS5tSwp-vYQ-s/edit"",""31!e42"")"),3901)</f>
        <v>3901</v>
      </c>
      <c r="K832" s="18">
        <f ca="1">IFERROR(__xludf.DUMMYFUNCTION("IMPORTRANGE(""https://docs.google.com/spreadsheets/d/1ja_RQYsP0p5wRrACHojay4CW1wLx0QdS5tSwp-vYQ-s/edit"",""31!e43"")"),0)</f>
        <v>0</v>
      </c>
      <c r="L832" s="18">
        <f t="shared" ca="1" si="2292"/>
        <v>3901</v>
      </c>
      <c r="M832" s="18">
        <f t="shared" ca="1" si="2264"/>
        <v>6885</v>
      </c>
      <c r="N832" s="19">
        <f t="shared" ca="1" si="2265"/>
        <v>204.86373333333302</v>
      </c>
      <c r="O832" s="16">
        <v>9201</v>
      </c>
      <c r="P832" s="20">
        <f t="shared" ca="1" si="2266"/>
        <v>0.74828822954026741</v>
      </c>
      <c r="Q832" s="21">
        <v>1.5</v>
      </c>
      <c r="R832" s="20">
        <f t="shared" ca="1" si="2267"/>
        <v>0.74683789810202406</v>
      </c>
      <c r="S832" s="22">
        <f t="shared" ca="1" si="2268"/>
        <v>1.1202568471530361</v>
      </c>
      <c r="T832" s="21">
        <f ca="1">F832/26.491</f>
        <v>231.99999999999963</v>
      </c>
      <c r="U832" s="21">
        <f t="shared" ca="1" si="2269"/>
        <v>7.733333333333321</v>
      </c>
      <c r="V832" s="18">
        <f t="shared" ca="1" si="2270"/>
        <v>229.5</v>
      </c>
      <c r="W832" s="76"/>
      <c r="X832" s="8">
        <v>2</v>
      </c>
      <c r="Y832" s="8" t="s">
        <v>32</v>
      </c>
      <c r="Z832" s="8">
        <f t="shared" ref="Z832:AI832" si="2311">SUM(D819)</f>
        <v>42</v>
      </c>
      <c r="AA832" s="9">
        <f t="shared" ca="1" si="2311"/>
        <v>42</v>
      </c>
      <c r="AB832" s="10">
        <f t="shared" ca="1" si="2311"/>
        <v>8003.3909999999896</v>
      </c>
      <c r="AC832" s="8">
        <f t="shared" ca="1" si="2311"/>
        <v>4450</v>
      </c>
      <c r="AD832" s="8">
        <f t="shared" ca="1" si="2311"/>
        <v>0</v>
      </c>
      <c r="AE832" s="9">
        <f t="shared" ca="1" si="2311"/>
        <v>4450</v>
      </c>
      <c r="AF832" s="8">
        <f t="shared" ca="1" si="2311"/>
        <v>5889</v>
      </c>
      <c r="AG832" s="8">
        <f t="shared" ca="1" si="2311"/>
        <v>0</v>
      </c>
      <c r="AH832" s="9">
        <f t="shared" ca="1" si="2311"/>
        <v>5889</v>
      </c>
      <c r="AI832" s="9">
        <f t="shared" ca="1" si="2311"/>
        <v>10339</v>
      </c>
      <c r="AJ832" s="11">
        <f t="shared" ca="1" si="2305"/>
        <v>190.55692857142833</v>
      </c>
      <c r="AK832" s="8">
        <f>SUM(O819)</f>
        <v>13817</v>
      </c>
      <c r="AL832" s="12">
        <f t="shared" ca="1" si="2306"/>
        <v>0.74828110298907147</v>
      </c>
      <c r="AM832" s="13">
        <f>SUM(Q819)</f>
        <v>1.5</v>
      </c>
      <c r="AN832" s="12">
        <f t="shared" ca="1" si="2307"/>
        <v>0.8612182844330204</v>
      </c>
      <c r="AO832" s="14">
        <f t="shared" ca="1" si="2308"/>
        <v>1.2918274266495307</v>
      </c>
      <c r="AP832" s="13">
        <f t="shared" ref="AP832:AQ832" ca="1" si="2312">SUM(T819)</f>
        <v>318.9999999999996</v>
      </c>
      <c r="AQ832" s="13">
        <f t="shared" ca="1" si="2312"/>
        <v>7.595238095238086</v>
      </c>
      <c r="AR832" s="9">
        <f t="shared" ca="1" si="2310"/>
        <v>246.16666666666666</v>
      </c>
      <c r="AS832" s="76"/>
      <c r="AT832" s="76"/>
    </row>
    <row r="833" spans="1:46" ht="15.75" customHeight="1" x14ac:dyDescent="0.25">
      <c r="A833" s="70"/>
      <c r="B833" s="16">
        <v>18</v>
      </c>
      <c r="C833" s="16" t="s">
        <v>31</v>
      </c>
      <c r="D833" s="17">
        <v>15</v>
      </c>
      <c r="E833" s="18">
        <f ca="1">IFERROR(__xludf.DUMMYFUNCTION("COUNT(IMPORTRANGE(""https://docs.google.com/spreadsheets/d/1ObnK1oSznTOmyW9Zcd2kxExl7TOnO2MNq_0giEKc_mE/edit"",""31!d2:d16""))"),14)</f>
        <v>14</v>
      </c>
      <c r="F833" s="19">
        <f ca="1">IFERROR(__xludf.DUMMYFUNCTION("SUM(IMPORTRANGE(""https://docs.google.com/spreadsheets/d/1ObnK1oSznTOmyW9Zcd2kxExl7TOnO2MNq_0giEKc_mE/edit"",""31!Q2:Q16""))"),2758.306)</f>
        <v>2758.306</v>
      </c>
      <c r="G833" s="18">
        <f ca="1">IFERROR(__xludf.DUMMYFUNCTION("IMPORTRANGE(""https://docs.google.com/spreadsheets/d/1ObnK1oSznTOmyW9Zcd2kxExl7TOnO2MNq_0giEKc_mE/edit"",""31!e23"")"),890)</f>
        <v>890</v>
      </c>
      <c r="H833" s="18">
        <f ca="1">IFERROR(__xludf.DUMMYFUNCTION("IMPORTRANGE(""https://docs.google.com/spreadsheets/d/1ObnK1oSznTOmyW9Zcd2kxExl7TOnO2MNq_0giEKc_mE/edit"",""31!e24"")"),0)</f>
        <v>0</v>
      </c>
      <c r="I833" s="18">
        <f t="shared" ca="1" si="2262"/>
        <v>890</v>
      </c>
      <c r="J833" s="18">
        <f ca="1">IFERROR(__xludf.DUMMYFUNCTION("IMPORTRANGE(""https://docs.google.com/spreadsheets/d/1ObnK1oSznTOmyW9Zcd2kxExl7TOnO2MNq_0giEKc_mE/edit"",""31!e27"")"),1003)</f>
        <v>1003</v>
      </c>
      <c r="K833" s="18">
        <f ca="1">IFERROR(__xludf.DUMMYFUNCTION("IMPORTRANGE(""https://docs.google.com/spreadsheets/d/1ObnK1oSznTOmyW9Zcd2kxExl7TOnO2MNq_0giEKc_mE/edit"",""31!e28"")"),0)</f>
        <v>0</v>
      </c>
      <c r="L833" s="18">
        <f t="shared" ca="1" si="2292"/>
        <v>1003</v>
      </c>
      <c r="M833" s="18">
        <f t="shared" ca="1" si="2264"/>
        <v>1893</v>
      </c>
      <c r="N833" s="19">
        <f t="shared" ca="1" si="2265"/>
        <v>197.02185714285716</v>
      </c>
      <c r="O833" s="16">
        <v>2717</v>
      </c>
      <c r="P833" s="20">
        <f t="shared" ca="1" si="2266"/>
        <v>0.69672432830327569</v>
      </c>
      <c r="Q833" s="21">
        <v>1.5</v>
      </c>
      <c r="R833" s="20">
        <f t="shared" ca="1" si="2267"/>
        <v>0.45752719241447465</v>
      </c>
      <c r="S833" s="22">
        <f t="shared" ca="1" si="2268"/>
        <v>0.686290788621712</v>
      </c>
      <c r="T833" s="21">
        <f ca="1">F833/43.465</f>
        <v>63.460393419993096</v>
      </c>
      <c r="U833" s="21">
        <f t="shared" ca="1" si="2269"/>
        <v>4.5328852442852208</v>
      </c>
      <c r="V833" s="18">
        <f t="shared" ca="1" si="2270"/>
        <v>135.21428571428572</v>
      </c>
      <c r="W833" s="76"/>
      <c r="X833" s="8">
        <v>3</v>
      </c>
      <c r="Y833" s="8" t="s">
        <v>36</v>
      </c>
      <c r="Z833" s="8">
        <f t="shared" ref="Z833:AI833" si="2313">SUM(D824)</f>
        <v>30</v>
      </c>
      <c r="AA833" s="9">
        <f t="shared" ca="1" si="2313"/>
        <v>30</v>
      </c>
      <c r="AB833" s="10">
        <f t="shared" ca="1" si="2313"/>
        <v>5887.1189999999997</v>
      </c>
      <c r="AC833" s="9">
        <f t="shared" ca="1" si="2313"/>
        <v>1561</v>
      </c>
      <c r="AD833" s="9">
        <f t="shared" ca="1" si="2313"/>
        <v>0</v>
      </c>
      <c r="AE833" s="9">
        <f t="shared" ca="1" si="2313"/>
        <v>1561</v>
      </c>
      <c r="AF833" s="9">
        <f t="shared" ca="1" si="2313"/>
        <v>2333</v>
      </c>
      <c r="AG833" s="9">
        <f t="shared" ca="1" si="2313"/>
        <v>0</v>
      </c>
      <c r="AH833" s="9">
        <f t="shared" ca="1" si="2313"/>
        <v>2333</v>
      </c>
      <c r="AI833" s="9">
        <f t="shared" ca="1" si="2313"/>
        <v>3894</v>
      </c>
      <c r="AJ833" s="11">
        <f t="shared" ca="1" si="2305"/>
        <v>196.23729999999998</v>
      </c>
      <c r="AK833" s="8">
        <f t="shared" ref="AK833:AK836" si="2314">SUM(O824)</f>
        <v>4796</v>
      </c>
      <c r="AL833" s="12">
        <f t="shared" ca="1" si="2306"/>
        <v>0.81192660550458717</v>
      </c>
      <c r="AM833" s="13">
        <f t="shared" ref="AM833:AM836" si="2315">SUM(Q824)</f>
        <v>1.5</v>
      </c>
      <c r="AN833" s="12">
        <f t="shared" ca="1" si="2307"/>
        <v>0.44096271877636584</v>
      </c>
      <c r="AO833" s="14">
        <f t="shared" ca="1" si="2308"/>
        <v>0.66144407816454875</v>
      </c>
      <c r="AP833" s="13">
        <f t="shared" ref="AP833:AQ833" ca="1" si="2316">SUM(T824)</f>
        <v>157.35069759982892</v>
      </c>
      <c r="AQ833" s="13">
        <f t="shared" ca="1" si="2316"/>
        <v>5.2450232533276306</v>
      </c>
      <c r="AR833" s="9">
        <f t="shared" ca="1" si="2310"/>
        <v>129.80000000000001</v>
      </c>
      <c r="AS833" s="76"/>
      <c r="AT833" s="76"/>
    </row>
    <row r="834" spans="1:46" ht="15.75" customHeight="1" x14ac:dyDescent="0.2">
      <c r="A834" s="70"/>
      <c r="B834" s="98" t="s">
        <v>33</v>
      </c>
      <c r="C834" s="98">
        <v>18</v>
      </c>
      <c r="D834" s="98">
        <f t="shared" ref="D834:M834" si="2317">SUM(D816:D833)</f>
        <v>586</v>
      </c>
      <c r="E834" s="74">
        <f t="shared" ca="1" si="2317"/>
        <v>575</v>
      </c>
      <c r="F834" s="99">
        <f t="shared" ca="1" si="2317"/>
        <v>112941.35099999984</v>
      </c>
      <c r="G834" s="74">
        <f t="shared" ca="1" si="2317"/>
        <v>41192</v>
      </c>
      <c r="H834" s="74">
        <f t="shared" ca="1" si="2317"/>
        <v>1046</v>
      </c>
      <c r="I834" s="74">
        <f t="shared" ca="1" si="2317"/>
        <v>42238</v>
      </c>
      <c r="J834" s="74">
        <f t="shared" ca="1" si="2317"/>
        <v>57460</v>
      </c>
      <c r="K834" s="74">
        <f t="shared" ca="1" si="2317"/>
        <v>882</v>
      </c>
      <c r="L834" s="74">
        <f t="shared" ca="1" si="2317"/>
        <v>58342</v>
      </c>
      <c r="M834" s="74">
        <f t="shared" ca="1" si="2317"/>
        <v>100580</v>
      </c>
      <c r="N834" s="99">
        <f t="shared" ca="1" si="2265"/>
        <v>196.41974086956492</v>
      </c>
      <c r="O834" s="98">
        <f>SUM(O816:O833)</f>
        <v>126399</v>
      </c>
      <c r="P834" s="69">
        <f t="shared" ca="1" si="2266"/>
        <v>0.79573414346632487</v>
      </c>
      <c r="Q834" s="72">
        <v>1.5</v>
      </c>
      <c r="R834" s="69">
        <f t="shared" ca="1" si="2267"/>
        <v>0.59370047143612992</v>
      </c>
      <c r="S834" s="73">
        <f t="shared" ca="1" si="2268"/>
        <v>0.89055070715419493</v>
      </c>
      <c r="T834" s="72">
        <f ca="1">SUM(T816:T833)</f>
        <v>4163.1335795875657</v>
      </c>
      <c r="U834" s="72">
        <f t="shared" ca="1" si="2269"/>
        <v>7.2402323123262011</v>
      </c>
      <c r="V834" s="74">
        <f t="shared" ca="1" si="2270"/>
        <v>174.92173913043479</v>
      </c>
      <c r="W834" s="76"/>
      <c r="X834" s="8">
        <v>4</v>
      </c>
      <c r="Y834" s="8" t="s">
        <v>37</v>
      </c>
      <c r="Z834" s="8">
        <f t="shared" ref="Z834:AI834" si="2318">SUM(D825)</f>
        <v>30</v>
      </c>
      <c r="AA834" s="9">
        <f t="shared" ca="1" si="2318"/>
        <v>30</v>
      </c>
      <c r="AB834" s="10">
        <f t="shared" ca="1" si="2318"/>
        <v>5936.1480000000001</v>
      </c>
      <c r="AC834" s="9">
        <f t="shared" ca="1" si="2318"/>
        <v>2132</v>
      </c>
      <c r="AD834" s="9">
        <f t="shared" ca="1" si="2318"/>
        <v>0</v>
      </c>
      <c r="AE834" s="9">
        <f t="shared" ca="1" si="2318"/>
        <v>2132</v>
      </c>
      <c r="AF834" s="9">
        <f t="shared" ca="1" si="2318"/>
        <v>3292</v>
      </c>
      <c r="AG834" s="9">
        <f t="shared" ca="1" si="2318"/>
        <v>0</v>
      </c>
      <c r="AH834" s="9">
        <f t="shared" ca="1" si="2318"/>
        <v>3292</v>
      </c>
      <c r="AI834" s="9">
        <f t="shared" ca="1" si="2318"/>
        <v>5424</v>
      </c>
      <c r="AJ834" s="11">
        <f t="shared" ca="1" si="2305"/>
        <v>197.8716</v>
      </c>
      <c r="AK834" s="8">
        <f t="shared" si="2314"/>
        <v>5887</v>
      </c>
      <c r="AL834" s="12">
        <f t="shared" ca="1" si="2306"/>
        <v>0.9213521318158655</v>
      </c>
      <c r="AM834" s="13">
        <f t="shared" si="2315"/>
        <v>1.5</v>
      </c>
      <c r="AN834" s="12">
        <f t="shared" ca="1" si="2307"/>
        <v>0.60914923280214717</v>
      </c>
      <c r="AO834" s="14">
        <f t="shared" ca="1" si="2308"/>
        <v>0.91372384920322069</v>
      </c>
      <c r="AP834" s="13">
        <f t="shared" ref="AP834:AQ834" ca="1" si="2319">SUM(T825)</f>
        <v>239.4380445304937</v>
      </c>
      <c r="AQ834" s="13">
        <f t="shared" ca="1" si="2319"/>
        <v>7.9812681510164563</v>
      </c>
      <c r="AR834" s="9">
        <f t="shared" ca="1" si="2310"/>
        <v>180.8</v>
      </c>
      <c r="AS834" s="76"/>
      <c r="AT834" s="76"/>
    </row>
    <row r="835" spans="1:46" ht="15.75" customHeight="1" x14ac:dyDescent="0.2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6"/>
      <c r="X835" s="8">
        <v>5</v>
      </c>
      <c r="Y835" s="8" t="s">
        <v>39</v>
      </c>
      <c r="Z835" s="8">
        <f t="shared" ref="Z835:AI835" si="2320">SUM(D826)</f>
        <v>28</v>
      </c>
      <c r="AA835" s="9">
        <f t="shared" ca="1" si="2320"/>
        <v>27</v>
      </c>
      <c r="AB835" s="10">
        <f t="shared" ca="1" si="2320"/>
        <v>5039.4399999999996</v>
      </c>
      <c r="AC835" s="9">
        <f t="shared" ca="1" si="2320"/>
        <v>1146</v>
      </c>
      <c r="AD835" s="9">
        <f t="shared" ca="1" si="2320"/>
        <v>93</v>
      </c>
      <c r="AE835" s="9">
        <f t="shared" ca="1" si="2320"/>
        <v>1239</v>
      </c>
      <c r="AF835" s="9">
        <f t="shared" ca="1" si="2320"/>
        <v>1917</v>
      </c>
      <c r="AG835" s="9">
        <f t="shared" ca="1" si="2320"/>
        <v>63</v>
      </c>
      <c r="AH835" s="9">
        <f t="shared" ca="1" si="2320"/>
        <v>1980</v>
      </c>
      <c r="AI835" s="9">
        <f t="shared" ca="1" si="2320"/>
        <v>3219</v>
      </c>
      <c r="AJ835" s="11">
        <f t="shared" ca="1" si="2305"/>
        <v>186.64592592592592</v>
      </c>
      <c r="AK835" s="8">
        <f t="shared" si="2314"/>
        <v>3569</v>
      </c>
      <c r="AL835" s="12">
        <f t="shared" ca="1" si="2306"/>
        <v>0.90193331465396465</v>
      </c>
      <c r="AM835" s="13">
        <f t="shared" si="2315"/>
        <v>1.5</v>
      </c>
      <c r="AN835" s="12">
        <f t="shared" ca="1" si="2307"/>
        <v>0.42584096645659048</v>
      </c>
      <c r="AO835" s="14">
        <f t="shared" ca="1" si="2308"/>
        <v>0.63876144968488568</v>
      </c>
      <c r="AP835" s="13">
        <f t="shared" ref="AP835:AQ835" ca="1" si="2321">SUM(T826)</f>
        <v>234.7966267530168</v>
      </c>
      <c r="AQ835" s="13">
        <f t="shared" ca="1" si="2321"/>
        <v>8.6961713612228451</v>
      </c>
      <c r="AR835" s="9">
        <f t="shared" ca="1" si="2310"/>
        <v>119.22222222222223</v>
      </c>
      <c r="AS835" s="76"/>
      <c r="AT835" s="76"/>
    </row>
    <row r="836" spans="1:46" ht="15.75" customHeight="1" x14ac:dyDescent="0.2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6"/>
      <c r="X836" s="8">
        <v>6</v>
      </c>
      <c r="Y836" s="8" t="s">
        <v>41</v>
      </c>
      <c r="Z836" s="8">
        <f t="shared" ref="Z836:AI836" si="2322">SUM(D827)</f>
        <v>24</v>
      </c>
      <c r="AA836" s="9">
        <f t="shared" ca="1" si="2322"/>
        <v>24</v>
      </c>
      <c r="AB836" s="10">
        <f t="shared" ca="1" si="2322"/>
        <v>4793.152</v>
      </c>
      <c r="AC836" s="9">
        <f t="shared" ca="1" si="2322"/>
        <v>1313</v>
      </c>
      <c r="AD836" s="9">
        <f t="shared" ca="1" si="2322"/>
        <v>45</v>
      </c>
      <c r="AE836" s="9">
        <f t="shared" ca="1" si="2322"/>
        <v>1358</v>
      </c>
      <c r="AF836" s="9">
        <f t="shared" ca="1" si="2322"/>
        <v>1718</v>
      </c>
      <c r="AG836" s="9">
        <f t="shared" ca="1" si="2322"/>
        <v>0</v>
      </c>
      <c r="AH836" s="9">
        <f t="shared" ca="1" si="2322"/>
        <v>1718</v>
      </c>
      <c r="AI836" s="9">
        <f t="shared" ca="1" si="2322"/>
        <v>3076</v>
      </c>
      <c r="AJ836" s="11">
        <f t="shared" ca="1" si="2305"/>
        <v>199.71466666666666</v>
      </c>
      <c r="AK836" s="8">
        <f t="shared" si="2314"/>
        <v>3801</v>
      </c>
      <c r="AL836" s="12">
        <f t="shared" ca="1" si="2306"/>
        <v>0.80926072086293077</v>
      </c>
      <c r="AM836" s="13">
        <f t="shared" si="2315"/>
        <v>1.5</v>
      </c>
      <c r="AN836" s="12">
        <f t="shared" ca="1" si="2307"/>
        <v>0.42783259672688589</v>
      </c>
      <c r="AO836" s="14">
        <f t="shared" ca="1" si="2308"/>
        <v>0.64174889509032884</v>
      </c>
      <c r="AP836" s="13">
        <f t="shared" ref="AP836:AQ836" ca="1" si="2323">SUM(T827)</f>
        <v>161.77777777777777</v>
      </c>
      <c r="AQ836" s="13">
        <f t="shared" ca="1" si="2323"/>
        <v>6.7407407407407405</v>
      </c>
      <c r="AR836" s="9">
        <f t="shared" ca="1" si="2310"/>
        <v>128.16666666666666</v>
      </c>
      <c r="AS836" s="76"/>
      <c r="AT836" s="76"/>
    </row>
    <row r="837" spans="1:46" ht="15.75" customHeight="1" x14ac:dyDescent="0.25">
      <c r="A837" s="110" t="s">
        <v>45</v>
      </c>
      <c r="B837" s="76"/>
      <c r="C837" s="76"/>
      <c r="D837" s="75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24" t="s">
        <v>33</v>
      </c>
      <c r="Y837" s="24">
        <v>6</v>
      </c>
      <c r="Z837" s="24">
        <f t="shared" ref="Z837:AI837" si="2324">SUM(Z831:Z836)</f>
        <v>174</v>
      </c>
      <c r="AA837" s="25">
        <f t="shared" ca="1" si="2324"/>
        <v>173</v>
      </c>
      <c r="AB837" s="27">
        <f t="shared" ca="1" si="2324"/>
        <v>33652.816999999988</v>
      </c>
      <c r="AC837" s="25">
        <f t="shared" ca="1" si="2324"/>
        <v>12655</v>
      </c>
      <c r="AD837" s="25">
        <f t="shared" ca="1" si="2324"/>
        <v>138</v>
      </c>
      <c r="AE837" s="25">
        <f t="shared" ca="1" si="2324"/>
        <v>12793</v>
      </c>
      <c r="AF837" s="25">
        <f t="shared" ca="1" si="2324"/>
        <v>18297</v>
      </c>
      <c r="AG837" s="25">
        <f t="shared" ca="1" si="2324"/>
        <v>63</v>
      </c>
      <c r="AH837" s="25">
        <f t="shared" ca="1" si="2324"/>
        <v>18360</v>
      </c>
      <c r="AI837" s="25">
        <f t="shared" ca="1" si="2324"/>
        <v>31153</v>
      </c>
      <c r="AJ837" s="27">
        <f t="shared" ca="1" si="2305"/>
        <v>194.52495375722538</v>
      </c>
      <c r="AK837" s="24">
        <f>SUM(AK831:AK836)</f>
        <v>37031</v>
      </c>
      <c r="AL837" s="28">
        <f t="shared" ca="1" si="2306"/>
        <v>0.8412681267046529</v>
      </c>
      <c r="AM837" s="29">
        <v>1.5</v>
      </c>
      <c r="AN837" s="28">
        <f t="shared" ca="1" si="2307"/>
        <v>0.61714496788386763</v>
      </c>
      <c r="AO837" s="30">
        <f t="shared" ca="1" si="2308"/>
        <v>0.92571745182580145</v>
      </c>
      <c r="AP837" s="29">
        <f ca="1">SUM(AP831:AP836)</f>
        <v>1389.405602436351</v>
      </c>
      <c r="AQ837" s="29">
        <f ca="1">AP837/AA837</f>
        <v>8.0312462568575214</v>
      </c>
      <c r="AR837" s="25">
        <f t="shared" ca="1" si="2310"/>
        <v>180.07514450867052</v>
      </c>
      <c r="AS837" s="76"/>
      <c r="AT837" s="76"/>
    </row>
    <row r="838" spans="1:46" ht="15.75" customHeight="1" x14ac:dyDescent="0.2">
      <c r="A838" s="110" t="s">
        <v>45</v>
      </c>
      <c r="B838" s="76"/>
      <c r="C838" s="76"/>
      <c r="D838" s="75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7" t="s">
        <v>1</v>
      </c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9"/>
    </row>
    <row r="839" spans="1:46" ht="15.75" customHeight="1" x14ac:dyDescent="0.2">
      <c r="A839" s="111" t="s">
        <v>81</v>
      </c>
      <c r="B839" s="80" t="s">
        <v>2</v>
      </c>
      <c r="C839" s="80" t="s">
        <v>3</v>
      </c>
      <c r="D839" s="80" t="s">
        <v>4</v>
      </c>
      <c r="E839" s="80" t="s">
        <v>5</v>
      </c>
      <c r="F839" s="81" t="s">
        <v>6</v>
      </c>
      <c r="G839" s="80" t="s">
        <v>7</v>
      </c>
      <c r="H839" s="80" t="s">
        <v>8</v>
      </c>
      <c r="I839" s="80" t="s">
        <v>9</v>
      </c>
      <c r="J839" s="80" t="s">
        <v>10</v>
      </c>
      <c r="K839" s="80" t="s">
        <v>11</v>
      </c>
      <c r="L839" s="80" t="s">
        <v>12</v>
      </c>
      <c r="M839" s="80" t="s">
        <v>13</v>
      </c>
      <c r="N839" s="81" t="s">
        <v>14</v>
      </c>
      <c r="O839" s="80" t="s">
        <v>15</v>
      </c>
      <c r="P839" s="80" t="s">
        <v>16</v>
      </c>
      <c r="Q839" s="80" t="s">
        <v>17</v>
      </c>
      <c r="R839" s="80" t="s">
        <v>18</v>
      </c>
      <c r="S839" s="106" t="s">
        <v>19</v>
      </c>
      <c r="T839" s="107" t="s">
        <v>20</v>
      </c>
      <c r="U839" s="107" t="s">
        <v>21</v>
      </c>
      <c r="V839" s="105" t="s">
        <v>22</v>
      </c>
      <c r="W839" s="76"/>
      <c r="X839" s="1" t="s">
        <v>2</v>
      </c>
      <c r="Y839" s="1" t="s">
        <v>3</v>
      </c>
      <c r="Z839" s="1" t="s">
        <v>4</v>
      </c>
      <c r="AA839" s="1" t="s">
        <v>5</v>
      </c>
      <c r="AB839" s="2" t="s">
        <v>6</v>
      </c>
      <c r="AC839" s="1" t="s">
        <v>7</v>
      </c>
      <c r="AD839" s="1" t="s">
        <v>8</v>
      </c>
      <c r="AE839" s="1" t="s">
        <v>9</v>
      </c>
      <c r="AF839" s="1" t="s">
        <v>10</v>
      </c>
      <c r="AG839" s="1" t="s">
        <v>11</v>
      </c>
      <c r="AH839" s="1" t="s">
        <v>12</v>
      </c>
      <c r="AI839" s="1" t="s">
        <v>13</v>
      </c>
      <c r="AJ839" s="2" t="s">
        <v>14</v>
      </c>
      <c r="AK839" s="1" t="s">
        <v>15</v>
      </c>
      <c r="AL839" s="1" t="s">
        <v>16</v>
      </c>
      <c r="AM839" s="3" t="s">
        <v>17</v>
      </c>
      <c r="AN839" s="4" t="s">
        <v>18</v>
      </c>
      <c r="AO839" s="5" t="s">
        <v>19</v>
      </c>
      <c r="AP839" s="6" t="s">
        <v>20</v>
      </c>
      <c r="AQ839" s="6" t="s">
        <v>21</v>
      </c>
      <c r="AR839" s="7" t="s">
        <v>22</v>
      </c>
      <c r="AS839" s="7" t="s">
        <v>47</v>
      </c>
      <c r="AT839" s="7" t="s">
        <v>48</v>
      </c>
    </row>
    <row r="840" spans="1:46" ht="15.75" customHeight="1" x14ac:dyDescent="0.2">
      <c r="A840" s="76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6"/>
      <c r="X840" s="8">
        <v>1</v>
      </c>
      <c r="Y840" s="8" t="s">
        <v>23</v>
      </c>
      <c r="Z840" s="9">
        <f t="shared" ref="Z840:AI840" si="2325">SUM(D848)</f>
        <v>991</v>
      </c>
      <c r="AA840" s="9">
        <f t="shared" ca="1" si="2325"/>
        <v>970</v>
      </c>
      <c r="AB840" s="9">
        <f t="shared" ca="1" si="2325"/>
        <v>189228.27199999974</v>
      </c>
      <c r="AC840" s="9">
        <f t="shared" ca="1" si="2325"/>
        <v>52784</v>
      </c>
      <c r="AD840" s="9">
        <f t="shared" ca="1" si="2325"/>
        <v>29</v>
      </c>
      <c r="AE840" s="9">
        <f t="shared" ca="1" si="2325"/>
        <v>52813</v>
      </c>
      <c r="AF840" s="9">
        <f t="shared" ca="1" si="2325"/>
        <v>81954</v>
      </c>
      <c r="AG840" s="9">
        <f t="shared" ca="1" si="2325"/>
        <v>130</v>
      </c>
      <c r="AH840" s="9">
        <f t="shared" ca="1" si="2325"/>
        <v>82084</v>
      </c>
      <c r="AI840" s="9">
        <f t="shared" ca="1" si="2325"/>
        <v>134897</v>
      </c>
      <c r="AJ840" s="11">
        <f t="shared" ref="AJ840:AJ846" ca="1" si="2326">AB840/AA840</f>
        <v>195.08069278350487</v>
      </c>
      <c r="AK840" s="9">
        <f t="shared" ref="AK840:AK842" si="2327">SUM(O848)</f>
        <v>212443</v>
      </c>
      <c r="AL840" s="12">
        <f t="shared" ref="AL840:AL846" ca="1" si="2328">AI840/AK840</f>
        <v>0.63497973574088107</v>
      </c>
      <c r="AM840" s="13">
        <f t="shared" ref="AM840:AM842" si="2329">SUM(Q848)</f>
        <v>1.5</v>
      </c>
      <c r="AN840" s="12">
        <f t="shared" ref="AN840:AN846" ca="1" si="2330">AO840/AM840</f>
        <v>0.47525315526494616</v>
      </c>
      <c r="AO840" s="14">
        <f t="shared" ref="AO840:AO846" ca="1" si="2331">AI840/AB840</f>
        <v>0.71287973289741924</v>
      </c>
      <c r="AP840" s="13">
        <f t="shared" ref="AP840:AQ840" ca="1" si="2332">SUM(T848)</f>
        <v>5608.425370480134</v>
      </c>
      <c r="AQ840" s="13">
        <f t="shared" ca="1" si="2332"/>
        <v>5.7818818252372512</v>
      </c>
      <c r="AR840" s="9">
        <f t="shared" ref="AR840:AR846" ca="1" si="2333">AI840/AA840</f>
        <v>139.06907216494847</v>
      </c>
      <c r="AS840" s="54">
        <f t="shared" ref="AS840:AS842" ca="1" si="2334">MAX(M11,M38,M65,M92,M119,M146,M173,M200,M227,M254,M281,M308,M335,M362,M389,M416,M443,M470,M497,M524,M551,M578,M605,M632,M659,M686,M713,M740,M767,M794,M821)</f>
        <v>6068</v>
      </c>
      <c r="AT840" s="60">
        <v>46248</v>
      </c>
    </row>
    <row r="841" spans="1:46" ht="15.75" customHeight="1" x14ac:dyDescent="0.2">
      <c r="A841" s="76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6"/>
      <c r="X841" s="8">
        <v>2</v>
      </c>
      <c r="Y841" s="8" t="s">
        <v>24</v>
      </c>
      <c r="Z841" s="9">
        <f t="shared" ref="Z841:AI841" si="2335">SUM(D849)</f>
        <v>1270</v>
      </c>
      <c r="AA841" s="9">
        <f t="shared" ca="1" si="2335"/>
        <v>1239</v>
      </c>
      <c r="AB841" s="9">
        <f t="shared" ca="1" si="2335"/>
        <v>238394.72599999967</v>
      </c>
      <c r="AC841" s="9">
        <f t="shared" ca="1" si="2335"/>
        <v>28759</v>
      </c>
      <c r="AD841" s="9">
        <f t="shared" ca="1" si="2335"/>
        <v>222</v>
      </c>
      <c r="AE841" s="9">
        <f t="shared" ca="1" si="2335"/>
        <v>28981</v>
      </c>
      <c r="AF841" s="9">
        <f t="shared" ca="1" si="2335"/>
        <v>38029</v>
      </c>
      <c r="AG841" s="9">
        <f t="shared" ca="1" si="2335"/>
        <v>276</v>
      </c>
      <c r="AH841" s="9">
        <f t="shared" ca="1" si="2335"/>
        <v>38305</v>
      </c>
      <c r="AI841" s="9">
        <f t="shared" ca="1" si="2335"/>
        <v>67286</v>
      </c>
      <c r="AJ841" s="11">
        <f t="shared" ca="1" si="2326"/>
        <v>192.40897982243717</v>
      </c>
      <c r="AK841" s="9">
        <f t="shared" si="2327"/>
        <v>48980</v>
      </c>
      <c r="AL841" s="12">
        <f t="shared" ca="1" si="2328"/>
        <v>1.3737443854634546</v>
      </c>
      <c r="AM841" s="13">
        <f t="shared" si="2329"/>
        <v>1.5</v>
      </c>
      <c r="AN841" s="12">
        <f t="shared" ca="1" si="2330"/>
        <v>0.18816411791481238</v>
      </c>
      <c r="AO841" s="14">
        <f t="shared" ca="1" si="2331"/>
        <v>0.28224617687221859</v>
      </c>
      <c r="AP841" s="13">
        <f t="shared" ref="AP841:AQ841" ca="1" si="2336">SUM(T849)</f>
        <v>8893.6663309083997</v>
      </c>
      <c r="AQ841" s="13">
        <f t="shared" ca="1" si="2336"/>
        <v>7.1781003477872476</v>
      </c>
      <c r="AR841" s="9">
        <f t="shared" ca="1" si="2333"/>
        <v>54.306698950766744</v>
      </c>
      <c r="AS841" s="59">
        <f t="shared" ca="1" si="2334"/>
        <v>2639</v>
      </c>
      <c r="AT841" s="60">
        <v>46240</v>
      </c>
    </row>
    <row r="842" spans="1:46" ht="15.75" customHeight="1" x14ac:dyDescent="0.2">
      <c r="A842" s="76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6"/>
      <c r="X842" s="8">
        <v>3</v>
      </c>
      <c r="Y842" s="8" t="s">
        <v>25</v>
      </c>
      <c r="Z842" s="9">
        <f t="shared" ref="Z842:AI842" si="2337">SUM(D850)</f>
        <v>927</v>
      </c>
      <c r="AA842" s="9">
        <f t="shared" ca="1" si="2337"/>
        <v>876</v>
      </c>
      <c r="AB842" s="9">
        <f t="shared" ca="1" si="2337"/>
        <v>163260.93599999999</v>
      </c>
      <c r="AC842" s="9">
        <f t="shared" ca="1" si="2337"/>
        <v>60422</v>
      </c>
      <c r="AD842" s="9">
        <f t="shared" ca="1" si="2337"/>
        <v>9330</v>
      </c>
      <c r="AE842" s="9">
        <f t="shared" ca="1" si="2337"/>
        <v>69752</v>
      </c>
      <c r="AF842" s="9">
        <f t="shared" ca="1" si="2337"/>
        <v>86539</v>
      </c>
      <c r="AG842" s="9">
        <f t="shared" ca="1" si="2337"/>
        <v>10135</v>
      </c>
      <c r="AH842" s="9">
        <f t="shared" ca="1" si="2337"/>
        <v>96674</v>
      </c>
      <c r="AI842" s="9">
        <f t="shared" ca="1" si="2337"/>
        <v>166426</v>
      </c>
      <c r="AJ842" s="11">
        <f t="shared" ca="1" si="2326"/>
        <v>186.3709315068493</v>
      </c>
      <c r="AK842" s="9">
        <f t="shared" si="2327"/>
        <v>205282</v>
      </c>
      <c r="AL842" s="12">
        <f t="shared" ca="1" si="2328"/>
        <v>0.81071891349460745</v>
      </c>
      <c r="AM842" s="13">
        <f t="shared" si="2329"/>
        <v>1.5</v>
      </c>
      <c r="AN842" s="12">
        <f t="shared" ca="1" si="2330"/>
        <v>0.67959102394627136</v>
      </c>
      <c r="AO842" s="14">
        <f t="shared" ca="1" si="2331"/>
        <v>1.019386535919407</v>
      </c>
      <c r="AP842" s="13">
        <f t="shared" ref="AP842:AQ842" ca="1" si="2338">SUM(T850)</f>
        <v>6848.1936241610729</v>
      </c>
      <c r="AQ842" s="13">
        <f t="shared" ca="1" si="2338"/>
        <v>7.8175726303208597</v>
      </c>
      <c r="AR842" s="9">
        <f t="shared" ca="1" si="2333"/>
        <v>189.98401826484019</v>
      </c>
      <c r="AS842" s="59">
        <f t="shared" ca="1" si="2334"/>
        <v>6884</v>
      </c>
      <c r="AT842" s="60">
        <v>46260</v>
      </c>
    </row>
    <row r="843" spans="1:46" ht="15.75" customHeight="1" x14ac:dyDescent="0.2">
      <c r="A843" s="76"/>
      <c r="B843" s="16">
        <v>1</v>
      </c>
      <c r="C843" s="16" t="s">
        <v>26</v>
      </c>
      <c r="D843" s="18">
        <f t="shared" ref="D843:H843" si="2339">D6+D33+D60+D87+D114+D141+D168+D195+D222+D249+D276+D303+D330+D357+D384+D411+D438+D465+D492+D519+D546+D573+D600+D627+D654+D681+D708+D735+D762+D789+D816</f>
        <v>567</v>
      </c>
      <c r="E843" s="18">
        <f t="shared" ca="1" si="2339"/>
        <v>540</v>
      </c>
      <c r="F843" s="18">
        <f t="shared" ca="1" si="2339"/>
        <v>103623.03599999998</v>
      </c>
      <c r="G843" s="18">
        <f t="shared" ca="1" si="2339"/>
        <v>55049</v>
      </c>
      <c r="H843" s="18">
        <f t="shared" ca="1" si="2339"/>
        <v>417</v>
      </c>
      <c r="I843" s="18">
        <f t="shared" ref="I843:I860" ca="1" si="2340">SUM(G843:H843)</f>
        <v>55466</v>
      </c>
      <c r="J843" s="18">
        <f t="shared" ref="J843:K843" ca="1" si="2341">J6+J33+J60+J87+J114+J141+J168+J195+J222+J249+J276+J303+J330+J357+J384+J411+J438+J465+J492+J519+J546+J573+J600+J627+J654+J681+J708+J735+J762+J789+J816</f>
        <v>75944</v>
      </c>
      <c r="K843" s="18">
        <f t="shared" ca="1" si="2341"/>
        <v>253</v>
      </c>
      <c r="L843" s="18">
        <f t="shared" ref="L843:L849" ca="1" si="2342">SUM(J843:K843)</f>
        <v>76197</v>
      </c>
      <c r="M843" s="18">
        <f t="shared" ref="M843:M860" ca="1" si="2343">SUM(I843+L843)</f>
        <v>131663</v>
      </c>
      <c r="N843" s="19">
        <f t="shared" ref="N843:N861" ca="1" si="2344">F843/E843</f>
        <v>191.89451111111106</v>
      </c>
      <c r="O843" s="18">
        <f t="shared" ref="O843:O860" si="2345">O6+O33+O60+O87+O114+O141+O168+O195+O222+O249+O276+O303+O330+O357+O384+O411+O438+O465+O492+O519+O546+O573+O600+O627+O654+O681+O708+O735+O762+O789+O816</f>
        <v>159991</v>
      </c>
      <c r="P843" s="20">
        <f t="shared" ref="P843:P861" ca="1" si="2346">M843/O843</f>
        <v>0.8229400403772712</v>
      </c>
      <c r="Q843" s="21">
        <v>1.5</v>
      </c>
      <c r="R843" s="20">
        <f t="shared" ref="R843:R861" ca="1" si="2347">S843/Q843</f>
        <v>0.84706390317818281</v>
      </c>
      <c r="S843" s="22">
        <f t="shared" ref="S843:S861" ca="1" si="2348">M843/F843</f>
        <v>1.2705958547672742</v>
      </c>
      <c r="T843" s="21">
        <f ca="1">F843/14.415</f>
        <v>7188.5560874089479</v>
      </c>
      <c r="U843" s="21">
        <f t="shared" ref="U843:U861" ca="1" si="2349">T843/E843</f>
        <v>13.312140902609162</v>
      </c>
      <c r="V843" s="18">
        <f t="shared" ref="V843:V861" ca="1" si="2350">M843/E843</f>
        <v>243.82037037037037</v>
      </c>
      <c r="W843" s="76"/>
      <c r="X843" s="8">
        <v>4</v>
      </c>
      <c r="Y843" s="8" t="s">
        <v>27</v>
      </c>
      <c r="Z843" s="9">
        <f t="shared" ref="Z843:AI843" si="2351">SUM(D856)</f>
        <v>853</v>
      </c>
      <c r="AA843" s="9">
        <f t="shared" ca="1" si="2351"/>
        <v>827</v>
      </c>
      <c r="AB843" s="9">
        <f t="shared" ca="1" si="2351"/>
        <v>153284.93199999983</v>
      </c>
      <c r="AC843" s="9">
        <f t="shared" ca="1" si="2351"/>
        <v>67006</v>
      </c>
      <c r="AD843" s="9">
        <f t="shared" ca="1" si="2351"/>
        <v>754</v>
      </c>
      <c r="AE843" s="9">
        <f t="shared" ca="1" si="2351"/>
        <v>67760</v>
      </c>
      <c r="AF843" s="9">
        <f t="shared" ca="1" si="2351"/>
        <v>85093</v>
      </c>
      <c r="AG843" s="9">
        <f t="shared" ca="1" si="2351"/>
        <v>814</v>
      </c>
      <c r="AH843" s="9">
        <f t="shared" ca="1" si="2351"/>
        <v>85907</v>
      </c>
      <c r="AI843" s="9">
        <f t="shared" ca="1" si="2351"/>
        <v>153667</v>
      </c>
      <c r="AJ843" s="11">
        <f t="shared" ca="1" si="2326"/>
        <v>185.35058282950402</v>
      </c>
      <c r="AK843" s="9">
        <f>SUM(O856)</f>
        <v>251131</v>
      </c>
      <c r="AL843" s="12">
        <f t="shared" ca="1" si="2328"/>
        <v>0.61189976546105418</v>
      </c>
      <c r="AM843" s="13">
        <f>SUM(Q856)</f>
        <v>1.5</v>
      </c>
      <c r="AN843" s="12">
        <f t="shared" ca="1" si="2330"/>
        <v>0.6683283564144894</v>
      </c>
      <c r="AO843" s="14">
        <f t="shared" ca="1" si="2331"/>
        <v>1.0024925346217342</v>
      </c>
      <c r="AP843" s="13">
        <f t="shared" ref="AP843:AQ843" ca="1" si="2352">SUM(T856)</f>
        <v>7669.9990993244846</v>
      </c>
      <c r="AQ843" s="13">
        <f t="shared" ca="1" si="2352"/>
        <v>9.2744850052291223</v>
      </c>
      <c r="AR843" s="9">
        <f t="shared" ca="1" si="2333"/>
        <v>185.81257557436518</v>
      </c>
      <c r="AS843" s="59">
        <f ca="1">MAX(M19,M46,M73,M100,M127,M154,M181,M208,M235,M262,M289,M316,M343,M370,M397,M424,M451,M478,M505,M532,M559,M586,M613,M640,M667,M694,M721,M748,M775,M802,M829)</f>
        <v>6362</v>
      </c>
      <c r="AT843" s="60">
        <v>46237</v>
      </c>
    </row>
    <row r="844" spans="1:46" ht="15.75" customHeight="1" x14ac:dyDescent="0.2">
      <c r="A844" s="76"/>
      <c r="B844" s="16">
        <v>2</v>
      </c>
      <c r="C844" s="16" t="s">
        <v>28</v>
      </c>
      <c r="D844" s="18">
        <f t="shared" ref="D844:H844" si="2353">D7+D34+D61+D88+D115+D142+D169+D196+D223+D250+D277+D304+D331+D358+D385+D412+D439+D466+D493+D520+D547+D574+D601+D628+D655+D682+D709+D736+D763+D790+D817</f>
        <v>929</v>
      </c>
      <c r="E844" s="18">
        <f t="shared" ca="1" si="2353"/>
        <v>921</v>
      </c>
      <c r="F844" s="18">
        <f t="shared" ca="1" si="2353"/>
        <v>180057.64499999984</v>
      </c>
      <c r="G844" s="18">
        <f t="shared" ca="1" si="2353"/>
        <v>71433</v>
      </c>
      <c r="H844" s="18">
        <f t="shared" ca="1" si="2353"/>
        <v>3715</v>
      </c>
      <c r="I844" s="18">
        <f t="shared" ca="1" si="2340"/>
        <v>75148</v>
      </c>
      <c r="J844" s="18">
        <f t="shared" ref="J844:K844" ca="1" si="2354">J7+J34+J61+J88+J115+J142+J169+J196+J223+J250+J277+J304+J331+J358+J385+J412+J439+J466+J493+J520+J547+J574+J601+J628+J655+J682+J709+J736+J763+J790+J817</f>
        <v>77510</v>
      </c>
      <c r="K844" s="18">
        <f t="shared" ca="1" si="2354"/>
        <v>5140</v>
      </c>
      <c r="L844" s="18">
        <f t="shared" ca="1" si="2342"/>
        <v>82650</v>
      </c>
      <c r="M844" s="18">
        <f t="shared" ca="1" si="2343"/>
        <v>157798</v>
      </c>
      <c r="N844" s="19">
        <f t="shared" ca="1" si="2344"/>
        <v>195.50232899022785</v>
      </c>
      <c r="O844" s="18">
        <f t="shared" si="2345"/>
        <v>226765</v>
      </c>
      <c r="P844" s="20">
        <f t="shared" ca="1" si="2346"/>
        <v>0.69586576411703749</v>
      </c>
      <c r="Q844" s="21">
        <v>1.5</v>
      </c>
      <c r="R844" s="20">
        <f t="shared" ca="1" si="2347"/>
        <v>0.58424993099663591</v>
      </c>
      <c r="S844" s="22">
        <f t="shared" ca="1" si="2348"/>
        <v>0.87637489649495381</v>
      </c>
      <c r="T844" s="21">
        <f ca="1">F844/30.897</f>
        <v>5827.6740460238807</v>
      </c>
      <c r="U844" s="21">
        <f t="shared" ca="1" si="2349"/>
        <v>6.3275505385709891</v>
      </c>
      <c r="V844" s="18">
        <f t="shared" ca="1" si="2350"/>
        <v>171.33333333333334</v>
      </c>
      <c r="W844" s="76"/>
      <c r="X844" s="8">
        <v>5</v>
      </c>
      <c r="Y844" s="8" t="s">
        <v>29</v>
      </c>
      <c r="Z844" s="9">
        <f t="shared" ref="Z844:AI844" si="2355">SUM(D859)</f>
        <v>853</v>
      </c>
      <c r="AA844" s="9">
        <f t="shared" ca="1" si="2355"/>
        <v>833</v>
      </c>
      <c r="AB844" s="9">
        <f t="shared" ca="1" si="2355"/>
        <v>163854.01499999978</v>
      </c>
      <c r="AC844" s="9">
        <f t="shared" ca="1" si="2355"/>
        <v>73188</v>
      </c>
      <c r="AD844" s="9">
        <f t="shared" ca="1" si="2355"/>
        <v>343</v>
      </c>
      <c r="AE844" s="9">
        <f t="shared" ca="1" si="2355"/>
        <v>73531</v>
      </c>
      <c r="AF844" s="9">
        <f t="shared" ca="1" si="2355"/>
        <v>109206</v>
      </c>
      <c r="AG844" s="9">
        <f t="shared" ca="1" si="2355"/>
        <v>90</v>
      </c>
      <c r="AH844" s="9">
        <f t="shared" ca="1" si="2355"/>
        <v>109296</v>
      </c>
      <c r="AI844" s="9">
        <f t="shared" ca="1" si="2355"/>
        <v>182827</v>
      </c>
      <c r="AJ844" s="11">
        <f t="shared" ca="1" si="2326"/>
        <v>196.70349939975964</v>
      </c>
      <c r="AK844" s="9">
        <f t="shared" ref="AK844:AK845" si="2356">SUM(O859)</f>
        <v>285231</v>
      </c>
      <c r="AL844" s="12">
        <f t="shared" ca="1" si="2328"/>
        <v>0.6409787154972636</v>
      </c>
      <c r="AM844" s="13">
        <f t="shared" ref="AM844:AM845" si="2357">SUM(Q859)</f>
        <v>1.5</v>
      </c>
      <c r="AN844" s="12">
        <f t="shared" ca="1" si="2330"/>
        <v>0.74386133697527546</v>
      </c>
      <c r="AO844" s="14">
        <f t="shared" ca="1" si="2331"/>
        <v>1.1157920054629131</v>
      </c>
      <c r="AP844" s="13">
        <f t="shared" ref="AP844:AQ844" ca="1" si="2358">SUM(T859)</f>
        <v>6292.8802135340575</v>
      </c>
      <c r="AQ844" s="13">
        <f t="shared" ca="1" si="2358"/>
        <v>7.5544780474598525</v>
      </c>
      <c r="AR844" s="9">
        <f t="shared" ca="1" si="2333"/>
        <v>219.48019207683072</v>
      </c>
      <c r="AS844" s="59">
        <f t="shared" ref="AS844:AS846" ca="1" si="2359">MAX(M22,M49,M76,M103,M130,M157,M184,M211,M238,M265,M292,M319,M346,M373,M400,M427,M454,M481,M508,M535,M562,M589,M616,M643,M670,M697,M724,M751,M778,M805,M832)</f>
        <v>7311</v>
      </c>
      <c r="AT844" s="60">
        <v>46248</v>
      </c>
    </row>
    <row r="845" spans="1:46" ht="15.75" customHeight="1" x14ac:dyDescent="0.2">
      <c r="A845" s="76"/>
      <c r="B845" s="16">
        <v>3</v>
      </c>
      <c r="C845" s="16" t="s">
        <v>30</v>
      </c>
      <c r="D845" s="18">
        <f t="shared" ref="D845:H845" si="2360">D8+D35+D62+D89+D116+D143+D170+D197+D224+D251+D278+D305+D332+D359+D386+D413+D440+D467+D494+D521+D548+D575+D602+D629+D656+D683+D710+D737+D764+D791+D818</f>
        <v>1701</v>
      </c>
      <c r="E845" s="18">
        <f t="shared" ca="1" si="2360"/>
        <v>1613</v>
      </c>
      <c r="F845" s="18">
        <f t="shared" ca="1" si="2360"/>
        <v>319229.83799999818</v>
      </c>
      <c r="G845" s="18">
        <f t="shared" ca="1" si="2360"/>
        <v>91928</v>
      </c>
      <c r="H845" s="18">
        <f t="shared" ca="1" si="2360"/>
        <v>823</v>
      </c>
      <c r="I845" s="18">
        <f t="shared" ca="1" si="2340"/>
        <v>92751</v>
      </c>
      <c r="J845" s="18">
        <f t="shared" ref="J845:K845" ca="1" si="2361">J8+J35+J62+J89+J116+J143+J170+J197+J224+J251+J278+J305+J332+J359+J386+J413+J440+J467+J494+J521+J548+J575+J602+J629+J656+J683+J710+J737+J764+J791+J818</f>
        <v>148705</v>
      </c>
      <c r="K845" s="18">
        <f t="shared" ca="1" si="2361"/>
        <v>1656</v>
      </c>
      <c r="L845" s="18">
        <f t="shared" ca="1" si="2342"/>
        <v>150361</v>
      </c>
      <c r="M845" s="18">
        <f t="shared" ca="1" si="2343"/>
        <v>243112</v>
      </c>
      <c r="N845" s="19">
        <f t="shared" ca="1" si="2344"/>
        <v>197.91062492250353</v>
      </c>
      <c r="O845" s="18">
        <f t="shared" si="2345"/>
        <v>346084</v>
      </c>
      <c r="P845" s="20">
        <f t="shared" ca="1" si="2346"/>
        <v>0.70246529744223951</v>
      </c>
      <c r="Q845" s="21">
        <v>1.5</v>
      </c>
      <c r="R845" s="20">
        <f t="shared" ca="1" si="2347"/>
        <v>0.50770525613168904</v>
      </c>
      <c r="S845" s="22">
        <f t="shared" ca="1" si="2348"/>
        <v>0.76155788419753356</v>
      </c>
      <c r="T845" s="21">
        <f ca="1">F845/29.603</f>
        <v>10783.698881870019</v>
      </c>
      <c r="U845" s="21">
        <f t="shared" ca="1" si="2349"/>
        <v>6.6854921772287783</v>
      </c>
      <c r="V845" s="18">
        <f t="shared" ca="1" si="2350"/>
        <v>150.72039677619344</v>
      </c>
      <c r="W845" s="76"/>
      <c r="X845" s="8">
        <v>6</v>
      </c>
      <c r="Y845" s="8" t="s">
        <v>31</v>
      </c>
      <c r="Z845" s="9">
        <f t="shared" ref="Z845:AI845" si="2362">SUM(D860)</f>
        <v>424</v>
      </c>
      <c r="AA845" s="9">
        <f t="shared" ca="1" si="2362"/>
        <v>389</v>
      </c>
      <c r="AB845" s="9">
        <f t="shared" ca="1" si="2362"/>
        <v>75712.586999999898</v>
      </c>
      <c r="AC845" s="9">
        <f t="shared" ca="1" si="2362"/>
        <v>22378</v>
      </c>
      <c r="AD845" s="9">
        <f t="shared" ca="1" si="2362"/>
        <v>149</v>
      </c>
      <c r="AE845" s="9">
        <f t="shared" ca="1" si="2362"/>
        <v>22527</v>
      </c>
      <c r="AF845" s="9">
        <f t="shared" ca="1" si="2362"/>
        <v>27629</v>
      </c>
      <c r="AG845" s="9">
        <f t="shared" ca="1" si="2362"/>
        <v>132</v>
      </c>
      <c r="AH845" s="9">
        <f t="shared" ca="1" si="2362"/>
        <v>27761</v>
      </c>
      <c r="AI845" s="9">
        <f t="shared" ca="1" si="2362"/>
        <v>50288</v>
      </c>
      <c r="AJ845" s="11">
        <f t="shared" ca="1" si="2326"/>
        <v>194.63389974293034</v>
      </c>
      <c r="AK845" s="9">
        <f t="shared" si="2356"/>
        <v>84227</v>
      </c>
      <c r="AL845" s="12">
        <f t="shared" ca="1" si="2328"/>
        <v>0.59705320146746288</v>
      </c>
      <c r="AM845" s="13">
        <f t="shared" si="2357"/>
        <v>1.5</v>
      </c>
      <c r="AN845" s="12">
        <f t="shared" ca="1" si="2330"/>
        <v>0.44279735591828845</v>
      </c>
      <c r="AO845" s="14">
        <f t="shared" ca="1" si="2331"/>
        <v>0.66419603387743265</v>
      </c>
      <c r="AP845" s="13">
        <f t="shared" ref="AP845:AQ845" ca="1" si="2363">SUM(T860)</f>
        <v>1741.9207868399837</v>
      </c>
      <c r="AQ845" s="13">
        <f t="shared" ca="1" si="2363"/>
        <v>4.4779454674549708</v>
      </c>
      <c r="AR845" s="9">
        <f t="shared" ca="1" si="2333"/>
        <v>129.27506426735218</v>
      </c>
      <c r="AS845" s="59">
        <f t="shared" ca="1" si="2359"/>
        <v>2098</v>
      </c>
      <c r="AT845" s="60">
        <v>46246</v>
      </c>
    </row>
    <row r="846" spans="1:46" ht="15.75" customHeight="1" x14ac:dyDescent="0.25">
      <c r="A846" s="76"/>
      <c r="B846" s="16">
        <v>4</v>
      </c>
      <c r="C846" s="16" t="s">
        <v>32</v>
      </c>
      <c r="D846" s="18">
        <f t="shared" ref="D846:H846" si="2364">D9+D36+D63+D90+D117+D144+D171+D198+D225+D252+D279+D306+D333+D360+D387+D414+D441+D468+D495+D522+D549+D576+D603+D630+D657+D684+D711+D738+D765+D792+D819</f>
        <v>1189</v>
      </c>
      <c r="E846" s="18">
        <f t="shared" ca="1" si="2364"/>
        <v>1169</v>
      </c>
      <c r="F846" s="18">
        <f t="shared" ca="1" si="2364"/>
        <v>227823.16299999968</v>
      </c>
      <c r="G846" s="18">
        <f t="shared" ca="1" si="2364"/>
        <v>127486</v>
      </c>
      <c r="H846" s="18">
        <f t="shared" ca="1" si="2364"/>
        <v>302</v>
      </c>
      <c r="I846" s="18">
        <f t="shared" ca="1" si="2340"/>
        <v>127788</v>
      </c>
      <c r="J846" s="18">
        <f t="shared" ref="J846:K846" ca="1" si="2365">J9+J36+J63+J90+J117+J144+J171+J198+J225+J252+J279+J306+J333+J360+J387+J414+J441+J468+J495+J522+J549+J576+J603+J630+J657+J684+J711+J738+J765+J792+J819</f>
        <v>150880</v>
      </c>
      <c r="K846" s="18">
        <f t="shared" ca="1" si="2365"/>
        <v>493</v>
      </c>
      <c r="L846" s="18">
        <f t="shared" ca="1" si="2342"/>
        <v>151373</v>
      </c>
      <c r="M846" s="18">
        <f t="shared" ca="1" si="2343"/>
        <v>279161</v>
      </c>
      <c r="N846" s="19">
        <f t="shared" ca="1" si="2344"/>
        <v>194.88722241231795</v>
      </c>
      <c r="O846" s="18">
        <f t="shared" si="2345"/>
        <v>428327</v>
      </c>
      <c r="P846" s="20">
        <f t="shared" ca="1" si="2346"/>
        <v>0.6517473799223491</v>
      </c>
      <c r="Q846" s="21">
        <v>1.5</v>
      </c>
      <c r="R846" s="20">
        <f t="shared" ca="1" si="2347"/>
        <v>0.81689381747954048</v>
      </c>
      <c r="S846" s="22">
        <f t="shared" ca="1" si="2348"/>
        <v>1.2253407262193108</v>
      </c>
      <c r="T846" s="21">
        <f ca="1">F846/25.089</f>
        <v>9080.5995854756948</v>
      </c>
      <c r="U846" s="21">
        <f t="shared" ca="1" si="2349"/>
        <v>7.7678354024599612</v>
      </c>
      <c r="V846" s="18">
        <f t="shared" ca="1" si="2350"/>
        <v>238.80325064157398</v>
      </c>
      <c r="W846" s="76"/>
      <c r="X846" s="24" t="s">
        <v>33</v>
      </c>
      <c r="Y846" s="24">
        <v>6</v>
      </c>
      <c r="Z846" s="25">
        <f t="shared" ref="Z846:AI846" si="2366">SUM(Z840:Z845)</f>
        <v>5318</v>
      </c>
      <c r="AA846" s="25">
        <f t="shared" ca="1" si="2366"/>
        <v>5134</v>
      </c>
      <c r="AB846" s="25">
        <f t="shared" ca="1" si="2366"/>
        <v>983735.46799999895</v>
      </c>
      <c r="AC846" s="25">
        <f t="shared" ca="1" si="2366"/>
        <v>304537</v>
      </c>
      <c r="AD846" s="25">
        <f t="shared" ca="1" si="2366"/>
        <v>10827</v>
      </c>
      <c r="AE846" s="25">
        <f t="shared" ca="1" si="2366"/>
        <v>315364</v>
      </c>
      <c r="AF846" s="25">
        <f t="shared" ca="1" si="2366"/>
        <v>428450</v>
      </c>
      <c r="AG846" s="25">
        <f t="shared" ca="1" si="2366"/>
        <v>11577</v>
      </c>
      <c r="AH846" s="25">
        <f t="shared" ca="1" si="2366"/>
        <v>440027</v>
      </c>
      <c r="AI846" s="25">
        <f t="shared" ca="1" si="2366"/>
        <v>755391</v>
      </c>
      <c r="AJ846" s="27">
        <f t="shared" ca="1" si="2326"/>
        <v>191.61189481885449</v>
      </c>
      <c r="AK846" s="25">
        <f>SUM(AK840:AK845)</f>
        <v>1087294</v>
      </c>
      <c r="AL846" s="28">
        <f t="shared" ca="1" si="2328"/>
        <v>0.69474401587795021</v>
      </c>
      <c r="AM846" s="29">
        <v>1.5</v>
      </c>
      <c r="AN846" s="28">
        <f t="shared" ca="1" si="2330"/>
        <v>0.51192014152324994</v>
      </c>
      <c r="AO846" s="30">
        <f t="shared" ca="1" si="2331"/>
        <v>0.76788021228487491</v>
      </c>
      <c r="AP846" s="29">
        <f ca="1">SUM(AP840:AP845)</f>
        <v>37055.085425248137</v>
      </c>
      <c r="AQ846" s="29">
        <f ca="1">AP846/AA846</f>
        <v>7.2175857859852233</v>
      </c>
      <c r="AR846" s="25">
        <f t="shared" ca="1" si="2333"/>
        <v>147.1349824698091</v>
      </c>
      <c r="AS846" s="68">
        <f t="shared" ca="1" si="2359"/>
        <v>103223</v>
      </c>
      <c r="AT846" s="67">
        <v>46245</v>
      </c>
    </row>
    <row r="847" spans="1:46" ht="15.75" customHeight="1" x14ac:dyDescent="0.2">
      <c r="A847" s="76"/>
      <c r="B847" s="16">
        <v>5</v>
      </c>
      <c r="C847" s="16" t="s">
        <v>34</v>
      </c>
      <c r="D847" s="18">
        <f t="shared" ref="D847:H847" si="2367">D10+D37+D64+D91+D118+D145+D172+D199+D226+D253+D280+D307+D334+D361+D388+D415+D442+D469+D496+D523+D550+D577+D604+D631+D658+D685+D712+D739+D766+D793+D820</f>
        <v>1134</v>
      </c>
      <c r="E847" s="18">
        <f t="shared" ca="1" si="2367"/>
        <v>1119</v>
      </c>
      <c r="F847" s="18">
        <f t="shared" ca="1" si="2367"/>
        <v>220023.18599999996</v>
      </c>
      <c r="G847" s="18">
        <f t="shared" ca="1" si="2367"/>
        <v>75897</v>
      </c>
      <c r="H847" s="18">
        <f t="shared" ca="1" si="2367"/>
        <v>171</v>
      </c>
      <c r="I847" s="18">
        <f t="shared" ca="1" si="2340"/>
        <v>76068</v>
      </c>
      <c r="J847" s="18">
        <f t="shared" ref="J847:K847" ca="1" si="2368">J10+J37+J64+J91+J118+J145+J172+J199+J226+J253+J280+J307+J334+J361+J388+J415+J442+J469+J496+J523+J550+J577+J604+J631+J658+J685+J712+J739+J766+J793+J820</f>
        <v>92799</v>
      </c>
      <c r="K847" s="18">
        <f t="shared" ca="1" si="2368"/>
        <v>339</v>
      </c>
      <c r="L847" s="18">
        <f t="shared" ca="1" si="2342"/>
        <v>93138</v>
      </c>
      <c r="M847" s="18">
        <f t="shared" ca="1" si="2343"/>
        <v>169206</v>
      </c>
      <c r="N847" s="19">
        <f t="shared" ca="1" si="2344"/>
        <v>196.62483109919566</v>
      </c>
      <c r="O847" s="18">
        <f t="shared" si="2345"/>
        <v>289974</v>
      </c>
      <c r="P847" s="20">
        <f t="shared" ca="1" si="2346"/>
        <v>0.58352128121831615</v>
      </c>
      <c r="Q847" s="21">
        <v>1.5</v>
      </c>
      <c r="R847" s="20">
        <f t="shared" ca="1" si="2347"/>
        <v>0.51269142153045644</v>
      </c>
      <c r="S847" s="22">
        <f t="shared" ca="1" si="2348"/>
        <v>0.76903713229568471</v>
      </c>
      <c r="T847" s="21">
        <f ca="1">F847/30.713</f>
        <v>7163.8454726011769</v>
      </c>
      <c r="U847" s="21">
        <f t="shared" ca="1" si="2349"/>
        <v>6.4020066779277718</v>
      </c>
      <c r="V847" s="18">
        <f t="shared" ca="1" si="2350"/>
        <v>151.21179624664879</v>
      </c>
      <c r="W847" s="76"/>
      <c r="X847" s="100" t="s">
        <v>35</v>
      </c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9"/>
    </row>
    <row r="848" spans="1:46" ht="15.75" customHeight="1" x14ac:dyDescent="0.2">
      <c r="A848" s="76"/>
      <c r="B848" s="16">
        <v>6</v>
      </c>
      <c r="C848" s="16" t="s">
        <v>23</v>
      </c>
      <c r="D848" s="18">
        <f t="shared" ref="D848:H848" si="2369">D11+D38+D65+D92+D119+D146+D173+D200+D227+D254+D281+D308+D335+D362+D389+D416+D443+D470+D497+D524+D551+D578+D605+D632+D659+D686+D713+D740+D767+D794+D821</f>
        <v>991</v>
      </c>
      <c r="E848" s="18">
        <f t="shared" ca="1" si="2369"/>
        <v>970</v>
      </c>
      <c r="F848" s="18">
        <f t="shared" ca="1" si="2369"/>
        <v>189228.27199999974</v>
      </c>
      <c r="G848" s="18">
        <f t="shared" ca="1" si="2369"/>
        <v>52784</v>
      </c>
      <c r="H848" s="18">
        <f t="shared" ca="1" si="2369"/>
        <v>29</v>
      </c>
      <c r="I848" s="18">
        <f t="shared" ca="1" si="2340"/>
        <v>52813</v>
      </c>
      <c r="J848" s="18">
        <f t="shared" ref="J848:K848" ca="1" si="2370">J11+J38+J65+J92+J119+J146+J173+J200+J227+J254+J281+J308+J335+J362+J389+J416+J443+J470+J497+J524+J551+J578+J605+J632+J659+J686+J713+J740+J767+J794+J821</f>
        <v>81954</v>
      </c>
      <c r="K848" s="18">
        <f t="shared" ca="1" si="2370"/>
        <v>130</v>
      </c>
      <c r="L848" s="18">
        <f t="shared" ca="1" si="2342"/>
        <v>82084</v>
      </c>
      <c r="M848" s="18">
        <f t="shared" ca="1" si="2343"/>
        <v>134897</v>
      </c>
      <c r="N848" s="19">
        <f t="shared" ca="1" si="2344"/>
        <v>195.08069278350487</v>
      </c>
      <c r="O848" s="18">
        <f t="shared" si="2345"/>
        <v>212443</v>
      </c>
      <c r="P848" s="20">
        <f t="shared" ca="1" si="2346"/>
        <v>0.63497973574088107</v>
      </c>
      <c r="Q848" s="21">
        <v>1.5</v>
      </c>
      <c r="R848" s="20">
        <f t="shared" ca="1" si="2347"/>
        <v>0.47525315526494616</v>
      </c>
      <c r="S848" s="22">
        <f t="shared" ca="1" si="2348"/>
        <v>0.71287973289741924</v>
      </c>
      <c r="T848" s="21">
        <f ca="1">F848/33.74</f>
        <v>5608.425370480134</v>
      </c>
      <c r="U848" s="21">
        <f t="shared" ca="1" si="2349"/>
        <v>5.7818818252372512</v>
      </c>
      <c r="V848" s="18">
        <f t="shared" ca="1" si="2350"/>
        <v>139.06907216494847</v>
      </c>
      <c r="W848" s="76"/>
      <c r="X848" s="1" t="s">
        <v>2</v>
      </c>
      <c r="Y848" s="1" t="s">
        <v>3</v>
      </c>
      <c r="Z848" s="1" t="s">
        <v>4</v>
      </c>
      <c r="AA848" s="1" t="s">
        <v>5</v>
      </c>
      <c r="AB848" s="2" t="s">
        <v>6</v>
      </c>
      <c r="AC848" s="1" t="s">
        <v>7</v>
      </c>
      <c r="AD848" s="1" t="s">
        <v>8</v>
      </c>
      <c r="AE848" s="1" t="s">
        <v>9</v>
      </c>
      <c r="AF848" s="1" t="s">
        <v>10</v>
      </c>
      <c r="AG848" s="1" t="s">
        <v>11</v>
      </c>
      <c r="AH848" s="1" t="s">
        <v>12</v>
      </c>
      <c r="AI848" s="1" t="s">
        <v>13</v>
      </c>
      <c r="AJ848" s="2" t="s">
        <v>14</v>
      </c>
      <c r="AK848" s="1" t="s">
        <v>15</v>
      </c>
      <c r="AL848" s="1" t="s">
        <v>16</v>
      </c>
      <c r="AM848" s="3" t="s">
        <v>17</v>
      </c>
      <c r="AN848" s="4" t="s">
        <v>18</v>
      </c>
      <c r="AO848" s="5" t="s">
        <v>19</v>
      </c>
      <c r="AP848" s="6" t="s">
        <v>20</v>
      </c>
      <c r="AQ848" s="6" t="s">
        <v>21</v>
      </c>
      <c r="AR848" s="7" t="s">
        <v>22</v>
      </c>
      <c r="AS848" s="7" t="s">
        <v>47</v>
      </c>
      <c r="AT848" s="7" t="s">
        <v>48</v>
      </c>
    </row>
    <row r="849" spans="1:46" ht="15.75" customHeight="1" x14ac:dyDescent="0.2">
      <c r="A849" s="76"/>
      <c r="B849" s="16">
        <v>7</v>
      </c>
      <c r="C849" s="16" t="s">
        <v>24</v>
      </c>
      <c r="D849" s="18">
        <f t="shared" ref="D849:H849" si="2371">D12+D39+D66+D93+D120+D147+D174+D201+D228+D255+D282+D309+D336+D363+D390+D417+D444+D471+D498+D525+D552+D579+D606+D633+D660+D687+D714+D741+D768+D795+D822</f>
        <v>1270</v>
      </c>
      <c r="E849" s="18">
        <f t="shared" ca="1" si="2371"/>
        <v>1239</v>
      </c>
      <c r="F849" s="18">
        <f t="shared" ca="1" si="2371"/>
        <v>238394.72599999967</v>
      </c>
      <c r="G849" s="18">
        <f t="shared" ca="1" si="2371"/>
        <v>28759</v>
      </c>
      <c r="H849" s="18">
        <f t="shared" ca="1" si="2371"/>
        <v>222</v>
      </c>
      <c r="I849" s="18">
        <f t="shared" ca="1" si="2340"/>
        <v>28981</v>
      </c>
      <c r="J849" s="18">
        <f t="shared" ref="J849:K849" ca="1" si="2372">J12+J39+J66+J93+J120+J147+J174+J201+J228+J255+J282+J309+J336+J363+J390+J417+J444+J471+J498+J525+J552+J579+J606+J633+J660+J687+J714+J741+J768+J795+J822</f>
        <v>38029</v>
      </c>
      <c r="K849" s="18">
        <f t="shared" ca="1" si="2372"/>
        <v>276</v>
      </c>
      <c r="L849" s="18">
        <f t="shared" ca="1" si="2342"/>
        <v>38305</v>
      </c>
      <c r="M849" s="18">
        <f t="shared" ca="1" si="2343"/>
        <v>67286</v>
      </c>
      <c r="N849" s="19">
        <f t="shared" ca="1" si="2344"/>
        <v>192.40897982243717</v>
      </c>
      <c r="O849" s="18">
        <f t="shared" si="2345"/>
        <v>48980</v>
      </c>
      <c r="P849" s="20">
        <f t="shared" ca="1" si="2346"/>
        <v>1.3737443854634546</v>
      </c>
      <c r="Q849" s="21">
        <v>1.5</v>
      </c>
      <c r="R849" s="20">
        <f t="shared" ca="1" si="2347"/>
        <v>0.18816411791481238</v>
      </c>
      <c r="S849" s="22">
        <f t="shared" ca="1" si="2348"/>
        <v>0.28224617687221859</v>
      </c>
      <c r="T849" s="21">
        <f ca="1">F849/26.805</f>
        <v>8893.6663309083997</v>
      </c>
      <c r="U849" s="21">
        <f t="shared" ca="1" si="2349"/>
        <v>7.1781003477872476</v>
      </c>
      <c r="V849" s="18">
        <f t="shared" ca="1" si="2350"/>
        <v>54.306698950766744</v>
      </c>
      <c r="W849" s="76"/>
      <c r="X849" s="8">
        <v>1</v>
      </c>
      <c r="Y849" s="8" t="s">
        <v>28</v>
      </c>
      <c r="Z849" s="9">
        <f t="shared" ref="Z849:AI849" si="2373">SUM(D844)</f>
        <v>929</v>
      </c>
      <c r="AA849" s="9">
        <f t="shared" ca="1" si="2373"/>
        <v>921</v>
      </c>
      <c r="AB849" s="9">
        <f t="shared" ca="1" si="2373"/>
        <v>180057.64499999984</v>
      </c>
      <c r="AC849" s="9">
        <f t="shared" ca="1" si="2373"/>
        <v>71433</v>
      </c>
      <c r="AD849" s="9">
        <f t="shared" ca="1" si="2373"/>
        <v>3715</v>
      </c>
      <c r="AE849" s="9">
        <f t="shared" ca="1" si="2373"/>
        <v>75148</v>
      </c>
      <c r="AF849" s="9">
        <f t="shared" ca="1" si="2373"/>
        <v>77510</v>
      </c>
      <c r="AG849" s="9">
        <f t="shared" ca="1" si="2373"/>
        <v>5140</v>
      </c>
      <c r="AH849" s="9">
        <f t="shared" ca="1" si="2373"/>
        <v>82650</v>
      </c>
      <c r="AI849" s="9">
        <f t="shared" ca="1" si="2373"/>
        <v>157798</v>
      </c>
      <c r="AJ849" s="11">
        <f t="shared" ref="AJ849:AJ855" ca="1" si="2374">AB849/AA849</f>
        <v>195.50232899022785</v>
      </c>
      <c r="AK849" s="9">
        <f t="shared" ref="AK849:AK850" si="2375">SUM(O844)</f>
        <v>226765</v>
      </c>
      <c r="AL849" s="12">
        <f t="shared" ref="AL849:AL855" ca="1" si="2376">AI849/AK849</f>
        <v>0.69586576411703749</v>
      </c>
      <c r="AM849" s="13">
        <f t="shared" ref="AM849:AM850" si="2377">SUM(Q844)</f>
        <v>1.5</v>
      </c>
      <c r="AN849" s="12">
        <f t="shared" ref="AN849:AN855" ca="1" si="2378">AO849/AM849</f>
        <v>0.58424993099663591</v>
      </c>
      <c r="AO849" s="14">
        <f t="shared" ref="AO849:AO855" ca="1" si="2379">AI849/AB849</f>
        <v>0.87637489649495381</v>
      </c>
      <c r="AP849" s="13">
        <f t="shared" ref="AP849:AQ849" ca="1" si="2380">SUM(T844)</f>
        <v>5827.6740460238807</v>
      </c>
      <c r="AQ849" s="13">
        <f t="shared" ca="1" si="2380"/>
        <v>6.3275505385709891</v>
      </c>
      <c r="AR849" s="9">
        <f t="shared" ref="AR849:AR855" ca="1" si="2381">AI849/AA849</f>
        <v>171.33333333333334</v>
      </c>
      <c r="AS849" s="59">
        <f t="shared" ref="AS849:AS850" ca="1" si="2382">MAX(M7,M34,M61,M88,M115,M142,M169,M196,M223,M250,M277,M304,M331,M358,M385,M412,M439,M466,M493,M520,M547,M574,M601,M628,M655,M682,M709,M736,M763,M790,M817)</f>
        <v>6242</v>
      </c>
      <c r="AT849" s="60">
        <v>46253</v>
      </c>
    </row>
    <row r="850" spans="1:46" ht="15.75" customHeight="1" x14ac:dyDescent="0.2">
      <c r="A850" s="76"/>
      <c r="B850" s="16">
        <v>8</v>
      </c>
      <c r="C850" s="16" t="s">
        <v>25</v>
      </c>
      <c r="D850" s="18">
        <f t="shared" ref="D850:H850" si="2383">D13+D40+D67+D94+D121+D148+D175+D202+D229+D256+D283+D310+D337+D364+D391+D418+D445+D472+D499+D526+D553+D580+D607+D634+D661+D688+D715+D742+D769+D796+D823</f>
        <v>927</v>
      </c>
      <c r="E850" s="18">
        <f t="shared" ca="1" si="2383"/>
        <v>876</v>
      </c>
      <c r="F850" s="18">
        <f t="shared" ca="1" si="2383"/>
        <v>163260.93599999999</v>
      </c>
      <c r="G850" s="18">
        <f t="shared" ca="1" si="2383"/>
        <v>60422</v>
      </c>
      <c r="H850" s="18">
        <f t="shared" ca="1" si="2383"/>
        <v>9330</v>
      </c>
      <c r="I850" s="18">
        <f t="shared" ca="1" si="2340"/>
        <v>69752</v>
      </c>
      <c r="J850" s="18">
        <f t="shared" ref="J850:K850" ca="1" si="2384">J13+J40+J67+J94+J121+J148+J175+J202+J229+J256+J283+J310+J337+J364+J391+J418+J445+J472+J499+J526+J553+J580+J607+J634+J661+J688+J715+J742+J769+J796+J823</f>
        <v>86539</v>
      </c>
      <c r="K850" s="18">
        <f t="shared" ca="1" si="2384"/>
        <v>10135</v>
      </c>
      <c r="L850" s="18">
        <f ca="1">J850+K850</f>
        <v>96674</v>
      </c>
      <c r="M850" s="18">
        <f t="shared" ca="1" si="2343"/>
        <v>166426</v>
      </c>
      <c r="N850" s="19">
        <f t="shared" ca="1" si="2344"/>
        <v>186.3709315068493</v>
      </c>
      <c r="O850" s="18">
        <f t="shared" si="2345"/>
        <v>205282</v>
      </c>
      <c r="P850" s="20">
        <f t="shared" ca="1" si="2346"/>
        <v>0.81071891349460745</v>
      </c>
      <c r="Q850" s="21">
        <v>1.5</v>
      </c>
      <c r="R850" s="20">
        <f t="shared" ca="1" si="2347"/>
        <v>0.67959102394627136</v>
      </c>
      <c r="S850" s="22">
        <f t="shared" ca="1" si="2348"/>
        <v>1.019386535919407</v>
      </c>
      <c r="T850" s="21">
        <f ca="1">F850/23.84</f>
        <v>6848.1936241610729</v>
      </c>
      <c r="U850" s="21">
        <f t="shared" ca="1" si="2349"/>
        <v>7.8175726303208597</v>
      </c>
      <c r="V850" s="18">
        <f t="shared" ca="1" si="2350"/>
        <v>189.98401826484019</v>
      </c>
      <c r="W850" s="76"/>
      <c r="X850" s="8">
        <v>2</v>
      </c>
      <c r="Y850" s="8" t="s">
        <v>30</v>
      </c>
      <c r="Z850" s="9">
        <f t="shared" ref="Z850:AI850" si="2385">SUM(D845)</f>
        <v>1701</v>
      </c>
      <c r="AA850" s="9">
        <f t="shared" ca="1" si="2385"/>
        <v>1613</v>
      </c>
      <c r="AB850" s="9">
        <f t="shared" ca="1" si="2385"/>
        <v>319229.83799999818</v>
      </c>
      <c r="AC850" s="9">
        <f t="shared" ca="1" si="2385"/>
        <v>91928</v>
      </c>
      <c r="AD850" s="9">
        <f t="shared" ca="1" si="2385"/>
        <v>823</v>
      </c>
      <c r="AE850" s="9">
        <f t="shared" ca="1" si="2385"/>
        <v>92751</v>
      </c>
      <c r="AF850" s="9">
        <f t="shared" ca="1" si="2385"/>
        <v>148705</v>
      </c>
      <c r="AG850" s="9">
        <f t="shared" ca="1" si="2385"/>
        <v>1656</v>
      </c>
      <c r="AH850" s="9">
        <f t="shared" ca="1" si="2385"/>
        <v>150361</v>
      </c>
      <c r="AI850" s="9">
        <f t="shared" ca="1" si="2385"/>
        <v>243112</v>
      </c>
      <c r="AJ850" s="11">
        <f t="shared" ca="1" si="2374"/>
        <v>197.91062492250353</v>
      </c>
      <c r="AK850" s="9">
        <f t="shared" si="2375"/>
        <v>346084</v>
      </c>
      <c r="AL850" s="12">
        <f t="shared" ca="1" si="2376"/>
        <v>0.70246529744223951</v>
      </c>
      <c r="AM850" s="13">
        <f t="shared" si="2377"/>
        <v>1.5</v>
      </c>
      <c r="AN850" s="12">
        <f t="shared" ca="1" si="2378"/>
        <v>0.50770525613168904</v>
      </c>
      <c r="AO850" s="14">
        <f t="shared" ca="1" si="2379"/>
        <v>0.76155788419753356</v>
      </c>
      <c r="AP850" s="13">
        <f t="shared" ref="AP850:AQ850" ca="1" si="2386">SUM(T845)</f>
        <v>10783.698881870019</v>
      </c>
      <c r="AQ850" s="13">
        <f t="shared" ca="1" si="2386"/>
        <v>6.6854921772287783</v>
      </c>
      <c r="AR850" s="9">
        <f t="shared" ca="1" si="2381"/>
        <v>150.72039677619344</v>
      </c>
      <c r="AS850" s="54">
        <f t="shared" ca="1" si="2382"/>
        <v>9659</v>
      </c>
      <c r="AT850" s="60">
        <v>46258</v>
      </c>
    </row>
    <row r="851" spans="1:46" ht="15.75" customHeight="1" x14ac:dyDescent="0.2">
      <c r="A851" s="76"/>
      <c r="B851" s="16">
        <v>9</v>
      </c>
      <c r="C851" s="16" t="s">
        <v>36</v>
      </c>
      <c r="D851" s="18">
        <f t="shared" ref="D851:H851" si="2387">D14+D41+D68+D95+D122+D149+D176+D203+D230+D257+D284+D311+D338+D365+D392+D419+D446+D473+D500+D527+D554+D581+D608+D635+D662+D689+D716+D743+D770+D797+D824</f>
        <v>827</v>
      </c>
      <c r="E851" s="18">
        <f t="shared" ca="1" si="2387"/>
        <v>821</v>
      </c>
      <c r="F851" s="18">
        <f t="shared" ca="1" si="2387"/>
        <v>161969.0889999998</v>
      </c>
      <c r="G851" s="18">
        <f t="shared" ca="1" si="2387"/>
        <v>42380</v>
      </c>
      <c r="H851" s="18">
        <f t="shared" ca="1" si="2387"/>
        <v>122</v>
      </c>
      <c r="I851" s="18">
        <f t="shared" ca="1" si="2340"/>
        <v>42502</v>
      </c>
      <c r="J851" s="18">
        <f t="shared" ref="J851:K851" ca="1" si="2388">J14+J41+J68+J95+J122+J149+J176+J203+J230+J257+J284+J311+J338+J365+J392+J419+J446+J473+J500+J527+J554+J581+J608+J635+J662+J689+J716+J743+J770+J797+J824</f>
        <v>62942</v>
      </c>
      <c r="K851" s="18">
        <f t="shared" ca="1" si="2388"/>
        <v>217</v>
      </c>
      <c r="L851" s="18">
        <f t="shared" ref="L851:L860" ca="1" si="2389">SUM(J851:K851)</f>
        <v>63159</v>
      </c>
      <c r="M851" s="18">
        <f t="shared" ca="1" si="2343"/>
        <v>105661</v>
      </c>
      <c r="N851" s="19">
        <f t="shared" ca="1" si="2344"/>
        <v>197.28269062119344</v>
      </c>
      <c r="O851" s="18">
        <f t="shared" si="2345"/>
        <v>148676</v>
      </c>
      <c r="P851" s="20">
        <f t="shared" ca="1" si="2346"/>
        <v>0.71067959859022301</v>
      </c>
      <c r="Q851" s="21">
        <v>1.5</v>
      </c>
      <c r="R851" s="20">
        <f t="shared" ca="1" si="2347"/>
        <v>0.43490191308458087</v>
      </c>
      <c r="S851" s="22">
        <f t="shared" ca="1" si="2348"/>
        <v>0.65235286962687133</v>
      </c>
      <c r="T851" s="21">
        <f ca="1">F851/37.414</f>
        <v>4329.1037846795261</v>
      </c>
      <c r="U851" s="21">
        <f t="shared" ca="1" si="2349"/>
        <v>5.2729644149567916</v>
      </c>
      <c r="V851" s="18">
        <f t="shared" ca="1" si="2350"/>
        <v>128.69792935444579</v>
      </c>
      <c r="W851" s="76"/>
      <c r="X851" s="8">
        <v>3</v>
      </c>
      <c r="Y851" s="8" t="s">
        <v>34</v>
      </c>
      <c r="Z851" s="9">
        <f t="shared" ref="Z851:AI851" si="2390">SUM(D847)</f>
        <v>1134</v>
      </c>
      <c r="AA851" s="9">
        <f t="shared" ca="1" si="2390"/>
        <v>1119</v>
      </c>
      <c r="AB851" s="9">
        <f t="shared" ca="1" si="2390"/>
        <v>220023.18599999996</v>
      </c>
      <c r="AC851" s="9">
        <f t="shared" ca="1" si="2390"/>
        <v>75897</v>
      </c>
      <c r="AD851" s="9">
        <f t="shared" ca="1" si="2390"/>
        <v>171</v>
      </c>
      <c r="AE851" s="9">
        <f t="shared" ca="1" si="2390"/>
        <v>76068</v>
      </c>
      <c r="AF851" s="9">
        <f t="shared" ca="1" si="2390"/>
        <v>92799</v>
      </c>
      <c r="AG851" s="9">
        <f t="shared" ca="1" si="2390"/>
        <v>339</v>
      </c>
      <c r="AH851" s="9">
        <f t="shared" ca="1" si="2390"/>
        <v>93138</v>
      </c>
      <c r="AI851" s="9">
        <f t="shared" ca="1" si="2390"/>
        <v>169206</v>
      </c>
      <c r="AJ851" s="11">
        <f t="shared" ca="1" si="2374"/>
        <v>196.62483109919566</v>
      </c>
      <c r="AK851" s="9">
        <f>SUM(O847)</f>
        <v>289974</v>
      </c>
      <c r="AL851" s="12">
        <f t="shared" ca="1" si="2376"/>
        <v>0.58352128121831615</v>
      </c>
      <c r="AM851" s="13">
        <f>SUM(Q847)</f>
        <v>1.5</v>
      </c>
      <c r="AN851" s="12">
        <f t="shared" ca="1" si="2378"/>
        <v>0.51269142153045644</v>
      </c>
      <c r="AO851" s="14">
        <f t="shared" ca="1" si="2379"/>
        <v>0.76903713229568471</v>
      </c>
      <c r="AP851" s="13">
        <f t="shared" ref="AP851:AQ851" ca="1" si="2391">SUM(T847)</f>
        <v>7163.8454726011769</v>
      </c>
      <c r="AQ851" s="13">
        <f t="shared" ca="1" si="2391"/>
        <v>6.4020066779277718</v>
      </c>
      <c r="AR851" s="9">
        <f t="shared" ca="1" si="2381"/>
        <v>151.21179624664879</v>
      </c>
      <c r="AS851" s="59">
        <f ca="1">MAX(M10,M37,M64,M91,M118,M145,M172,M199,M226,M253,M280,M307,M334,M361,M388,M415,M442,M469,M496,M523,M550,M577,M604,M631,M658,M685,M712,M739,M766,M793,M820)</f>
        <v>6808</v>
      </c>
      <c r="AT851" s="60">
        <v>46238</v>
      </c>
    </row>
    <row r="852" spans="1:46" ht="15.75" customHeight="1" x14ac:dyDescent="0.2">
      <c r="A852" s="76"/>
      <c r="B852" s="16">
        <v>10</v>
      </c>
      <c r="C852" s="16" t="s">
        <v>37</v>
      </c>
      <c r="D852" s="18">
        <f t="shared" ref="D852:H852" si="2392">D15+D42+D69+D96+D123+D150+D177+D204+D231+D258+D285+D312+D339+D366+D393+D420+D447+D474+D501+D528+D555+D582+D609+D636+D663+D690+D717+D744+D771+D798+D825</f>
        <v>853</v>
      </c>
      <c r="E852" s="18">
        <f t="shared" ca="1" si="2392"/>
        <v>814</v>
      </c>
      <c r="F852" s="18">
        <f t="shared" ca="1" si="2392"/>
        <v>158569.24199999991</v>
      </c>
      <c r="G852" s="18">
        <f t="shared" ca="1" si="2392"/>
        <v>52354</v>
      </c>
      <c r="H852" s="18">
        <f t="shared" ca="1" si="2392"/>
        <v>415</v>
      </c>
      <c r="I852" s="18">
        <f t="shared" ca="1" si="2340"/>
        <v>52769</v>
      </c>
      <c r="J852" s="18">
        <f t="shared" ref="J852:K852" ca="1" si="2393">J15+J42+J69+J96+J123+J150+J177+J204+J231+J258+J285+J312+J339+J366+J393+J420+J447+J474+J501+J528+J555+J582+J609+J636+J663+J690+J717+J744+J771+J798+J825</f>
        <v>80848</v>
      </c>
      <c r="K852" s="18">
        <f t="shared" ca="1" si="2393"/>
        <v>582</v>
      </c>
      <c r="L852" s="18">
        <f t="shared" ca="1" si="2389"/>
        <v>81430</v>
      </c>
      <c r="M852" s="18">
        <f t="shared" ca="1" si="2343"/>
        <v>134199</v>
      </c>
      <c r="N852" s="19">
        <f t="shared" ca="1" si="2344"/>
        <v>194.80250859950849</v>
      </c>
      <c r="O852" s="18">
        <f t="shared" si="2345"/>
        <v>182497</v>
      </c>
      <c r="P852" s="20">
        <f t="shared" ca="1" si="2346"/>
        <v>0.7353490742313572</v>
      </c>
      <c r="Q852" s="21">
        <v>1.5</v>
      </c>
      <c r="R852" s="20">
        <f t="shared" ca="1" si="2347"/>
        <v>0.56420777996782034</v>
      </c>
      <c r="S852" s="22">
        <f t="shared" ca="1" si="2348"/>
        <v>0.84631166995173046</v>
      </c>
      <c r="T852" s="21">
        <f ca="1">F852/24.792</f>
        <v>6395.984269119067</v>
      </c>
      <c r="U852" s="21">
        <f t="shared" ca="1" si="2349"/>
        <v>7.8574745320873056</v>
      </c>
      <c r="V852" s="18">
        <f t="shared" ca="1" si="2350"/>
        <v>164.86363636363637</v>
      </c>
      <c r="W852" s="76"/>
      <c r="X852" s="8">
        <v>4</v>
      </c>
      <c r="Y852" s="8" t="s">
        <v>38</v>
      </c>
      <c r="Z852" s="9">
        <f t="shared" ref="Z852:AI852" si="2394">SUM(D855)</f>
        <v>853</v>
      </c>
      <c r="AA852" s="9">
        <f t="shared" ca="1" si="2394"/>
        <v>846</v>
      </c>
      <c r="AB852" s="9">
        <f t="shared" ca="1" si="2394"/>
        <v>173491.60799999992</v>
      </c>
      <c r="AC852" s="9">
        <f t="shared" ca="1" si="2394"/>
        <v>58502</v>
      </c>
      <c r="AD852" s="9">
        <f t="shared" ca="1" si="2394"/>
        <v>1204</v>
      </c>
      <c r="AE852" s="9">
        <f t="shared" ca="1" si="2394"/>
        <v>59706</v>
      </c>
      <c r="AF852" s="9">
        <f t="shared" ca="1" si="2394"/>
        <v>79070</v>
      </c>
      <c r="AG852" s="9">
        <f t="shared" ca="1" si="2394"/>
        <v>3613</v>
      </c>
      <c r="AH852" s="9">
        <f t="shared" ca="1" si="2394"/>
        <v>82683</v>
      </c>
      <c r="AI852" s="9">
        <f t="shared" ca="1" si="2394"/>
        <v>142389</v>
      </c>
      <c r="AJ852" s="11">
        <f t="shared" ca="1" si="2374"/>
        <v>205.07282269503537</v>
      </c>
      <c r="AK852" s="9">
        <f>SUM(O855)</f>
        <v>258695</v>
      </c>
      <c r="AL852" s="12">
        <f t="shared" ca="1" si="2376"/>
        <v>0.55041264809911283</v>
      </c>
      <c r="AM852" s="13">
        <f>SUM(Q855)</f>
        <v>1.5</v>
      </c>
      <c r="AN852" s="12">
        <f t="shared" ca="1" si="2378"/>
        <v>0.54715038435749608</v>
      </c>
      <c r="AO852" s="14">
        <f t="shared" ca="1" si="2379"/>
        <v>0.82072557653624412</v>
      </c>
      <c r="AP852" s="13">
        <f t="shared" ref="AP852:AQ852" ca="1" si="2395">SUM(T855)</f>
        <v>4210.4503822351635</v>
      </c>
      <c r="AQ852" s="13">
        <f t="shared" ca="1" si="2395"/>
        <v>4.976891704769697</v>
      </c>
      <c r="AR852" s="9">
        <f t="shared" ca="1" si="2381"/>
        <v>168.30851063829786</v>
      </c>
      <c r="AS852" s="59">
        <f ca="1">MAX(M18,M45,M72,M99,M126,M153,M180,M207,M234,M261,M288,M315,M342,M369,M396,M423,M450,M477,M504,M531,M558,M585,M612,M639,M666,M693,M720,M747,M774,M801,M828)</f>
        <v>5793</v>
      </c>
      <c r="AT852" s="60">
        <v>46246</v>
      </c>
    </row>
    <row r="853" spans="1:46" ht="15.75" customHeight="1" x14ac:dyDescent="0.2">
      <c r="A853" s="76"/>
      <c r="B853" s="16">
        <v>12</v>
      </c>
      <c r="C853" s="16" t="s">
        <v>39</v>
      </c>
      <c r="D853" s="18">
        <f t="shared" ref="D853:H853" si="2396">D16+D43+D70+D97+D124+D151+D178+D205+D232+D259+D286+D313+D340+D367+D394+D421+D448+D475+D502+D529+D556+D583+D610+D637+D664+D691+D718+D745+D772+D799+D826</f>
        <v>791</v>
      </c>
      <c r="E853" s="18">
        <f t="shared" ca="1" si="2396"/>
        <v>768</v>
      </c>
      <c r="F853" s="18">
        <f t="shared" ca="1" si="2396"/>
        <v>142481.22799999992</v>
      </c>
      <c r="G853" s="18">
        <f t="shared" ca="1" si="2396"/>
        <v>33206</v>
      </c>
      <c r="H853" s="18">
        <f t="shared" ca="1" si="2396"/>
        <v>536</v>
      </c>
      <c r="I853" s="18">
        <f t="shared" ca="1" si="2340"/>
        <v>33742</v>
      </c>
      <c r="J853" s="18">
        <f t="shared" ref="J853:K853" ca="1" si="2397">J16+J43+J70+J97+J124+J151+J178+J205+J232+J259+J286+J313+J340+J367+J394+J421+J448+J475+J502+J529+J556+J583+J610+J637+J664+J691+J718+J745+J772+J799+J826</f>
        <v>51557</v>
      </c>
      <c r="K853" s="18">
        <f t="shared" ca="1" si="2397"/>
        <v>2134</v>
      </c>
      <c r="L853" s="18">
        <f t="shared" ca="1" si="2389"/>
        <v>53691</v>
      </c>
      <c r="M853" s="18">
        <f t="shared" ca="1" si="2343"/>
        <v>87433</v>
      </c>
      <c r="N853" s="19">
        <f t="shared" ca="1" si="2344"/>
        <v>185.52243229166655</v>
      </c>
      <c r="O853" s="18">
        <f t="shared" si="2345"/>
        <v>110639</v>
      </c>
      <c r="P853" s="20">
        <f t="shared" ca="1" si="2346"/>
        <v>0.79025479261381615</v>
      </c>
      <c r="Q853" s="21">
        <v>1.5</v>
      </c>
      <c r="R853" s="20">
        <f t="shared" ca="1" si="2347"/>
        <v>0.40909716658721318</v>
      </c>
      <c r="S853" s="22">
        <f t="shared" ca="1" si="2348"/>
        <v>0.61364574988081977</v>
      </c>
      <c r="T853" s="21">
        <f ca="1">F853/21.463</f>
        <v>6638.458183851275</v>
      </c>
      <c r="U853" s="21">
        <f t="shared" ca="1" si="2349"/>
        <v>8.6438257602230149</v>
      </c>
      <c r="V853" s="18">
        <f t="shared" ca="1" si="2350"/>
        <v>113.84505208333333</v>
      </c>
      <c r="W853" s="76"/>
      <c r="X853" s="8">
        <v>5</v>
      </c>
      <c r="Y853" s="8" t="s">
        <v>40</v>
      </c>
      <c r="Z853" s="9">
        <f t="shared" ref="Z853:AI853" si="2398">SUM(D857)</f>
        <v>853</v>
      </c>
      <c r="AA853" s="9">
        <f t="shared" ca="1" si="2398"/>
        <v>830</v>
      </c>
      <c r="AB853" s="9">
        <f t="shared" ca="1" si="2398"/>
        <v>158710.60699999979</v>
      </c>
      <c r="AC853" s="9">
        <f t="shared" ca="1" si="2398"/>
        <v>89577</v>
      </c>
      <c r="AD853" s="9">
        <f t="shared" ca="1" si="2398"/>
        <v>311</v>
      </c>
      <c r="AE853" s="9">
        <f t="shared" ca="1" si="2398"/>
        <v>89888</v>
      </c>
      <c r="AF853" s="9">
        <f t="shared" ca="1" si="2398"/>
        <v>105325</v>
      </c>
      <c r="AG853" s="9">
        <f t="shared" ca="1" si="2398"/>
        <v>492</v>
      </c>
      <c r="AH853" s="9">
        <f t="shared" ca="1" si="2398"/>
        <v>105817</v>
      </c>
      <c r="AI853" s="9">
        <f t="shared" ca="1" si="2398"/>
        <v>195705</v>
      </c>
      <c r="AJ853" s="11">
        <f t="shared" ca="1" si="2374"/>
        <v>191.21759879518046</v>
      </c>
      <c r="AK853" s="9">
        <f t="shared" ref="AK853:AK854" si="2399">SUM(O857)</f>
        <v>255409</v>
      </c>
      <c r="AL853" s="12">
        <f t="shared" ca="1" si="2376"/>
        <v>0.76624159681138881</v>
      </c>
      <c r="AM853" s="13">
        <f t="shared" ref="AM853:AM854" si="2400">SUM(Q857)</f>
        <v>1.5</v>
      </c>
      <c r="AN853" s="12">
        <f t="shared" ca="1" si="2378"/>
        <v>0.82206225825851809</v>
      </c>
      <c r="AO853" s="14">
        <f t="shared" ca="1" si="2379"/>
        <v>1.2330933873877772</v>
      </c>
      <c r="AP853" s="13">
        <f t="shared" ref="AP853:AQ853" ca="1" si="2401">SUM(T857)</f>
        <v>5579.9531343388453</v>
      </c>
      <c r="AQ853" s="13">
        <f t="shared" ca="1" si="2401"/>
        <v>6.7228351016130663</v>
      </c>
      <c r="AR853" s="9">
        <f t="shared" ca="1" si="2381"/>
        <v>235.78915662650601</v>
      </c>
      <c r="AS853" s="54">
        <f t="shared" ref="AS853:AS854" ca="1" si="2402">MAX(M20,M47,M74,M101,M128,M155,M182,M209,M236,M263,M290,M317,M344,M371,M398,M425,M452,M479,M506,M533,M560,M587,M614,M641,M668,M695,M722,M749,M776,M803,M830)</f>
        <v>7739</v>
      </c>
      <c r="AT853" s="60">
        <v>46255</v>
      </c>
    </row>
    <row r="854" spans="1:46" ht="15.75" customHeight="1" x14ac:dyDescent="0.2">
      <c r="A854" s="76"/>
      <c r="B854" s="16">
        <v>12</v>
      </c>
      <c r="C854" s="16" t="s">
        <v>41</v>
      </c>
      <c r="D854" s="18">
        <f t="shared" ref="D854:H854" si="2403">D17+D44+D71+D98+D125+D152+D179+D206+D233+D260+D287+D314+D341+D368+D395+D422+D449+D476+D503+D530+D557+D584+D611+D638+D665+D692+D719+D746+D773+D800+D827</f>
        <v>691</v>
      </c>
      <c r="E854" s="18">
        <f t="shared" ca="1" si="2403"/>
        <v>690</v>
      </c>
      <c r="F854" s="18">
        <f t="shared" ca="1" si="2403"/>
        <v>136571.91200000001</v>
      </c>
      <c r="G854" s="18">
        <f t="shared" ca="1" si="2403"/>
        <v>34106</v>
      </c>
      <c r="H854" s="18">
        <f t="shared" ca="1" si="2403"/>
        <v>605</v>
      </c>
      <c r="I854" s="18">
        <f t="shared" ca="1" si="2340"/>
        <v>34711</v>
      </c>
      <c r="J854" s="18">
        <f t="shared" ref="J854:K854" ca="1" si="2404">J17+J44+J71+J98+J125+J152+J179+J206+J233+J260+J287+J314+J341+J368+J395+J422+J449+J476+J503+J530+J557+J584+J611+J638+J665+J692+J719+J746+J773+J800+J827</f>
        <v>46047</v>
      </c>
      <c r="K854" s="18">
        <f t="shared" ca="1" si="2404"/>
        <v>1393</v>
      </c>
      <c r="L854" s="18">
        <f t="shared" ca="1" si="2389"/>
        <v>47440</v>
      </c>
      <c r="M854" s="18">
        <f t="shared" ca="1" si="2343"/>
        <v>82151</v>
      </c>
      <c r="N854" s="19">
        <f t="shared" ca="1" si="2344"/>
        <v>197.93030724637683</v>
      </c>
      <c r="O854" s="18">
        <f t="shared" si="2345"/>
        <v>117831</v>
      </c>
      <c r="P854" s="20">
        <f t="shared" ca="1" si="2346"/>
        <v>0.69719343805959377</v>
      </c>
      <c r="Q854" s="21">
        <v>1.5</v>
      </c>
      <c r="R854" s="20">
        <f t="shared" ca="1" si="2347"/>
        <v>0.40101461956052376</v>
      </c>
      <c r="S854" s="22">
        <f t="shared" ca="1" si="2348"/>
        <v>0.60152192934078563</v>
      </c>
      <c r="T854" s="21">
        <f ca="1">F854/29.628</f>
        <v>4609.5555555555557</v>
      </c>
      <c r="U854" s="21">
        <f t="shared" ca="1" si="2349"/>
        <v>6.6805152979066023</v>
      </c>
      <c r="V854" s="18">
        <f t="shared" ca="1" si="2350"/>
        <v>119.05942028985507</v>
      </c>
      <c r="W854" s="76"/>
      <c r="X854" s="8">
        <v>6</v>
      </c>
      <c r="Y854" s="8" t="s">
        <v>42</v>
      </c>
      <c r="Z854" s="9">
        <f t="shared" ref="Z854:AI854" si="2405">SUM(D858)</f>
        <v>929</v>
      </c>
      <c r="AA854" s="9">
        <f t="shared" ca="1" si="2405"/>
        <v>888</v>
      </c>
      <c r="AB854" s="9">
        <f t="shared" ca="1" si="2405"/>
        <v>172567.62599999973</v>
      </c>
      <c r="AC854" s="9">
        <f t="shared" ca="1" si="2405"/>
        <v>85359</v>
      </c>
      <c r="AD854" s="9">
        <f t="shared" ca="1" si="2405"/>
        <v>1069</v>
      </c>
      <c r="AE854" s="9">
        <f t="shared" ca="1" si="2405"/>
        <v>86428</v>
      </c>
      <c r="AF854" s="9">
        <f t="shared" ca="1" si="2405"/>
        <v>113849</v>
      </c>
      <c r="AG854" s="9">
        <f t="shared" ca="1" si="2405"/>
        <v>1801</v>
      </c>
      <c r="AH854" s="9">
        <f t="shared" ca="1" si="2405"/>
        <v>115650</v>
      </c>
      <c r="AI854" s="9">
        <f t="shared" ca="1" si="2405"/>
        <v>202078</v>
      </c>
      <c r="AJ854" s="11">
        <f t="shared" ca="1" si="2374"/>
        <v>194.33291216216185</v>
      </c>
      <c r="AK854" s="9">
        <f t="shared" si="2399"/>
        <v>306187</v>
      </c>
      <c r="AL854" s="12">
        <f t="shared" ca="1" si="2376"/>
        <v>0.65998229839934419</v>
      </c>
      <c r="AM854" s="13">
        <f t="shared" si="2400"/>
        <v>1.5</v>
      </c>
      <c r="AN854" s="12">
        <f t="shared" ca="1" si="2378"/>
        <v>0.78067172730687551</v>
      </c>
      <c r="AO854" s="14">
        <f t="shared" ca="1" si="2379"/>
        <v>1.1710075909603133</v>
      </c>
      <c r="AP854" s="13">
        <f t="shared" ref="AP854:AQ854" ca="1" si="2406">SUM(T858)</f>
        <v>6597.8828522270969</v>
      </c>
      <c r="AQ854" s="13">
        <f t="shared" ca="1" si="2406"/>
        <v>7.4300482570124968</v>
      </c>
      <c r="AR854" s="9">
        <f t="shared" ca="1" si="2381"/>
        <v>227.5653153153153</v>
      </c>
      <c r="AS854" s="59">
        <f t="shared" ca="1" si="2402"/>
        <v>8051</v>
      </c>
      <c r="AT854" s="60">
        <v>46239</v>
      </c>
    </row>
    <row r="855" spans="1:46" ht="15.75" customHeight="1" x14ac:dyDescent="0.25">
      <c r="A855" s="76"/>
      <c r="B855" s="16">
        <v>13</v>
      </c>
      <c r="C855" s="16" t="s">
        <v>43</v>
      </c>
      <c r="D855" s="18">
        <f t="shared" ref="D855:H855" si="2407">D18+D45+D72+D99+D126+D153+D180+D207+D234+D261+D288+D315+D342+D369+D396+D423+D450+D477+D504+D531+D558+D585+D612+D639+D666+D693+D720+D747+D774+D801+D828</f>
        <v>853</v>
      </c>
      <c r="E855" s="18">
        <f t="shared" ca="1" si="2407"/>
        <v>846</v>
      </c>
      <c r="F855" s="18">
        <f t="shared" ca="1" si="2407"/>
        <v>173491.60799999992</v>
      </c>
      <c r="G855" s="18">
        <f t="shared" ca="1" si="2407"/>
        <v>58502</v>
      </c>
      <c r="H855" s="18">
        <f t="shared" ca="1" si="2407"/>
        <v>1204</v>
      </c>
      <c r="I855" s="18">
        <f t="shared" ca="1" si="2340"/>
        <v>59706</v>
      </c>
      <c r="J855" s="18">
        <f t="shared" ref="J855:K855" ca="1" si="2408">J18+J45+J72+J99+J126+J153+J180+J207+J234+J261+J288+J315+J342+J369+J396+J423+J450+J477+J504+J531+J558+J585+J612+J639+J666+J693+J720+J747+J774+J801+J828</f>
        <v>79070</v>
      </c>
      <c r="K855" s="18">
        <f t="shared" ca="1" si="2408"/>
        <v>3613</v>
      </c>
      <c r="L855" s="18">
        <f t="shared" ca="1" si="2389"/>
        <v>82683</v>
      </c>
      <c r="M855" s="18">
        <f t="shared" ca="1" si="2343"/>
        <v>142389</v>
      </c>
      <c r="N855" s="19">
        <f t="shared" ca="1" si="2344"/>
        <v>205.07282269503537</v>
      </c>
      <c r="O855" s="18">
        <f t="shared" si="2345"/>
        <v>258695</v>
      </c>
      <c r="P855" s="20">
        <f t="shared" ca="1" si="2346"/>
        <v>0.55041264809911283</v>
      </c>
      <c r="Q855" s="21">
        <v>1.5</v>
      </c>
      <c r="R855" s="20">
        <f t="shared" ca="1" si="2347"/>
        <v>0.54715038435749608</v>
      </c>
      <c r="S855" s="22">
        <f t="shared" ca="1" si="2348"/>
        <v>0.82072557653624412</v>
      </c>
      <c r="T855" s="21">
        <f ca="1">F855/41.205</f>
        <v>4210.4503822351635</v>
      </c>
      <c r="U855" s="21">
        <f t="shared" ca="1" si="2349"/>
        <v>4.976891704769697</v>
      </c>
      <c r="V855" s="18">
        <f t="shared" ca="1" si="2350"/>
        <v>168.30851063829786</v>
      </c>
      <c r="W855" s="76"/>
      <c r="X855" s="24" t="s">
        <v>33</v>
      </c>
      <c r="Y855" s="24">
        <v>6</v>
      </c>
      <c r="Z855" s="25">
        <f t="shared" ref="Z855:AI855" si="2409">SUM(Z849:Z854)</f>
        <v>6399</v>
      </c>
      <c r="AA855" s="25">
        <f t="shared" ca="1" si="2409"/>
        <v>6217</v>
      </c>
      <c r="AB855" s="25">
        <f t="shared" ca="1" si="2409"/>
        <v>1224080.5099999974</v>
      </c>
      <c r="AC855" s="25">
        <f t="shared" ca="1" si="2409"/>
        <v>472696</v>
      </c>
      <c r="AD855" s="25">
        <f t="shared" ca="1" si="2409"/>
        <v>7293</v>
      </c>
      <c r="AE855" s="25">
        <f t="shared" ca="1" si="2409"/>
        <v>479989</v>
      </c>
      <c r="AF855" s="25">
        <f t="shared" ca="1" si="2409"/>
        <v>617258</v>
      </c>
      <c r="AG855" s="25">
        <f t="shared" ca="1" si="2409"/>
        <v>13041</v>
      </c>
      <c r="AH855" s="25">
        <f t="shared" ca="1" si="2409"/>
        <v>630299</v>
      </c>
      <c r="AI855" s="25">
        <f t="shared" ca="1" si="2409"/>
        <v>1110288</v>
      </c>
      <c r="AJ855" s="27">
        <f t="shared" ca="1" si="2374"/>
        <v>196.89247386199091</v>
      </c>
      <c r="AK855" s="25">
        <f>SUM(AK849:AK854)</f>
        <v>1683114</v>
      </c>
      <c r="AL855" s="28">
        <f t="shared" ca="1" si="2376"/>
        <v>0.65966298183010774</v>
      </c>
      <c r="AM855" s="29">
        <v>1.5</v>
      </c>
      <c r="AN855" s="28">
        <f t="shared" ca="1" si="2378"/>
        <v>0.60469225181928721</v>
      </c>
      <c r="AO855" s="30">
        <f t="shared" ca="1" si="2379"/>
        <v>0.90703837772893081</v>
      </c>
      <c r="AP855" s="29">
        <f ca="1">SUM(AP849:AP854)</f>
        <v>40163.504769296182</v>
      </c>
      <c r="AQ855" s="29">
        <f ca="1">AP855/AA855</f>
        <v>6.4602709939353682</v>
      </c>
      <c r="AR855" s="25">
        <f t="shared" ca="1" si="2381"/>
        <v>178.58903007881614</v>
      </c>
      <c r="AS855" s="68">
        <f ca="1">MAX(M24,M51,M78,M105,M132,M159,M186,M213,M240,M267,M294,M321,M348,M375,M402,M429,M456,M483,M510,M537,M564,M591,M618,M645,M672,M699,M726,M753,M780,M807,M834)</f>
        <v>103223</v>
      </c>
      <c r="AT855" s="67">
        <v>46245</v>
      </c>
    </row>
    <row r="856" spans="1:46" ht="15.75" customHeight="1" x14ac:dyDescent="0.2">
      <c r="A856" s="76"/>
      <c r="B856" s="16">
        <v>14</v>
      </c>
      <c r="C856" s="16" t="s">
        <v>27</v>
      </c>
      <c r="D856" s="18">
        <f t="shared" ref="D856:H856" si="2410">D19+D46+D73+D100+D127+D154+D181+D208+D235+D262+D289+D316+D343+D370+D397+D424+D451+D478+D505+D532+D559+D586+D613+D640+D667+D694+D721+D748+D775+D802+D829</f>
        <v>853</v>
      </c>
      <c r="E856" s="18">
        <f t="shared" ca="1" si="2410"/>
        <v>827</v>
      </c>
      <c r="F856" s="18">
        <f t="shared" ca="1" si="2410"/>
        <v>153284.93199999983</v>
      </c>
      <c r="G856" s="18">
        <f t="shared" ca="1" si="2410"/>
        <v>67006</v>
      </c>
      <c r="H856" s="18">
        <f t="shared" ca="1" si="2410"/>
        <v>754</v>
      </c>
      <c r="I856" s="18">
        <f t="shared" ca="1" si="2340"/>
        <v>67760</v>
      </c>
      <c r="J856" s="18">
        <f t="shared" ref="J856:K856" ca="1" si="2411">J19+J46+J73+J100+J127+J154+J181+J208+J235+J262+J289+J316+J343+J370+J397+J424+J451+J478+J505+J532+J559+J586+J613+J640+J667+J694+J721+J748+J775+J802+J829</f>
        <v>85093</v>
      </c>
      <c r="K856" s="18">
        <f t="shared" ca="1" si="2411"/>
        <v>814</v>
      </c>
      <c r="L856" s="18">
        <f t="shared" ca="1" si="2389"/>
        <v>85907</v>
      </c>
      <c r="M856" s="18">
        <f t="shared" ca="1" si="2343"/>
        <v>153667</v>
      </c>
      <c r="N856" s="19">
        <f t="shared" ca="1" si="2344"/>
        <v>185.35058282950402</v>
      </c>
      <c r="O856" s="18">
        <f t="shared" si="2345"/>
        <v>251131</v>
      </c>
      <c r="P856" s="20">
        <f t="shared" ca="1" si="2346"/>
        <v>0.61189976546105418</v>
      </c>
      <c r="Q856" s="21">
        <v>1.5</v>
      </c>
      <c r="R856" s="20">
        <f t="shared" ca="1" si="2347"/>
        <v>0.6683283564144894</v>
      </c>
      <c r="S856" s="22">
        <f t="shared" ca="1" si="2348"/>
        <v>1.0024925346217342</v>
      </c>
      <c r="T856" s="21">
        <f ca="1">F856/19.985</f>
        <v>7669.9990993244846</v>
      </c>
      <c r="U856" s="21">
        <f t="shared" ca="1" si="2349"/>
        <v>9.2744850052291223</v>
      </c>
      <c r="V856" s="18">
        <f t="shared" ca="1" si="2350"/>
        <v>185.81257557436518</v>
      </c>
      <c r="W856" s="76"/>
      <c r="X856" s="97" t="s">
        <v>44</v>
      </c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9"/>
    </row>
    <row r="857" spans="1:46" ht="15.75" customHeight="1" x14ac:dyDescent="0.2">
      <c r="A857" s="76"/>
      <c r="B857" s="16">
        <v>15</v>
      </c>
      <c r="C857" s="16" t="s">
        <v>40</v>
      </c>
      <c r="D857" s="18">
        <f t="shared" ref="D857:H857" si="2412">D20+D47+D74+D101+D128+D155+D182+D209+D236+D263+D290+D317+D344+D371+D398+D425+D452+D479+D506+D533+D560+D587+D614+D641+D668+D695+D722+D749+D776+D803+D830</f>
        <v>853</v>
      </c>
      <c r="E857" s="18">
        <f t="shared" ca="1" si="2412"/>
        <v>830</v>
      </c>
      <c r="F857" s="18">
        <f t="shared" ca="1" si="2412"/>
        <v>158710.60699999979</v>
      </c>
      <c r="G857" s="18">
        <f t="shared" ca="1" si="2412"/>
        <v>89577</v>
      </c>
      <c r="H857" s="18">
        <f t="shared" ca="1" si="2412"/>
        <v>311</v>
      </c>
      <c r="I857" s="18">
        <f t="shared" ca="1" si="2340"/>
        <v>89888</v>
      </c>
      <c r="J857" s="18">
        <f t="shared" ref="J857:K857" ca="1" si="2413">J20+J47+J74+J101+J128+J155+J182+J209+J236+J263+J290+J317+J344+J371+J398+J425+J452+J479+J506+J533+J560+J587+J614+J641+J668+J695+J722+J749+J776+J803+J830</f>
        <v>105325</v>
      </c>
      <c r="K857" s="18">
        <f t="shared" ca="1" si="2413"/>
        <v>492</v>
      </c>
      <c r="L857" s="18">
        <f t="shared" ca="1" si="2389"/>
        <v>105817</v>
      </c>
      <c r="M857" s="18">
        <f t="shared" ca="1" si="2343"/>
        <v>195705</v>
      </c>
      <c r="N857" s="19">
        <f t="shared" ca="1" si="2344"/>
        <v>191.21759879518046</v>
      </c>
      <c r="O857" s="18">
        <f t="shared" si="2345"/>
        <v>255409</v>
      </c>
      <c r="P857" s="20">
        <f t="shared" ca="1" si="2346"/>
        <v>0.76624159681138881</v>
      </c>
      <c r="Q857" s="21">
        <v>1.5</v>
      </c>
      <c r="R857" s="20">
        <f t="shared" ca="1" si="2347"/>
        <v>0.82206225825851809</v>
      </c>
      <c r="S857" s="22">
        <f t="shared" ca="1" si="2348"/>
        <v>1.2330933873877772</v>
      </c>
      <c r="T857" s="21">
        <f ca="1">F857/28.443</f>
        <v>5579.9531343388453</v>
      </c>
      <c r="U857" s="21">
        <f t="shared" ca="1" si="2349"/>
        <v>6.7228351016130663</v>
      </c>
      <c r="V857" s="18">
        <f t="shared" ca="1" si="2350"/>
        <v>235.78915662650601</v>
      </c>
      <c r="W857" s="76"/>
      <c r="X857" s="1" t="s">
        <v>2</v>
      </c>
      <c r="Y857" s="1" t="s">
        <v>3</v>
      </c>
      <c r="Z857" s="1" t="s">
        <v>4</v>
      </c>
      <c r="AA857" s="1" t="s">
        <v>5</v>
      </c>
      <c r="AB857" s="2" t="s">
        <v>6</v>
      </c>
      <c r="AC857" s="1" t="s">
        <v>7</v>
      </c>
      <c r="AD857" s="1" t="s">
        <v>8</v>
      </c>
      <c r="AE857" s="1" t="s">
        <v>9</v>
      </c>
      <c r="AF857" s="1" t="s">
        <v>10</v>
      </c>
      <c r="AG857" s="1" t="s">
        <v>11</v>
      </c>
      <c r="AH857" s="1" t="s">
        <v>12</v>
      </c>
      <c r="AI857" s="1" t="s">
        <v>13</v>
      </c>
      <c r="AJ857" s="2" t="s">
        <v>14</v>
      </c>
      <c r="AK857" s="1" t="s">
        <v>15</v>
      </c>
      <c r="AL857" s="1" t="s">
        <v>16</v>
      </c>
      <c r="AM857" s="3" t="s">
        <v>17</v>
      </c>
      <c r="AN857" s="4" t="s">
        <v>18</v>
      </c>
      <c r="AO857" s="5" t="s">
        <v>19</v>
      </c>
      <c r="AP857" s="6" t="s">
        <v>20</v>
      </c>
      <c r="AQ857" s="6" t="s">
        <v>21</v>
      </c>
      <c r="AR857" s="7" t="s">
        <v>22</v>
      </c>
      <c r="AS857" s="7" t="s">
        <v>47</v>
      </c>
      <c r="AT857" s="7" t="s">
        <v>48</v>
      </c>
    </row>
    <row r="858" spans="1:46" ht="15.75" customHeight="1" x14ac:dyDescent="0.2">
      <c r="A858" s="76"/>
      <c r="B858" s="16">
        <v>16</v>
      </c>
      <c r="C858" s="16" t="s">
        <v>42</v>
      </c>
      <c r="D858" s="18">
        <f t="shared" ref="D858:H858" si="2414">D21+D48+D75+D102+D129+D156+D183+D210+D237+D264+D291+D318+D345+D372+D399+D426+D453+D480+D507+D534+D561+D588+D615+D642+D669+D696+D723+D750+D777+D804+D831</f>
        <v>929</v>
      </c>
      <c r="E858" s="18">
        <f t="shared" ca="1" si="2414"/>
        <v>888</v>
      </c>
      <c r="F858" s="18">
        <f t="shared" ca="1" si="2414"/>
        <v>172567.62599999973</v>
      </c>
      <c r="G858" s="18">
        <f t="shared" ca="1" si="2414"/>
        <v>85359</v>
      </c>
      <c r="H858" s="18">
        <f t="shared" ca="1" si="2414"/>
        <v>1069</v>
      </c>
      <c r="I858" s="18">
        <f t="shared" ca="1" si="2340"/>
        <v>86428</v>
      </c>
      <c r="J858" s="18">
        <f t="shared" ref="J858:K858" ca="1" si="2415">J21+J48+J75+J102+J129+J156+J183+J210+J237+J264+J291+J318+J345+J372+J399+J426+J453+J480+J507+J534+J561+J588+J615+J642+J669+J696+J723+J750+J777+J804+J831</f>
        <v>113849</v>
      </c>
      <c r="K858" s="18">
        <f t="shared" ca="1" si="2415"/>
        <v>1801</v>
      </c>
      <c r="L858" s="18">
        <f t="shared" ca="1" si="2389"/>
        <v>115650</v>
      </c>
      <c r="M858" s="18">
        <f t="shared" ca="1" si="2343"/>
        <v>202078</v>
      </c>
      <c r="N858" s="19">
        <f t="shared" ca="1" si="2344"/>
        <v>194.33291216216185</v>
      </c>
      <c r="O858" s="18">
        <f t="shared" si="2345"/>
        <v>306187</v>
      </c>
      <c r="P858" s="20">
        <f t="shared" ca="1" si="2346"/>
        <v>0.65998229839934419</v>
      </c>
      <c r="Q858" s="21">
        <v>1.5</v>
      </c>
      <c r="R858" s="20">
        <f t="shared" ca="1" si="2347"/>
        <v>0.78067172730687551</v>
      </c>
      <c r="S858" s="22">
        <f t="shared" ca="1" si="2348"/>
        <v>1.1710075909603133</v>
      </c>
      <c r="T858" s="21">
        <f ca="1">F858/26.155</f>
        <v>6597.8828522270969</v>
      </c>
      <c r="U858" s="21">
        <f t="shared" ca="1" si="2349"/>
        <v>7.4300482570124968</v>
      </c>
      <c r="V858" s="18">
        <f t="shared" ca="1" si="2350"/>
        <v>227.5653153153153</v>
      </c>
      <c r="W858" s="76"/>
      <c r="X858" s="8">
        <v>1</v>
      </c>
      <c r="Y858" s="8" t="s">
        <v>26</v>
      </c>
      <c r="Z858" s="9">
        <f t="shared" ref="Z858:AI858" si="2416">SUM(D843)</f>
        <v>567</v>
      </c>
      <c r="AA858" s="9">
        <f t="shared" ca="1" si="2416"/>
        <v>540</v>
      </c>
      <c r="AB858" s="9">
        <f t="shared" ca="1" si="2416"/>
        <v>103623.03599999998</v>
      </c>
      <c r="AC858" s="9">
        <f t="shared" ca="1" si="2416"/>
        <v>55049</v>
      </c>
      <c r="AD858" s="9">
        <f t="shared" ca="1" si="2416"/>
        <v>417</v>
      </c>
      <c r="AE858" s="9">
        <f t="shared" ca="1" si="2416"/>
        <v>55466</v>
      </c>
      <c r="AF858" s="9">
        <f t="shared" ca="1" si="2416"/>
        <v>75944</v>
      </c>
      <c r="AG858" s="9">
        <f t="shared" ca="1" si="2416"/>
        <v>253</v>
      </c>
      <c r="AH858" s="9">
        <f t="shared" ca="1" si="2416"/>
        <v>76197</v>
      </c>
      <c r="AI858" s="9">
        <f t="shared" ca="1" si="2416"/>
        <v>131663</v>
      </c>
      <c r="AJ858" s="11">
        <f t="shared" ref="AJ858:AJ859" ca="1" si="2417">AB858/AA858</f>
        <v>191.89451111111106</v>
      </c>
      <c r="AK858" s="9">
        <f>SUM(O843)</f>
        <v>159991</v>
      </c>
      <c r="AL858" s="12">
        <f t="shared" ref="AL858:AL864" ca="1" si="2418">AI858/AK858</f>
        <v>0.8229400403772712</v>
      </c>
      <c r="AM858" s="13">
        <f>SUM(Q843)</f>
        <v>1.5</v>
      </c>
      <c r="AN858" s="12">
        <f t="shared" ref="AN858:AN864" ca="1" si="2419">AO858/AM858</f>
        <v>0.84706390317818281</v>
      </c>
      <c r="AO858" s="14">
        <f t="shared" ref="AO858:AO864" ca="1" si="2420">AI858/AB858</f>
        <v>1.2705958547672742</v>
      </c>
      <c r="AP858" s="13">
        <f t="shared" ref="AP858:AQ858" ca="1" si="2421">SUM(T843)</f>
        <v>7188.5560874089479</v>
      </c>
      <c r="AQ858" s="13">
        <f t="shared" ca="1" si="2421"/>
        <v>13.312140902609162</v>
      </c>
      <c r="AR858" s="9">
        <f t="shared" ref="AR858:AR864" ca="1" si="2422">AI858/AA858</f>
        <v>243.82037037037037</v>
      </c>
      <c r="AS858" s="59">
        <f ca="1">MAX(M6,M33,M60,M87,M114,M141,M168,M195,M222,M249,M276,M303,M330,M357,M384,M411,M438,M465,M492,M519,M546,M573,M600,M627,M654,M681,M708,M735,M762,M789,M816)</f>
        <v>5427</v>
      </c>
      <c r="AT858" s="60">
        <v>46246</v>
      </c>
    </row>
    <row r="859" spans="1:46" ht="15.75" customHeight="1" x14ac:dyDescent="0.2">
      <c r="A859" s="76"/>
      <c r="B859" s="16">
        <v>17</v>
      </c>
      <c r="C859" s="16" t="s">
        <v>29</v>
      </c>
      <c r="D859" s="18">
        <f t="shared" ref="D859:H859" si="2423">D22+D49+D76+D103+D130+D157+D184+D211+D238+D265+D292+D319+D346+D373+D400+D427+D454+D481+D508+D535+D562+D589+D616+D643+D670+D697+D724+D751+D778+D805+D832</f>
        <v>853</v>
      </c>
      <c r="E859" s="18">
        <f t="shared" ca="1" si="2423"/>
        <v>833</v>
      </c>
      <c r="F859" s="18">
        <f t="shared" ca="1" si="2423"/>
        <v>163854.01499999978</v>
      </c>
      <c r="G859" s="18">
        <f t="shared" ca="1" si="2423"/>
        <v>73188</v>
      </c>
      <c r="H859" s="18">
        <f t="shared" ca="1" si="2423"/>
        <v>343</v>
      </c>
      <c r="I859" s="18">
        <f t="shared" ca="1" si="2340"/>
        <v>73531</v>
      </c>
      <c r="J859" s="18">
        <f t="shared" ref="J859:K859" ca="1" si="2424">J22+J49+J76+J103+J130+J157+J184+J211+J238+J265+J292+J319+J346+J373+J400+J427+J454+J481+J508+J535+J562+J589+J616+J643+J670+J697+J724+J751+J778+J805+J832</f>
        <v>109206</v>
      </c>
      <c r="K859" s="18">
        <f t="shared" ca="1" si="2424"/>
        <v>90</v>
      </c>
      <c r="L859" s="18">
        <f t="shared" ca="1" si="2389"/>
        <v>109296</v>
      </c>
      <c r="M859" s="18">
        <f t="shared" ca="1" si="2343"/>
        <v>182827</v>
      </c>
      <c r="N859" s="19">
        <f t="shared" ca="1" si="2344"/>
        <v>196.70349939975964</v>
      </c>
      <c r="O859" s="18">
        <f t="shared" si="2345"/>
        <v>285231</v>
      </c>
      <c r="P859" s="20">
        <f t="shared" ca="1" si="2346"/>
        <v>0.6409787154972636</v>
      </c>
      <c r="Q859" s="21">
        <v>1.5</v>
      </c>
      <c r="R859" s="20">
        <f t="shared" ca="1" si="2347"/>
        <v>0.74386133697527546</v>
      </c>
      <c r="S859" s="22">
        <f t="shared" ca="1" si="2348"/>
        <v>1.1157920054629131</v>
      </c>
      <c r="T859" s="21">
        <f ca="1">F859/26.038</f>
        <v>6292.8802135340575</v>
      </c>
      <c r="U859" s="21">
        <f t="shared" ca="1" si="2349"/>
        <v>7.5544780474598525</v>
      </c>
      <c r="V859" s="18">
        <f t="shared" ca="1" si="2350"/>
        <v>219.48019207683072</v>
      </c>
      <c r="W859" s="76"/>
      <c r="X859" s="8">
        <v>2</v>
      </c>
      <c r="Y859" s="8" t="s">
        <v>32</v>
      </c>
      <c r="Z859" s="9">
        <f t="shared" ref="Z859:AI859" si="2425">SUM(D846)</f>
        <v>1189</v>
      </c>
      <c r="AA859" s="9">
        <f t="shared" ca="1" si="2425"/>
        <v>1169</v>
      </c>
      <c r="AB859" s="9">
        <f t="shared" ca="1" si="2425"/>
        <v>227823.16299999968</v>
      </c>
      <c r="AC859" s="9">
        <f t="shared" ca="1" si="2425"/>
        <v>127486</v>
      </c>
      <c r="AD859" s="9">
        <f t="shared" ca="1" si="2425"/>
        <v>302</v>
      </c>
      <c r="AE859" s="9">
        <f t="shared" ca="1" si="2425"/>
        <v>127788</v>
      </c>
      <c r="AF859" s="9">
        <f t="shared" ca="1" si="2425"/>
        <v>150880</v>
      </c>
      <c r="AG859" s="9">
        <f t="shared" ca="1" si="2425"/>
        <v>493</v>
      </c>
      <c r="AH859" s="9">
        <f t="shared" ca="1" si="2425"/>
        <v>151373</v>
      </c>
      <c r="AI859" s="9">
        <f t="shared" ca="1" si="2425"/>
        <v>279161</v>
      </c>
      <c r="AJ859" s="11">
        <f t="shared" ca="1" si="2417"/>
        <v>194.88722241231795</v>
      </c>
      <c r="AK859" s="9">
        <f>SUM(O846)</f>
        <v>428327</v>
      </c>
      <c r="AL859" s="12">
        <f t="shared" ca="1" si="2418"/>
        <v>0.6517473799223491</v>
      </c>
      <c r="AM859" s="13">
        <f>SUM(Q846)</f>
        <v>1.5</v>
      </c>
      <c r="AN859" s="12">
        <f t="shared" ca="1" si="2419"/>
        <v>0.81689381747954048</v>
      </c>
      <c r="AO859" s="14">
        <f t="shared" ca="1" si="2420"/>
        <v>1.2253407262193108</v>
      </c>
      <c r="AP859" s="13">
        <f t="shared" ref="AP859:AQ859" ca="1" si="2426">SUM(T846)</f>
        <v>9080.5995854756948</v>
      </c>
      <c r="AQ859" s="13">
        <f t="shared" ca="1" si="2426"/>
        <v>7.7678354024599612</v>
      </c>
      <c r="AR859" s="9">
        <f t="shared" ca="1" si="2422"/>
        <v>238.80325064157398</v>
      </c>
      <c r="AS859" s="59">
        <f ca="1">MAX(M9,M36,M63,M90,M117,M144,M171,M198,M225,M252,M279,M306,M333,M360,M387,M414,M441,M468,M495,M522,M549,M576,M603,M630,M657,M684,M711,M738,M765,M792,M819)</f>
        <v>10855</v>
      </c>
      <c r="AT859" s="60">
        <v>46244</v>
      </c>
    </row>
    <row r="860" spans="1:46" ht="15.75" customHeight="1" x14ac:dyDescent="0.2">
      <c r="A860" s="76"/>
      <c r="B860" s="16">
        <v>18</v>
      </c>
      <c r="C860" s="16" t="s">
        <v>31</v>
      </c>
      <c r="D860" s="18">
        <f t="shared" ref="D860:H860" si="2427">D23+D50+D77+D104+D131+D158+D185+D212+D239+D266+D293+D320+D347+D374+D401+D428+D455+D482+D509+D536+D563+D590+D617+D644+D671+D698+D725+D752+D779+D806+D833</f>
        <v>424</v>
      </c>
      <c r="E860" s="18">
        <f t="shared" ca="1" si="2427"/>
        <v>389</v>
      </c>
      <c r="F860" s="18">
        <f t="shared" ca="1" si="2427"/>
        <v>75712.586999999898</v>
      </c>
      <c r="G860" s="18">
        <f t="shared" ca="1" si="2427"/>
        <v>22378</v>
      </c>
      <c r="H860" s="18">
        <f t="shared" ca="1" si="2427"/>
        <v>149</v>
      </c>
      <c r="I860" s="18">
        <f t="shared" ca="1" si="2340"/>
        <v>22527</v>
      </c>
      <c r="J860" s="18">
        <f t="shared" ref="J860:K860" ca="1" si="2428">J23+J50+J77+J104+J131+J158+J185+J212+J239+J266+J293+J320+J347+J374+J401+J428+J455+J482+J509+J536+J563+J590+J617+J644+J671+J698+J725+J752+J779+J806+J833</f>
        <v>27629</v>
      </c>
      <c r="K860" s="18">
        <f t="shared" ca="1" si="2428"/>
        <v>132</v>
      </c>
      <c r="L860" s="18">
        <f t="shared" ca="1" si="2389"/>
        <v>27761</v>
      </c>
      <c r="M860" s="18">
        <f t="shared" ca="1" si="2343"/>
        <v>50288</v>
      </c>
      <c r="N860" s="19">
        <f t="shared" ca="1" si="2344"/>
        <v>194.63389974293034</v>
      </c>
      <c r="O860" s="18">
        <f t="shared" si="2345"/>
        <v>84227</v>
      </c>
      <c r="P860" s="20">
        <f t="shared" ca="1" si="2346"/>
        <v>0.59705320146746288</v>
      </c>
      <c r="Q860" s="21">
        <v>1.5</v>
      </c>
      <c r="R860" s="20">
        <f t="shared" ca="1" si="2347"/>
        <v>0.44279735591828845</v>
      </c>
      <c r="S860" s="22">
        <f t="shared" ca="1" si="2348"/>
        <v>0.66419603387743265</v>
      </c>
      <c r="T860" s="21">
        <f ca="1">F860/43.465</f>
        <v>1741.9207868399837</v>
      </c>
      <c r="U860" s="21">
        <f t="shared" ca="1" si="2349"/>
        <v>4.4779454674549708</v>
      </c>
      <c r="V860" s="18">
        <f t="shared" ca="1" si="2350"/>
        <v>129.27506426735218</v>
      </c>
      <c r="W860" s="76"/>
      <c r="X860" s="8">
        <v>3</v>
      </c>
      <c r="Y860" s="8" t="s">
        <v>36</v>
      </c>
      <c r="Z860" s="9">
        <f t="shared" ref="Z860:AK860" si="2429">SUM(D851)</f>
        <v>827</v>
      </c>
      <c r="AA860" s="9">
        <f t="shared" ca="1" si="2429"/>
        <v>821</v>
      </c>
      <c r="AB860" s="9">
        <f t="shared" ca="1" si="2429"/>
        <v>161969.0889999998</v>
      </c>
      <c r="AC860" s="9">
        <f t="shared" ca="1" si="2429"/>
        <v>42380</v>
      </c>
      <c r="AD860" s="9">
        <f t="shared" ca="1" si="2429"/>
        <v>122</v>
      </c>
      <c r="AE860" s="9">
        <f t="shared" ca="1" si="2429"/>
        <v>42502</v>
      </c>
      <c r="AF860" s="9">
        <f t="shared" ca="1" si="2429"/>
        <v>62942</v>
      </c>
      <c r="AG860" s="9">
        <f t="shared" ca="1" si="2429"/>
        <v>217</v>
      </c>
      <c r="AH860" s="9">
        <f t="shared" ca="1" si="2429"/>
        <v>63159</v>
      </c>
      <c r="AI860" s="9">
        <f t="shared" ca="1" si="2429"/>
        <v>105661</v>
      </c>
      <c r="AJ860" s="11">
        <f t="shared" ca="1" si="2429"/>
        <v>197.28269062119344</v>
      </c>
      <c r="AK860" s="9">
        <f t="shared" si="2429"/>
        <v>148676</v>
      </c>
      <c r="AL860" s="12">
        <f t="shared" ca="1" si="2418"/>
        <v>0.71067959859022301</v>
      </c>
      <c r="AM860" s="9">
        <f t="shared" ref="AM860:AM863" si="2430">SUM(Q851)</f>
        <v>1.5</v>
      </c>
      <c r="AN860" s="12">
        <f t="shared" ca="1" si="2419"/>
        <v>0.43490191308458087</v>
      </c>
      <c r="AO860" s="14">
        <f t="shared" ca="1" si="2420"/>
        <v>0.65235286962687133</v>
      </c>
      <c r="AP860" s="9">
        <f t="shared" ref="AP860:AQ860" ca="1" si="2431">SUM(T851)</f>
        <v>4329.1037846795261</v>
      </c>
      <c r="AQ860" s="9">
        <f t="shared" ca="1" si="2431"/>
        <v>5.2729644149567916</v>
      </c>
      <c r="AR860" s="9">
        <f t="shared" ca="1" si="2422"/>
        <v>128.69792935444579</v>
      </c>
      <c r="AS860" s="54">
        <f t="shared" ref="AS860:AS863" ca="1" si="2432">MAX(M14,M41,M68,M95,M122,M149,M176,M203,M230,M257,M284,M311,M338,M365,M392,M419,M446,M473,M500,M527,M554,M581,M608,M635,M662,M689,M716,M743,M770,M797,M824)</f>
        <v>4120</v>
      </c>
      <c r="AT860" s="60">
        <v>46245</v>
      </c>
    </row>
    <row r="861" spans="1:46" ht="15.75" customHeight="1" x14ac:dyDescent="0.2">
      <c r="A861" s="76"/>
      <c r="B861" s="98" t="s">
        <v>33</v>
      </c>
      <c r="C861" s="98">
        <v>18</v>
      </c>
      <c r="D861" s="74">
        <f t="shared" ref="D861:M861" si="2433">SUM(D843:D860)</f>
        <v>16635</v>
      </c>
      <c r="E861" s="74">
        <f t="shared" ca="1" si="2433"/>
        <v>16153</v>
      </c>
      <c r="F861" s="99">
        <f t="shared" ca="1" si="2433"/>
        <v>3138853.6479999959</v>
      </c>
      <c r="G861" s="74">
        <f t="shared" ca="1" si="2433"/>
        <v>1121814</v>
      </c>
      <c r="H861" s="74">
        <f t="shared" ca="1" si="2433"/>
        <v>20517</v>
      </c>
      <c r="I861" s="74">
        <f t="shared" ca="1" si="2433"/>
        <v>1142331</v>
      </c>
      <c r="J861" s="74">
        <f t="shared" ca="1" si="2433"/>
        <v>1513926</v>
      </c>
      <c r="K861" s="74">
        <f t="shared" ca="1" si="2433"/>
        <v>29690</v>
      </c>
      <c r="L861" s="74">
        <f t="shared" ca="1" si="2433"/>
        <v>1543616</v>
      </c>
      <c r="M861" s="74">
        <f t="shared" ca="1" si="2433"/>
        <v>2685947</v>
      </c>
      <c r="N861" s="99">
        <f t="shared" ca="1" si="2344"/>
        <v>194.3201664087164</v>
      </c>
      <c r="O861" s="74">
        <f>SUM(O843:O860)</f>
        <v>3918369</v>
      </c>
      <c r="P861" s="69">
        <f t="shared" ca="1" si="2346"/>
        <v>0.68547576810657695</v>
      </c>
      <c r="Q861" s="72">
        <v>1.5</v>
      </c>
      <c r="R861" s="69">
        <f t="shared" ca="1" si="2347"/>
        <v>0.57047302427568802</v>
      </c>
      <c r="S861" s="73">
        <f t="shared" ca="1" si="2348"/>
        <v>0.85570953641353198</v>
      </c>
      <c r="T861" s="72">
        <f ca="1">SUM(T843:T860)</f>
        <v>115460.84766063439</v>
      </c>
      <c r="U861" s="72">
        <f t="shared" ca="1" si="2349"/>
        <v>7.1479507002188072</v>
      </c>
      <c r="V861" s="74">
        <f t="shared" ca="1" si="2350"/>
        <v>166.28161951340309</v>
      </c>
      <c r="W861" s="76"/>
      <c r="X861" s="8">
        <v>4</v>
      </c>
      <c r="Y861" s="8" t="s">
        <v>37</v>
      </c>
      <c r="Z861" s="9">
        <f t="shared" ref="Z861:AK861" si="2434">SUM(D852)</f>
        <v>853</v>
      </c>
      <c r="AA861" s="9">
        <f t="shared" ca="1" si="2434"/>
        <v>814</v>
      </c>
      <c r="AB861" s="9">
        <f t="shared" ca="1" si="2434"/>
        <v>158569.24199999991</v>
      </c>
      <c r="AC861" s="9">
        <f t="shared" ca="1" si="2434"/>
        <v>52354</v>
      </c>
      <c r="AD861" s="9">
        <f t="shared" ca="1" si="2434"/>
        <v>415</v>
      </c>
      <c r="AE861" s="9">
        <f t="shared" ca="1" si="2434"/>
        <v>52769</v>
      </c>
      <c r="AF861" s="9">
        <f t="shared" ca="1" si="2434"/>
        <v>80848</v>
      </c>
      <c r="AG861" s="9">
        <f t="shared" ca="1" si="2434"/>
        <v>582</v>
      </c>
      <c r="AH861" s="9">
        <f t="shared" ca="1" si="2434"/>
        <v>81430</v>
      </c>
      <c r="AI861" s="9">
        <f t="shared" ca="1" si="2434"/>
        <v>134199</v>
      </c>
      <c r="AJ861" s="11">
        <f t="shared" ca="1" si="2434"/>
        <v>194.80250859950849</v>
      </c>
      <c r="AK861" s="9">
        <f t="shared" si="2434"/>
        <v>182497</v>
      </c>
      <c r="AL861" s="12">
        <f t="shared" ca="1" si="2418"/>
        <v>0.7353490742313572</v>
      </c>
      <c r="AM861" s="9">
        <f t="shared" si="2430"/>
        <v>1.5</v>
      </c>
      <c r="AN861" s="12">
        <f t="shared" ca="1" si="2419"/>
        <v>0.56420777996782034</v>
      </c>
      <c r="AO861" s="14">
        <f t="shared" ca="1" si="2420"/>
        <v>0.84631166995173046</v>
      </c>
      <c r="AP861" s="9">
        <f t="shared" ref="AP861:AQ861" ca="1" si="2435">SUM(T852)</f>
        <v>6395.984269119067</v>
      </c>
      <c r="AQ861" s="9">
        <f t="shared" ca="1" si="2435"/>
        <v>7.8574745320873056</v>
      </c>
      <c r="AR861" s="9">
        <f t="shared" ca="1" si="2422"/>
        <v>164.86363636363637</v>
      </c>
      <c r="AS861" s="54">
        <f t="shared" ca="1" si="2432"/>
        <v>5472</v>
      </c>
      <c r="AT861" s="60">
        <v>46260</v>
      </c>
    </row>
    <row r="862" spans="1:46" ht="15.75" customHeight="1" x14ac:dyDescent="0.2">
      <c r="A862" s="76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6"/>
      <c r="X862" s="8">
        <v>5</v>
      </c>
      <c r="Y862" s="8" t="s">
        <v>39</v>
      </c>
      <c r="Z862" s="9">
        <f t="shared" ref="Z862:AK862" si="2436">SUM(D853)</f>
        <v>791</v>
      </c>
      <c r="AA862" s="9">
        <f t="shared" ca="1" si="2436"/>
        <v>768</v>
      </c>
      <c r="AB862" s="9">
        <f t="shared" ca="1" si="2436"/>
        <v>142481.22799999992</v>
      </c>
      <c r="AC862" s="9">
        <f t="shared" ca="1" si="2436"/>
        <v>33206</v>
      </c>
      <c r="AD862" s="9">
        <f t="shared" ca="1" si="2436"/>
        <v>536</v>
      </c>
      <c r="AE862" s="9">
        <f t="shared" ca="1" si="2436"/>
        <v>33742</v>
      </c>
      <c r="AF862" s="9">
        <f t="shared" ca="1" si="2436"/>
        <v>51557</v>
      </c>
      <c r="AG862" s="9">
        <f t="shared" ca="1" si="2436"/>
        <v>2134</v>
      </c>
      <c r="AH862" s="9">
        <f t="shared" ca="1" si="2436"/>
        <v>53691</v>
      </c>
      <c r="AI862" s="9">
        <f t="shared" ca="1" si="2436"/>
        <v>87433</v>
      </c>
      <c r="AJ862" s="11">
        <f t="shared" ca="1" si="2436"/>
        <v>185.52243229166655</v>
      </c>
      <c r="AK862" s="9">
        <f t="shared" si="2436"/>
        <v>110639</v>
      </c>
      <c r="AL862" s="12">
        <f t="shared" ca="1" si="2418"/>
        <v>0.79025479261381615</v>
      </c>
      <c r="AM862" s="9">
        <f t="shared" si="2430"/>
        <v>1.5</v>
      </c>
      <c r="AN862" s="12">
        <f t="shared" ca="1" si="2419"/>
        <v>0.40909716658721318</v>
      </c>
      <c r="AO862" s="14">
        <f t="shared" ca="1" si="2420"/>
        <v>0.61364574988081977</v>
      </c>
      <c r="AP862" s="9">
        <f t="shared" ref="AP862:AQ862" ca="1" si="2437">SUM(T853)</f>
        <v>6638.458183851275</v>
      </c>
      <c r="AQ862" s="9">
        <f t="shared" ca="1" si="2437"/>
        <v>8.6438257602230149</v>
      </c>
      <c r="AR862" s="9">
        <f t="shared" ca="1" si="2422"/>
        <v>113.84505208333333</v>
      </c>
      <c r="AS862" s="59">
        <f t="shared" ca="1" si="2432"/>
        <v>3219</v>
      </c>
      <c r="AT862" s="60">
        <v>46265</v>
      </c>
    </row>
    <row r="863" spans="1:46" ht="15.75" customHeight="1" x14ac:dyDescent="0.2">
      <c r="A863" s="112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6"/>
      <c r="X863" s="8">
        <v>6</v>
      </c>
      <c r="Y863" s="8" t="s">
        <v>41</v>
      </c>
      <c r="Z863" s="9">
        <f t="shared" ref="Z863:AK863" si="2438">SUM(D854)</f>
        <v>691</v>
      </c>
      <c r="AA863" s="9">
        <f t="shared" ca="1" si="2438"/>
        <v>690</v>
      </c>
      <c r="AB863" s="9">
        <f t="shared" ca="1" si="2438"/>
        <v>136571.91200000001</v>
      </c>
      <c r="AC863" s="9">
        <f t="shared" ca="1" si="2438"/>
        <v>34106</v>
      </c>
      <c r="AD863" s="9">
        <f t="shared" ca="1" si="2438"/>
        <v>605</v>
      </c>
      <c r="AE863" s="9">
        <f t="shared" ca="1" si="2438"/>
        <v>34711</v>
      </c>
      <c r="AF863" s="9">
        <f t="shared" ca="1" si="2438"/>
        <v>46047</v>
      </c>
      <c r="AG863" s="9">
        <f t="shared" ca="1" si="2438"/>
        <v>1393</v>
      </c>
      <c r="AH863" s="9">
        <f t="shared" ca="1" si="2438"/>
        <v>47440</v>
      </c>
      <c r="AI863" s="9">
        <f t="shared" ca="1" si="2438"/>
        <v>82151</v>
      </c>
      <c r="AJ863" s="11">
        <f t="shared" ca="1" si="2438"/>
        <v>197.93030724637683</v>
      </c>
      <c r="AK863" s="9">
        <f t="shared" si="2438"/>
        <v>117831</v>
      </c>
      <c r="AL863" s="12">
        <f t="shared" ca="1" si="2418"/>
        <v>0.69719343805959377</v>
      </c>
      <c r="AM863" s="9">
        <f t="shared" si="2430"/>
        <v>1.5</v>
      </c>
      <c r="AN863" s="12">
        <f t="shared" ca="1" si="2419"/>
        <v>0.40101461956052376</v>
      </c>
      <c r="AO863" s="14">
        <f t="shared" ca="1" si="2420"/>
        <v>0.60152192934078563</v>
      </c>
      <c r="AP863" s="9">
        <f t="shared" ref="AP863:AQ863" ca="1" si="2439">SUM(T854)</f>
        <v>4609.5555555555557</v>
      </c>
      <c r="AQ863" s="9">
        <f t="shared" ca="1" si="2439"/>
        <v>6.6805152979066023</v>
      </c>
      <c r="AR863" s="9">
        <f t="shared" ca="1" si="2422"/>
        <v>119.05942028985507</v>
      </c>
      <c r="AS863" s="59">
        <f t="shared" ca="1" si="2432"/>
        <v>3244</v>
      </c>
      <c r="AT863" s="60">
        <v>46253</v>
      </c>
    </row>
    <row r="864" spans="1:46" ht="15.75" customHeight="1" x14ac:dyDescent="0.25">
      <c r="A864" s="110" t="s">
        <v>45</v>
      </c>
      <c r="B864" s="76"/>
      <c r="C864" s="76"/>
      <c r="D864" s="75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24" t="s">
        <v>33</v>
      </c>
      <c r="Y864" s="24">
        <v>6</v>
      </c>
      <c r="Z864" s="25">
        <f t="shared" ref="Z864:AI864" si="2440">SUM(Z858:Z863)</f>
        <v>4918</v>
      </c>
      <c r="AA864" s="25">
        <f t="shared" ca="1" si="2440"/>
        <v>4802</v>
      </c>
      <c r="AB864" s="25">
        <f t="shared" ca="1" si="2440"/>
        <v>931037.66999999923</v>
      </c>
      <c r="AC864" s="25">
        <f t="shared" ca="1" si="2440"/>
        <v>344581</v>
      </c>
      <c r="AD864" s="25">
        <f t="shared" ca="1" si="2440"/>
        <v>2397</v>
      </c>
      <c r="AE864" s="25">
        <f t="shared" ca="1" si="2440"/>
        <v>346978</v>
      </c>
      <c r="AF864" s="25">
        <f t="shared" ca="1" si="2440"/>
        <v>468218</v>
      </c>
      <c r="AG864" s="25">
        <f t="shared" ca="1" si="2440"/>
        <v>5072</v>
      </c>
      <c r="AH864" s="25">
        <f t="shared" ca="1" si="2440"/>
        <v>473290</v>
      </c>
      <c r="AI864" s="25">
        <f t="shared" ca="1" si="2440"/>
        <v>820268</v>
      </c>
      <c r="AJ864" s="27">
        <f ca="1">AB864/AA864</f>
        <v>193.88539566847132</v>
      </c>
      <c r="AK864" s="25">
        <f>SUM(AK858:AK863)</f>
        <v>1147961</v>
      </c>
      <c r="AL864" s="28">
        <f t="shared" ca="1" si="2418"/>
        <v>0.71454343832238199</v>
      </c>
      <c r="AM864" s="29">
        <v>1.5</v>
      </c>
      <c r="AN864" s="28">
        <f t="shared" ca="1" si="2419"/>
        <v>0.58735038436557974</v>
      </c>
      <c r="AO864" s="30">
        <f t="shared" ca="1" si="2420"/>
        <v>0.88102557654836966</v>
      </c>
      <c r="AP864" s="29">
        <f ca="1">SUM(AP858:AP863)</f>
        <v>38242.257466090065</v>
      </c>
      <c r="AQ864" s="29">
        <f ca="1">AP864/AA864</f>
        <v>7.9638187143044696</v>
      </c>
      <c r="AR864" s="25">
        <f t="shared" ca="1" si="2422"/>
        <v>170.81799250312369</v>
      </c>
      <c r="AS864" s="68">
        <f ca="1">MAX(M24,M51,M78,M105,M132,M159,M186,M213,M240,M267,M294,M321,M348,M375,M402,M429,M456,M483,M510,M537,M564,M591,M618,M645,M672,M699,M726,M753,M780,M807,M834)</f>
        <v>103223</v>
      </c>
      <c r="AT864" s="67">
        <v>46245</v>
      </c>
    </row>
    <row r="865" spans="1:46" ht="15.75" customHeight="1" x14ac:dyDescent="0.2">
      <c r="A865" s="96"/>
      <c r="B865" s="76"/>
      <c r="C865" s="76"/>
      <c r="D865" s="108" t="s">
        <v>49</v>
      </c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7"/>
      <c r="Q865" s="9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</row>
    <row r="866" spans="1:46" ht="15.75" customHeight="1" x14ac:dyDescent="0.2">
      <c r="A866" s="76"/>
      <c r="B866" s="76"/>
      <c r="C866" s="76"/>
      <c r="D866" s="88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89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</row>
    <row r="867" spans="1:46" ht="15.75" customHeight="1" x14ac:dyDescent="0.2">
      <c r="A867" s="76"/>
      <c r="B867" s="76"/>
      <c r="C867" s="76"/>
      <c r="D867" s="90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2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</row>
    <row r="868" spans="1:46" ht="15.75" customHeight="1" x14ac:dyDescent="0.2">
      <c r="A868" s="76"/>
      <c r="B868" s="76"/>
      <c r="C868" s="76"/>
      <c r="D868" s="103" t="s">
        <v>3</v>
      </c>
      <c r="E868" s="86"/>
      <c r="F868" s="86"/>
      <c r="G868" s="86"/>
      <c r="H868" s="86"/>
      <c r="I868" s="86"/>
      <c r="J868" s="87"/>
      <c r="K868" s="104" t="s">
        <v>50</v>
      </c>
      <c r="L868" s="86"/>
      <c r="M868" s="86"/>
      <c r="N868" s="86"/>
      <c r="O868" s="86"/>
      <c r="P868" s="87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</row>
    <row r="869" spans="1:46" ht="15.75" customHeight="1" x14ac:dyDescent="0.2">
      <c r="A869" s="76"/>
      <c r="B869" s="76"/>
      <c r="C869" s="76"/>
      <c r="D869" s="90"/>
      <c r="E869" s="91"/>
      <c r="F869" s="91"/>
      <c r="G869" s="91"/>
      <c r="H869" s="91"/>
      <c r="I869" s="91"/>
      <c r="J869" s="92"/>
      <c r="K869" s="90"/>
      <c r="L869" s="91"/>
      <c r="M869" s="91"/>
      <c r="N869" s="91"/>
      <c r="O869" s="91"/>
      <c r="P869" s="92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</row>
    <row r="870" spans="1:46" ht="15.75" customHeight="1" x14ac:dyDescent="0.2">
      <c r="A870" s="76"/>
      <c r="B870" s="76"/>
      <c r="C870" s="76"/>
      <c r="D870" s="82" t="s">
        <v>51</v>
      </c>
      <c r="E870" s="83"/>
      <c r="F870" s="83"/>
      <c r="G870" s="83"/>
      <c r="H870" s="83"/>
      <c r="I870" s="83"/>
      <c r="J870" s="84"/>
      <c r="K870" s="93">
        <v>14.414999999999999</v>
      </c>
      <c r="L870" s="83"/>
      <c r="M870" s="83"/>
      <c r="N870" s="83"/>
      <c r="O870" s="83"/>
      <c r="P870" s="84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</row>
    <row r="871" spans="1:46" ht="15.75" customHeight="1" x14ac:dyDescent="0.2">
      <c r="A871" s="76"/>
      <c r="B871" s="76"/>
      <c r="C871" s="76"/>
      <c r="D871" s="82" t="s">
        <v>52</v>
      </c>
      <c r="E871" s="83"/>
      <c r="F871" s="83"/>
      <c r="G871" s="83"/>
      <c r="H871" s="83"/>
      <c r="I871" s="83"/>
      <c r="J871" s="84"/>
      <c r="K871" s="82">
        <v>30.896999999999998</v>
      </c>
      <c r="L871" s="83"/>
      <c r="M871" s="83"/>
      <c r="N871" s="83"/>
      <c r="O871" s="83"/>
      <c r="P871" s="84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</row>
    <row r="872" spans="1:46" ht="15.75" customHeight="1" x14ac:dyDescent="0.2">
      <c r="A872" s="76"/>
      <c r="B872" s="76"/>
      <c r="C872" s="76"/>
      <c r="D872" s="82" t="s">
        <v>53</v>
      </c>
      <c r="E872" s="83"/>
      <c r="F872" s="83"/>
      <c r="G872" s="83"/>
      <c r="H872" s="83"/>
      <c r="I872" s="83"/>
      <c r="J872" s="84"/>
      <c r="K872" s="82">
        <v>29.603000000000002</v>
      </c>
      <c r="L872" s="83"/>
      <c r="M872" s="83"/>
      <c r="N872" s="83"/>
      <c r="O872" s="83"/>
      <c r="P872" s="84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</row>
    <row r="873" spans="1:46" ht="15.75" customHeight="1" x14ac:dyDescent="0.2">
      <c r="A873" s="76"/>
      <c r="B873" s="76"/>
      <c r="C873" s="76"/>
      <c r="D873" s="82" t="s">
        <v>54</v>
      </c>
      <c r="E873" s="83"/>
      <c r="F873" s="83"/>
      <c r="G873" s="83"/>
      <c r="H873" s="83"/>
      <c r="I873" s="83"/>
      <c r="J873" s="84"/>
      <c r="K873" s="82">
        <v>25.088999999999999</v>
      </c>
      <c r="L873" s="83"/>
      <c r="M873" s="83"/>
      <c r="N873" s="83"/>
      <c r="O873" s="83"/>
      <c r="P873" s="84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</row>
    <row r="874" spans="1:46" ht="15.75" customHeight="1" x14ac:dyDescent="0.2">
      <c r="A874" s="76"/>
      <c r="B874" s="76"/>
      <c r="C874" s="76"/>
      <c r="D874" s="82" t="s">
        <v>55</v>
      </c>
      <c r="E874" s="83"/>
      <c r="F874" s="83"/>
      <c r="G874" s="83"/>
      <c r="H874" s="83"/>
      <c r="I874" s="83"/>
      <c r="J874" s="84"/>
      <c r="K874" s="82">
        <v>28.347000000000001</v>
      </c>
      <c r="L874" s="83"/>
      <c r="M874" s="83"/>
      <c r="N874" s="83"/>
      <c r="O874" s="83"/>
      <c r="P874" s="84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</row>
    <row r="875" spans="1:46" ht="15.75" customHeight="1" x14ac:dyDescent="0.2">
      <c r="A875" s="76"/>
      <c r="B875" s="76"/>
      <c r="C875" s="76"/>
      <c r="D875" s="82" t="s">
        <v>56</v>
      </c>
      <c r="E875" s="83"/>
      <c r="F875" s="83"/>
      <c r="G875" s="83"/>
      <c r="H875" s="83"/>
      <c r="I875" s="83"/>
      <c r="J875" s="84"/>
      <c r="K875" s="82">
        <v>33.74</v>
      </c>
      <c r="L875" s="83"/>
      <c r="M875" s="83"/>
      <c r="N875" s="83"/>
      <c r="O875" s="83"/>
      <c r="P875" s="84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</row>
    <row r="876" spans="1:46" ht="15.75" customHeight="1" x14ac:dyDescent="0.2">
      <c r="A876" s="76"/>
      <c r="B876" s="76"/>
      <c r="C876" s="76"/>
      <c r="D876" s="82" t="s">
        <v>57</v>
      </c>
      <c r="E876" s="83"/>
      <c r="F876" s="83"/>
      <c r="G876" s="83"/>
      <c r="H876" s="83"/>
      <c r="I876" s="83"/>
      <c r="J876" s="84"/>
      <c r="K876" s="82">
        <v>26.805</v>
      </c>
      <c r="L876" s="83"/>
      <c r="M876" s="83"/>
      <c r="N876" s="83"/>
      <c r="O876" s="83"/>
      <c r="P876" s="84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</row>
    <row r="877" spans="1:46" ht="15.75" customHeight="1" x14ac:dyDescent="0.2">
      <c r="A877" s="76"/>
      <c r="B877" s="76"/>
      <c r="C877" s="76"/>
      <c r="D877" s="82" t="s">
        <v>58</v>
      </c>
      <c r="E877" s="83"/>
      <c r="F877" s="83"/>
      <c r="G877" s="83"/>
      <c r="H877" s="83"/>
      <c r="I877" s="83"/>
      <c r="J877" s="84"/>
      <c r="K877" s="82">
        <v>23.84</v>
      </c>
      <c r="L877" s="83"/>
      <c r="M877" s="83"/>
      <c r="N877" s="83"/>
      <c r="O877" s="83"/>
      <c r="P877" s="84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</row>
    <row r="878" spans="1:46" ht="15.75" customHeight="1" x14ac:dyDescent="0.2">
      <c r="A878" s="76"/>
      <c r="B878" s="76"/>
      <c r="C878" s="76"/>
      <c r="D878" s="82" t="s">
        <v>59</v>
      </c>
      <c r="E878" s="83"/>
      <c r="F878" s="83"/>
      <c r="G878" s="83"/>
      <c r="H878" s="83"/>
      <c r="I878" s="83"/>
      <c r="J878" s="84"/>
      <c r="K878" s="82">
        <v>37.414000000000001</v>
      </c>
      <c r="L878" s="83"/>
      <c r="M878" s="83"/>
      <c r="N878" s="83"/>
      <c r="O878" s="83"/>
      <c r="P878" s="84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</row>
    <row r="879" spans="1:46" ht="15.75" customHeight="1" x14ac:dyDescent="0.2">
      <c r="A879" s="76"/>
      <c r="B879" s="76"/>
      <c r="C879" s="76"/>
      <c r="D879" s="82" t="s">
        <v>60</v>
      </c>
      <c r="E879" s="83"/>
      <c r="F879" s="83"/>
      <c r="G879" s="83"/>
      <c r="H879" s="83"/>
      <c r="I879" s="83"/>
      <c r="J879" s="84"/>
      <c r="K879" s="82">
        <v>24.792000000000002</v>
      </c>
      <c r="L879" s="83"/>
      <c r="M879" s="83"/>
      <c r="N879" s="83"/>
      <c r="O879" s="83"/>
      <c r="P879" s="84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</row>
    <row r="880" spans="1:46" ht="15.75" customHeight="1" x14ac:dyDescent="0.2">
      <c r="A880" s="76"/>
      <c r="B880" s="76"/>
      <c r="C880" s="76"/>
      <c r="D880" s="82" t="s">
        <v>61</v>
      </c>
      <c r="E880" s="83"/>
      <c r="F880" s="83"/>
      <c r="G880" s="83"/>
      <c r="H880" s="83"/>
      <c r="I880" s="83"/>
      <c r="J880" s="84"/>
      <c r="K880" s="82">
        <v>21.463000000000001</v>
      </c>
      <c r="L880" s="83"/>
      <c r="M880" s="83"/>
      <c r="N880" s="83"/>
      <c r="O880" s="83"/>
      <c r="P880" s="84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</row>
    <row r="881" spans="1:46" ht="15.75" customHeight="1" x14ac:dyDescent="0.2">
      <c r="A881" s="76"/>
      <c r="B881" s="76"/>
      <c r="C881" s="76"/>
      <c r="D881" s="82" t="s">
        <v>62</v>
      </c>
      <c r="E881" s="83"/>
      <c r="F881" s="83"/>
      <c r="G881" s="83"/>
      <c r="H881" s="83"/>
      <c r="I881" s="83"/>
      <c r="J881" s="84"/>
      <c r="K881" s="82">
        <v>29.628</v>
      </c>
      <c r="L881" s="83"/>
      <c r="M881" s="83"/>
      <c r="N881" s="83"/>
      <c r="O881" s="83"/>
      <c r="P881" s="84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</row>
    <row r="882" spans="1:46" ht="15.75" customHeight="1" x14ac:dyDescent="0.2">
      <c r="A882" s="76"/>
      <c r="B882" s="76"/>
      <c r="C882" s="76"/>
      <c r="D882" s="82" t="s">
        <v>63</v>
      </c>
      <c r="E882" s="83"/>
      <c r="F882" s="83"/>
      <c r="G882" s="83"/>
      <c r="H882" s="83"/>
      <c r="I882" s="83"/>
      <c r="J882" s="84"/>
      <c r="K882" s="82">
        <v>41.204999999999998</v>
      </c>
      <c r="L882" s="83"/>
      <c r="M882" s="83"/>
      <c r="N882" s="83"/>
      <c r="O882" s="83"/>
      <c r="P882" s="84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</row>
    <row r="883" spans="1:46" ht="15.75" customHeight="1" x14ac:dyDescent="0.2">
      <c r="A883" s="76"/>
      <c r="B883" s="76"/>
      <c r="C883" s="76"/>
      <c r="D883" s="82" t="s">
        <v>64</v>
      </c>
      <c r="E883" s="83"/>
      <c r="F883" s="83"/>
      <c r="G883" s="83"/>
      <c r="H883" s="83"/>
      <c r="I883" s="83"/>
      <c r="J883" s="84"/>
      <c r="K883" s="82">
        <v>19.984999999999999</v>
      </c>
      <c r="L883" s="83"/>
      <c r="M883" s="83"/>
      <c r="N883" s="83"/>
      <c r="O883" s="83"/>
      <c r="P883" s="84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</row>
    <row r="884" spans="1:46" ht="15.75" customHeight="1" x14ac:dyDescent="0.2">
      <c r="A884" s="76"/>
      <c r="B884" s="76"/>
      <c r="C884" s="76"/>
      <c r="D884" s="82" t="s">
        <v>65</v>
      </c>
      <c r="E884" s="83"/>
      <c r="F884" s="83"/>
      <c r="G884" s="83"/>
      <c r="H884" s="83"/>
      <c r="I884" s="83"/>
      <c r="J884" s="84"/>
      <c r="K884" s="82">
        <v>28.443000000000001</v>
      </c>
      <c r="L884" s="83"/>
      <c r="M884" s="83"/>
      <c r="N884" s="83"/>
      <c r="O884" s="83"/>
      <c r="P884" s="84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</row>
    <row r="885" spans="1:46" ht="15.75" customHeight="1" x14ac:dyDescent="0.2">
      <c r="A885" s="76"/>
      <c r="B885" s="76"/>
      <c r="C885" s="76"/>
      <c r="D885" s="82" t="s">
        <v>66</v>
      </c>
      <c r="E885" s="83"/>
      <c r="F885" s="83"/>
      <c r="G885" s="83"/>
      <c r="H885" s="83"/>
      <c r="I885" s="83"/>
      <c r="J885" s="84"/>
      <c r="K885" s="82">
        <v>26.155000000000001</v>
      </c>
      <c r="L885" s="83"/>
      <c r="M885" s="83"/>
      <c r="N885" s="83"/>
      <c r="O885" s="83"/>
      <c r="P885" s="84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</row>
    <row r="886" spans="1:46" ht="15.75" customHeight="1" x14ac:dyDescent="0.2">
      <c r="A886" s="76"/>
      <c r="B886" s="76"/>
      <c r="C886" s="76"/>
      <c r="D886" s="82" t="s">
        <v>67</v>
      </c>
      <c r="E886" s="83"/>
      <c r="F886" s="83"/>
      <c r="G886" s="83"/>
      <c r="H886" s="83"/>
      <c r="I886" s="83"/>
      <c r="J886" s="84"/>
      <c r="K886" s="82">
        <v>26.491</v>
      </c>
      <c r="L886" s="83"/>
      <c r="M886" s="83"/>
      <c r="N886" s="83"/>
      <c r="O886" s="83"/>
      <c r="P886" s="84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</row>
    <row r="887" spans="1:46" ht="15.75" customHeight="1" x14ac:dyDescent="0.2">
      <c r="A887" s="76"/>
      <c r="B887" s="76"/>
      <c r="C887" s="76"/>
      <c r="D887" s="82" t="s">
        <v>68</v>
      </c>
      <c r="E887" s="83"/>
      <c r="F887" s="83"/>
      <c r="G887" s="83"/>
      <c r="H887" s="83"/>
      <c r="I887" s="83"/>
      <c r="J887" s="84"/>
      <c r="K887" s="82">
        <v>43.465000000000003</v>
      </c>
      <c r="L887" s="83"/>
      <c r="M887" s="83"/>
      <c r="N887" s="83"/>
      <c r="O887" s="83"/>
      <c r="P887" s="84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</row>
    <row r="888" spans="1:46" ht="15.75" customHeight="1" x14ac:dyDescent="0.2">
      <c r="A888" s="76"/>
      <c r="B888" s="76"/>
      <c r="C888" s="76"/>
      <c r="D888" s="85" t="s">
        <v>69</v>
      </c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7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</row>
    <row r="889" spans="1:46" ht="15.75" customHeight="1" x14ac:dyDescent="0.2">
      <c r="A889" s="76"/>
      <c r="B889" s="76"/>
      <c r="C889" s="76"/>
      <c r="D889" s="88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89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</row>
    <row r="890" spans="1:46" ht="15.75" customHeight="1" x14ac:dyDescent="0.2">
      <c r="A890" s="76"/>
      <c r="B890" s="76"/>
      <c r="C890" s="76"/>
      <c r="D890" s="90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2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</row>
    <row r="891" spans="1:46" ht="15.75" customHeight="1" x14ac:dyDescent="0.2">
      <c r="A891" s="76"/>
      <c r="B891" s="76"/>
      <c r="C891" s="76"/>
      <c r="D891" s="94" t="s">
        <v>3</v>
      </c>
      <c r="E891" s="86"/>
      <c r="F891" s="86"/>
      <c r="G891" s="86"/>
      <c r="H891" s="86"/>
      <c r="I891" s="86"/>
      <c r="J891" s="87"/>
      <c r="K891" s="95" t="s">
        <v>70</v>
      </c>
      <c r="L891" s="86"/>
      <c r="M891" s="86"/>
      <c r="N891" s="86"/>
      <c r="O891" s="86"/>
      <c r="P891" s="87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</row>
    <row r="892" spans="1:46" ht="15.75" customHeight="1" x14ac:dyDescent="0.2">
      <c r="A892" s="76"/>
      <c r="B892" s="76"/>
      <c r="C892" s="76"/>
      <c r="D892" s="90"/>
      <c r="E892" s="91"/>
      <c r="F892" s="91"/>
      <c r="G892" s="91"/>
      <c r="H892" s="91"/>
      <c r="I892" s="91"/>
      <c r="J892" s="92"/>
      <c r="K892" s="90"/>
      <c r="L892" s="91"/>
      <c r="M892" s="91"/>
      <c r="N892" s="91"/>
      <c r="O892" s="91"/>
      <c r="P892" s="92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</row>
    <row r="893" spans="1:46" ht="15.75" customHeight="1" x14ac:dyDescent="0.2">
      <c r="A893" s="76"/>
      <c r="B893" s="76"/>
      <c r="C893" s="76"/>
      <c r="D893" s="82" t="s">
        <v>51</v>
      </c>
      <c r="E893" s="83"/>
      <c r="F893" s="83"/>
      <c r="G893" s="83"/>
      <c r="H893" s="83"/>
      <c r="I893" s="83"/>
      <c r="J893" s="84"/>
      <c r="K893" s="93" t="s">
        <v>71</v>
      </c>
      <c r="L893" s="83"/>
      <c r="M893" s="83"/>
      <c r="N893" s="83"/>
      <c r="O893" s="83"/>
      <c r="P893" s="84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</row>
    <row r="894" spans="1:46" ht="15.75" customHeight="1" x14ac:dyDescent="0.2">
      <c r="A894" s="76"/>
      <c r="B894" s="76"/>
      <c r="C894" s="76"/>
      <c r="D894" s="82" t="s">
        <v>52</v>
      </c>
      <c r="E894" s="83"/>
      <c r="F894" s="83"/>
      <c r="G894" s="83"/>
      <c r="H894" s="83"/>
      <c r="I894" s="83"/>
      <c r="J894" s="84"/>
      <c r="K894" s="93" t="s">
        <v>72</v>
      </c>
      <c r="L894" s="83"/>
      <c r="M894" s="83"/>
      <c r="N894" s="83"/>
      <c r="O894" s="83"/>
      <c r="P894" s="84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</row>
    <row r="895" spans="1:46" ht="15.75" customHeight="1" x14ac:dyDescent="0.2">
      <c r="A895" s="76"/>
      <c r="B895" s="76"/>
      <c r="C895" s="76"/>
      <c r="D895" s="82" t="s">
        <v>53</v>
      </c>
      <c r="E895" s="83"/>
      <c r="F895" s="83"/>
      <c r="G895" s="83"/>
      <c r="H895" s="83"/>
      <c r="I895" s="83"/>
      <c r="J895" s="84"/>
      <c r="K895" s="93" t="s">
        <v>72</v>
      </c>
      <c r="L895" s="83"/>
      <c r="M895" s="83"/>
      <c r="N895" s="83"/>
      <c r="O895" s="83"/>
      <c r="P895" s="84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</row>
    <row r="896" spans="1:46" ht="15.75" customHeight="1" x14ac:dyDescent="0.2">
      <c r="A896" s="76"/>
      <c r="B896" s="76"/>
      <c r="C896" s="76"/>
      <c r="D896" s="82" t="s">
        <v>54</v>
      </c>
      <c r="E896" s="83"/>
      <c r="F896" s="83"/>
      <c r="G896" s="83"/>
      <c r="H896" s="83"/>
      <c r="I896" s="83"/>
      <c r="J896" s="84"/>
      <c r="K896" s="93" t="s">
        <v>73</v>
      </c>
      <c r="L896" s="83"/>
      <c r="M896" s="83"/>
      <c r="N896" s="83"/>
      <c r="O896" s="83"/>
      <c r="P896" s="84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</row>
    <row r="897" spans="1:46" ht="15.75" customHeight="1" x14ac:dyDescent="0.2">
      <c r="A897" s="76"/>
      <c r="B897" s="76"/>
      <c r="C897" s="76"/>
      <c r="D897" s="82" t="s">
        <v>55</v>
      </c>
      <c r="E897" s="83"/>
      <c r="F897" s="83"/>
      <c r="G897" s="83"/>
      <c r="H897" s="83"/>
      <c r="I897" s="83"/>
      <c r="J897" s="84"/>
      <c r="K897" s="93" t="s">
        <v>74</v>
      </c>
      <c r="L897" s="83"/>
      <c r="M897" s="83"/>
      <c r="N897" s="83"/>
      <c r="O897" s="83"/>
      <c r="P897" s="84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</row>
    <row r="898" spans="1:46" ht="15.75" customHeight="1" x14ac:dyDescent="0.2">
      <c r="A898" s="76"/>
      <c r="B898" s="76"/>
      <c r="C898" s="76"/>
      <c r="D898" s="82" t="s">
        <v>56</v>
      </c>
      <c r="E898" s="83"/>
      <c r="F898" s="83"/>
      <c r="G898" s="83"/>
      <c r="H898" s="83"/>
      <c r="I898" s="83"/>
      <c r="J898" s="84"/>
      <c r="K898" s="93" t="s">
        <v>74</v>
      </c>
      <c r="L898" s="83"/>
      <c r="M898" s="83"/>
      <c r="N898" s="83"/>
      <c r="O898" s="83"/>
      <c r="P898" s="84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</row>
    <row r="899" spans="1:46" ht="15.75" customHeight="1" x14ac:dyDescent="0.2">
      <c r="A899" s="76"/>
      <c r="B899" s="76"/>
      <c r="C899" s="76"/>
      <c r="D899" s="82" t="s">
        <v>75</v>
      </c>
      <c r="E899" s="83"/>
      <c r="F899" s="83"/>
      <c r="G899" s="83"/>
      <c r="H899" s="83"/>
      <c r="I899" s="83"/>
      <c r="J899" s="84"/>
      <c r="K899" s="93" t="s">
        <v>74</v>
      </c>
      <c r="L899" s="83"/>
      <c r="M899" s="83"/>
      <c r="N899" s="83"/>
      <c r="O899" s="83"/>
      <c r="P899" s="84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</row>
    <row r="900" spans="1:46" ht="15.75" customHeight="1" x14ac:dyDescent="0.2">
      <c r="A900" s="76"/>
      <c r="B900" s="76"/>
      <c r="C900" s="76"/>
      <c r="D900" s="82" t="s">
        <v>58</v>
      </c>
      <c r="E900" s="83"/>
      <c r="F900" s="83"/>
      <c r="G900" s="83"/>
      <c r="H900" s="83"/>
      <c r="I900" s="83"/>
      <c r="J900" s="84"/>
      <c r="K900" s="93" t="s">
        <v>74</v>
      </c>
      <c r="L900" s="83"/>
      <c r="M900" s="83"/>
      <c r="N900" s="83"/>
      <c r="O900" s="83"/>
      <c r="P900" s="84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</row>
    <row r="901" spans="1:46" ht="15.75" customHeight="1" x14ac:dyDescent="0.2">
      <c r="A901" s="76"/>
      <c r="B901" s="76"/>
      <c r="C901" s="76"/>
      <c r="D901" s="82" t="s">
        <v>76</v>
      </c>
      <c r="E901" s="83"/>
      <c r="F901" s="83"/>
      <c r="G901" s="83"/>
      <c r="H901" s="83"/>
      <c r="I901" s="83"/>
      <c r="J901" s="84"/>
      <c r="K901" s="93" t="s">
        <v>77</v>
      </c>
      <c r="L901" s="83"/>
      <c r="M901" s="83"/>
      <c r="N901" s="83"/>
      <c r="O901" s="83"/>
      <c r="P901" s="84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</row>
    <row r="902" spans="1:46" ht="15.75" customHeight="1" x14ac:dyDescent="0.2">
      <c r="A902" s="76"/>
      <c r="B902" s="76"/>
      <c r="C902" s="76"/>
      <c r="D902" s="82" t="s">
        <v>60</v>
      </c>
      <c r="E902" s="83"/>
      <c r="F902" s="83"/>
      <c r="G902" s="83"/>
      <c r="H902" s="83"/>
      <c r="I902" s="83"/>
      <c r="J902" s="84"/>
      <c r="K902" s="93" t="s">
        <v>72</v>
      </c>
      <c r="L902" s="83"/>
      <c r="M902" s="83"/>
      <c r="N902" s="83"/>
      <c r="O902" s="83"/>
      <c r="P902" s="84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</row>
    <row r="903" spans="1:46" ht="15.75" customHeight="1" x14ac:dyDescent="0.2">
      <c r="A903" s="76"/>
      <c r="B903" s="76"/>
      <c r="C903" s="76"/>
      <c r="D903" s="82" t="s">
        <v>61</v>
      </c>
      <c r="E903" s="83"/>
      <c r="F903" s="83"/>
      <c r="G903" s="83"/>
      <c r="H903" s="83"/>
      <c r="I903" s="83"/>
      <c r="J903" s="84"/>
      <c r="K903" s="93" t="s">
        <v>73</v>
      </c>
      <c r="L903" s="83"/>
      <c r="M903" s="83"/>
      <c r="N903" s="83"/>
      <c r="O903" s="83"/>
      <c r="P903" s="84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</row>
    <row r="904" spans="1:46" ht="15.75" customHeight="1" x14ac:dyDescent="0.2">
      <c r="A904" s="76"/>
      <c r="B904" s="76"/>
      <c r="C904" s="76"/>
      <c r="D904" s="82" t="s">
        <v>62</v>
      </c>
      <c r="E904" s="83"/>
      <c r="F904" s="83"/>
      <c r="G904" s="83"/>
      <c r="H904" s="83"/>
      <c r="I904" s="83"/>
      <c r="J904" s="84"/>
      <c r="K904" s="93" t="s">
        <v>78</v>
      </c>
      <c r="L904" s="83"/>
      <c r="M904" s="83"/>
      <c r="N904" s="83"/>
      <c r="O904" s="83"/>
      <c r="P904" s="84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</row>
    <row r="905" spans="1:46" ht="15.75" customHeight="1" x14ac:dyDescent="0.2">
      <c r="A905" s="76"/>
      <c r="B905" s="76"/>
      <c r="C905" s="76"/>
      <c r="D905" s="82" t="s">
        <v>79</v>
      </c>
      <c r="E905" s="83"/>
      <c r="F905" s="83"/>
      <c r="G905" s="83"/>
      <c r="H905" s="83"/>
      <c r="I905" s="83"/>
      <c r="J905" s="84"/>
      <c r="K905" s="93" t="s">
        <v>80</v>
      </c>
      <c r="L905" s="83"/>
      <c r="M905" s="83"/>
      <c r="N905" s="83"/>
      <c r="O905" s="83"/>
      <c r="P905" s="84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</row>
    <row r="906" spans="1:46" ht="15.75" customHeight="1" x14ac:dyDescent="0.2">
      <c r="A906" s="76"/>
      <c r="B906" s="76"/>
      <c r="C906" s="76"/>
      <c r="D906" s="82" t="s">
        <v>64</v>
      </c>
      <c r="E906" s="83"/>
      <c r="F906" s="83"/>
      <c r="G906" s="83"/>
      <c r="H906" s="83"/>
      <c r="I906" s="83"/>
      <c r="J906" s="84"/>
      <c r="K906" s="93" t="s">
        <v>74</v>
      </c>
      <c r="L906" s="83"/>
      <c r="M906" s="83"/>
      <c r="N906" s="83"/>
      <c r="O906" s="83"/>
      <c r="P906" s="84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</row>
    <row r="907" spans="1:46" ht="15.75" customHeight="1" x14ac:dyDescent="0.2">
      <c r="A907" s="76"/>
      <c r="B907" s="76"/>
      <c r="C907" s="76"/>
      <c r="D907" s="82" t="s">
        <v>65</v>
      </c>
      <c r="E907" s="83"/>
      <c r="F907" s="83"/>
      <c r="G907" s="83"/>
      <c r="H907" s="83"/>
      <c r="I907" s="83"/>
      <c r="J907" s="84"/>
      <c r="K907" s="93" t="s">
        <v>72</v>
      </c>
      <c r="L907" s="83"/>
      <c r="M907" s="83"/>
      <c r="N907" s="83"/>
      <c r="O907" s="83"/>
      <c r="P907" s="84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</row>
    <row r="908" spans="1:46" ht="15.75" customHeight="1" x14ac:dyDescent="0.2">
      <c r="A908" s="76"/>
      <c r="B908" s="76"/>
      <c r="C908" s="76"/>
      <c r="D908" s="82" t="s">
        <v>66</v>
      </c>
      <c r="E908" s="83"/>
      <c r="F908" s="83"/>
      <c r="G908" s="83"/>
      <c r="H908" s="83"/>
      <c r="I908" s="83"/>
      <c r="J908" s="84"/>
      <c r="K908" s="93" t="s">
        <v>74</v>
      </c>
      <c r="L908" s="83"/>
      <c r="M908" s="83"/>
      <c r="N908" s="83"/>
      <c r="O908" s="83"/>
      <c r="P908" s="84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</row>
    <row r="909" spans="1:46" ht="15.75" customHeight="1" x14ac:dyDescent="0.2">
      <c r="A909" s="76"/>
      <c r="B909" s="76"/>
      <c r="C909" s="76"/>
      <c r="D909" s="82" t="s">
        <v>67</v>
      </c>
      <c r="E909" s="83"/>
      <c r="F909" s="83"/>
      <c r="G909" s="83"/>
      <c r="H909" s="83"/>
      <c r="I909" s="83"/>
      <c r="J909" s="84"/>
      <c r="K909" s="93" t="s">
        <v>74</v>
      </c>
      <c r="L909" s="83"/>
      <c r="M909" s="83"/>
      <c r="N909" s="83"/>
      <c r="O909" s="83"/>
      <c r="P909" s="84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</row>
    <row r="910" spans="1:46" ht="15.75" customHeight="1" x14ac:dyDescent="0.2">
      <c r="A910" s="76"/>
      <c r="B910" s="76"/>
      <c r="C910" s="76"/>
      <c r="D910" s="82" t="s">
        <v>68</v>
      </c>
      <c r="E910" s="83"/>
      <c r="F910" s="83"/>
      <c r="G910" s="83"/>
      <c r="H910" s="83"/>
      <c r="I910" s="83"/>
      <c r="J910" s="84"/>
      <c r="K910" s="93" t="s">
        <v>80</v>
      </c>
      <c r="L910" s="83"/>
      <c r="M910" s="83"/>
      <c r="N910" s="83"/>
      <c r="O910" s="83"/>
      <c r="P910" s="84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</row>
    <row r="911" spans="1:46" ht="12.75" x14ac:dyDescent="0.2">
      <c r="A911" s="76"/>
      <c r="B911" s="76"/>
      <c r="C911" s="76"/>
      <c r="D911" s="9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</row>
    <row r="912" spans="1:46" ht="15.75" customHeight="1" x14ac:dyDescent="0.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</row>
  </sheetData>
  <mergeCells count="1683">
    <mergeCell ref="X811:AR811"/>
    <mergeCell ref="X820:AR820"/>
    <mergeCell ref="X829:AR829"/>
    <mergeCell ref="F807:F809"/>
    <mergeCell ref="G807:G809"/>
    <mergeCell ref="Q807:Q809"/>
    <mergeCell ref="R807:R809"/>
    <mergeCell ref="S807:S809"/>
    <mergeCell ref="T807:T809"/>
    <mergeCell ref="U807:U809"/>
    <mergeCell ref="A756:C756"/>
    <mergeCell ref="A757:C757"/>
    <mergeCell ref="A758:A782"/>
    <mergeCell ref="B758:B761"/>
    <mergeCell ref="C758:C761"/>
    <mergeCell ref="B780:B782"/>
    <mergeCell ref="C780:C782"/>
    <mergeCell ref="Q785:Q788"/>
    <mergeCell ref="R785:R788"/>
    <mergeCell ref="S785:S788"/>
    <mergeCell ref="T785:T788"/>
    <mergeCell ref="U785:U788"/>
    <mergeCell ref="V785:V788"/>
    <mergeCell ref="X793:AR793"/>
    <mergeCell ref="X802:AR802"/>
    <mergeCell ref="J785:J788"/>
    <mergeCell ref="K785:K788"/>
    <mergeCell ref="L785:L788"/>
    <mergeCell ref="M785:M788"/>
    <mergeCell ref="N785:N788"/>
    <mergeCell ref="O785:O788"/>
    <mergeCell ref="P785:P788"/>
    <mergeCell ref="A783:C783"/>
    <mergeCell ref="A784:C784"/>
    <mergeCell ref="A785:A809"/>
    <mergeCell ref="B785:B788"/>
    <mergeCell ref="C785:C788"/>
    <mergeCell ref="H785:H788"/>
    <mergeCell ref="I785:I788"/>
    <mergeCell ref="V807:V809"/>
    <mergeCell ref="D837:V837"/>
    <mergeCell ref="D838:V838"/>
    <mergeCell ref="P834:P836"/>
    <mergeCell ref="Q834:Q836"/>
    <mergeCell ref="R834:R836"/>
    <mergeCell ref="S834:S836"/>
    <mergeCell ref="T834:T836"/>
    <mergeCell ref="U834:U836"/>
    <mergeCell ref="V834:V836"/>
    <mergeCell ref="D807:D809"/>
    <mergeCell ref="E807:E809"/>
    <mergeCell ref="K834:K836"/>
    <mergeCell ref="L834:L836"/>
    <mergeCell ref="M834:M836"/>
    <mergeCell ref="N834:N836"/>
    <mergeCell ref="O834:O836"/>
    <mergeCell ref="R839:R842"/>
    <mergeCell ref="S839:S842"/>
    <mergeCell ref="T839:T842"/>
    <mergeCell ref="U839:U842"/>
    <mergeCell ref="V839:V842"/>
    <mergeCell ref="K839:K842"/>
    <mergeCell ref="L839:L842"/>
    <mergeCell ref="M839:M842"/>
    <mergeCell ref="N839:N842"/>
    <mergeCell ref="O839:O842"/>
    <mergeCell ref="P839:P842"/>
    <mergeCell ref="Q839:Q842"/>
    <mergeCell ref="O807:O809"/>
    <mergeCell ref="P807:P809"/>
    <mergeCell ref="A810:C810"/>
    <mergeCell ref="D810:V810"/>
    <mergeCell ref="A811:C811"/>
    <mergeCell ref="D811:V811"/>
    <mergeCell ref="H807:H809"/>
    <mergeCell ref="I807:I809"/>
    <mergeCell ref="J807:J809"/>
    <mergeCell ref="K807:K809"/>
    <mergeCell ref="L807:L809"/>
    <mergeCell ref="M807:M809"/>
    <mergeCell ref="N807:N809"/>
    <mergeCell ref="R812:R815"/>
    <mergeCell ref="S812:S815"/>
    <mergeCell ref="T812:T815"/>
    <mergeCell ref="U812:U815"/>
    <mergeCell ref="V812:V815"/>
    <mergeCell ref="K812:K815"/>
    <mergeCell ref="L812:L815"/>
    <mergeCell ref="M812:M815"/>
    <mergeCell ref="N812:N815"/>
    <mergeCell ref="O812:O815"/>
    <mergeCell ref="P812:P815"/>
    <mergeCell ref="Q812:Q815"/>
    <mergeCell ref="B807:B809"/>
    <mergeCell ref="C807:C809"/>
    <mergeCell ref="X298:AR298"/>
    <mergeCell ref="K299:K302"/>
    <mergeCell ref="L299:L302"/>
    <mergeCell ref="M299:M302"/>
    <mergeCell ref="N299:N302"/>
    <mergeCell ref="O299:O302"/>
    <mergeCell ref="P299:P302"/>
    <mergeCell ref="K321:K323"/>
    <mergeCell ref="L321:L323"/>
    <mergeCell ref="M321:M323"/>
    <mergeCell ref="N321:N323"/>
    <mergeCell ref="O321:O323"/>
    <mergeCell ref="P321:P323"/>
    <mergeCell ref="Q321:Q323"/>
    <mergeCell ref="R321:R323"/>
    <mergeCell ref="X307:AR307"/>
    <mergeCell ref="X316:AR316"/>
    <mergeCell ref="S321:S323"/>
    <mergeCell ref="T321:T323"/>
    <mergeCell ref="U321:U323"/>
    <mergeCell ref="V321:V323"/>
    <mergeCell ref="X271:AR271"/>
    <mergeCell ref="K272:K275"/>
    <mergeCell ref="L272:L275"/>
    <mergeCell ref="M272:M275"/>
    <mergeCell ref="N272:N275"/>
    <mergeCell ref="O272:O275"/>
    <mergeCell ref="P272:P275"/>
    <mergeCell ref="X280:AR280"/>
    <mergeCell ref="X289:AR289"/>
    <mergeCell ref="K294:K296"/>
    <mergeCell ref="L294:L296"/>
    <mergeCell ref="M294:M296"/>
    <mergeCell ref="N294:N296"/>
    <mergeCell ref="X235:AR235"/>
    <mergeCell ref="D240:D242"/>
    <mergeCell ref="E240:E242"/>
    <mergeCell ref="F240:F242"/>
    <mergeCell ref="G240:G242"/>
    <mergeCell ref="H240:H242"/>
    <mergeCell ref="I240:I242"/>
    <mergeCell ref="V240:V242"/>
    <mergeCell ref="O294:O296"/>
    <mergeCell ref="P294:P296"/>
    <mergeCell ref="Q294:Q296"/>
    <mergeCell ref="R294:R296"/>
    <mergeCell ref="S294:S296"/>
    <mergeCell ref="T294:T296"/>
    <mergeCell ref="U294:U296"/>
    <mergeCell ref="V294:V296"/>
    <mergeCell ref="X244:AR244"/>
    <mergeCell ref="K245:K248"/>
    <mergeCell ref="L245:L248"/>
    <mergeCell ref="M245:M248"/>
    <mergeCell ref="N245:N248"/>
    <mergeCell ref="O245:O248"/>
    <mergeCell ref="P245:P248"/>
    <mergeCell ref="X253:AR253"/>
    <mergeCell ref="X262:AR262"/>
    <mergeCell ref="K267:K269"/>
    <mergeCell ref="L267:L269"/>
    <mergeCell ref="M267:M269"/>
    <mergeCell ref="N267:N269"/>
    <mergeCell ref="O267:O269"/>
    <mergeCell ref="P267:P269"/>
    <mergeCell ref="Q267:Q269"/>
    <mergeCell ref="R267:R269"/>
    <mergeCell ref="S267:S269"/>
    <mergeCell ref="T267:T269"/>
    <mergeCell ref="U267:U269"/>
    <mergeCell ref="V267:V269"/>
    <mergeCell ref="K218:K221"/>
    <mergeCell ref="L218:L221"/>
    <mergeCell ref="M218:M221"/>
    <mergeCell ref="N218:N221"/>
    <mergeCell ref="O218:O221"/>
    <mergeCell ref="P218:P221"/>
    <mergeCell ref="Q218:Q221"/>
    <mergeCell ref="R218:R221"/>
    <mergeCell ref="S218:S221"/>
    <mergeCell ref="T218:T221"/>
    <mergeCell ref="U218:U221"/>
    <mergeCell ref="X172:AR172"/>
    <mergeCell ref="X181:AR181"/>
    <mergeCell ref="V218:V221"/>
    <mergeCell ref="X226:AR226"/>
    <mergeCell ref="J240:J242"/>
    <mergeCell ref="K240:K242"/>
    <mergeCell ref="L240:L242"/>
    <mergeCell ref="M240:M242"/>
    <mergeCell ref="N240:N242"/>
    <mergeCell ref="O240:O242"/>
    <mergeCell ref="P240:P242"/>
    <mergeCell ref="Q240:Q242"/>
    <mergeCell ref="R240:R242"/>
    <mergeCell ref="S240:S242"/>
    <mergeCell ref="T240:T242"/>
    <mergeCell ref="U240:U242"/>
    <mergeCell ref="N164:N167"/>
    <mergeCell ref="O164:O167"/>
    <mergeCell ref="P164:P167"/>
    <mergeCell ref="Q164:Q167"/>
    <mergeCell ref="R164:R167"/>
    <mergeCell ref="S164:S167"/>
    <mergeCell ref="X163:AR163"/>
    <mergeCell ref="D164:D167"/>
    <mergeCell ref="E164:E167"/>
    <mergeCell ref="F164:F167"/>
    <mergeCell ref="G164:G167"/>
    <mergeCell ref="H164:H167"/>
    <mergeCell ref="I164:I167"/>
    <mergeCell ref="V164:V167"/>
    <mergeCell ref="T164:T167"/>
    <mergeCell ref="U164:U167"/>
    <mergeCell ref="D186:D188"/>
    <mergeCell ref="E186:E188"/>
    <mergeCell ref="F186:F188"/>
    <mergeCell ref="G186:G188"/>
    <mergeCell ref="H186:H188"/>
    <mergeCell ref="I186:I188"/>
    <mergeCell ref="J186:J188"/>
    <mergeCell ref="K186:K188"/>
    <mergeCell ref="L186:L188"/>
    <mergeCell ref="M186:M188"/>
    <mergeCell ref="X145:AR145"/>
    <mergeCell ref="X127:AR127"/>
    <mergeCell ref="F132:F134"/>
    <mergeCell ref="G132:G134"/>
    <mergeCell ref="H132:H134"/>
    <mergeCell ref="I132:I134"/>
    <mergeCell ref="J132:J134"/>
    <mergeCell ref="K132:K134"/>
    <mergeCell ref="J159:J161"/>
    <mergeCell ref="K159:K161"/>
    <mergeCell ref="L159:L161"/>
    <mergeCell ref="M159:M161"/>
    <mergeCell ref="N159:N161"/>
    <mergeCell ref="O159:O161"/>
    <mergeCell ref="P159:P161"/>
    <mergeCell ref="Q159:Q161"/>
    <mergeCell ref="R159:R161"/>
    <mergeCell ref="S159:S161"/>
    <mergeCell ref="T159:T161"/>
    <mergeCell ref="U159:U161"/>
    <mergeCell ref="X154:AR154"/>
    <mergeCell ref="F159:F161"/>
    <mergeCell ref="G159:G161"/>
    <mergeCell ref="H159:H161"/>
    <mergeCell ref="I159:I161"/>
    <mergeCell ref="V159:V161"/>
    <mergeCell ref="X118:AR118"/>
    <mergeCell ref="L132:L134"/>
    <mergeCell ref="M132:M134"/>
    <mergeCell ref="N132:N134"/>
    <mergeCell ref="O132:O134"/>
    <mergeCell ref="P132:P134"/>
    <mergeCell ref="Q132:Q134"/>
    <mergeCell ref="R132:R134"/>
    <mergeCell ref="S132:S134"/>
    <mergeCell ref="T132:T134"/>
    <mergeCell ref="U132:U134"/>
    <mergeCell ref="V132:V134"/>
    <mergeCell ref="D135:V135"/>
    <mergeCell ref="D136:V136"/>
    <mergeCell ref="X136:AR136"/>
    <mergeCell ref="D137:D140"/>
    <mergeCell ref="E137:E140"/>
    <mergeCell ref="F137:F140"/>
    <mergeCell ref="G137:G140"/>
    <mergeCell ref="H137:H140"/>
    <mergeCell ref="I137:I140"/>
    <mergeCell ref="J137:J140"/>
    <mergeCell ref="K137:K140"/>
    <mergeCell ref="L137:L140"/>
    <mergeCell ref="M137:M140"/>
    <mergeCell ref="N137:N140"/>
    <mergeCell ref="O137:O140"/>
    <mergeCell ref="P137:P140"/>
    <mergeCell ref="Q137:Q140"/>
    <mergeCell ref="R137:R140"/>
    <mergeCell ref="S137:S140"/>
    <mergeCell ref="T137:T140"/>
    <mergeCell ref="X199:AR199"/>
    <mergeCell ref="X208:AR208"/>
    <mergeCell ref="R213:R215"/>
    <mergeCell ref="S213:S215"/>
    <mergeCell ref="T213:T215"/>
    <mergeCell ref="U213:U215"/>
    <mergeCell ref="V213:V215"/>
    <mergeCell ref="D216:V216"/>
    <mergeCell ref="D217:V217"/>
    <mergeCell ref="X217:AR217"/>
    <mergeCell ref="K213:K215"/>
    <mergeCell ref="L213:L215"/>
    <mergeCell ref="M213:M215"/>
    <mergeCell ref="N213:N215"/>
    <mergeCell ref="O213:O215"/>
    <mergeCell ref="P213:P215"/>
    <mergeCell ref="Q213:Q215"/>
    <mergeCell ref="D110:D113"/>
    <mergeCell ref="E110:E113"/>
    <mergeCell ref="F110:F113"/>
    <mergeCell ref="G110:G113"/>
    <mergeCell ref="H110:H113"/>
    <mergeCell ref="I110:I113"/>
    <mergeCell ref="J110:J113"/>
    <mergeCell ref="K110:K113"/>
    <mergeCell ref="L110:L113"/>
    <mergeCell ref="M110:M113"/>
    <mergeCell ref="N110:N113"/>
    <mergeCell ref="O110:O113"/>
    <mergeCell ref="P110:P113"/>
    <mergeCell ref="Q110:Q113"/>
    <mergeCell ref="T191:T194"/>
    <mergeCell ref="U191:U194"/>
    <mergeCell ref="V191:V194"/>
    <mergeCell ref="R110:R113"/>
    <mergeCell ref="S110:S113"/>
    <mergeCell ref="T110:T113"/>
    <mergeCell ref="U110:U113"/>
    <mergeCell ref="V110:V113"/>
    <mergeCell ref="U137:U140"/>
    <mergeCell ref="V137:V140"/>
    <mergeCell ref="D159:D161"/>
    <mergeCell ref="E159:E161"/>
    <mergeCell ref="D162:V162"/>
    <mergeCell ref="D163:V163"/>
    <mergeCell ref="J164:J167"/>
    <mergeCell ref="K164:K167"/>
    <mergeCell ref="L164:L167"/>
    <mergeCell ref="M164:M167"/>
    <mergeCell ref="A2:A26"/>
    <mergeCell ref="A27:C27"/>
    <mergeCell ref="X10:AR10"/>
    <mergeCell ref="X19:AR19"/>
    <mergeCell ref="M29:M32"/>
    <mergeCell ref="N29:N32"/>
    <mergeCell ref="O29:O32"/>
    <mergeCell ref="P29:P32"/>
    <mergeCell ref="Q29:Q32"/>
    <mergeCell ref="R29:R32"/>
    <mergeCell ref="S29:S32"/>
    <mergeCell ref="T29:T32"/>
    <mergeCell ref="U29:U32"/>
    <mergeCell ref="V29:V32"/>
    <mergeCell ref="B51:B53"/>
    <mergeCell ref="C51:C53"/>
    <mergeCell ref="D27:V27"/>
    <mergeCell ref="A28:C28"/>
    <mergeCell ref="D28:V28"/>
    <mergeCell ref="B2:B5"/>
    <mergeCell ref="A29:A53"/>
    <mergeCell ref="B29:B32"/>
    <mergeCell ref="E29:E32"/>
    <mergeCell ref="F29:F32"/>
    <mergeCell ref="G29:G32"/>
    <mergeCell ref="H29:H32"/>
    <mergeCell ref="I29:I32"/>
    <mergeCell ref="J29:J32"/>
    <mergeCell ref="K29:K32"/>
    <mergeCell ref="L29:L32"/>
    <mergeCell ref="C29:C32"/>
    <mergeCell ref="D29:D32"/>
    <mergeCell ref="V2:V5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R24:R26"/>
    <mergeCell ref="S24:S26"/>
    <mergeCell ref="T24:T26"/>
    <mergeCell ref="U24:U26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X190:AR190"/>
    <mergeCell ref="D191:D194"/>
    <mergeCell ref="E191:E194"/>
    <mergeCell ref="F191:F194"/>
    <mergeCell ref="G191:G194"/>
    <mergeCell ref="H191:H194"/>
    <mergeCell ref="I191:I194"/>
    <mergeCell ref="J191:J194"/>
    <mergeCell ref="K191:K194"/>
    <mergeCell ref="L191:L194"/>
    <mergeCell ref="M191:M194"/>
    <mergeCell ref="N191:N194"/>
    <mergeCell ref="O191:O194"/>
    <mergeCell ref="P191:P194"/>
    <mergeCell ref="Q191:Q194"/>
    <mergeCell ref="R191:R194"/>
    <mergeCell ref="S191:S194"/>
    <mergeCell ref="X109:AR109"/>
    <mergeCell ref="P51:P53"/>
    <mergeCell ref="Q51:Q53"/>
    <mergeCell ref="I51:I53"/>
    <mergeCell ref="J51:J53"/>
    <mergeCell ref="K51:K53"/>
    <mergeCell ref="L51:L53"/>
    <mergeCell ref="M51:M53"/>
    <mergeCell ref="N51:N53"/>
    <mergeCell ref="O51:O53"/>
    <mergeCell ref="M83:M86"/>
    <mergeCell ref="N83:N86"/>
    <mergeCell ref="O83:O86"/>
    <mergeCell ref="P83:P86"/>
    <mergeCell ref="Q83:Q86"/>
    <mergeCell ref="F83:F86"/>
    <mergeCell ref="G83:G86"/>
    <mergeCell ref="H83:H86"/>
    <mergeCell ref="I83:I86"/>
    <mergeCell ref="J83:J86"/>
    <mergeCell ref="K83:K86"/>
    <mergeCell ref="L83:L86"/>
    <mergeCell ref="K105:K107"/>
    <mergeCell ref="L105:L107"/>
    <mergeCell ref="M105:M107"/>
    <mergeCell ref="N105:N107"/>
    <mergeCell ref="O105:O107"/>
    <mergeCell ref="P105:P107"/>
    <mergeCell ref="Q105:Q107"/>
    <mergeCell ref="F105:F107"/>
    <mergeCell ref="G105:G107"/>
    <mergeCell ref="H105:H107"/>
    <mergeCell ref="X37:AR37"/>
    <mergeCell ref="X46:AR46"/>
    <mergeCell ref="X64:AR64"/>
    <mergeCell ref="X73:AR73"/>
    <mergeCell ref="D81:V81"/>
    <mergeCell ref="D82:V82"/>
    <mergeCell ref="X82:AR82"/>
    <mergeCell ref="R83:R86"/>
    <mergeCell ref="S83:S86"/>
    <mergeCell ref="T83:T86"/>
    <mergeCell ref="U83:U86"/>
    <mergeCell ref="V83:V86"/>
    <mergeCell ref="R105:R107"/>
    <mergeCell ref="S105:S107"/>
    <mergeCell ref="T105:T107"/>
    <mergeCell ref="U105:U107"/>
    <mergeCell ref="V105:V107"/>
    <mergeCell ref="D105:D107"/>
    <mergeCell ref="E105:E107"/>
    <mergeCell ref="I105:I107"/>
    <mergeCell ref="J105:J107"/>
    <mergeCell ref="D51:D53"/>
    <mergeCell ref="E51:E53"/>
    <mergeCell ref="F51:F53"/>
    <mergeCell ref="G51:G53"/>
    <mergeCell ref="H51:H53"/>
    <mergeCell ref="X91:AR91"/>
    <mergeCell ref="X100:AR100"/>
    <mergeCell ref="R51:R53"/>
    <mergeCell ref="S51:S53"/>
    <mergeCell ref="R78:R80"/>
    <mergeCell ref="S78:S80"/>
    <mergeCell ref="T78:T80"/>
    <mergeCell ref="U78:U80"/>
    <mergeCell ref="V78:V80"/>
    <mergeCell ref="T51:T53"/>
    <mergeCell ref="U51:U53"/>
    <mergeCell ref="V56:V59"/>
    <mergeCell ref="V51:V53"/>
    <mergeCell ref="A54:C54"/>
    <mergeCell ref="D54:V54"/>
    <mergeCell ref="A55:C55"/>
    <mergeCell ref="D55:V55"/>
    <mergeCell ref="A1:C1"/>
    <mergeCell ref="A56:A80"/>
    <mergeCell ref="B56:B59"/>
    <mergeCell ref="C56:C59"/>
    <mergeCell ref="B78:B80"/>
    <mergeCell ref="C78:C80"/>
    <mergeCell ref="F56:F59"/>
    <mergeCell ref="G56:G59"/>
    <mergeCell ref="D56:D59"/>
    <mergeCell ref="E56:E59"/>
    <mergeCell ref="D78:D80"/>
    <mergeCell ref="E78:E80"/>
    <mergeCell ref="F78:F80"/>
    <mergeCell ref="G78:G80"/>
    <mergeCell ref="H78:H80"/>
    <mergeCell ref="C2:C5"/>
    <mergeCell ref="D2:D5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P78:P80"/>
    <mergeCell ref="Q78:Q80"/>
    <mergeCell ref="I78:I80"/>
    <mergeCell ref="J78:J80"/>
    <mergeCell ref="K78:K80"/>
    <mergeCell ref="L78:L80"/>
    <mergeCell ref="M78:M80"/>
    <mergeCell ref="N78:N80"/>
    <mergeCell ref="O78:O80"/>
    <mergeCell ref="A702:C702"/>
    <mergeCell ref="A703:C703"/>
    <mergeCell ref="A704:A728"/>
    <mergeCell ref="B704:B707"/>
    <mergeCell ref="C704:C707"/>
    <mergeCell ref="B726:B728"/>
    <mergeCell ref="C726:C728"/>
    <mergeCell ref="A729:C729"/>
    <mergeCell ref="A730:C730"/>
    <mergeCell ref="A731:A755"/>
    <mergeCell ref="B731:B734"/>
    <mergeCell ref="C731:C734"/>
    <mergeCell ref="B753:B755"/>
    <mergeCell ref="C753:C755"/>
    <mergeCell ref="H56:H59"/>
    <mergeCell ref="I56:I59"/>
    <mergeCell ref="J56:J59"/>
    <mergeCell ref="D108:V108"/>
    <mergeCell ref="D109:V109"/>
    <mergeCell ref="A108:C108"/>
    <mergeCell ref="A109:C109"/>
    <mergeCell ref="N186:N188"/>
    <mergeCell ref="O186:O188"/>
    <mergeCell ref="P186:P188"/>
    <mergeCell ref="Q186:Q188"/>
    <mergeCell ref="R186:R188"/>
    <mergeCell ref="S186:S188"/>
    <mergeCell ref="T186:T188"/>
    <mergeCell ref="U186:U188"/>
    <mergeCell ref="V186:V188"/>
    <mergeCell ref="D189:V189"/>
    <mergeCell ref="D190:V190"/>
    <mergeCell ref="A621:C621"/>
    <mergeCell ref="A622:C622"/>
    <mergeCell ref="A623:A647"/>
    <mergeCell ref="B623:B626"/>
    <mergeCell ref="C623:C626"/>
    <mergeCell ref="B645:B647"/>
    <mergeCell ref="C645:C647"/>
    <mergeCell ref="A648:C648"/>
    <mergeCell ref="A649:C649"/>
    <mergeCell ref="A650:A674"/>
    <mergeCell ref="B650:B653"/>
    <mergeCell ref="C650:C653"/>
    <mergeCell ref="B672:B674"/>
    <mergeCell ref="C672:C674"/>
    <mergeCell ref="A675:C675"/>
    <mergeCell ref="A676:C676"/>
    <mergeCell ref="A677:A701"/>
    <mergeCell ref="B677:B680"/>
    <mergeCell ref="C677:C680"/>
    <mergeCell ref="B699:B701"/>
    <mergeCell ref="C699:C701"/>
    <mergeCell ref="A540:C540"/>
    <mergeCell ref="A541:C541"/>
    <mergeCell ref="A542:A566"/>
    <mergeCell ref="B542:B545"/>
    <mergeCell ref="C542:C545"/>
    <mergeCell ref="B564:B566"/>
    <mergeCell ref="C564:C566"/>
    <mergeCell ref="A567:C567"/>
    <mergeCell ref="A568:C568"/>
    <mergeCell ref="A569:A593"/>
    <mergeCell ref="B569:B572"/>
    <mergeCell ref="C569:C572"/>
    <mergeCell ref="B591:B593"/>
    <mergeCell ref="C591:C593"/>
    <mergeCell ref="A594:C594"/>
    <mergeCell ref="A595:C595"/>
    <mergeCell ref="A596:A620"/>
    <mergeCell ref="B596:B599"/>
    <mergeCell ref="C596:C599"/>
    <mergeCell ref="B618:B620"/>
    <mergeCell ref="C618:C620"/>
    <mergeCell ref="A459:C459"/>
    <mergeCell ref="A460:C460"/>
    <mergeCell ref="A461:A485"/>
    <mergeCell ref="B461:B464"/>
    <mergeCell ref="C461:C464"/>
    <mergeCell ref="B483:B485"/>
    <mergeCell ref="C483:C485"/>
    <mergeCell ref="A486:C486"/>
    <mergeCell ref="A487:C487"/>
    <mergeCell ref="A488:A512"/>
    <mergeCell ref="B488:B491"/>
    <mergeCell ref="C488:C491"/>
    <mergeCell ref="B510:B512"/>
    <mergeCell ref="C510:C512"/>
    <mergeCell ref="A513:C513"/>
    <mergeCell ref="A514:C514"/>
    <mergeCell ref="A515:A539"/>
    <mergeCell ref="B515:B518"/>
    <mergeCell ref="C515:C518"/>
    <mergeCell ref="B537:B539"/>
    <mergeCell ref="C537:C539"/>
    <mergeCell ref="G429:G431"/>
    <mergeCell ref="H429:H431"/>
    <mergeCell ref="I429:I431"/>
    <mergeCell ref="J429:J431"/>
    <mergeCell ref="A405:C405"/>
    <mergeCell ref="A406:C406"/>
    <mergeCell ref="A407:A431"/>
    <mergeCell ref="B407:B410"/>
    <mergeCell ref="C407:C410"/>
    <mergeCell ref="B429:B431"/>
    <mergeCell ref="C429:C431"/>
    <mergeCell ref="F434:F437"/>
    <mergeCell ref="G434:G437"/>
    <mergeCell ref="H434:H437"/>
    <mergeCell ref="I434:I437"/>
    <mergeCell ref="J434:J437"/>
    <mergeCell ref="B456:B458"/>
    <mergeCell ref="C456:C458"/>
    <mergeCell ref="D456:D458"/>
    <mergeCell ref="E456:E458"/>
    <mergeCell ref="F456:F458"/>
    <mergeCell ref="G456:G458"/>
    <mergeCell ref="H456:H458"/>
    <mergeCell ref="I456:I458"/>
    <mergeCell ref="J456:J458"/>
    <mergeCell ref="A432:C432"/>
    <mergeCell ref="A433:C433"/>
    <mergeCell ref="A434:A458"/>
    <mergeCell ref="B434:B437"/>
    <mergeCell ref="C434:C437"/>
    <mergeCell ref="D434:D437"/>
    <mergeCell ref="E434:E437"/>
    <mergeCell ref="G353:G356"/>
    <mergeCell ref="H353:H356"/>
    <mergeCell ref="D375:D377"/>
    <mergeCell ref="E375:E377"/>
    <mergeCell ref="F375:F377"/>
    <mergeCell ref="G375:G377"/>
    <mergeCell ref="H375:H377"/>
    <mergeCell ref="I375:I377"/>
    <mergeCell ref="J375:J377"/>
    <mergeCell ref="A351:C351"/>
    <mergeCell ref="A352:C352"/>
    <mergeCell ref="A353:A377"/>
    <mergeCell ref="B353:B356"/>
    <mergeCell ref="C353:C356"/>
    <mergeCell ref="B375:B377"/>
    <mergeCell ref="C375:C377"/>
    <mergeCell ref="F380:F383"/>
    <mergeCell ref="G380:G383"/>
    <mergeCell ref="H380:H383"/>
    <mergeCell ref="I380:I383"/>
    <mergeCell ref="J380:J383"/>
    <mergeCell ref="A378:C378"/>
    <mergeCell ref="A379:C379"/>
    <mergeCell ref="A380:A404"/>
    <mergeCell ref="B380:B383"/>
    <mergeCell ref="C380:C383"/>
    <mergeCell ref="D380:D383"/>
    <mergeCell ref="E380:E383"/>
    <mergeCell ref="B402:B404"/>
    <mergeCell ref="C402:C404"/>
    <mergeCell ref="F326:F329"/>
    <mergeCell ref="G326:G329"/>
    <mergeCell ref="H326:H329"/>
    <mergeCell ref="I326:I329"/>
    <mergeCell ref="J326:J329"/>
    <mergeCell ref="D348:D350"/>
    <mergeCell ref="E348:E350"/>
    <mergeCell ref="F348:F350"/>
    <mergeCell ref="G348:G350"/>
    <mergeCell ref="H348:H350"/>
    <mergeCell ref="I348:I350"/>
    <mergeCell ref="J348:J350"/>
    <mergeCell ref="A324:C324"/>
    <mergeCell ref="A325:C325"/>
    <mergeCell ref="A326:A350"/>
    <mergeCell ref="B326:B329"/>
    <mergeCell ref="C326:C329"/>
    <mergeCell ref="D326:D329"/>
    <mergeCell ref="E326:E329"/>
    <mergeCell ref="B348:B350"/>
    <mergeCell ref="C348:C350"/>
    <mergeCell ref="D324:V324"/>
    <mergeCell ref="D325:V325"/>
    <mergeCell ref="Q326:Q329"/>
    <mergeCell ref="R326:R329"/>
    <mergeCell ref="S326:S329"/>
    <mergeCell ref="T326:T329"/>
    <mergeCell ref="U326:U329"/>
    <mergeCell ref="V326:V329"/>
    <mergeCell ref="I299:I302"/>
    <mergeCell ref="J299:J302"/>
    <mergeCell ref="B294:B296"/>
    <mergeCell ref="C294:C296"/>
    <mergeCell ref="D299:D302"/>
    <mergeCell ref="E299:E302"/>
    <mergeCell ref="F299:F302"/>
    <mergeCell ref="G299:G302"/>
    <mergeCell ref="H299:H302"/>
    <mergeCell ref="D321:D323"/>
    <mergeCell ref="E321:E323"/>
    <mergeCell ref="F321:F323"/>
    <mergeCell ref="G321:G323"/>
    <mergeCell ref="H321:H323"/>
    <mergeCell ref="I321:I323"/>
    <mergeCell ref="J321:J323"/>
    <mergeCell ref="A297:C297"/>
    <mergeCell ref="A298:C298"/>
    <mergeCell ref="A299:A323"/>
    <mergeCell ref="B299:B302"/>
    <mergeCell ref="C299:C302"/>
    <mergeCell ref="B321:B323"/>
    <mergeCell ref="C321:C323"/>
    <mergeCell ref="D297:V297"/>
    <mergeCell ref="D298:V298"/>
    <mergeCell ref="Q299:Q302"/>
    <mergeCell ref="R299:R302"/>
    <mergeCell ref="S299:S302"/>
    <mergeCell ref="T299:T302"/>
    <mergeCell ref="U299:U302"/>
    <mergeCell ref="V299:V302"/>
    <mergeCell ref="F272:F275"/>
    <mergeCell ref="G272:G275"/>
    <mergeCell ref="H272:H275"/>
    <mergeCell ref="I272:I275"/>
    <mergeCell ref="J272:J275"/>
    <mergeCell ref="D294:D296"/>
    <mergeCell ref="E294:E296"/>
    <mergeCell ref="F294:F296"/>
    <mergeCell ref="G294:G296"/>
    <mergeCell ref="H294:H296"/>
    <mergeCell ref="I294:I296"/>
    <mergeCell ref="J294:J296"/>
    <mergeCell ref="A270:C270"/>
    <mergeCell ref="A271:C271"/>
    <mergeCell ref="A272:A296"/>
    <mergeCell ref="B272:B275"/>
    <mergeCell ref="C272:C275"/>
    <mergeCell ref="D272:D275"/>
    <mergeCell ref="E272:E275"/>
    <mergeCell ref="D270:V270"/>
    <mergeCell ref="D271:V271"/>
    <mergeCell ref="Q272:Q275"/>
    <mergeCell ref="R272:R275"/>
    <mergeCell ref="S272:S275"/>
    <mergeCell ref="T272:T275"/>
    <mergeCell ref="U272:U275"/>
    <mergeCell ref="V272:V275"/>
    <mergeCell ref="I245:I248"/>
    <mergeCell ref="J245:J248"/>
    <mergeCell ref="B240:B242"/>
    <mergeCell ref="C240:C242"/>
    <mergeCell ref="D245:D248"/>
    <mergeCell ref="E245:E248"/>
    <mergeCell ref="F245:F248"/>
    <mergeCell ref="G245:G248"/>
    <mergeCell ref="H245:H248"/>
    <mergeCell ref="D267:D269"/>
    <mergeCell ref="E267:E269"/>
    <mergeCell ref="F267:F269"/>
    <mergeCell ref="G267:G269"/>
    <mergeCell ref="H267:H269"/>
    <mergeCell ref="I267:I269"/>
    <mergeCell ref="J267:J269"/>
    <mergeCell ref="A243:C243"/>
    <mergeCell ref="A244:C244"/>
    <mergeCell ref="A245:A269"/>
    <mergeCell ref="B245:B248"/>
    <mergeCell ref="C245:C248"/>
    <mergeCell ref="B267:B269"/>
    <mergeCell ref="C267:C269"/>
    <mergeCell ref="D243:V243"/>
    <mergeCell ref="D244:V244"/>
    <mergeCell ref="Q245:Q248"/>
    <mergeCell ref="R245:R248"/>
    <mergeCell ref="S245:S248"/>
    <mergeCell ref="T245:T248"/>
    <mergeCell ref="U245:U248"/>
    <mergeCell ref="V245:V248"/>
    <mergeCell ref="I213:I215"/>
    <mergeCell ref="J213:J215"/>
    <mergeCell ref="A189:C189"/>
    <mergeCell ref="A190:C190"/>
    <mergeCell ref="A191:A215"/>
    <mergeCell ref="B191:B194"/>
    <mergeCell ref="C191:C194"/>
    <mergeCell ref="B213:B215"/>
    <mergeCell ref="C213:C215"/>
    <mergeCell ref="F218:F221"/>
    <mergeCell ref="G218:G221"/>
    <mergeCell ref="A216:C216"/>
    <mergeCell ref="A217:C217"/>
    <mergeCell ref="A218:A242"/>
    <mergeCell ref="B218:B221"/>
    <mergeCell ref="C218:C221"/>
    <mergeCell ref="D218:D221"/>
    <mergeCell ref="E218:E221"/>
    <mergeCell ref="H218:H221"/>
    <mergeCell ref="I218:I221"/>
    <mergeCell ref="J218:J221"/>
    <mergeCell ref="A137:A161"/>
    <mergeCell ref="B137:B140"/>
    <mergeCell ref="C137:C140"/>
    <mergeCell ref="B159:B161"/>
    <mergeCell ref="C159:C161"/>
    <mergeCell ref="A162:C162"/>
    <mergeCell ref="A163:C163"/>
    <mergeCell ref="A164:A188"/>
    <mergeCell ref="B164:B167"/>
    <mergeCell ref="C164:C167"/>
    <mergeCell ref="B186:B188"/>
    <mergeCell ref="C186:C188"/>
    <mergeCell ref="D213:D215"/>
    <mergeCell ref="E213:E215"/>
    <mergeCell ref="F213:F215"/>
    <mergeCell ref="G213:G215"/>
    <mergeCell ref="H213:H215"/>
    <mergeCell ref="D861:D863"/>
    <mergeCell ref="E861:E863"/>
    <mergeCell ref="F861:F863"/>
    <mergeCell ref="G861:G863"/>
    <mergeCell ref="H861:H863"/>
    <mergeCell ref="A864:C864"/>
    <mergeCell ref="A865:C912"/>
    <mergeCell ref="B834:B836"/>
    <mergeCell ref="C834:C836"/>
    <mergeCell ref="A837:C837"/>
    <mergeCell ref="A838:C838"/>
    <mergeCell ref="A839:A863"/>
    <mergeCell ref="B839:B842"/>
    <mergeCell ref="C839:C842"/>
    <mergeCell ref="A81:C81"/>
    <mergeCell ref="A82:C82"/>
    <mergeCell ref="A83:A107"/>
    <mergeCell ref="B83:B86"/>
    <mergeCell ref="C83:C86"/>
    <mergeCell ref="D83:D86"/>
    <mergeCell ref="E83:E86"/>
    <mergeCell ref="D132:D134"/>
    <mergeCell ref="E132:E134"/>
    <mergeCell ref="B105:B107"/>
    <mergeCell ref="C105:C107"/>
    <mergeCell ref="A110:A134"/>
    <mergeCell ref="B110:B113"/>
    <mergeCell ref="C110:C113"/>
    <mergeCell ref="B132:B134"/>
    <mergeCell ref="C132:C134"/>
    <mergeCell ref="A135:C135"/>
    <mergeCell ref="A136:C136"/>
    <mergeCell ref="K861:K863"/>
    <mergeCell ref="L861:L863"/>
    <mergeCell ref="M861:M863"/>
    <mergeCell ref="N861:N863"/>
    <mergeCell ref="O861:O863"/>
    <mergeCell ref="D865:P867"/>
    <mergeCell ref="H812:H815"/>
    <mergeCell ref="I812:I815"/>
    <mergeCell ref="J812:J815"/>
    <mergeCell ref="F834:F836"/>
    <mergeCell ref="G834:G836"/>
    <mergeCell ref="H834:H836"/>
    <mergeCell ref="I834:I836"/>
    <mergeCell ref="J834:J836"/>
    <mergeCell ref="A812:A836"/>
    <mergeCell ref="B812:B815"/>
    <mergeCell ref="C812:C815"/>
    <mergeCell ref="D812:D815"/>
    <mergeCell ref="E812:E815"/>
    <mergeCell ref="F812:F815"/>
    <mergeCell ref="G812:G815"/>
    <mergeCell ref="I839:I842"/>
    <mergeCell ref="J839:J842"/>
    <mergeCell ref="D834:D836"/>
    <mergeCell ref="E834:E836"/>
    <mergeCell ref="D839:D842"/>
    <mergeCell ref="E839:E842"/>
    <mergeCell ref="F839:F842"/>
    <mergeCell ref="G839:G842"/>
    <mergeCell ref="H839:H842"/>
    <mergeCell ref="B861:B863"/>
    <mergeCell ref="C861:C863"/>
    <mergeCell ref="T753:T755"/>
    <mergeCell ref="U753:U755"/>
    <mergeCell ref="V758:V761"/>
    <mergeCell ref="V753:V755"/>
    <mergeCell ref="D756:V756"/>
    <mergeCell ref="D757:V757"/>
    <mergeCell ref="X757:AR757"/>
    <mergeCell ref="D758:D761"/>
    <mergeCell ref="E758:E761"/>
    <mergeCell ref="F758:F761"/>
    <mergeCell ref="G758:G761"/>
    <mergeCell ref="H758:H761"/>
    <mergeCell ref="I758:I761"/>
    <mergeCell ref="J758:J761"/>
    <mergeCell ref="K758:K761"/>
    <mergeCell ref="L758:L761"/>
    <mergeCell ref="M758:M761"/>
    <mergeCell ref="N758:N761"/>
    <mergeCell ref="O758:O761"/>
    <mergeCell ref="P758:P761"/>
    <mergeCell ref="Q758:Q761"/>
    <mergeCell ref="R758:R761"/>
    <mergeCell ref="S758:S761"/>
    <mergeCell ref="T758:T761"/>
    <mergeCell ref="U758:U761"/>
    <mergeCell ref="X658:AR658"/>
    <mergeCell ref="X667:AR667"/>
    <mergeCell ref="D672:D674"/>
    <mergeCell ref="E672:E674"/>
    <mergeCell ref="F672:F674"/>
    <mergeCell ref="G672:G674"/>
    <mergeCell ref="H672:H674"/>
    <mergeCell ref="I672:I674"/>
    <mergeCell ref="J672:J674"/>
    <mergeCell ref="K672:K674"/>
    <mergeCell ref="L672:L674"/>
    <mergeCell ref="M672:M674"/>
    <mergeCell ref="N672:N674"/>
    <mergeCell ref="O672:O674"/>
    <mergeCell ref="X685:AR685"/>
    <mergeCell ref="X694:AR694"/>
    <mergeCell ref="D699:D701"/>
    <mergeCell ref="E699:E701"/>
    <mergeCell ref="F699:F701"/>
    <mergeCell ref="G699:G701"/>
    <mergeCell ref="H699:H701"/>
    <mergeCell ref="I699:I701"/>
    <mergeCell ref="J699:J701"/>
    <mergeCell ref="K699:K701"/>
    <mergeCell ref="L699:L701"/>
    <mergeCell ref="M699:M701"/>
    <mergeCell ref="N699:N701"/>
    <mergeCell ref="O699:O701"/>
    <mergeCell ref="V650:V653"/>
    <mergeCell ref="V645:V647"/>
    <mergeCell ref="D648:V648"/>
    <mergeCell ref="D649:V649"/>
    <mergeCell ref="X649:AR649"/>
    <mergeCell ref="D650:D653"/>
    <mergeCell ref="E650:E653"/>
    <mergeCell ref="F650:F653"/>
    <mergeCell ref="G650:G653"/>
    <mergeCell ref="H650:H653"/>
    <mergeCell ref="I650:I653"/>
    <mergeCell ref="J650:J653"/>
    <mergeCell ref="K650:K653"/>
    <mergeCell ref="L650:L653"/>
    <mergeCell ref="M650:M653"/>
    <mergeCell ref="N650:N653"/>
    <mergeCell ref="O650:O653"/>
    <mergeCell ref="P650:P653"/>
    <mergeCell ref="Q650:Q653"/>
    <mergeCell ref="R650:R653"/>
    <mergeCell ref="S650:S653"/>
    <mergeCell ref="T650:T653"/>
    <mergeCell ref="U650:U653"/>
    <mergeCell ref="X631:AR631"/>
    <mergeCell ref="X640:AR640"/>
    <mergeCell ref="D645:D647"/>
    <mergeCell ref="E645:E647"/>
    <mergeCell ref="F645:F647"/>
    <mergeCell ref="G645:G647"/>
    <mergeCell ref="H645:H647"/>
    <mergeCell ref="I645:I647"/>
    <mergeCell ref="J645:J647"/>
    <mergeCell ref="K645:K647"/>
    <mergeCell ref="L645:L647"/>
    <mergeCell ref="M645:M647"/>
    <mergeCell ref="N645:N647"/>
    <mergeCell ref="O645:O647"/>
    <mergeCell ref="P645:P647"/>
    <mergeCell ref="Q645:Q647"/>
    <mergeCell ref="R645:R647"/>
    <mergeCell ref="S645:S647"/>
    <mergeCell ref="T645:T647"/>
    <mergeCell ref="U645:U647"/>
    <mergeCell ref="T618:T620"/>
    <mergeCell ref="U618:U620"/>
    <mergeCell ref="V623:V626"/>
    <mergeCell ref="V618:V620"/>
    <mergeCell ref="D621:V621"/>
    <mergeCell ref="D622:V622"/>
    <mergeCell ref="X622:AR622"/>
    <mergeCell ref="D623:D626"/>
    <mergeCell ref="E623:E626"/>
    <mergeCell ref="F623:F626"/>
    <mergeCell ref="G623:G626"/>
    <mergeCell ref="H623:H626"/>
    <mergeCell ref="I623:I626"/>
    <mergeCell ref="J623:J626"/>
    <mergeCell ref="K623:K626"/>
    <mergeCell ref="L623:L626"/>
    <mergeCell ref="M623:M626"/>
    <mergeCell ref="N623:N626"/>
    <mergeCell ref="O623:O626"/>
    <mergeCell ref="P623:P626"/>
    <mergeCell ref="Q623:Q626"/>
    <mergeCell ref="R623:R626"/>
    <mergeCell ref="S623:S626"/>
    <mergeCell ref="T623:T626"/>
    <mergeCell ref="U623:U626"/>
    <mergeCell ref="P672:P674"/>
    <mergeCell ref="Q672:Q674"/>
    <mergeCell ref="R672:R674"/>
    <mergeCell ref="S672:S674"/>
    <mergeCell ref="T672:T674"/>
    <mergeCell ref="U672:U674"/>
    <mergeCell ref="V677:V680"/>
    <mergeCell ref="V672:V674"/>
    <mergeCell ref="D675:V675"/>
    <mergeCell ref="D676:V676"/>
    <mergeCell ref="X676:AR676"/>
    <mergeCell ref="D677:D680"/>
    <mergeCell ref="E677:E680"/>
    <mergeCell ref="F677:F680"/>
    <mergeCell ref="G677:G680"/>
    <mergeCell ref="H677:H680"/>
    <mergeCell ref="I677:I680"/>
    <mergeCell ref="J677:J680"/>
    <mergeCell ref="K677:K680"/>
    <mergeCell ref="L677:L680"/>
    <mergeCell ref="M677:M680"/>
    <mergeCell ref="N677:N680"/>
    <mergeCell ref="O677:O680"/>
    <mergeCell ref="P677:P680"/>
    <mergeCell ref="Q677:Q680"/>
    <mergeCell ref="R677:R680"/>
    <mergeCell ref="S677:S680"/>
    <mergeCell ref="T677:T680"/>
    <mergeCell ref="U677:U680"/>
    <mergeCell ref="X577:AR577"/>
    <mergeCell ref="X586:AR586"/>
    <mergeCell ref="D591:D593"/>
    <mergeCell ref="E591:E593"/>
    <mergeCell ref="F591:F593"/>
    <mergeCell ref="G591:G593"/>
    <mergeCell ref="H591:H593"/>
    <mergeCell ref="I591:I593"/>
    <mergeCell ref="J591:J593"/>
    <mergeCell ref="K591:K593"/>
    <mergeCell ref="L591:L593"/>
    <mergeCell ref="M591:M593"/>
    <mergeCell ref="N591:N593"/>
    <mergeCell ref="O591:O593"/>
    <mergeCell ref="X604:AR604"/>
    <mergeCell ref="X613:AR613"/>
    <mergeCell ref="D618:D620"/>
    <mergeCell ref="E618:E620"/>
    <mergeCell ref="F618:F620"/>
    <mergeCell ref="G618:G620"/>
    <mergeCell ref="H618:H620"/>
    <mergeCell ref="I618:I620"/>
    <mergeCell ref="J618:J620"/>
    <mergeCell ref="K618:K620"/>
    <mergeCell ref="L618:L620"/>
    <mergeCell ref="M618:M620"/>
    <mergeCell ref="N618:N620"/>
    <mergeCell ref="O618:O620"/>
    <mergeCell ref="P618:P620"/>
    <mergeCell ref="Q618:Q620"/>
    <mergeCell ref="R618:R620"/>
    <mergeCell ref="S618:S620"/>
    <mergeCell ref="V569:V572"/>
    <mergeCell ref="V564:V566"/>
    <mergeCell ref="D567:V567"/>
    <mergeCell ref="D568:V568"/>
    <mergeCell ref="X568:AR568"/>
    <mergeCell ref="D569:D572"/>
    <mergeCell ref="E569:E572"/>
    <mergeCell ref="F569:F572"/>
    <mergeCell ref="G569:G572"/>
    <mergeCell ref="H569:H572"/>
    <mergeCell ref="I569:I572"/>
    <mergeCell ref="J569:J572"/>
    <mergeCell ref="K569:K572"/>
    <mergeCell ref="L569:L572"/>
    <mergeCell ref="M569:M572"/>
    <mergeCell ref="N569:N572"/>
    <mergeCell ref="O569:O572"/>
    <mergeCell ref="P569:P572"/>
    <mergeCell ref="Q569:Q572"/>
    <mergeCell ref="R569:R572"/>
    <mergeCell ref="S569:S572"/>
    <mergeCell ref="T569:T572"/>
    <mergeCell ref="U569:U572"/>
    <mergeCell ref="X550:AR550"/>
    <mergeCell ref="X559:AR559"/>
    <mergeCell ref="D564:D566"/>
    <mergeCell ref="E564:E566"/>
    <mergeCell ref="F564:F566"/>
    <mergeCell ref="G564:G566"/>
    <mergeCell ref="H564:H566"/>
    <mergeCell ref="I564:I566"/>
    <mergeCell ref="J564:J566"/>
    <mergeCell ref="K564:K566"/>
    <mergeCell ref="L564:L566"/>
    <mergeCell ref="M564:M566"/>
    <mergeCell ref="N564:N566"/>
    <mergeCell ref="O564:O566"/>
    <mergeCell ref="P564:P566"/>
    <mergeCell ref="Q564:Q566"/>
    <mergeCell ref="R564:R566"/>
    <mergeCell ref="S564:S566"/>
    <mergeCell ref="T564:T566"/>
    <mergeCell ref="U564:U566"/>
    <mergeCell ref="L537:L539"/>
    <mergeCell ref="M537:M539"/>
    <mergeCell ref="N537:N539"/>
    <mergeCell ref="O537:O539"/>
    <mergeCell ref="P537:P539"/>
    <mergeCell ref="Q537:Q539"/>
    <mergeCell ref="R537:R539"/>
    <mergeCell ref="S537:S539"/>
    <mergeCell ref="T537:T539"/>
    <mergeCell ref="U537:U539"/>
    <mergeCell ref="D540:V540"/>
    <mergeCell ref="D541:V541"/>
    <mergeCell ref="X541:AR541"/>
    <mergeCell ref="D542:D545"/>
    <mergeCell ref="S542:S545"/>
    <mergeCell ref="T542:T545"/>
    <mergeCell ref="U542:U545"/>
    <mergeCell ref="V542:V545"/>
    <mergeCell ref="E542:E545"/>
    <mergeCell ref="F542:F545"/>
    <mergeCell ref="G542:G545"/>
    <mergeCell ref="H542:H545"/>
    <mergeCell ref="I542:I545"/>
    <mergeCell ref="J542:J545"/>
    <mergeCell ref="K542:K545"/>
    <mergeCell ref="L542:L545"/>
    <mergeCell ref="M542:M545"/>
    <mergeCell ref="N542:N545"/>
    <mergeCell ref="O542:O545"/>
    <mergeCell ref="P542:P545"/>
    <mergeCell ref="Q542:Q545"/>
    <mergeCell ref="R542:R545"/>
    <mergeCell ref="X523:AR523"/>
    <mergeCell ref="J537:J539"/>
    <mergeCell ref="K537:K539"/>
    <mergeCell ref="P591:P593"/>
    <mergeCell ref="Q591:Q593"/>
    <mergeCell ref="R591:R593"/>
    <mergeCell ref="S591:S593"/>
    <mergeCell ref="T591:T593"/>
    <mergeCell ref="U591:U593"/>
    <mergeCell ref="V596:V599"/>
    <mergeCell ref="V591:V593"/>
    <mergeCell ref="D594:V594"/>
    <mergeCell ref="D595:V595"/>
    <mergeCell ref="X595:AR595"/>
    <mergeCell ref="D596:D599"/>
    <mergeCell ref="E596:E599"/>
    <mergeCell ref="F596:F599"/>
    <mergeCell ref="G596:G599"/>
    <mergeCell ref="H596:H599"/>
    <mergeCell ref="I596:I599"/>
    <mergeCell ref="J596:J599"/>
    <mergeCell ref="K596:K599"/>
    <mergeCell ref="L596:L599"/>
    <mergeCell ref="M596:M599"/>
    <mergeCell ref="N596:N599"/>
    <mergeCell ref="O596:O599"/>
    <mergeCell ref="P596:P599"/>
    <mergeCell ref="Q596:Q599"/>
    <mergeCell ref="R596:R599"/>
    <mergeCell ref="S596:S599"/>
    <mergeCell ref="T596:T599"/>
    <mergeCell ref="U596:U599"/>
    <mergeCell ref="D513:V513"/>
    <mergeCell ref="D514:V514"/>
    <mergeCell ref="J515:J518"/>
    <mergeCell ref="K515:K518"/>
    <mergeCell ref="X514:AR514"/>
    <mergeCell ref="D515:D518"/>
    <mergeCell ref="E515:E518"/>
    <mergeCell ref="F515:F518"/>
    <mergeCell ref="G515:G518"/>
    <mergeCell ref="H515:H518"/>
    <mergeCell ref="I515:I518"/>
    <mergeCell ref="L515:L518"/>
    <mergeCell ref="M515:M518"/>
    <mergeCell ref="X505:AR505"/>
    <mergeCell ref="D510:D512"/>
    <mergeCell ref="E510:E512"/>
    <mergeCell ref="F510:F512"/>
    <mergeCell ref="G510:G512"/>
    <mergeCell ref="H510:H512"/>
    <mergeCell ref="I510:I512"/>
    <mergeCell ref="V510:V512"/>
    <mergeCell ref="N515:N518"/>
    <mergeCell ref="O515:O518"/>
    <mergeCell ref="P515:P518"/>
    <mergeCell ref="Q515:Q518"/>
    <mergeCell ref="R515:R518"/>
    <mergeCell ref="S515:S518"/>
    <mergeCell ref="T515:T518"/>
    <mergeCell ref="U515:U518"/>
    <mergeCell ref="V515:V518"/>
    <mergeCell ref="D483:D485"/>
    <mergeCell ref="E483:E485"/>
    <mergeCell ref="F483:F485"/>
    <mergeCell ref="G483:G485"/>
    <mergeCell ref="H483:H485"/>
    <mergeCell ref="I483:I485"/>
    <mergeCell ref="V483:V485"/>
    <mergeCell ref="R488:R491"/>
    <mergeCell ref="S488:S491"/>
    <mergeCell ref="T488:T491"/>
    <mergeCell ref="U488:U491"/>
    <mergeCell ref="V488:V491"/>
    <mergeCell ref="X496:AR496"/>
    <mergeCell ref="J510:J512"/>
    <mergeCell ref="K510:K512"/>
    <mergeCell ref="L510:L512"/>
    <mergeCell ref="M510:M512"/>
    <mergeCell ref="N510:N512"/>
    <mergeCell ref="O510:O512"/>
    <mergeCell ref="P510:P512"/>
    <mergeCell ref="Q510:Q512"/>
    <mergeCell ref="R510:R512"/>
    <mergeCell ref="S510:S512"/>
    <mergeCell ref="T510:T512"/>
    <mergeCell ref="U510:U512"/>
    <mergeCell ref="D486:V486"/>
    <mergeCell ref="D487:V487"/>
    <mergeCell ref="J488:J491"/>
    <mergeCell ref="K488:K491"/>
    <mergeCell ref="L488:L491"/>
    <mergeCell ref="M488:M491"/>
    <mergeCell ref="N488:N491"/>
    <mergeCell ref="O488:O491"/>
    <mergeCell ref="X487:AR487"/>
    <mergeCell ref="D488:D491"/>
    <mergeCell ref="E488:E491"/>
    <mergeCell ref="F488:F491"/>
    <mergeCell ref="G488:G491"/>
    <mergeCell ref="H488:H491"/>
    <mergeCell ref="I488:I491"/>
    <mergeCell ref="P488:P491"/>
    <mergeCell ref="Q488:Q491"/>
    <mergeCell ref="I461:I464"/>
    <mergeCell ref="T461:T464"/>
    <mergeCell ref="U461:U464"/>
    <mergeCell ref="X397:AR397"/>
    <mergeCell ref="K402:K404"/>
    <mergeCell ref="L402:L404"/>
    <mergeCell ref="M402:M404"/>
    <mergeCell ref="N402:N404"/>
    <mergeCell ref="O402:O404"/>
    <mergeCell ref="P402:P404"/>
    <mergeCell ref="V461:V464"/>
    <mergeCell ref="X469:AR469"/>
    <mergeCell ref="J483:J485"/>
    <mergeCell ref="K483:K485"/>
    <mergeCell ref="L483:L485"/>
    <mergeCell ref="M483:M485"/>
    <mergeCell ref="N483:N485"/>
    <mergeCell ref="O483:O485"/>
    <mergeCell ref="P483:P485"/>
    <mergeCell ref="Q483:Q485"/>
    <mergeCell ref="R483:R485"/>
    <mergeCell ref="S483:S485"/>
    <mergeCell ref="T483:T485"/>
    <mergeCell ref="U483:U485"/>
    <mergeCell ref="X478:AR478"/>
    <mergeCell ref="I402:I404"/>
    <mergeCell ref="J402:J404"/>
    <mergeCell ref="I407:I410"/>
    <mergeCell ref="J407:J410"/>
    <mergeCell ref="X442:AR442"/>
    <mergeCell ref="X451:AR451"/>
    <mergeCell ref="K456:K458"/>
    <mergeCell ref="L456:L458"/>
    <mergeCell ref="M456:M458"/>
    <mergeCell ref="N456:N458"/>
    <mergeCell ref="O456:O458"/>
    <mergeCell ref="P456:P458"/>
    <mergeCell ref="Q456:Q458"/>
    <mergeCell ref="R456:R458"/>
    <mergeCell ref="S456:S458"/>
    <mergeCell ref="T456:T458"/>
    <mergeCell ref="U456:U458"/>
    <mergeCell ref="V456:V458"/>
    <mergeCell ref="D459:V459"/>
    <mergeCell ref="D460:V460"/>
    <mergeCell ref="J461:J464"/>
    <mergeCell ref="K461:K464"/>
    <mergeCell ref="L461:L464"/>
    <mergeCell ref="M461:M464"/>
    <mergeCell ref="N461:N464"/>
    <mergeCell ref="O461:O464"/>
    <mergeCell ref="P461:P464"/>
    <mergeCell ref="Q461:Q464"/>
    <mergeCell ref="R461:R464"/>
    <mergeCell ref="S461:S464"/>
    <mergeCell ref="X460:AR460"/>
    <mergeCell ref="D461:D464"/>
    <mergeCell ref="E461:E464"/>
    <mergeCell ref="F461:F464"/>
    <mergeCell ref="G461:G464"/>
    <mergeCell ref="H461:H464"/>
    <mergeCell ref="X415:AR415"/>
    <mergeCell ref="X424:AR424"/>
    <mergeCell ref="K429:K431"/>
    <mergeCell ref="L429:L431"/>
    <mergeCell ref="M429:M431"/>
    <mergeCell ref="N429:N431"/>
    <mergeCell ref="O429:O431"/>
    <mergeCell ref="P429:P431"/>
    <mergeCell ref="Q429:Q431"/>
    <mergeCell ref="R429:R431"/>
    <mergeCell ref="S429:S431"/>
    <mergeCell ref="T429:T431"/>
    <mergeCell ref="U429:U431"/>
    <mergeCell ref="V429:V431"/>
    <mergeCell ref="D432:V432"/>
    <mergeCell ref="D433:V433"/>
    <mergeCell ref="Q434:Q437"/>
    <mergeCell ref="R434:R437"/>
    <mergeCell ref="S434:S437"/>
    <mergeCell ref="T434:T437"/>
    <mergeCell ref="U434:U437"/>
    <mergeCell ref="V434:V437"/>
    <mergeCell ref="X433:AR433"/>
    <mergeCell ref="K434:K437"/>
    <mergeCell ref="L434:L437"/>
    <mergeCell ref="M434:M437"/>
    <mergeCell ref="N434:N437"/>
    <mergeCell ref="O434:O437"/>
    <mergeCell ref="P434:P437"/>
    <mergeCell ref="D429:D431"/>
    <mergeCell ref="E429:E431"/>
    <mergeCell ref="F429:F431"/>
    <mergeCell ref="X388:AR388"/>
    <mergeCell ref="Q402:Q404"/>
    <mergeCell ref="R402:R404"/>
    <mergeCell ref="S402:S404"/>
    <mergeCell ref="T402:T404"/>
    <mergeCell ref="U402:U404"/>
    <mergeCell ref="V402:V404"/>
    <mergeCell ref="D405:V405"/>
    <mergeCell ref="D406:V406"/>
    <mergeCell ref="Q407:Q410"/>
    <mergeCell ref="R407:R410"/>
    <mergeCell ref="X406:AR406"/>
    <mergeCell ref="K407:K410"/>
    <mergeCell ref="L407:L410"/>
    <mergeCell ref="M407:M410"/>
    <mergeCell ref="N407:N410"/>
    <mergeCell ref="O407:O410"/>
    <mergeCell ref="P407:P410"/>
    <mergeCell ref="S407:S410"/>
    <mergeCell ref="T407:T410"/>
    <mergeCell ref="U407:U410"/>
    <mergeCell ref="V407:V410"/>
    <mergeCell ref="D402:D404"/>
    <mergeCell ref="E402:E404"/>
    <mergeCell ref="F402:F404"/>
    <mergeCell ref="G402:G404"/>
    <mergeCell ref="H402:H404"/>
    <mergeCell ref="D407:D410"/>
    <mergeCell ref="E407:E410"/>
    <mergeCell ref="F407:F410"/>
    <mergeCell ref="G407:G410"/>
    <mergeCell ref="H407:H410"/>
    <mergeCell ref="D378:V378"/>
    <mergeCell ref="D379:V379"/>
    <mergeCell ref="X379:AR379"/>
    <mergeCell ref="K380:K383"/>
    <mergeCell ref="X361:AR361"/>
    <mergeCell ref="X370:AR370"/>
    <mergeCell ref="L380:L383"/>
    <mergeCell ref="M380:M383"/>
    <mergeCell ref="N380:N383"/>
    <mergeCell ref="O380:O383"/>
    <mergeCell ref="P380:P383"/>
    <mergeCell ref="Q380:Q383"/>
    <mergeCell ref="R380:R383"/>
    <mergeCell ref="S380:S383"/>
    <mergeCell ref="T380:T383"/>
    <mergeCell ref="U380:U383"/>
    <mergeCell ref="V380:V383"/>
    <mergeCell ref="D351:V351"/>
    <mergeCell ref="D352:V352"/>
    <mergeCell ref="Q353:Q356"/>
    <mergeCell ref="R353:R356"/>
    <mergeCell ref="S353:S356"/>
    <mergeCell ref="T353:T356"/>
    <mergeCell ref="U353:U356"/>
    <mergeCell ref="V353:V356"/>
    <mergeCell ref="X352:AR352"/>
    <mergeCell ref="K353:K356"/>
    <mergeCell ref="L353:L356"/>
    <mergeCell ref="M353:M356"/>
    <mergeCell ref="N353:N356"/>
    <mergeCell ref="O353:O356"/>
    <mergeCell ref="P353:P356"/>
    <mergeCell ref="K375:K377"/>
    <mergeCell ref="L375:L377"/>
    <mergeCell ref="M375:M377"/>
    <mergeCell ref="N375:N377"/>
    <mergeCell ref="O375:O377"/>
    <mergeCell ref="P375:P377"/>
    <mergeCell ref="Q375:Q377"/>
    <mergeCell ref="R375:R377"/>
    <mergeCell ref="S375:S377"/>
    <mergeCell ref="T375:T377"/>
    <mergeCell ref="U375:U377"/>
    <mergeCell ref="V375:V377"/>
    <mergeCell ref="I353:I356"/>
    <mergeCell ref="J353:J356"/>
    <mergeCell ref="D353:D356"/>
    <mergeCell ref="E353:E356"/>
    <mergeCell ref="F353:F356"/>
    <mergeCell ref="X325:AR325"/>
    <mergeCell ref="K326:K329"/>
    <mergeCell ref="L326:L329"/>
    <mergeCell ref="M326:M329"/>
    <mergeCell ref="N326:N329"/>
    <mergeCell ref="O326:O329"/>
    <mergeCell ref="P326:P329"/>
    <mergeCell ref="K348:K350"/>
    <mergeCell ref="L348:L350"/>
    <mergeCell ref="M348:M350"/>
    <mergeCell ref="N348:N350"/>
    <mergeCell ref="O348:O350"/>
    <mergeCell ref="P348:P350"/>
    <mergeCell ref="Q348:Q350"/>
    <mergeCell ref="R348:R350"/>
    <mergeCell ref="S348:S350"/>
    <mergeCell ref="T348:T350"/>
    <mergeCell ref="U348:U350"/>
    <mergeCell ref="V348:V350"/>
    <mergeCell ref="X334:AR334"/>
    <mergeCell ref="X343:AR343"/>
    <mergeCell ref="X739:AR739"/>
    <mergeCell ref="X748:AR748"/>
    <mergeCell ref="D753:D755"/>
    <mergeCell ref="E753:E755"/>
    <mergeCell ref="F753:F755"/>
    <mergeCell ref="G753:G755"/>
    <mergeCell ref="H753:H755"/>
    <mergeCell ref="I753:I755"/>
    <mergeCell ref="J753:J755"/>
    <mergeCell ref="K753:K755"/>
    <mergeCell ref="L753:L755"/>
    <mergeCell ref="M753:M755"/>
    <mergeCell ref="N753:N755"/>
    <mergeCell ref="O753:O755"/>
    <mergeCell ref="X766:AR766"/>
    <mergeCell ref="X775:AR775"/>
    <mergeCell ref="D780:D782"/>
    <mergeCell ref="E780:E782"/>
    <mergeCell ref="F780:F782"/>
    <mergeCell ref="G780:G782"/>
    <mergeCell ref="H780:H782"/>
    <mergeCell ref="I780:I782"/>
    <mergeCell ref="J780:J782"/>
    <mergeCell ref="K780:K782"/>
    <mergeCell ref="L780:L782"/>
    <mergeCell ref="M780:M782"/>
    <mergeCell ref="N780:N782"/>
    <mergeCell ref="O780:O782"/>
    <mergeCell ref="P753:P755"/>
    <mergeCell ref="Q753:Q755"/>
    <mergeCell ref="R753:R755"/>
    <mergeCell ref="S753:S755"/>
    <mergeCell ref="U726:U728"/>
    <mergeCell ref="V731:V734"/>
    <mergeCell ref="V726:V728"/>
    <mergeCell ref="D729:V729"/>
    <mergeCell ref="D730:V730"/>
    <mergeCell ref="X730:AR730"/>
    <mergeCell ref="D731:D734"/>
    <mergeCell ref="E731:E734"/>
    <mergeCell ref="F731:F734"/>
    <mergeCell ref="G731:G734"/>
    <mergeCell ref="H731:H734"/>
    <mergeCell ref="I731:I734"/>
    <mergeCell ref="J731:J734"/>
    <mergeCell ref="K731:K734"/>
    <mergeCell ref="L731:L734"/>
    <mergeCell ref="M731:M734"/>
    <mergeCell ref="N731:N734"/>
    <mergeCell ref="O731:O734"/>
    <mergeCell ref="P731:P734"/>
    <mergeCell ref="Q731:Q734"/>
    <mergeCell ref="R731:R734"/>
    <mergeCell ref="S731:S734"/>
    <mergeCell ref="T731:T734"/>
    <mergeCell ref="U731:U734"/>
    <mergeCell ref="D726:D728"/>
    <mergeCell ref="E726:E728"/>
    <mergeCell ref="F726:F728"/>
    <mergeCell ref="G726:G728"/>
    <mergeCell ref="H726:H728"/>
    <mergeCell ref="I726:I728"/>
    <mergeCell ref="J726:J728"/>
    <mergeCell ref="K726:K728"/>
    <mergeCell ref="L726:L728"/>
    <mergeCell ref="M726:M728"/>
    <mergeCell ref="N726:N728"/>
    <mergeCell ref="O726:O728"/>
    <mergeCell ref="P726:P728"/>
    <mergeCell ref="Q726:Q728"/>
    <mergeCell ref="R726:R728"/>
    <mergeCell ref="S726:S728"/>
    <mergeCell ref="T726:T728"/>
    <mergeCell ref="G704:G707"/>
    <mergeCell ref="H704:H707"/>
    <mergeCell ref="I704:I707"/>
    <mergeCell ref="J704:J707"/>
    <mergeCell ref="K704:K707"/>
    <mergeCell ref="L704:L707"/>
    <mergeCell ref="M704:M707"/>
    <mergeCell ref="N704:N707"/>
    <mergeCell ref="O704:O707"/>
    <mergeCell ref="P704:P707"/>
    <mergeCell ref="Q704:Q707"/>
    <mergeCell ref="R704:R707"/>
    <mergeCell ref="S704:S707"/>
    <mergeCell ref="T704:T707"/>
    <mergeCell ref="U704:U707"/>
    <mergeCell ref="X712:AR712"/>
    <mergeCell ref="X721:AR721"/>
    <mergeCell ref="D1:V1"/>
    <mergeCell ref="W1:W864"/>
    <mergeCell ref="X1:AR1"/>
    <mergeCell ref="AS1:AT837"/>
    <mergeCell ref="V24:V26"/>
    <mergeCell ref="X28:AR28"/>
    <mergeCell ref="X55:AR55"/>
    <mergeCell ref="D864:V864"/>
    <mergeCell ref="D868:J869"/>
    <mergeCell ref="K868:P869"/>
    <mergeCell ref="D870:J870"/>
    <mergeCell ref="K870:P870"/>
    <mergeCell ref="D871:J871"/>
    <mergeCell ref="K871:P871"/>
    <mergeCell ref="D872:J872"/>
    <mergeCell ref="K872:P872"/>
    <mergeCell ref="D873:J873"/>
    <mergeCell ref="K873:P873"/>
    <mergeCell ref="P699:P701"/>
    <mergeCell ref="Q699:Q701"/>
    <mergeCell ref="R699:R701"/>
    <mergeCell ref="S699:S701"/>
    <mergeCell ref="T699:T701"/>
    <mergeCell ref="U699:U701"/>
    <mergeCell ref="V704:V707"/>
    <mergeCell ref="V699:V701"/>
    <mergeCell ref="D702:V702"/>
    <mergeCell ref="D703:V703"/>
    <mergeCell ref="X703:AR703"/>
    <mergeCell ref="D704:D707"/>
    <mergeCell ref="E704:E707"/>
    <mergeCell ref="F704:F707"/>
    <mergeCell ref="D910:J910"/>
    <mergeCell ref="D911:P912"/>
    <mergeCell ref="D907:J907"/>
    <mergeCell ref="K907:P907"/>
    <mergeCell ref="D908:J908"/>
    <mergeCell ref="K908:P908"/>
    <mergeCell ref="D909:J909"/>
    <mergeCell ref="K909:P909"/>
    <mergeCell ref="K910:P910"/>
    <mergeCell ref="X532:AR532"/>
    <mergeCell ref="D537:D539"/>
    <mergeCell ref="E537:E539"/>
    <mergeCell ref="F537:F539"/>
    <mergeCell ref="G537:G539"/>
    <mergeCell ref="H537:H539"/>
    <mergeCell ref="I537:I539"/>
    <mergeCell ref="V537:V539"/>
    <mergeCell ref="X838:AT838"/>
    <mergeCell ref="X847:AT847"/>
    <mergeCell ref="X856:AT856"/>
    <mergeCell ref="R861:R863"/>
    <mergeCell ref="S861:S863"/>
    <mergeCell ref="T861:T863"/>
    <mergeCell ref="U861:U863"/>
    <mergeCell ref="V861:V863"/>
    <mergeCell ref="Q865:AT912"/>
    <mergeCell ref="D874:J874"/>
    <mergeCell ref="K874:P874"/>
    <mergeCell ref="K875:P875"/>
    <mergeCell ref="D875:J875"/>
    <mergeCell ref="D876:J876"/>
    <mergeCell ref="K876:P876"/>
    <mergeCell ref="D900:J900"/>
    <mergeCell ref="D901:J901"/>
    <mergeCell ref="K901:P901"/>
    <mergeCell ref="D897:J897"/>
    <mergeCell ref="K897:P897"/>
    <mergeCell ref="D898:J898"/>
    <mergeCell ref="K898:P898"/>
    <mergeCell ref="D899:J899"/>
    <mergeCell ref="K899:P899"/>
    <mergeCell ref="K900:P900"/>
    <mergeCell ref="D905:J905"/>
    <mergeCell ref="D906:J906"/>
    <mergeCell ref="K906:P906"/>
    <mergeCell ref="D902:J902"/>
    <mergeCell ref="K902:P902"/>
    <mergeCell ref="D903:J903"/>
    <mergeCell ref="K903:P903"/>
    <mergeCell ref="D904:J904"/>
    <mergeCell ref="K904:P904"/>
    <mergeCell ref="K905:P905"/>
    <mergeCell ref="D887:J887"/>
    <mergeCell ref="D888:P890"/>
    <mergeCell ref="D884:J884"/>
    <mergeCell ref="K884:P884"/>
    <mergeCell ref="D885:J885"/>
    <mergeCell ref="K885:P885"/>
    <mergeCell ref="D886:J886"/>
    <mergeCell ref="K886:P886"/>
    <mergeCell ref="K887:P887"/>
    <mergeCell ref="D895:J895"/>
    <mergeCell ref="D896:J896"/>
    <mergeCell ref="K896:P896"/>
    <mergeCell ref="D891:J892"/>
    <mergeCell ref="K891:P892"/>
    <mergeCell ref="D893:J893"/>
    <mergeCell ref="K893:P893"/>
    <mergeCell ref="D894:J894"/>
    <mergeCell ref="K894:P894"/>
    <mergeCell ref="K895:P895"/>
    <mergeCell ref="P780:P782"/>
    <mergeCell ref="Q780:Q782"/>
    <mergeCell ref="R780:R782"/>
    <mergeCell ref="S780:S782"/>
    <mergeCell ref="T780:T782"/>
    <mergeCell ref="U780:U782"/>
    <mergeCell ref="V780:V782"/>
    <mergeCell ref="D783:V783"/>
    <mergeCell ref="D784:V784"/>
    <mergeCell ref="X784:AR784"/>
    <mergeCell ref="D785:D788"/>
    <mergeCell ref="E785:E788"/>
    <mergeCell ref="F785:F788"/>
    <mergeCell ref="G785:G788"/>
    <mergeCell ref="D882:J882"/>
    <mergeCell ref="D883:J883"/>
    <mergeCell ref="K883:P883"/>
    <mergeCell ref="D879:J879"/>
    <mergeCell ref="K879:P879"/>
    <mergeCell ref="D880:J880"/>
    <mergeCell ref="K880:P880"/>
    <mergeCell ref="D881:J881"/>
    <mergeCell ref="K881:P881"/>
    <mergeCell ref="K882:P882"/>
    <mergeCell ref="D877:J877"/>
    <mergeCell ref="K877:P877"/>
    <mergeCell ref="D878:J878"/>
    <mergeCell ref="K878:P878"/>
    <mergeCell ref="P861:P863"/>
    <mergeCell ref="Q861:Q863"/>
    <mergeCell ref="I861:I863"/>
    <mergeCell ref="J861:J8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T885"/>
  <sheetViews>
    <sheetView workbookViewId="0">
      <pane xSplit="3" topLeftCell="D1" activePane="topRight" state="frozen"/>
      <selection pane="topRight" activeCell="E2" sqref="E2"/>
    </sheetView>
  </sheetViews>
  <sheetFormatPr defaultColWidth="12.5703125" defaultRowHeight="15.75" customHeight="1" x14ac:dyDescent="0.2"/>
  <cols>
    <col min="1" max="1" width="12.5703125" customWidth="1"/>
    <col min="2" max="3" width="9.28515625" customWidth="1"/>
    <col min="4" max="5" width="8.5703125" customWidth="1"/>
    <col min="6" max="6" width="12" customWidth="1"/>
    <col min="7" max="13" width="11.42578125" customWidth="1"/>
    <col min="14" max="22" width="12.5703125" customWidth="1"/>
    <col min="24" max="24" width="9.7109375" customWidth="1"/>
    <col min="25" max="25" width="9.140625" customWidth="1"/>
    <col min="26" max="27" width="9" customWidth="1"/>
    <col min="28" max="28" width="11.85546875" customWidth="1"/>
    <col min="29" max="34" width="15" customWidth="1"/>
    <col min="35" max="35" width="17.7109375" customWidth="1"/>
    <col min="36" max="36" width="16" customWidth="1"/>
    <col min="37" max="37" width="19.42578125" customWidth="1"/>
    <col min="38" max="38" width="23.85546875" customWidth="1"/>
    <col min="39" max="39" width="21" customWidth="1"/>
    <col min="40" max="40" width="24.7109375" customWidth="1"/>
    <col min="41" max="41" width="16.140625" customWidth="1"/>
    <col min="42" max="42" width="12.5703125" customWidth="1"/>
    <col min="43" max="43" width="8.7109375" customWidth="1"/>
    <col min="44" max="44" width="16.28515625" customWidth="1"/>
    <col min="45" max="45" width="21.5703125" customWidth="1"/>
    <col min="46" max="46" width="26.5703125" customWidth="1"/>
  </cols>
  <sheetData>
    <row r="1" spans="1:46" ht="15.75" customHeight="1" x14ac:dyDescent="0.2">
      <c r="A1" s="110" t="s">
        <v>0</v>
      </c>
      <c r="B1" s="76"/>
      <c r="C1" s="76"/>
      <c r="D1" s="75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101"/>
      <c r="X1" s="102" t="s">
        <v>1</v>
      </c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9"/>
      <c r="AS1" s="101"/>
      <c r="AT1" s="76"/>
    </row>
    <row r="2" spans="1:46" ht="15.75" customHeight="1" x14ac:dyDescent="0.2">
      <c r="A2" s="109">
        <v>46266</v>
      </c>
      <c r="B2" s="80" t="s">
        <v>2</v>
      </c>
      <c r="C2" s="80" t="s">
        <v>3</v>
      </c>
      <c r="D2" s="80" t="s">
        <v>4</v>
      </c>
      <c r="E2" s="80" t="s">
        <v>5</v>
      </c>
      <c r="F2" s="81" t="s">
        <v>6</v>
      </c>
      <c r="G2" s="80" t="s">
        <v>7</v>
      </c>
      <c r="H2" s="80" t="s">
        <v>8</v>
      </c>
      <c r="I2" s="80" t="s">
        <v>9</v>
      </c>
      <c r="J2" s="80" t="s">
        <v>10</v>
      </c>
      <c r="K2" s="80" t="s">
        <v>11</v>
      </c>
      <c r="L2" s="80" t="s">
        <v>12</v>
      </c>
      <c r="M2" s="80" t="s">
        <v>13</v>
      </c>
      <c r="N2" s="81" t="s">
        <v>14</v>
      </c>
      <c r="O2" s="80" t="s">
        <v>15</v>
      </c>
      <c r="P2" s="80" t="s">
        <v>16</v>
      </c>
      <c r="Q2" s="80" t="s">
        <v>17</v>
      </c>
      <c r="R2" s="80" t="s">
        <v>18</v>
      </c>
      <c r="S2" s="106" t="s">
        <v>19</v>
      </c>
      <c r="T2" s="107" t="s">
        <v>20</v>
      </c>
      <c r="U2" s="107" t="s">
        <v>21</v>
      </c>
      <c r="V2" s="105" t="s">
        <v>22</v>
      </c>
      <c r="W2" s="76"/>
      <c r="X2" s="1" t="s">
        <v>2</v>
      </c>
      <c r="Y2" s="1" t="s">
        <v>3</v>
      </c>
      <c r="Z2" s="1" t="s">
        <v>4</v>
      </c>
      <c r="AA2" s="1" t="s">
        <v>5</v>
      </c>
      <c r="AB2" s="2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2" t="s">
        <v>14</v>
      </c>
      <c r="AK2" s="1" t="s">
        <v>15</v>
      </c>
      <c r="AL2" s="1" t="s">
        <v>16</v>
      </c>
      <c r="AM2" s="3" t="s">
        <v>17</v>
      </c>
      <c r="AN2" s="4" t="s">
        <v>18</v>
      </c>
      <c r="AO2" s="5" t="s">
        <v>19</v>
      </c>
      <c r="AP2" s="6" t="s">
        <v>20</v>
      </c>
      <c r="AQ2" s="6" t="s">
        <v>21</v>
      </c>
      <c r="AR2" s="7" t="s">
        <v>22</v>
      </c>
      <c r="AS2" s="76"/>
      <c r="AT2" s="76"/>
    </row>
    <row r="3" spans="1:46" ht="15.75" customHeight="1" x14ac:dyDescent="0.2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6"/>
      <c r="X3" s="8">
        <v>1</v>
      </c>
      <c r="Y3" s="8" t="s">
        <v>23</v>
      </c>
      <c r="Z3" s="8">
        <f t="shared" ref="Z3:AI3" si="0">SUM(D11)</f>
        <v>35</v>
      </c>
      <c r="AA3" s="9">
        <f t="shared" ca="1" si="0"/>
        <v>34</v>
      </c>
      <c r="AB3" s="10">
        <f t="shared" ca="1" si="0"/>
        <v>6680.5199999999904</v>
      </c>
      <c r="AC3" s="9">
        <f t="shared" ca="1" si="0"/>
        <v>1627</v>
      </c>
      <c r="AD3" s="9">
        <f t="shared" ca="1" si="0"/>
        <v>0</v>
      </c>
      <c r="AE3" s="9">
        <f t="shared" ca="1" si="0"/>
        <v>1627</v>
      </c>
      <c r="AF3" s="9">
        <f t="shared" ca="1" si="0"/>
        <v>3262</v>
      </c>
      <c r="AG3" s="9">
        <f t="shared" ca="1" si="0"/>
        <v>0</v>
      </c>
      <c r="AH3" s="9">
        <f t="shared" ca="1" si="0"/>
        <v>3262</v>
      </c>
      <c r="AI3" s="9">
        <f t="shared" ca="1" si="0"/>
        <v>4889</v>
      </c>
      <c r="AJ3" s="11">
        <f t="shared" ref="AJ3:AJ5" ca="1" si="1">AB3/AA3</f>
        <v>196.48588235294091</v>
      </c>
      <c r="AK3" s="8">
        <f>SUM(O11)</f>
        <v>6853</v>
      </c>
      <c r="AL3" s="12">
        <f t="shared" ref="AL3:AL9" ca="1" si="2">AI3/AK3</f>
        <v>0.71341018532029765</v>
      </c>
      <c r="AM3" s="13">
        <f t="shared" ref="AM3:AM5" si="3">SUM(Q11)</f>
        <v>1.5</v>
      </c>
      <c r="AN3" s="12">
        <f t="shared" ref="AN3:AN9" ca="1" si="4">AO3/AM3</f>
        <v>0.48788617253347616</v>
      </c>
      <c r="AO3" s="14">
        <f t="shared" ref="AO3:AO9" ca="1" si="5">AI3/AB3</f>
        <v>0.73182925880021421</v>
      </c>
      <c r="AP3" s="13">
        <f t="shared" ref="AP3:AQ3" ca="1" si="6">SUM(T11)</f>
        <v>197.99999999999972</v>
      </c>
      <c r="AQ3" s="13">
        <f t="shared" ca="1" si="6"/>
        <v>5.8235294117646976</v>
      </c>
      <c r="AR3" s="9">
        <f t="shared" ref="AR3:AR9" ca="1" si="7">AI3/AA3</f>
        <v>143.79411764705881</v>
      </c>
      <c r="AS3" s="76"/>
      <c r="AT3" s="76"/>
    </row>
    <row r="4" spans="1:46" ht="15.75" customHeight="1" x14ac:dyDescent="0.2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6"/>
      <c r="X4" s="8">
        <v>2</v>
      </c>
      <c r="Y4" s="8" t="s">
        <v>24</v>
      </c>
      <c r="Z4" s="8">
        <f t="shared" ref="Z4:AI4" si="8">SUM(D12)</f>
        <v>44</v>
      </c>
      <c r="AA4" s="9">
        <f t="shared" ca="1" si="8"/>
        <v>44</v>
      </c>
      <c r="AB4" s="10">
        <f t="shared" ca="1" si="8"/>
        <v>8029.3559999999898</v>
      </c>
      <c r="AC4" s="9">
        <f t="shared" ca="1" si="8"/>
        <v>1194</v>
      </c>
      <c r="AD4" s="9">
        <f t="shared" ca="1" si="8"/>
        <v>0</v>
      </c>
      <c r="AE4" s="9">
        <f t="shared" ca="1" si="8"/>
        <v>1194</v>
      </c>
      <c r="AF4" s="9">
        <f t="shared" ca="1" si="8"/>
        <v>1455</v>
      </c>
      <c r="AG4" s="9">
        <f t="shared" ca="1" si="8"/>
        <v>0</v>
      </c>
      <c r="AH4" s="9">
        <f t="shared" ca="1" si="8"/>
        <v>1455</v>
      </c>
      <c r="AI4" s="9">
        <f t="shared" ca="1" si="8"/>
        <v>2649</v>
      </c>
      <c r="AJ4" s="11">
        <f t="shared" ca="1" si="1"/>
        <v>182.48536363636342</v>
      </c>
      <c r="AK4" s="8">
        <v>1580</v>
      </c>
      <c r="AL4" s="15">
        <f t="shared" ca="1" si="2"/>
        <v>1.6765822784810127</v>
      </c>
      <c r="AM4" s="13">
        <f t="shared" si="3"/>
        <v>1.5</v>
      </c>
      <c r="AN4" s="12">
        <f t="shared" ca="1" si="4"/>
        <v>0.2199429194570526</v>
      </c>
      <c r="AO4" s="14">
        <f t="shared" ca="1" si="5"/>
        <v>0.32991437918557892</v>
      </c>
      <c r="AP4" s="13">
        <f t="shared" ref="AP4:AQ4" ca="1" si="9">SUM(T12)</f>
        <v>299.54695019585859</v>
      </c>
      <c r="AQ4" s="13">
        <f t="shared" ca="1" si="9"/>
        <v>6.8078852317240584</v>
      </c>
      <c r="AR4" s="9">
        <f t="shared" ca="1" si="7"/>
        <v>60.204545454545453</v>
      </c>
      <c r="AS4" s="76"/>
      <c r="AT4" s="76"/>
    </row>
    <row r="5" spans="1:46" ht="15.75" customHeight="1" x14ac:dyDescent="0.2">
      <c r="A5" s="70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6"/>
      <c r="X5" s="8">
        <v>3</v>
      </c>
      <c r="Y5" s="8" t="s">
        <v>25</v>
      </c>
      <c r="Z5" s="8">
        <f t="shared" ref="Z5:AI5" si="10">SUM(D13)</f>
        <v>32</v>
      </c>
      <c r="AA5" s="9">
        <f t="shared" ca="1" si="10"/>
        <v>32</v>
      </c>
      <c r="AB5" s="10">
        <f t="shared" ca="1" si="10"/>
        <v>5963.5360000000001</v>
      </c>
      <c r="AC5" s="9">
        <f t="shared" ca="1" si="10"/>
        <v>2444</v>
      </c>
      <c r="AD5" s="9">
        <f t="shared" ca="1" si="10"/>
        <v>331</v>
      </c>
      <c r="AE5" s="9">
        <f t="shared" ca="1" si="10"/>
        <v>2775</v>
      </c>
      <c r="AF5" s="9">
        <f t="shared" ca="1" si="10"/>
        <v>3085</v>
      </c>
      <c r="AG5" s="9">
        <f t="shared" ca="1" si="10"/>
        <v>319</v>
      </c>
      <c r="AH5" s="9">
        <f t="shared" ca="1" si="10"/>
        <v>3404</v>
      </c>
      <c r="AI5" s="9">
        <f t="shared" ca="1" si="10"/>
        <v>6179</v>
      </c>
      <c r="AJ5" s="11">
        <f t="shared" ca="1" si="1"/>
        <v>186.3605</v>
      </c>
      <c r="AK5" s="8">
        <f>SUM(O13)</f>
        <v>6622</v>
      </c>
      <c r="AL5" s="12">
        <f t="shared" ca="1" si="2"/>
        <v>0.93310178193899129</v>
      </c>
      <c r="AM5" s="13">
        <f t="shared" si="3"/>
        <v>1.5</v>
      </c>
      <c r="AN5" s="12">
        <f t="shared" ca="1" si="4"/>
        <v>0.69075349479458714</v>
      </c>
      <c r="AO5" s="14">
        <f t="shared" ca="1" si="5"/>
        <v>1.0361302421918808</v>
      </c>
      <c r="AP5" s="13">
        <f t="shared" ref="AP5:AQ5" ca="1" si="11">SUM(T13)</f>
        <v>250.14832214765102</v>
      </c>
      <c r="AQ5" s="13">
        <f t="shared" ca="1" si="11"/>
        <v>7.8171350671140942</v>
      </c>
      <c r="AR5" s="9">
        <f t="shared" ca="1" si="7"/>
        <v>193.09375</v>
      </c>
      <c r="AS5" s="76"/>
      <c r="AT5" s="76"/>
    </row>
    <row r="6" spans="1:46" ht="15.75" customHeight="1" x14ac:dyDescent="0.25">
      <c r="A6" s="70"/>
      <c r="B6" s="16">
        <v>1</v>
      </c>
      <c r="C6" s="16" t="s">
        <v>26</v>
      </c>
      <c r="D6" s="17">
        <v>20</v>
      </c>
      <c r="E6" s="18">
        <f ca="1">IFERROR(__xludf.DUMMYFUNCTION("COUNT(IMPORTRANGE(""https://docs.google.com/spreadsheets/d/1F0NpMx7WhcgPgxTWpryY3Z1CGg56FL6aiL4mHs43w4E/edit"",""1!d2:d21""))"),20)</f>
        <v>20</v>
      </c>
      <c r="F6" s="19">
        <f ca="1">IFERROR(__xludf.DUMMYFUNCTION("SUM(IMPORTRANGE(""https://docs.google.com/spreadsheets/d/1F0NpMx7WhcgPgxTWpryY3Z1CGg56FL6aiL4mHs43w4E/edit"",""1!Q2:Q21""))"),3935.29499999999)</f>
        <v>3935.2949999999901</v>
      </c>
      <c r="G6" s="18">
        <f ca="1">IFERROR(__xludf.DUMMYFUNCTION("IMPORTRANGE(""https://docs.google.com/spreadsheets/d/1F0NpMx7WhcgPgxTWpryY3Z1CGg56FL6aiL4mHs43w4E/edit"",""1!e28"")"),2229)</f>
        <v>2229</v>
      </c>
      <c r="H6" s="18">
        <f ca="1">IFERROR(__xludf.DUMMYFUNCTION("IMPORTRANGE(""https://docs.google.com/spreadsheets/d/1F0NpMx7WhcgPgxTWpryY3Z1CGg56FL6aiL4mHs43w4E/edit"",""1!e29"")"),0)</f>
        <v>0</v>
      </c>
      <c r="I6" s="18">
        <f t="shared" ref="I6:I23" ca="1" si="12">SUM(G6:H6)</f>
        <v>2229</v>
      </c>
      <c r="J6" s="18">
        <f ca="1">IFERROR(__xludf.DUMMYFUNCTION("IMPORTRANGE(""https://docs.google.com/spreadsheets/d/1F0NpMx7WhcgPgxTWpryY3Z1CGg56FL6aiL4mHs43w4E/edit"",""1!e32"")"),2661)</f>
        <v>2661</v>
      </c>
      <c r="K6" s="18">
        <f ca="1">IFERROR(__xludf.DUMMYFUNCTION("IMPORTRANGE(""https://docs.google.com/spreadsheets/d/1F0NpMx7WhcgPgxTWpryY3Z1CGg56FL6aiL4mHs43w4E/edit"",""1!e33"")"),47)</f>
        <v>47</v>
      </c>
      <c r="L6" s="18">
        <f t="shared" ref="L6:L12" ca="1" si="13">SUM(J6:K6)</f>
        <v>2708</v>
      </c>
      <c r="M6" s="18">
        <f t="shared" ref="M6:M23" ca="1" si="14">SUM(I6+L6)</f>
        <v>4937</v>
      </c>
      <c r="N6" s="19">
        <f t="shared" ref="N6:N24" ca="1" si="15">F6/E6</f>
        <v>196.76474999999951</v>
      </c>
      <c r="O6" s="16">
        <v>5161</v>
      </c>
      <c r="P6" s="20">
        <f t="shared" ref="P6:P24" ca="1" si="16">M6/O6</f>
        <v>0.95659755861267193</v>
      </c>
      <c r="Q6" s="21">
        <v>1.5</v>
      </c>
      <c r="R6" s="20">
        <f t="shared" ref="R6:R24" ca="1" si="17">S6/Q6</f>
        <v>0.8363625429182161</v>
      </c>
      <c r="S6" s="22">
        <f t="shared" ref="S6:S24" ca="1" si="18">M6/F6</f>
        <v>1.2545438143773242</v>
      </c>
      <c r="T6" s="21">
        <f ca="1">F6/14.415</f>
        <v>272.99999999999932</v>
      </c>
      <c r="U6" s="21">
        <f t="shared" ref="U6:U24" ca="1" si="19">T6/E6</f>
        <v>13.649999999999967</v>
      </c>
      <c r="V6" s="18">
        <f t="shared" ref="V6:V24" ca="1" si="20">M6/E6</f>
        <v>246.85</v>
      </c>
      <c r="W6" s="76"/>
      <c r="X6" s="8">
        <v>4</v>
      </c>
      <c r="Y6" s="8" t="s">
        <v>27</v>
      </c>
      <c r="Z6" s="8">
        <f t="shared" ref="Z6:AK6" si="21">SUM(D19)</f>
        <v>30</v>
      </c>
      <c r="AA6" s="9">
        <f t="shared" ca="1" si="21"/>
        <v>29</v>
      </c>
      <c r="AB6" s="10">
        <f t="shared" ca="1" si="21"/>
        <v>5631.6629999999996</v>
      </c>
      <c r="AC6" s="9">
        <f t="shared" ca="1" si="21"/>
        <v>2486</v>
      </c>
      <c r="AD6" s="9">
        <f t="shared" ca="1" si="21"/>
        <v>80</v>
      </c>
      <c r="AE6" s="9">
        <f t="shared" ca="1" si="21"/>
        <v>2566</v>
      </c>
      <c r="AF6" s="9">
        <f t="shared" ca="1" si="21"/>
        <v>2945</v>
      </c>
      <c r="AG6" s="9">
        <f t="shared" ca="1" si="21"/>
        <v>88</v>
      </c>
      <c r="AH6" s="9">
        <f t="shared" ca="1" si="21"/>
        <v>3033</v>
      </c>
      <c r="AI6" s="9">
        <f t="shared" ca="1" si="21"/>
        <v>5599</v>
      </c>
      <c r="AJ6" s="11">
        <f t="shared" ca="1" si="21"/>
        <v>194.19527586206894</v>
      </c>
      <c r="AK6" s="8">
        <f t="shared" si="21"/>
        <v>8101</v>
      </c>
      <c r="AL6" s="12">
        <f t="shared" ca="1" si="2"/>
        <v>0.69114924083446483</v>
      </c>
      <c r="AM6" s="13">
        <f>SUM(Q19)</f>
        <v>1.5</v>
      </c>
      <c r="AN6" s="12">
        <f t="shared" ca="1" si="4"/>
        <v>0.66280007640135197</v>
      </c>
      <c r="AO6" s="14">
        <f t="shared" ca="1" si="5"/>
        <v>0.99420011460202795</v>
      </c>
      <c r="AP6" s="13">
        <f t="shared" ref="AP6:AQ6" ca="1" si="22">SUM(T19)</f>
        <v>281.79449587190391</v>
      </c>
      <c r="AQ6" s="13">
        <f t="shared" ca="1" si="22"/>
        <v>9.7170515817897893</v>
      </c>
      <c r="AR6" s="9">
        <f t="shared" ca="1" si="7"/>
        <v>193.06896551724137</v>
      </c>
      <c r="AS6" s="76"/>
      <c r="AT6" s="76"/>
    </row>
    <row r="7" spans="1:46" ht="15.75" customHeight="1" x14ac:dyDescent="0.25">
      <c r="A7" s="70"/>
      <c r="B7" s="16">
        <v>2</v>
      </c>
      <c r="C7" s="16" t="s">
        <v>28</v>
      </c>
      <c r="D7" s="17">
        <v>33</v>
      </c>
      <c r="E7" s="18">
        <f ca="1">IFERROR(__xludf.DUMMYFUNCTION("COUNT(IMPORTRANGE(""https://docs.google.com/spreadsheets/d/1H9vAqftAHb0OdeSGXHTnJFzoWUgpoH31sc0sHNN8y1o/edit"",""1!d2:d34""))"),32)</f>
        <v>32</v>
      </c>
      <c r="F7" s="19">
        <f ca="1">IFERROR(__xludf.DUMMYFUNCTION("SUM(IMPORTRANGE(""https://docs.google.com/spreadsheets/d/1H9vAqftAHb0OdeSGXHTnJFzoWUgpoH31sc0sHNN8y1o/edit"",""1!Q2:Q34""))"),6234.13499999999)</f>
        <v>6234.1349999999902</v>
      </c>
      <c r="G7" s="18">
        <f ca="1">IFERROR(__xludf.DUMMYFUNCTION("IMPORTRANGE(""https://docs.google.com/spreadsheets/d/1H9vAqftAHb0OdeSGXHTnJFzoWUgpoH31sc0sHNN8y1o/edit"",""1!e41"")"),2719)</f>
        <v>2719</v>
      </c>
      <c r="H7" s="18">
        <f ca="1">IFERROR(__xludf.DUMMYFUNCTION("IMPORTRANGE(""https://docs.google.com/spreadsheets/d/1H9vAqftAHb0OdeSGXHTnJFzoWUgpoH31sc0sHNN8y1o/edit"",""1!e42"")"),208)</f>
        <v>208</v>
      </c>
      <c r="I7" s="18">
        <f t="shared" ca="1" si="12"/>
        <v>2927</v>
      </c>
      <c r="J7" s="18">
        <f ca="1">IFERROR(__xludf.DUMMYFUNCTION("IMPORTRANGE(""https://docs.google.com/spreadsheets/d/1H9vAqftAHb0OdeSGXHTnJFzoWUgpoH31sc0sHNN8y1o/edit"",""1!e45"")"),3192)</f>
        <v>3192</v>
      </c>
      <c r="K7" s="18">
        <f ca="1">IFERROR(__xludf.DUMMYFUNCTION("IMPORTRANGE(""https://docs.google.com/spreadsheets/d/1H9vAqftAHb0OdeSGXHTnJFzoWUgpoH31sc0sHNN8y1o/edit"",""1!e46"")"),138)</f>
        <v>138</v>
      </c>
      <c r="L7" s="18">
        <f t="shared" ca="1" si="13"/>
        <v>3330</v>
      </c>
      <c r="M7" s="18">
        <f t="shared" ca="1" si="14"/>
        <v>6257</v>
      </c>
      <c r="N7" s="19">
        <f t="shared" ca="1" si="15"/>
        <v>194.81671874999969</v>
      </c>
      <c r="O7" s="16">
        <v>7315</v>
      </c>
      <c r="P7" s="20">
        <f t="shared" ca="1" si="16"/>
        <v>0.85536568694463433</v>
      </c>
      <c r="Q7" s="21">
        <v>1.5</v>
      </c>
      <c r="R7" s="20">
        <f t="shared" ca="1" si="17"/>
        <v>0.66911180674357229</v>
      </c>
      <c r="S7" s="22">
        <f t="shared" ca="1" si="18"/>
        <v>1.0036677101153584</v>
      </c>
      <c r="T7" s="21">
        <f ca="1">F7/30.897</f>
        <v>201.77153121662266</v>
      </c>
      <c r="U7" s="21">
        <f t="shared" ca="1" si="19"/>
        <v>6.3053603505194582</v>
      </c>
      <c r="V7" s="18">
        <f t="shared" ca="1" si="20"/>
        <v>195.53125</v>
      </c>
      <c r="W7" s="76"/>
      <c r="X7" s="8">
        <v>5</v>
      </c>
      <c r="Y7" s="8" t="s">
        <v>29</v>
      </c>
      <c r="Z7" s="8">
        <f t="shared" ref="Z7:AI7" si="23">SUM(D22)</f>
        <v>30</v>
      </c>
      <c r="AA7" s="9">
        <f t="shared" ca="1" si="23"/>
        <v>29</v>
      </c>
      <c r="AB7" s="10">
        <f t="shared" ca="1" si="23"/>
        <v>5722.0559999999896</v>
      </c>
      <c r="AC7" s="9">
        <f t="shared" ca="1" si="23"/>
        <v>2610</v>
      </c>
      <c r="AD7" s="9">
        <f t="shared" ca="1" si="23"/>
        <v>0</v>
      </c>
      <c r="AE7" s="9">
        <f t="shared" ca="1" si="23"/>
        <v>2610</v>
      </c>
      <c r="AF7" s="9">
        <f t="shared" ca="1" si="23"/>
        <v>4378</v>
      </c>
      <c r="AG7" s="9">
        <f t="shared" ca="1" si="23"/>
        <v>0</v>
      </c>
      <c r="AH7" s="9">
        <f t="shared" ca="1" si="23"/>
        <v>4378</v>
      </c>
      <c r="AI7" s="9">
        <f t="shared" ca="1" si="23"/>
        <v>6988</v>
      </c>
      <c r="AJ7" s="11">
        <f t="shared" ref="AJ7:AJ9" ca="1" si="24">AB7/AA7</f>
        <v>197.31227586206862</v>
      </c>
      <c r="AK7" s="8">
        <f t="shared" ref="AK7:AK8" si="25">SUM(O22)</f>
        <v>9201</v>
      </c>
      <c r="AL7" s="12">
        <f t="shared" ca="1" si="2"/>
        <v>0.7594826649277252</v>
      </c>
      <c r="AM7" s="13">
        <f t="shared" ref="AM7:AM8" si="26">SUM(Q22)</f>
        <v>1.5</v>
      </c>
      <c r="AN7" s="12">
        <f t="shared" ca="1" si="4"/>
        <v>0.81415957248000981</v>
      </c>
      <c r="AO7" s="14">
        <f t="shared" ca="1" si="5"/>
        <v>1.2212393587200148</v>
      </c>
      <c r="AP7" s="13">
        <f t="shared" ref="AP7:AQ7" ca="1" si="27">SUM(T22)</f>
        <v>215.9999999999996</v>
      </c>
      <c r="AQ7" s="13">
        <f t="shared" ca="1" si="27"/>
        <v>7.448275862068952</v>
      </c>
      <c r="AR7" s="9">
        <f t="shared" ca="1" si="7"/>
        <v>240.9655172413793</v>
      </c>
      <c r="AS7" s="76"/>
      <c r="AT7" s="76"/>
    </row>
    <row r="8" spans="1:46" ht="15.75" customHeight="1" x14ac:dyDescent="0.25">
      <c r="A8" s="70"/>
      <c r="B8" s="16">
        <v>3</v>
      </c>
      <c r="C8" s="16" t="s">
        <v>30</v>
      </c>
      <c r="D8" s="17">
        <v>60</v>
      </c>
      <c r="E8" s="18">
        <f ca="1">IFERROR(__xludf.DUMMYFUNCTION("COUNT(IMPORTRANGE(""https://docs.google.com/spreadsheets/d/1EWN6nfpuVxbUE_9opjYCWaI7MTm5xsF6ssjklSbMZnA/edit"",""1!d2:d61""))"),59)</f>
        <v>59</v>
      </c>
      <c r="F8" s="23">
        <f ca="1">IFERROR(__xludf.DUMMYFUNCTION("SUM(IMPORTRANGE(""https://docs.google.com/spreadsheets/d/1EWN6nfpuVxbUE_9opjYCWaI7MTm5xsF6ssjklSbMZnA/edit"",""1!Q2:Q61""))"),11739.6919999999)</f>
        <v>11739.691999999901</v>
      </c>
      <c r="G8" s="18">
        <f ca="1">IFERROR(__xludf.DUMMYFUNCTION("IMPORTRANGE(""https://docs.google.com/spreadsheets/d/1EWN6nfpuVxbUE_9opjYCWaI7MTm5xsF6ssjklSbMZnA/edit"",""1!e68"")"),3754)</f>
        <v>3754</v>
      </c>
      <c r="H8" s="18">
        <f ca="1">IFERROR(__xludf.DUMMYFUNCTION("IMPORTRANGE(""https://docs.google.com/spreadsheets/d/1EWN6nfpuVxbUE_9opjYCWaI7MTm5xsF6ssjklSbMZnA/edit"",""1!e69"")"),14)</f>
        <v>14</v>
      </c>
      <c r="I8" s="18">
        <f t="shared" ca="1" si="12"/>
        <v>3768</v>
      </c>
      <c r="J8" s="18">
        <f ca="1">IFERROR(__xludf.DUMMYFUNCTION("IMPORTRANGE(""https://docs.google.com/spreadsheets/d/1EWN6nfpuVxbUE_9opjYCWaI7MTm5xsF6ssjklSbMZnA/edit"",""1!e72"")"),5982)</f>
        <v>5982</v>
      </c>
      <c r="K8" s="18">
        <f ca="1">IFERROR(__xludf.DUMMYFUNCTION("IMPORTRANGE(""https://docs.google.com/spreadsheets/d/1EWN6nfpuVxbUE_9opjYCWaI7MTm5xsF6ssjklSbMZnA/edit"",""1!e73"")"),0)</f>
        <v>0</v>
      </c>
      <c r="L8" s="18">
        <f t="shared" ca="1" si="13"/>
        <v>5982</v>
      </c>
      <c r="M8" s="18">
        <f t="shared" ca="1" si="14"/>
        <v>9750</v>
      </c>
      <c r="N8" s="19">
        <f t="shared" ca="1" si="15"/>
        <v>198.97783050847289</v>
      </c>
      <c r="O8" s="16">
        <v>11164</v>
      </c>
      <c r="P8" s="20">
        <f t="shared" ca="1" si="16"/>
        <v>0.87334288785381586</v>
      </c>
      <c r="Q8" s="21">
        <v>1.5</v>
      </c>
      <c r="R8" s="20">
        <f t="shared" ca="1" si="17"/>
        <v>0.55367721742615184</v>
      </c>
      <c r="S8" s="22">
        <f t="shared" ca="1" si="18"/>
        <v>0.8305158261392277</v>
      </c>
      <c r="T8" s="21">
        <f ca="1">F8/29.603</f>
        <v>396.57102320710402</v>
      </c>
      <c r="U8" s="21">
        <f t="shared" ca="1" si="19"/>
        <v>6.7215427662221021</v>
      </c>
      <c r="V8" s="18">
        <f t="shared" ca="1" si="20"/>
        <v>165.25423728813558</v>
      </c>
      <c r="W8" s="76"/>
      <c r="X8" s="8">
        <v>6</v>
      </c>
      <c r="Y8" s="8" t="s">
        <v>31</v>
      </c>
      <c r="Z8" s="8">
        <f t="shared" ref="Z8:AI8" si="28">SUM(D23)</f>
        <v>15</v>
      </c>
      <c r="AA8" s="9">
        <f t="shared" ca="1" si="28"/>
        <v>14</v>
      </c>
      <c r="AB8" s="11">
        <f t="shared" ca="1" si="28"/>
        <v>2520.9699999999898</v>
      </c>
      <c r="AC8" s="9">
        <f t="shared" ca="1" si="28"/>
        <v>633</v>
      </c>
      <c r="AD8" s="9">
        <f t="shared" ca="1" si="28"/>
        <v>0</v>
      </c>
      <c r="AE8" s="9">
        <f t="shared" ca="1" si="28"/>
        <v>633</v>
      </c>
      <c r="AF8" s="9">
        <f t="shared" ca="1" si="28"/>
        <v>1148</v>
      </c>
      <c r="AG8" s="9">
        <f t="shared" ca="1" si="28"/>
        <v>15</v>
      </c>
      <c r="AH8" s="9">
        <f t="shared" ca="1" si="28"/>
        <v>1163</v>
      </c>
      <c r="AI8" s="9">
        <f t="shared" ca="1" si="28"/>
        <v>1796</v>
      </c>
      <c r="AJ8" s="11">
        <f t="shared" ca="1" si="24"/>
        <v>180.06928571428497</v>
      </c>
      <c r="AK8" s="8">
        <f t="shared" si="25"/>
        <v>2717</v>
      </c>
      <c r="AL8" s="12">
        <f t="shared" ca="1" si="2"/>
        <v>0.6610231873389768</v>
      </c>
      <c r="AM8" s="13">
        <f t="shared" si="26"/>
        <v>1.5</v>
      </c>
      <c r="AN8" s="12">
        <f t="shared" ca="1" si="4"/>
        <v>0.47494945728562343</v>
      </c>
      <c r="AO8" s="14">
        <f t="shared" ca="1" si="5"/>
        <v>0.71242418592843515</v>
      </c>
      <c r="AP8" s="13">
        <f t="shared" ref="AP8:AQ8" ca="1" si="29">SUM(T23)</f>
        <v>57.999999999999758</v>
      </c>
      <c r="AQ8" s="13">
        <f t="shared" ca="1" si="29"/>
        <v>4.1428571428571255</v>
      </c>
      <c r="AR8" s="9">
        <f t="shared" ca="1" si="7"/>
        <v>128.28571428571428</v>
      </c>
      <c r="AS8" s="76"/>
      <c r="AT8" s="76"/>
    </row>
    <row r="9" spans="1:46" ht="15.75" customHeight="1" x14ac:dyDescent="0.25">
      <c r="A9" s="70"/>
      <c r="B9" s="16">
        <v>4</v>
      </c>
      <c r="C9" s="16" t="s">
        <v>32</v>
      </c>
      <c r="D9" s="17">
        <v>42</v>
      </c>
      <c r="E9" s="18">
        <f ca="1">IFERROR(__xludf.DUMMYFUNCTION("COUNT(IMPORTRANGE(""https://docs.google.com/spreadsheets/d/1Rmar8QqWK4XOJ-eY6xMzkAfDSw0srEXcAw89ilArun8/edit"",""1!d2:d43""))"),42)</f>
        <v>42</v>
      </c>
      <c r="F9" s="23">
        <f ca="1">IFERROR(__xludf.DUMMYFUNCTION("SUM(IMPORTRANGE(""https://docs.google.com/spreadsheets/d/1Rmar8QqWK4XOJ-eY6xMzkAfDSw0srEXcAw89ilArun8/edit"",""1!Q2:Q43""))"),8240.66199999999)</f>
        <v>8240.6619999999893</v>
      </c>
      <c r="G9" s="16">
        <f ca="1">IFERROR(__xludf.DUMMYFUNCTION("IMPORTRANGE(""https://docs.google.com/spreadsheets/d/1Rmar8QqWK4XOJ-eY6xMzkAfDSw0srEXcAw89ilArun8/edit"",""1!e50"")"),4515)</f>
        <v>4515</v>
      </c>
      <c r="H9" s="16">
        <f ca="1">IFERROR(__xludf.DUMMYFUNCTION("IMPORTRANGE(""https://docs.google.com/spreadsheets/d/1Rmar8QqWK4XOJ-eY6xMzkAfDSw0srEXcAw89ilArun8/edit"",""1!e51"")"),0)</f>
        <v>0</v>
      </c>
      <c r="I9" s="18">
        <f t="shared" ca="1" si="12"/>
        <v>4515</v>
      </c>
      <c r="J9" s="16">
        <f ca="1">IFERROR(__xludf.DUMMYFUNCTION("IMPORTRANGE(""https://docs.google.com/spreadsheets/d/1Rmar8QqWK4XOJ-eY6xMzkAfDSw0srEXcAw89ilArun8/edit"",""1!e54"")"),5726)</f>
        <v>5726</v>
      </c>
      <c r="K9" s="16">
        <f ca="1">IFERROR(__xludf.DUMMYFUNCTION("IMPORTRANGE(""https://docs.google.com/spreadsheets/d/1Rmar8QqWK4XOJ-eY6xMzkAfDSw0srEXcAw89ilArun8/edit"",""1!e55"")"),0)</f>
        <v>0</v>
      </c>
      <c r="L9" s="18">
        <f t="shared" ca="1" si="13"/>
        <v>5726</v>
      </c>
      <c r="M9" s="18">
        <f t="shared" ca="1" si="14"/>
        <v>10241</v>
      </c>
      <c r="N9" s="19">
        <f t="shared" ca="1" si="15"/>
        <v>196.20623809523784</v>
      </c>
      <c r="O9" s="16">
        <v>13817</v>
      </c>
      <c r="P9" s="20">
        <f t="shared" ca="1" si="16"/>
        <v>0.74118839111239776</v>
      </c>
      <c r="Q9" s="21">
        <v>1.5</v>
      </c>
      <c r="R9" s="20">
        <f t="shared" ca="1" si="17"/>
        <v>0.82849330955854539</v>
      </c>
      <c r="S9" s="22">
        <f t="shared" ca="1" si="18"/>
        <v>1.2427399643378181</v>
      </c>
      <c r="T9" s="21">
        <f ca="1">F9/25.089</f>
        <v>328.45717246602055</v>
      </c>
      <c r="U9" s="21">
        <f t="shared" ca="1" si="19"/>
        <v>7.8204088682385846</v>
      </c>
      <c r="V9" s="18">
        <f t="shared" ca="1" si="20"/>
        <v>243.83333333333334</v>
      </c>
      <c r="W9" s="76"/>
      <c r="X9" s="24" t="s">
        <v>33</v>
      </c>
      <c r="Y9" s="24">
        <v>6</v>
      </c>
      <c r="Z9" s="24">
        <f t="shared" ref="Z9:AI9" si="30">SUM(Z3:Z8)</f>
        <v>186</v>
      </c>
      <c r="AA9" s="25">
        <f t="shared" ca="1" si="30"/>
        <v>182</v>
      </c>
      <c r="AB9" s="26">
        <f t="shared" ca="1" si="30"/>
        <v>34548.100999999959</v>
      </c>
      <c r="AC9" s="25">
        <f t="shared" ca="1" si="30"/>
        <v>10994</v>
      </c>
      <c r="AD9" s="25">
        <f t="shared" ca="1" si="30"/>
        <v>411</v>
      </c>
      <c r="AE9" s="25">
        <f t="shared" ca="1" si="30"/>
        <v>11405</v>
      </c>
      <c r="AF9" s="25">
        <f t="shared" ca="1" si="30"/>
        <v>16273</v>
      </c>
      <c r="AG9" s="25">
        <f t="shared" ca="1" si="30"/>
        <v>422</v>
      </c>
      <c r="AH9" s="25">
        <f t="shared" ca="1" si="30"/>
        <v>16695</v>
      </c>
      <c r="AI9" s="25">
        <f t="shared" ca="1" si="30"/>
        <v>28100</v>
      </c>
      <c r="AJ9" s="27">
        <f t="shared" ca="1" si="24"/>
        <v>189.82473076923054</v>
      </c>
      <c r="AK9" s="24">
        <f>SUM(AK3:AK8)</f>
        <v>35074</v>
      </c>
      <c r="AL9" s="28">
        <f t="shared" ca="1" si="2"/>
        <v>0.80116325483263962</v>
      </c>
      <c r="AM9" s="29">
        <v>1.5</v>
      </c>
      <c r="AN9" s="28">
        <f t="shared" ca="1" si="4"/>
        <v>0.54223916195374544</v>
      </c>
      <c r="AO9" s="30">
        <f t="shared" ca="1" si="5"/>
        <v>0.81335874293061816</v>
      </c>
      <c r="AP9" s="29">
        <f ca="1">SUM(AP3:AP8)</f>
        <v>1303.4897682154126</v>
      </c>
      <c r="AQ9" s="29">
        <f ca="1">AP9/AA9</f>
        <v>7.1620316934912784</v>
      </c>
      <c r="AR9" s="25">
        <f t="shared" ca="1" si="7"/>
        <v>154.39560439560441</v>
      </c>
      <c r="AS9" s="76"/>
      <c r="AT9" s="76"/>
    </row>
    <row r="10" spans="1:46" ht="15.75" customHeight="1" x14ac:dyDescent="0.25">
      <c r="A10" s="70"/>
      <c r="B10" s="16">
        <v>5</v>
      </c>
      <c r="C10" s="16" t="s">
        <v>34</v>
      </c>
      <c r="D10" s="17">
        <v>40</v>
      </c>
      <c r="E10" s="18">
        <f ca="1">IFERROR(__xludf.DUMMYFUNCTION("COUNT(IMPORTRANGE(""https://docs.google.com/spreadsheets/d/1u99JxAoytGQQ8GcjxXl38CGdyEWy5uIbuJJHnsotyvk/edit"",""1!d2:d41""))"),40)</f>
        <v>40</v>
      </c>
      <c r="F10" s="23">
        <f ca="1">IFERROR(__xludf.DUMMYFUNCTION("SUM(IMPORTRANGE(""https://docs.google.com/spreadsheets/d/1u99JxAoytGQQ8GcjxXl38CGdyEWy5uIbuJJHnsotyvk/edit"",""1!Q2:Q41""))"),8007.324)</f>
        <v>8007.3239999999996</v>
      </c>
      <c r="G10" s="18">
        <f ca="1">IFERROR(__xludf.DUMMYFUNCTION("IMPORTRANGE(""https://docs.google.com/spreadsheets/d/1u99JxAoytGQQ8GcjxXl38CGdyEWy5uIbuJJHnsotyvk/edit"",""1!e48"")"),2819)</f>
        <v>2819</v>
      </c>
      <c r="H10" s="18">
        <f ca="1">IFERROR(__xludf.DUMMYFUNCTION("IMPORTRANGE(""https://docs.google.com/spreadsheets/d/1u99JxAoytGQQ8GcjxXl38CGdyEWy5uIbuJJHnsotyvk/edit"",""1!e49"")"),0)</f>
        <v>0</v>
      </c>
      <c r="I10" s="18">
        <f t="shared" ca="1" si="12"/>
        <v>2819</v>
      </c>
      <c r="J10" s="18">
        <f ca="1">IFERROR(__xludf.DUMMYFUNCTION("IMPORTRANGE(""https://docs.google.com/spreadsheets/d/1u99JxAoytGQQ8GcjxXl38CGdyEWy5uIbuJJHnsotyvk/edit"",""1!e52"")"),3504)</f>
        <v>3504</v>
      </c>
      <c r="K10" s="18">
        <f ca="1">IFERROR(__xludf.DUMMYFUNCTION("IMPORTRANGE(""https://docs.google.com/spreadsheets/d/1u99JxAoytGQQ8GcjxXl38CGdyEWy5uIbuJJHnsotyvk/edit"",""1!e53"")"),0)</f>
        <v>0</v>
      </c>
      <c r="L10" s="18">
        <f t="shared" ca="1" si="13"/>
        <v>3504</v>
      </c>
      <c r="M10" s="18">
        <f t="shared" ca="1" si="14"/>
        <v>6323</v>
      </c>
      <c r="N10" s="19">
        <f t="shared" ca="1" si="15"/>
        <v>200.1831</v>
      </c>
      <c r="O10" s="16">
        <v>9354</v>
      </c>
      <c r="P10" s="20">
        <f t="shared" ca="1" si="16"/>
        <v>0.6759675005345307</v>
      </c>
      <c r="Q10" s="21">
        <v>1.5</v>
      </c>
      <c r="R10" s="20">
        <f t="shared" ca="1" si="17"/>
        <v>0.52643471568445754</v>
      </c>
      <c r="S10" s="22">
        <f t="shared" ca="1" si="18"/>
        <v>0.78965207352668632</v>
      </c>
      <c r="T10" s="21">
        <f ca="1">F10/30.713</f>
        <v>260.71448572265814</v>
      </c>
      <c r="U10" s="21">
        <f t="shared" ca="1" si="19"/>
        <v>6.5178621430664538</v>
      </c>
      <c r="V10" s="18">
        <f t="shared" ca="1" si="20"/>
        <v>158.07499999999999</v>
      </c>
      <c r="W10" s="76"/>
      <c r="X10" s="100" t="s">
        <v>35</v>
      </c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9"/>
      <c r="AS10" s="76"/>
      <c r="AT10" s="76"/>
    </row>
    <row r="11" spans="1:46" ht="15.75" customHeight="1" x14ac:dyDescent="0.25">
      <c r="A11" s="70"/>
      <c r="B11" s="16">
        <v>6</v>
      </c>
      <c r="C11" s="16" t="s">
        <v>23</v>
      </c>
      <c r="D11" s="17">
        <v>35</v>
      </c>
      <c r="E11" s="18">
        <f ca="1">IFERROR(__xludf.DUMMYFUNCTION("COUNT(IMPORTRANGE(""https://docs.google.com/spreadsheets/d/1uVc-vnTn57HE53lwrUYNZP4sGKTXisrqOoZ-6EyvLzY/edit"",""1!d2:d36""))"),34)</f>
        <v>34</v>
      </c>
      <c r="F11" s="23">
        <f ca="1">IFERROR(__xludf.DUMMYFUNCTION("SUM(IMPORTRANGE(""https://docs.google.com/spreadsheets/d/1uVc-vnTn57HE53lwrUYNZP4sGKTXisrqOoZ-6EyvLzY/edit"",""1!Q2:Q36""))"),6680.51999999999)</f>
        <v>6680.5199999999904</v>
      </c>
      <c r="G11" s="18">
        <f ca="1">IFERROR(__xludf.DUMMYFUNCTION("IMPORTRANGE(""https://docs.google.com/spreadsheets/d/1uVc-vnTn57HE53lwrUYNZP4sGKTXisrqOoZ-6EyvLzY/edit"",""1!e43"")"),1627)</f>
        <v>1627</v>
      </c>
      <c r="H11" s="18">
        <f ca="1">IFERROR(__xludf.DUMMYFUNCTION("IMPORTRANGE(""https://docs.google.com/spreadsheets/d/1uVc-vnTn57HE53lwrUYNZP4sGKTXisrqOoZ-6EyvLzY/edit"",""1!e44"")"),0)</f>
        <v>0</v>
      </c>
      <c r="I11" s="18">
        <f t="shared" ca="1" si="12"/>
        <v>1627</v>
      </c>
      <c r="J11" s="18">
        <f ca="1">IFERROR(__xludf.DUMMYFUNCTION("IMPORTRANGE(""https://docs.google.com/spreadsheets/d/1uVc-vnTn57HE53lwrUYNZP4sGKTXisrqOoZ-6EyvLzY/edit"",""1!e47"")"),3262)</f>
        <v>3262</v>
      </c>
      <c r="K11" s="18">
        <f ca="1">IFERROR(__xludf.DUMMYFUNCTION("IMPORTRANGE(""https://docs.google.com/spreadsheets/d/1uVc-vnTn57HE53lwrUYNZP4sGKTXisrqOoZ-6EyvLzY/edit"",""1!e48"")"),0)</f>
        <v>0</v>
      </c>
      <c r="L11" s="18">
        <f t="shared" ca="1" si="13"/>
        <v>3262</v>
      </c>
      <c r="M11" s="18">
        <f t="shared" ca="1" si="14"/>
        <v>4889</v>
      </c>
      <c r="N11" s="19">
        <f t="shared" ca="1" si="15"/>
        <v>196.48588235294091</v>
      </c>
      <c r="O11" s="16">
        <v>6853</v>
      </c>
      <c r="P11" s="20">
        <f t="shared" ca="1" si="16"/>
        <v>0.71341018532029765</v>
      </c>
      <c r="Q11" s="21">
        <v>1.5</v>
      </c>
      <c r="R11" s="20">
        <f t="shared" ca="1" si="17"/>
        <v>0.48788617253347616</v>
      </c>
      <c r="S11" s="22">
        <f t="shared" ca="1" si="18"/>
        <v>0.73182925880021421</v>
      </c>
      <c r="T11" s="21">
        <f ca="1">F11/33.74</f>
        <v>197.99999999999972</v>
      </c>
      <c r="U11" s="21">
        <f t="shared" ca="1" si="19"/>
        <v>5.8235294117646976</v>
      </c>
      <c r="V11" s="18">
        <f t="shared" ca="1" si="20"/>
        <v>143.79411764705881</v>
      </c>
      <c r="W11" s="76"/>
      <c r="X11" s="1" t="s">
        <v>2</v>
      </c>
      <c r="Y11" s="1" t="s">
        <v>3</v>
      </c>
      <c r="Z11" s="1" t="s">
        <v>4</v>
      </c>
      <c r="AA11" s="1" t="s">
        <v>5</v>
      </c>
      <c r="AB11" s="2" t="s">
        <v>6</v>
      </c>
      <c r="AC11" s="1" t="s">
        <v>7</v>
      </c>
      <c r="AD11" s="1" t="s">
        <v>8</v>
      </c>
      <c r="AE11" s="1" t="s">
        <v>9</v>
      </c>
      <c r="AF11" s="1" t="s">
        <v>10</v>
      </c>
      <c r="AG11" s="1" t="s">
        <v>11</v>
      </c>
      <c r="AH11" s="1" t="s">
        <v>12</v>
      </c>
      <c r="AI11" s="1" t="s">
        <v>13</v>
      </c>
      <c r="AJ11" s="2" t="s">
        <v>14</v>
      </c>
      <c r="AK11" s="1" t="s">
        <v>15</v>
      </c>
      <c r="AL11" s="1" t="s">
        <v>16</v>
      </c>
      <c r="AM11" s="3" t="s">
        <v>17</v>
      </c>
      <c r="AN11" s="4" t="s">
        <v>18</v>
      </c>
      <c r="AO11" s="5" t="s">
        <v>19</v>
      </c>
      <c r="AP11" s="6" t="s">
        <v>20</v>
      </c>
      <c r="AQ11" s="6" t="s">
        <v>21</v>
      </c>
      <c r="AR11" s="7" t="s">
        <v>22</v>
      </c>
      <c r="AS11" s="76"/>
      <c r="AT11" s="76"/>
    </row>
    <row r="12" spans="1:46" ht="15.75" customHeight="1" x14ac:dyDescent="0.25">
      <c r="A12" s="70"/>
      <c r="B12" s="16">
        <v>7</v>
      </c>
      <c r="C12" s="16" t="s">
        <v>24</v>
      </c>
      <c r="D12" s="17">
        <v>44</v>
      </c>
      <c r="E12" s="31">
        <f ca="1">IFERROR(__xludf.DUMMYFUNCTION("COUNT(IMPORTRANGE(""https://docs.google.com/spreadsheets/d/1iuPvivSypupo44l6GtmR-2qZ3za7cTk7KzsOVp_kv2c/edit"",""1!d2:d45""))"),44)</f>
        <v>44</v>
      </c>
      <c r="F12" s="32">
        <f ca="1">IFERROR(__xludf.DUMMYFUNCTION("SUM(IMPORTRANGE(""https://docs.google.com/spreadsheets/d/1iuPvivSypupo44l6GtmR-2qZ3za7cTk7KzsOVp_kv2c/edit"",""1!Q2:Q45""))"),8029.35599999999)</f>
        <v>8029.3559999999898</v>
      </c>
      <c r="G12" s="31">
        <f ca="1">IFERROR(__xludf.DUMMYFUNCTION("IMPORTRANGE(""https://docs.google.com/spreadsheets/d/1iuPvivSypupo44l6GtmR-2qZ3za7cTk7KzsOVp_kv2c/edit"",""1!e53"")"),1194)</f>
        <v>1194</v>
      </c>
      <c r="H12" s="31">
        <f ca="1">IFERROR(__xludf.DUMMYFUNCTION("IMPORTRANGE(""https://docs.google.com/spreadsheets/d/1iuPvivSypupo44l6GtmR-2qZ3za7cTk7KzsOVp_kv2c/edit"",""1!e54"")"),0)</f>
        <v>0</v>
      </c>
      <c r="I12" s="31">
        <f t="shared" ca="1" si="12"/>
        <v>1194</v>
      </c>
      <c r="J12" s="31">
        <f ca="1">IFERROR(__xludf.DUMMYFUNCTION("IMPORTRANGE(""https://docs.google.com/spreadsheets/d/1iuPvivSypupo44l6GtmR-2qZ3za7cTk7KzsOVp_kv2c/edit"",""1!e57"")"),1455)</f>
        <v>1455</v>
      </c>
      <c r="K12" s="31">
        <f ca="1">IFERROR(__xludf.DUMMYFUNCTION("IMPORTRANGE(""https://docs.google.com/spreadsheets/d/1iuPvivSypupo44l6GtmR-2qZ3za7cTk7KzsOVp_kv2c/edit"",""1!e58"")"),0)</f>
        <v>0</v>
      </c>
      <c r="L12" s="18">
        <f t="shared" ca="1" si="13"/>
        <v>1455</v>
      </c>
      <c r="M12" s="18">
        <f t="shared" ca="1" si="14"/>
        <v>2649</v>
      </c>
      <c r="N12" s="19">
        <f t="shared" ca="1" si="15"/>
        <v>182.48536363636342</v>
      </c>
      <c r="O12" s="16">
        <v>1580</v>
      </c>
      <c r="P12" s="33">
        <f t="shared" ca="1" si="16"/>
        <v>1.6765822784810127</v>
      </c>
      <c r="Q12" s="21">
        <v>1.5</v>
      </c>
      <c r="R12" s="20">
        <f t="shared" ca="1" si="17"/>
        <v>0.2199429194570526</v>
      </c>
      <c r="S12" s="22">
        <f t="shared" ca="1" si="18"/>
        <v>0.32991437918557892</v>
      </c>
      <c r="T12" s="21">
        <f ca="1">F12/26.805</f>
        <v>299.54695019585859</v>
      </c>
      <c r="U12" s="21">
        <f t="shared" ca="1" si="19"/>
        <v>6.8078852317240584</v>
      </c>
      <c r="V12" s="18">
        <f t="shared" ca="1" si="20"/>
        <v>60.204545454545453</v>
      </c>
      <c r="W12" s="76"/>
      <c r="X12" s="8">
        <v>1</v>
      </c>
      <c r="Y12" s="8" t="s">
        <v>28</v>
      </c>
      <c r="Z12" s="8">
        <f t="shared" ref="Z12:AI12" si="31">SUM(D7)</f>
        <v>33</v>
      </c>
      <c r="AA12" s="9">
        <f t="shared" ca="1" si="31"/>
        <v>32</v>
      </c>
      <c r="AB12" s="11">
        <f t="shared" ca="1" si="31"/>
        <v>6234.1349999999902</v>
      </c>
      <c r="AC12" s="9">
        <f t="shared" ca="1" si="31"/>
        <v>2719</v>
      </c>
      <c r="AD12" s="9">
        <f t="shared" ca="1" si="31"/>
        <v>208</v>
      </c>
      <c r="AE12" s="9">
        <f t="shared" ca="1" si="31"/>
        <v>2927</v>
      </c>
      <c r="AF12" s="9">
        <f t="shared" ca="1" si="31"/>
        <v>3192</v>
      </c>
      <c r="AG12" s="9">
        <f t="shared" ca="1" si="31"/>
        <v>138</v>
      </c>
      <c r="AH12" s="9">
        <f t="shared" ca="1" si="31"/>
        <v>3330</v>
      </c>
      <c r="AI12" s="9">
        <f t="shared" ca="1" si="31"/>
        <v>6257</v>
      </c>
      <c r="AJ12" s="11">
        <f t="shared" ref="AJ12:AJ18" ca="1" si="32">AB12/AA12</f>
        <v>194.81671874999969</v>
      </c>
      <c r="AK12" s="8">
        <f t="shared" ref="AK12:AK13" si="33">SUM(O7)</f>
        <v>7315</v>
      </c>
      <c r="AL12" s="12">
        <f t="shared" ref="AL12:AL18" ca="1" si="34">AI12/AK12</f>
        <v>0.85536568694463433</v>
      </c>
      <c r="AM12" s="13">
        <f t="shared" ref="AM12:AM13" si="35">SUM(Q7)</f>
        <v>1.5</v>
      </c>
      <c r="AN12" s="12">
        <f t="shared" ref="AN12:AN18" ca="1" si="36">AO12/AM12</f>
        <v>0.66911180674357229</v>
      </c>
      <c r="AO12" s="14">
        <f t="shared" ref="AO12:AO18" ca="1" si="37">AI12/AB12</f>
        <v>1.0036677101153584</v>
      </c>
      <c r="AP12" s="13">
        <f t="shared" ref="AP12:AQ12" ca="1" si="38">SUM(T7)</f>
        <v>201.77153121662266</v>
      </c>
      <c r="AQ12" s="13">
        <f t="shared" ca="1" si="38"/>
        <v>6.3053603505194582</v>
      </c>
      <c r="AR12" s="9">
        <f t="shared" ref="AR12:AR18" ca="1" si="39">AI12/AA12</f>
        <v>195.53125</v>
      </c>
      <c r="AS12" s="76"/>
      <c r="AT12" s="76"/>
    </row>
    <row r="13" spans="1:46" ht="15.75" customHeight="1" x14ac:dyDescent="0.25">
      <c r="A13" s="70"/>
      <c r="B13" s="16">
        <v>8</v>
      </c>
      <c r="C13" s="16" t="s">
        <v>25</v>
      </c>
      <c r="D13" s="34">
        <v>32</v>
      </c>
      <c r="E13" s="18">
        <f ca="1">IFERROR(__xludf.DUMMYFUNCTION("COUNT(IMPORTRANGE(""https://docs.google.com/spreadsheets/d/1sqWX7UerdR9KR_duBzDNfjwbPG-3hLgV1LiN2ZVZ6Js/edit"",""1!d2:D33""))"),32)</f>
        <v>32</v>
      </c>
      <c r="F13" s="23">
        <f ca="1">IFERROR(__xludf.DUMMYFUNCTION("SUM(IMPORTRANGE(""https://docs.google.com/spreadsheets/d/1sqWX7UerdR9KR_duBzDNfjwbPG-3hLgV1LiN2ZVZ6Js/edit"",""1!Q2:Q33""))"),5963.536)</f>
        <v>5963.5360000000001</v>
      </c>
      <c r="G13" s="18">
        <f ca="1">IFERROR(__xludf.DUMMYFUNCTION("IMPORTRANGE(""https://docs.google.com/spreadsheets/d/1sqWX7UerdR9KR_duBzDNfjwbPG-3hLgV1LiN2ZVZ6Js/edit"",""1!e40"")"),2444)</f>
        <v>2444</v>
      </c>
      <c r="H13" s="18">
        <f ca="1">IFERROR(__xludf.DUMMYFUNCTION("IMPORTRANGE(""https://docs.google.com/spreadsheets/d/1sqWX7UerdR9KR_duBzDNfjwbPG-3hLgV1LiN2ZVZ6Js/edit"",""1!e41"")"),331)</f>
        <v>331</v>
      </c>
      <c r="I13" s="18">
        <f t="shared" ca="1" si="12"/>
        <v>2775</v>
      </c>
      <c r="J13" s="18">
        <f ca="1">IFERROR(__xludf.DUMMYFUNCTION("IMPORTRANGE(""https://docs.google.com/spreadsheets/d/1sqWX7UerdR9KR_duBzDNfjwbPG-3hLgV1LiN2ZVZ6Js/edit"",""1!e44"")"),3085)</f>
        <v>3085</v>
      </c>
      <c r="K13" s="18">
        <f ca="1">IFERROR(__xludf.DUMMYFUNCTION("IMPORTRANGE(""https://docs.google.com/spreadsheets/d/1sqWX7UerdR9KR_duBzDNfjwbPG-3hLgV1LiN2ZVZ6Js/edit"",""1!e45"")"),319)</f>
        <v>319</v>
      </c>
      <c r="L13" s="18">
        <f ca="1">J13+K13</f>
        <v>3404</v>
      </c>
      <c r="M13" s="18">
        <f t="shared" ca="1" si="14"/>
        <v>6179</v>
      </c>
      <c r="N13" s="19">
        <f t="shared" ca="1" si="15"/>
        <v>186.3605</v>
      </c>
      <c r="O13" s="16">
        <v>6622</v>
      </c>
      <c r="P13" s="20">
        <f t="shared" ca="1" si="16"/>
        <v>0.93310178193899129</v>
      </c>
      <c r="Q13" s="21">
        <v>1.5</v>
      </c>
      <c r="R13" s="20">
        <f t="shared" ca="1" si="17"/>
        <v>0.69075349479458714</v>
      </c>
      <c r="S13" s="22">
        <f t="shared" ca="1" si="18"/>
        <v>1.0361302421918808</v>
      </c>
      <c r="T13" s="21">
        <f ca="1">F13/23.84</f>
        <v>250.14832214765102</v>
      </c>
      <c r="U13" s="21">
        <f t="shared" ca="1" si="19"/>
        <v>7.8171350671140942</v>
      </c>
      <c r="V13" s="18">
        <f t="shared" ca="1" si="20"/>
        <v>193.09375</v>
      </c>
      <c r="W13" s="76"/>
      <c r="X13" s="8">
        <v>2</v>
      </c>
      <c r="Y13" s="8" t="s">
        <v>30</v>
      </c>
      <c r="Z13" s="8">
        <f t="shared" ref="Z13:AI13" si="40">SUM(D8)</f>
        <v>60</v>
      </c>
      <c r="AA13" s="9">
        <f t="shared" ca="1" si="40"/>
        <v>59</v>
      </c>
      <c r="AB13" s="10">
        <f t="shared" ca="1" si="40"/>
        <v>11739.691999999901</v>
      </c>
      <c r="AC13" s="9">
        <f t="shared" ca="1" si="40"/>
        <v>3754</v>
      </c>
      <c r="AD13" s="9">
        <f t="shared" ca="1" si="40"/>
        <v>14</v>
      </c>
      <c r="AE13" s="9">
        <f t="shared" ca="1" si="40"/>
        <v>3768</v>
      </c>
      <c r="AF13" s="9">
        <f t="shared" ca="1" si="40"/>
        <v>5982</v>
      </c>
      <c r="AG13" s="9">
        <f t="shared" ca="1" si="40"/>
        <v>0</v>
      </c>
      <c r="AH13" s="9">
        <f t="shared" ca="1" si="40"/>
        <v>5982</v>
      </c>
      <c r="AI13" s="9">
        <f t="shared" ca="1" si="40"/>
        <v>9750</v>
      </c>
      <c r="AJ13" s="11">
        <f t="shared" ca="1" si="32"/>
        <v>198.97783050847289</v>
      </c>
      <c r="AK13" s="8">
        <f t="shared" si="33"/>
        <v>11164</v>
      </c>
      <c r="AL13" s="12">
        <f t="shared" ca="1" si="34"/>
        <v>0.87334288785381586</v>
      </c>
      <c r="AM13" s="13">
        <f t="shared" si="35"/>
        <v>1.5</v>
      </c>
      <c r="AN13" s="12">
        <f t="shared" ca="1" si="36"/>
        <v>0.55367721742615184</v>
      </c>
      <c r="AO13" s="14">
        <f t="shared" ca="1" si="37"/>
        <v>0.8305158261392277</v>
      </c>
      <c r="AP13" s="13">
        <f t="shared" ref="AP13:AQ13" ca="1" si="41">SUM(T8)</f>
        <v>396.57102320710402</v>
      </c>
      <c r="AQ13" s="13">
        <f t="shared" ca="1" si="41"/>
        <v>6.7215427662221021</v>
      </c>
      <c r="AR13" s="9">
        <f t="shared" ca="1" si="39"/>
        <v>165.25423728813558</v>
      </c>
      <c r="AS13" s="76"/>
      <c r="AT13" s="76"/>
    </row>
    <row r="14" spans="1:46" ht="15.75" customHeight="1" x14ac:dyDescent="0.25">
      <c r="A14" s="70"/>
      <c r="B14" s="16">
        <v>9</v>
      </c>
      <c r="C14" s="16" t="s">
        <v>36</v>
      </c>
      <c r="D14" s="34">
        <v>30</v>
      </c>
      <c r="E14" s="18">
        <f ca="1">IFERROR(__xludf.DUMMYFUNCTION("COUNT(IMPORTRANGE(""https://docs.google.com/spreadsheets/d/1YNna43iTSqnwwbMJgTIPHSJEoDO8RGPRFg5pJCoQR_Y/edit"",""1!d2:d31""))"),29)</f>
        <v>29</v>
      </c>
      <c r="F14" s="23">
        <f ca="1">IFERROR(__xludf.DUMMYFUNCTION("SUM(IMPORTRANGE(""https://docs.google.com/spreadsheets/d/1YNna43iTSqnwwbMJgTIPHSJEoDO8RGPRFg5pJCoQR_Y/edit"",""1!Q2:Q31""))"),4875.34499999999)</f>
        <v>4875.3449999999903</v>
      </c>
      <c r="G14" s="18">
        <f ca="1">IFERROR(__xludf.DUMMYFUNCTION("IMPORTRANGE(""https://docs.google.com/spreadsheets/d/1YNna43iTSqnwwbMJgTIPHSJEoDO8RGPRFg5pJCoQR_Y/edit"",""1!e38"")"),1728)</f>
        <v>1728</v>
      </c>
      <c r="H14" s="18">
        <f ca="1">IFERROR(__xludf.DUMMYFUNCTION("IMPORTRANGE(""https://docs.google.com/spreadsheets/d/1YNna43iTSqnwwbMJgTIPHSJEoDO8RGPRFg5pJCoQR_Y/edit"",""1!e39"")"),0)</f>
        <v>0</v>
      </c>
      <c r="I14" s="18">
        <f t="shared" ca="1" si="12"/>
        <v>1728</v>
      </c>
      <c r="J14" s="18">
        <f ca="1">IFERROR(__xludf.DUMMYFUNCTION("IMPORTRANGE(""https://docs.google.com/spreadsheets/d/1YNna43iTSqnwwbMJgTIPHSJEoDO8RGPRFg5pJCoQR_Y/edit"",""1!e42"")"),2407)</f>
        <v>2407</v>
      </c>
      <c r="K14" s="18">
        <f ca="1">IFERROR(__xludf.DUMMYFUNCTION("IMPORTRANGE(""https://docs.google.com/spreadsheets/d/1YNna43iTSqnwwbMJgTIPHSJEoDO8RGPRFg5pJCoQR_Y/edit"",""1!e43"")"),20)</f>
        <v>20</v>
      </c>
      <c r="L14" s="18">
        <f t="shared" ref="L14:L23" ca="1" si="42">SUM(J14:K14)</f>
        <v>2427</v>
      </c>
      <c r="M14" s="18">
        <f t="shared" ca="1" si="14"/>
        <v>4155</v>
      </c>
      <c r="N14" s="19">
        <f t="shared" ca="1" si="15"/>
        <v>168.11534482758586</v>
      </c>
      <c r="O14" s="16">
        <v>4796</v>
      </c>
      <c r="P14" s="20">
        <f t="shared" ca="1" si="16"/>
        <v>0.86634695579649712</v>
      </c>
      <c r="Q14" s="21">
        <v>1.5</v>
      </c>
      <c r="R14" s="20">
        <f t="shared" ca="1" si="17"/>
        <v>0.56816491961081839</v>
      </c>
      <c r="S14" s="22">
        <f t="shared" ca="1" si="18"/>
        <v>0.85224737941622764</v>
      </c>
      <c r="T14" s="21">
        <f ca="1">F14/37.414</f>
        <v>130.30803977120837</v>
      </c>
      <c r="U14" s="21">
        <f t="shared" ca="1" si="19"/>
        <v>4.4933806817658057</v>
      </c>
      <c r="V14" s="18">
        <f t="shared" ca="1" si="20"/>
        <v>143.27586206896552</v>
      </c>
      <c r="W14" s="76"/>
      <c r="X14" s="8">
        <v>3</v>
      </c>
      <c r="Y14" s="8" t="s">
        <v>34</v>
      </c>
      <c r="Z14" s="8">
        <f t="shared" ref="Z14:AI14" si="43">SUM(D10)</f>
        <v>40</v>
      </c>
      <c r="AA14" s="9">
        <f t="shared" ca="1" si="43"/>
        <v>40</v>
      </c>
      <c r="AB14" s="10">
        <f t="shared" ca="1" si="43"/>
        <v>8007.3239999999996</v>
      </c>
      <c r="AC14" s="9">
        <f t="shared" ca="1" si="43"/>
        <v>2819</v>
      </c>
      <c r="AD14" s="9">
        <f t="shared" ca="1" si="43"/>
        <v>0</v>
      </c>
      <c r="AE14" s="9">
        <f t="shared" ca="1" si="43"/>
        <v>2819</v>
      </c>
      <c r="AF14" s="9">
        <f t="shared" ca="1" si="43"/>
        <v>3504</v>
      </c>
      <c r="AG14" s="9">
        <f t="shared" ca="1" si="43"/>
        <v>0</v>
      </c>
      <c r="AH14" s="9">
        <f t="shared" ca="1" si="43"/>
        <v>3504</v>
      </c>
      <c r="AI14" s="9">
        <f t="shared" ca="1" si="43"/>
        <v>6323</v>
      </c>
      <c r="AJ14" s="11">
        <f t="shared" ca="1" si="32"/>
        <v>200.1831</v>
      </c>
      <c r="AK14" s="8">
        <f>SUM(O10)</f>
        <v>9354</v>
      </c>
      <c r="AL14" s="12">
        <f t="shared" ca="1" si="34"/>
        <v>0.6759675005345307</v>
      </c>
      <c r="AM14" s="13">
        <f>SUM(Q10)</f>
        <v>1.5</v>
      </c>
      <c r="AN14" s="12">
        <f t="shared" ca="1" si="36"/>
        <v>0.52643471568445754</v>
      </c>
      <c r="AO14" s="14">
        <f t="shared" ca="1" si="37"/>
        <v>0.78965207352668632</v>
      </c>
      <c r="AP14" s="13">
        <f t="shared" ref="AP14:AQ14" ca="1" si="44">SUM(T10)</f>
        <v>260.71448572265814</v>
      </c>
      <c r="AQ14" s="13">
        <f t="shared" ca="1" si="44"/>
        <v>6.5178621430664538</v>
      </c>
      <c r="AR14" s="9">
        <f t="shared" ca="1" si="39"/>
        <v>158.07499999999999</v>
      </c>
      <c r="AS14" s="76"/>
      <c r="AT14" s="76"/>
    </row>
    <row r="15" spans="1:46" ht="15.75" customHeight="1" x14ac:dyDescent="0.25">
      <c r="A15" s="70"/>
      <c r="B15" s="16">
        <v>10</v>
      </c>
      <c r="C15" s="16" t="s">
        <v>37</v>
      </c>
      <c r="D15" s="17">
        <v>30</v>
      </c>
      <c r="E15" s="18">
        <f ca="1">IFERROR(__xludf.DUMMYFUNCTION("COUNT(IMPORTRANGE(""https://docs.google.com/spreadsheets/d/1913Df5BsXS_b-nClL8LOK5w0engQYTl1mPOiyngRtO0/edit"",""1!d2:d31""))"),28)</f>
        <v>28</v>
      </c>
      <c r="F15" s="23">
        <f ca="1">IFERROR(__xludf.DUMMYFUNCTION("SUM(IMPORTRANGE(""https://docs.google.com/spreadsheets/d/1913Df5BsXS_b-nClL8LOK5w0engQYTl1mPOiyngRtO0/edit"",""1!Q2:Q31""))"),5465.1)</f>
        <v>5465.1</v>
      </c>
      <c r="G15" s="18">
        <f ca="1">IFERROR(__xludf.DUMMYFUNCTION("(IMPORTRANGE(""https://docs.google.com/spreadsheets/d/1913Df5BsXS_b-nClL8LOK5w0engQYTl1mPOiyngRtO0/edit"",""1!e38""))"),2135)</f>
        <v>2135</v>
      </c>
      <c r="H15" s="18">
        <f ca="1">IFERROR(__xludf.DUMMYFUNCTION("(IMPORTRANGE(""https://docs.google.com/spreadsheets/d/1913Df5BsXS_b-nClL8LOK5w0engQYTl1mPOiyngRtO0/edit"",""1!e39""))"),0)</f>
        <v>0</v>
      </c>
      <c r="I15" s="18">
        <f t="shared" ca="1" si="12"/>
        <v>2135</v>
      </c>
      <c r="J15" s="18">
        <f ca="1">IFERROR(__xludf.DUMMYFUNCTION("(IMPORTRANGE(""https://docs.google.com/spreadsheets/d/1913Df5BsXS_b-nClL8LOK5w0engQYTl1mPOiyngRtO0/edit"",""1!e42""))"),3182)</f>
        <v>3182</v>
      </c>
      <c r="K15" s="18">
        <f ca="1">IFERROR(__xludf.DUMMYFUNCTION("(IMPORTRANGE(""https://docs.google.com/spreadsheets/d/1913Df5BsXS_b-nClL8LOK5w0engQYTl1mPOiyngRtO0/edit"",""1!e43""))"),0)</f>
        <v>0</v>
      </c>
      <c r="L15" s="18">
        <f t="shared" ca="1" si="42"/>
        <v>3182</v>
      </c>
      <c r="M15" s="18">
        <f t="shared" ca="1" si="14"/>
        <v>5317</v>
      </c>
      <c r="N15" s="19">
        <f t="shared" ca="1" si="15"/>
        <v>195.18214285714288</v>
      </c>
      <c r="O15" s="16">
        <v>5887</v>
      </c>
      <c r="P15" s="20">
        <f t="shared" ca="1" si="16"/>
        <v>0.90317649057244775</v>
      </c>
      <c r="Q15" s="21">
        <v>1.5</v>
      </c>
      <c r="R15" s="20">
        <f t="shared" ca="1" si="17"/>
        <v>0.64860051356181347</v>
      </c>
      <c r="S15" s="22">
        <f t="shared" ca="1" si="18"/>
        <v>0.97290077034272016</v>
      </c>
      <c r="T15" s="21">
        <f ca="1">F15/24.792</f>
        <v>220.4380445304937</v>
      </c>
      <c r="U15" s="21">
        <f t="shared" ca="1" si="19"/>
        <v>7.8727873046604895</v>
      </c>
      <c r="V15" s="18">
        <f t="shared" ca="1" si="20"/>
        <v>189.89285714285714</v>
      </c>
      <c r="W15" s="76"/>
      <c r="X15" s="8">
        <v>4</v>
      </c>
      <c r="Y15" s="8" t="s">
        <v>38</v>
      </c>
      <c r="Z15" s="8">
        <f t="shared" ref="Z15:AI15" si="45">SUM(D18)</f>
        <v>30</v>
      </c>
      <c r="AA15" s="9">
        <f t="shared" ca="1" si="45"/>
        <v>30</v>
      </c>
      <c r="AB15" s="10">
        <f t="shared" ca="1" si="45"/>
        <v>6034.9859999999999</v>
      </c>
      <c r="AC15" s="9">
        <f t="shared" ca="1" si="45"/>
        <v>1876</v>
      </c>
      <c r="AD15" s="9">
        <f t="shared" ca="1" si="45"/>
        <v>79</v>
      </c>
      <c r="AE15" s="9">
        <f t="shared" ca="1" si="45"/>
        <v>1955</v>
      </c>
      <c r="AF15" s="9">
        <f t="shared" ca="1" si="45"/>
        <v>2967</v>
      </c>
      <c r="AG15" s="9">
        <f t="shared" ca="1" si="45"/>
        <v>140</v>
      </c>
      <c r="AH15" s="9">
        <f t="shared" ca="1" si="45"/>
        <v>3107</v>
      </c>
      <c r="AI15" s="9">
        <f t="shared" ca="1" si="45"/>
        <v>5062</v>
      </c>
      <c r="AJ15" s="11">
        <f t="shared" ca="1" si="32"/>
        <v>201.1662</v>
      </c>
      <c r="AK15" s="8">
        <v>7324</v>
      </c>
      <c r="AL15" s="12">
        <f t="shared" ca="1" si="34"/>
        <v>0.69115237575095578</v>
      </c>
      <c r="AM15" s="13">
        <f>SUM(Q18)</f>
        <v>1.5</v>
      </c>
      <c r="AN15" s="12">
        <f t="shared" ca="1" si="36"/>
        <v>0.55918384345326844</v>
      </c>
      <c r="AO15" s="14">
        <f t="shared" ca="1" si="37"/>
        <v>0.83877576517990271</v>
      </c>
      <c r="AP15" s="13">
        <f t="shared" ref="AP15:AQ15" ca="1" si="46">SUM(T18)</f>
        <v>146.46246814706953</v>
      </c>
      <c r="AQ15" s="13">
        <f t="shared" ca="1" si="46"/>
        <v>4.8820822715689847</v>
      </c>
      <c r="AR15" s="9">
        <f t="shared" ca="1" si="39"/>
        <v>168.73333333333332</v>
      </c>
      <c r="AS15" s="76"/>
      <c r="AT15" s="76"/>
    </row>
    <row r="16" spans="1:46" ht="15.75" customHeight="1" x14ac:dyDescent="0.25">
      <c r="A16" s="70"/>
      <c r="B16" s="16">
        <v>12</v>
      </c>
      <c r="C16" s="16" t="s">
        <v>39</v>
      </c>
      <c r="D16" s="17">
        <v>28</v>
      </c>
      <c r="E16" s="18">
        <f ca="1">IFERROR(__xludf.DUMMYFUNCTION("COUNT(IMPORTRANGE(""https://docs.google.com/spreadsheets/d/1wMeol_MpSIcocGxt3WZGl46mJ2tc80mANPvP_YzaP18/edit"",""1!d2:d29""))"),27)</f>
        <v>27</v>
      </c>
      <c r="F16" s="23">
        <f ca="1">IFERROR(__xludf.DUMMYFUNCTION("SUM(IMPORTRANGE(""https://docs.google.com/spreadsheets/d/1wMeol_MpSIcocGxt3WZGl46mJ2tc80mANPvP_YzaP18/edit"",""1!Q2:Q29""))"),5318.459)</f>
        <v>5318.4589999999998</v>
      </c>
      <c r="G16" s="18">
        <f ca="1">IFERROR(__xludf.DUMMYFUNCTION("IMPORTRANGE(""https://docs.google.com/spreadsheets/d/1wMeol_MpSIcocGxt3WZGl46mJ2tc80mANPvP_YzaP18/edit"",""1!e36"")"),1229)</f>
        <v>1229</v>
      </c>
      <c r="H16" s="18">
        <f ca="1">IFERROR(__xludf.DUMMYFUNCTION("(IMPORTRANGE(""https://docs.google.com/spreadsheets/d/1wMeol_MpSIcocGxt3WZGl46mJ2tc80mANPvP_YzaP18/edit"",""1!e37""))"),0)</f>
        <v>0</v>
      </c>
      <c r="I16" s="18">
        <f t="shared" ca="1" si="12"/>
        <v>1229</v>
      </c>
      <c r="J16" s="18">
        <f ca="1">IFERROR(__xludf.DUMMYFUNCTION("IMPORTRANGE(""https://docs.google.com/spreadsheets/d/1wMeol_MpSIcocGxt3WZGl46mJ2tc80mANPvP_YzaP18/edit"",""1!e40"")"),1740)</f>
        <v>1740</v>
      </c>
      <c r="K16" s="18">
        <f ca="1">IFERROR(__xludf.DUMMYFUNCTION("IMPORTRANGE(""https://docs.google.com/spreadsheets/d/1wMeol_MpSIcocGxt3WZGl46mJ2tc80mANPvP_YzaP18/edit"",""1!e41"")"),0)</f>
        <v>0</v>
      </c>
      <c r="L16" s="18">
        <f t="shared" ca="1" si="42"/>
        <v>1740</v>
      </c>
      <c r="M16" s="18">
        <f t="shared" ca="1" si="14"/>
        <v>2969</v>
      </c>
      <c r="N16" s="19">
        <f t="shared" ca="1" si="15"/>
        <v>196.97996296296296</v>
      </c>
      <c r="O16" s="16">
        <v>3569</v>
      </c>
      <c r="P16" s="20">
        <f t="shared" ca="1" si="16"/>
        <v>0.83188568226393944</v>
      </c>
      <c r="Q16" s="21">
        <v>1.5</v>
      </c>
      <c r="R16" s="20">
        <f t="shared" ca="1" si="17"/>
        <v>0.37216293917718146</v>
      </c>
      <c r="S16" s="22">
        <f t="shared" ca="1" si="18"/>
        <v>0.55824440876577219</v>
      </c>
      <c r="T16" s="21">
        <f ca="1">F16/21.463</f>
        <v>247.7966267530168</v>
      </c>
      <c r="U16" s="21">
        <f t="shared" ca="1" si="19"/>
        <v>9.177652842704326</v>
      </c>
      <c r="V16" s="18">
        <f t="shared" ca="1" si="20"/>
        <v>109.96296296296296</v>
      </c>
      <c r="W16" s="76"/>
      <c r="X16" s="8">
        <v>5</v>
      </c>
      <c r="Y16" s="8" t="s">
        <v>40</v>
      </c>
      <c r="Z16" s="8">
        <f t="shared" ref="Z16:AI16" si="47">SUM(D20)</f>
        <v>30</v>
      </c>
      <c r="AA16" s="9">
        <f t="shared" ca="1" si="47"/>
        <v>30</v>
      </c>
      <c r="AB16" s="10">
        <f t="shared" ca="1" si="47"/>
        <v>5660.1569999999901</v>
      </c>
      <c r="AC16" s="9">
        <f t="shared" ca="1" si="47"/>
        <v>3382</v>
      </c>
      <c r="AD16" s="9">
        <f t="shared" ca="1" si="47"/>
        <v>0</v>
      </c>
      <c r="AE16" s="9">
        <f t="shared" ca="1" si="47"/>
        <v>3382</v>
      </c>
      <c r="AF16" s="9">
        <f t="shared" ca="1" si="47"/>
        <v>3798</v>
      </c>
      <c r="AG16" s="9">
        <f t="shared" ca="1" si="47"/>
        <v>0</v>
      </c>
      <c r="AH16" s="9">
        <f t="shared" ca="1" si="47"/>
        <v>3798</v>
      </c>
      <c r="AI16" s="9">
        <f t="shared" ca="1" si="47"/>
        <v>7180</v>
      </c>
      <c r="AJ16" s="11">
        <f t="shared" ca="1" si="32"/>
        <v>188.67189999999968</v>
      </c>
      <c r="AK16" s="8">
        <f t="shared" ref="AK16:AK17" si="48">SUM(O20)</f>
        <v>8239</v>
      </c>
      <c r="AL16" s="12">
        <f t="shared" ca="1" si="34"/>
        <v>0.8714649836145163</v>
      </c>
      <c r="AM16" s="13">
        <f t="shared" ref="AM16:AM17" si="49">SUM(Q20)</f>
        <v>1.5</v>
      </c>
      <c r="AN16" s="12">
        <f t="shared" ca="1" si="36"/>
        <v>0.84567736666433013</v>
      </c>
      <c r="AO16" s="14">
        <f t="shared" ca="1" si="37"/>
        <v>1.2685160499964951</v>
      </c>
      <c r="AP16" s="13">
        <f t="shared" ref="AP16:AQ16" ca="1" si="50">SUM(T20)</f>
        <v>198.99999999999963</v>
      </c>
      <c r="AQ16" s="13">
        <f t="shared" ca="1" si="50"/>
        <v>6.6333333333333213</v>
      </c>
      <c r="AR16" s="9">
        <f t="shared" ca="1" si="39"/>
        <v>239.33333333333334</v>
      </c>
      <c r="AS16" s="76"/>
      <c r="AT16" s="76"/>
    </row>
    <row r="17" spans="1:46" ht="15.75" customHeight="1" x14ac:dyDescent="0.25">
      <c r="A17" s="70"/>
      <c r="B17" s="16">
        <v>12</v>
      </c>
      <c r="C17" s="16" t="s">
        <v>41</v>
      </c>
      <c r="D17" s="17">
        <v>24</v>
      </c>
      <c r="E17" s="18">
        <f ca="1">IFERROR(__xludf.DUMMYFUNCTION("COUNT(IMPORTRANGE(""https://docs.google.com/spreadsheets/d/1sHk6_yuc4kORC_xnhEeazoemV_hVUQVqRpfoNae-PLk/edit"",""1!d2:d25""))"),24)</f>
        <v>24</v>
      </c>
      <c r="F17" s="23">
        <f ca="1">IFERROR(__xludf.DUMMYFUNCTION("SUM(IMPORTRANGE(""https://docs.google.com/spreadsheets/d/1sHk6_yuc4kORC_xnhEeazoemV_hVUQVqRpfoNae-PLk/edit"",""1!Q2:Q25""))"),4793.152)</f>
        <v>4793.152</v>
      </c>
      <c r="G17" s="18">
        <f ca="1">IFERROR(__xludf.DUMMYFUNCTION("IMPORTRANGE(""https://docs.google.com/spreadsheets/d/1sHk6_yuc4kORC_xnhEeazoemV_hVUQVqRpfoNae-PLk/edit"",""1!e32"")"),1363)</f>
        <v>1363</v>
      </c>
      <c r="H17" s="18">
        <f ca="1">IFERROR(__xludf.DUMMYFUNCTION("IMPORTRANGE(""https://docs.google.com/spreadsheets/d/1sHk6_yuc4kORC_xnhEeazoemV_hVUQVqRpfoNae-PLk/edit"",""1!e33"")"),0)</f>
        <v>0</v>
      </c>
      <c r="I17" s="18">
        <f t="shared" ca="1" si="12"/>
        <v>1363</v>
      </c>
      <c r="J17" s="18">
        <f ca="1">IFERROR(__xludf.DUMMYFUNCTION("IMPORTRANGE(""https://docs.google.com/spreadsheets/d/1sHk6_yuc4kORC_xnhEeazoemV_hVUQVqRpfoNae-PLk/edit"",""1!e36"")"),1818)</f>
        <v>1818</v>
      </c>
      <c r="K17" s="18">
        <f ca="1">IFERROR(__xludf.DUMMYFUNCTION("IMPORTRANGE(""https://docs.google.com/spreadsheets/d/1sHk6_yuc4kORC_xnhEeazoemV_hVUQVqRpfoNae-PLk/edit"",""1!e37"")"),0)</f>
        <v>0</v>
      </c>
      <c r="L17" s="18">
        <f t="shared" ca="1" si="42"/>
        <v>1818</v>
      </c>
      <c r="M17" s="18">
        <f t="shared" ca="1" si="14"/>
        <v>3181</v>
      </c>
      <c r="N17" s="19">
        <f t="shared" ca="1" si="15"/>
        <v>199.71466666666666</v>
      </c>
      <c r="O17" s="16">
        <v>3801</v>
      </c>
      <c r="P17" s="20">
        <f t="shared" ca="1" si="16"/>
        <v>0.83688503025519601</v>
      </c>
      <c r="Q17" s="21">
        <v>1.5</v>
      </c>
      <c r="R17" s="20">
        <f t="shared" ca="1" si="17"/>
        <v>0.44243676534077503</v>
      </c>
      <c r="S17" s="22">
        <f t="shared" ca="1" si="18"/>
        <v>0.66365514801116254</v>
      </c>
      <c r="T17" s="21">
        <f ca="1">F17/29.628</f>
        <v>161.77777777777777</v>
      </c>
      <c r="U17" s="21">
        <f t="shared" ca="1" si="19"/>
        <v>6.7407407407407405</v>
      </c>
      <c r="V17" s="18">
        <f t="shared" ca="1" si="20"/>
        <v>132.54166666666666</v>
      </c>
      <c r="W17" s="76"/>
      <c r="X17" s="8">
        <v>6</v>
      </c>
      <c r="Y17" s="8" t="s">
        <v>42</v>
      </c>
      <c r="Z17" s="8">
        <f t="shared" ref="Z17:AI17" si="51">SUM(D21)</f>
        <v>33</v>
      </c>
      <c r="AA17" s="9">
        <f t="shared" ca="1" si="51"/>
        <v>33</v>
      </c>
      <c r="AB17" s="10">
        <f t="shared" ca="1" si="51"/>
        <v>6597.2149999999901</v>
      </c>
      <c r="AC17" s="9">
        <f t="shared" ca="1" si="51"/>
        <v>3014</v>
      </c>
      <c r="AD17" s="9">
        <f t="shared" ca="1" si="51"/>
        <v>234</v>
      </c>
      <c r="AE17" s="9">
        <f t="shared" ca="1" si="51"/>
        <v>3248</v>
      </c>
      <c r="AF17" s="9">
        <f t="shared" ca="1" si="51"/>
        <v>4605</v>
      </c>
      <c r="AG17" s="9">
        <f t="shared" ca="1" si="51"/>
        <v>108</v>
      </c>
      <c r="AH17" s="9">
        <f t="shared" ca="1" si="51"/>
        <v>4713</v>
      </c>
      <c r="AI17" s="9">
        <f t="shared" ca="1" si="51"/>
        <v>7961</v>
      </c>
      <c r="AJ17" s="11">
        <f t="shared" ca="1" si="32"/>
        <v>199.91560606060577</v>
      </c>
      <c r="AK17" s="8">
        <f t="shared" si="48"/>
        <v>9877</v>
      </c>
      <c r="AL17" s="12">
        <f t="shared" ca="1" si="34"/>
        <v>0.80601397185380175</v>
      </c>
      <c r="AM17" s="13">
        <f t="shared" si="49"/>
        <v>1.5</v>
      </c>
      <c r="AN17" s="12">
        <f t="shared" ca="1" si="36"/>
        <v>0.80448088069486001</v>
      </c>
      <c r="AO17" s="14">
        <f t="shared" ca="1" si="37"/>
        <v>1.20672132104229</v>
      </c>
      <c r="AP17" s="13">
        <f t="shared" ref="AP17:AQ17" ca="1" si="52">SUM(T21)</f>
        <v>252.23532785318255</v>
      </c>
      <c r="AQ17" s="13">
        <f t="shared" ca="1" si="52"/>
        <v>7.643494783429774</v>
      </c>
      <c r="AR17" s="9">
        <f t="shared" ca="1" si="39"/>
        <v>241.24242424242425</v>
      </c>
      <c r="AS17" s="76"/>
      <c r="AT17" s="76"/>
    </row>
    <row r="18" spans="1:46" ht="15.75" customHeight="1" x14ac:dyDescent="0.25">
      <c r="A18" s="70"/>
      <c r="B18" s="16">
        <v>13</v>
      </c>
      <c r="C18" s="16" t="s">
        <v>43</v>
      </c>
      <c r="D18" s="17">
        <v>30</v>
      </c>
      <c r="E18" s="18">
        <f ca="1">IFERROR(__xludf.DUMMYFUNCTION("COUNT(IMPORTRANGE(""https://docs.google.com/spreadsheets/d/1uGXvAN2jA6kmcEHUY4KqOHHewllZsujDdA6KVDfBCoA/edit"",""1!d2:d31""))"),30)</f>
        <v>30</v>
      </c>
      <c r="F18" s="23">
        <f ca="1">IFERROR(__xludf.DUMMYFUNCTION("SUM(IMPORTRANGE(""https://docs.google.com/spreadsheets/d/1uGXvAN2jA6kmcEHUY4KqOHHewllZsujDdA6KVDfBCoA/edit"",""1!Q2:Q31""))"),6034.986)</f>
        <v>6034.9859999999999</v>
      </c>
      <c r="G18" s="18">
        <f ca="1">IFERROR(__xludf.DUMMYFUNCTION("IMPORTRANGE(""https://docs.google.com/spreadsheets/d/1uGXvAN2jA6kmcEHUY4KqOHHewllZsujDdA6KVDfBCoA/edit"",""1!e38"")"),1876)</f>
        <v>1876</v>
      </c>
      <c r="H18" s="18">
        <f ca="1">IFERROR(__xludf.DUMMYFUNCTION("IMPORTRANGE(""https://docs.google.com/spreadsheets/d/1uGXvAN2jA6kmcEHUY4KqOHHewllZsujDdA6KVDfBCoA/edit"",""1!e39"")"),79)</f>
        <v>79</v>
      </c>
      <c r="I18" s="18">
        <f t="shared" ca="1" si="12"/>
        <v>1955</v>
      </c>
      <c r="J18" s="18">
        <f ca="1">IFERROR(__xludf.DUMMYFUNCTION("IMPORTRANGE(""https://docs.google.com/spreadsheets/d/1uGXvAN2jA6kmcEHUY4KqOHHewllZsujDdA6KVDfBCoA/edit"",""1!e42"")"),2967)</f>
        <v>2967</v>
      </c>
      <c r="K18" s="18">
        <f ca="1">IFERROR(__xludf.DUMMYFUNCTION("IMPORTRANGE(""https://docs.google.com/spreadsheets/d/1uGXvAN2jA6kmcEHUY4KqOHHewllZsujDdA6KVDfBCoA/edit"",""1!e43"")"),140)</f>
        <v>140</v>
      </c>
      <c r="L18" s="18">
        <f t="shared" ca="1" si="42"/>
        <v>3107</v>
      </c>
      <c r="M18" s="18">
        <f t="shared" ca="1" si="14"/>
        <v>5062</v>
      </c>
      <c r="N18" s="19">
        <f t="shared" ca="1" si="15"/>
        <v>201.1662</v>
      </c>
      <c r="O18" s="16">
        <v>8345</v>
      </c>
      <c r="P18" s="20">
        <f t="shared" ca="1" si="16"/>
        <v>0.60659077291791497</v>
      </c>
      <c r="Q18" s="21">
        <v>1.5</v>
      </c>
      <c r="R18" s="20">
        <f t="shared" ca="1" si="17"/>
        <v>0.55918384345326844</v>
      </c>
      <c r="S18" s="22">
        <f t="shared" ca="1" si="18"/>
        <v>0.83877576517990271</v>
      </c>
      <c r="T18" s="21">
        <f ca="1">F18/41.205</f>
        <v>146.46246814706953</v>
      </c>
      <c r="U18" s="21">
        <f t="shared" ca="1" si="19"/>
        <v>4.8820822715689847</v>
      </c>
      <c r="V18" s="18">
        <f t="shared" ca="1" si="20"/>
        <v>168.73333333333332</v>
      </c>
      <c r="W18" s="76"/>
      <c r="X18" s="24" t="s">
        <v>33</v>
      </c>
      <c r="Y18" s="24">
        <v>6</v>
      </c>
      <c r="Z18" s="24">
        <f t="shared" ref="Z18:AI18" si="53">SUM(Z12:Z17)</f>
        <v>226</v>
      </c>
      <c r="AA18" s="25">
        <f t="shared" ca="1" si="53"/>
        <v>224</v>
      </c>
      <c r="AB18" s="27">
        <f t="shared" ca="1" si="53"/>
        <v>44273.508999999875</v>
      </c>
      <c r="AC18" s="25">
        <f t="shared" ca="1" si="53"/>
        <v>17564</v>
      </c>
      <c r="AD18" s="25">
        <f t="shared" ca="1" si="53"/>
        <v>535</v>
      </c>
      <c r="AE18" s="25">
        <f t="shared" ca="1" si="53"/>
        <v>18099</v>
      </c>
      <c r="AF18" s="25">
        <f t="shared" ca="1" si="53"/>
        <v>24048</v>
      </c>
      <c r="AG18" s="25">
        <f t="shared" ca="1" si="53"/>
        <v>386</v>
      </c>
      <c r="AH18" s="25">
        <f t="shared" ca="1" si="53"/>
        <v>24434</v>
      </c>
      <c r="AI18" s="25">
        <f t="shared" ca="1" si="53"/>
        <v>42533</v>
      </c>
      <c r="AJ18" s="27">
        <f t="shared" ca="1" si="32"/>
        <v>197.64959374999944</v>
      </c>
      <c r="AK18" s="24">
        <f>SUM(AK12:AK17)</f>
        <v>53273</v>
      </c>
      <c r="AL18" s="28">
        <f t="shared" ca="1" si="34"/>
        <v>0.79839693653445465</v>
      </c>
      <c r="AM18" s="29">
        <v>1.5</v>
      </c>
      <c r="AN18" s="28">
        <f t="shared" ca="1" si="36"/>
        <v>0.6404582327850592</v>
      </c>
      <c r="AO18" s="30">
        <f t="shared" ca="1" si="37"/>
        <v>0.9606873491775888</v>
      </c>
      <c r="AP18" s="29">
        <f ca="1">SUM(AP12:AP17)</f>
        <v>1456.7548361466365</v>
      </c>
      <c r="AQ18" s="29">
        <f ca="1">AP18/AA18</f>
        <v>6.5033698042260557</v>
      </c>
      <c r="AR18" s="25">
        <f t="shared" ca="1" si="39"/>
        <v>189.87946428571428</v>
      </c>
      <c r="AS18" s="76"/>
      <c r="AT18" s="76"/>
    </row>
    <row r="19" spans="1:46" ht="15.75" customHeight="1" x14ac:dyDescent="0.25">
      <c r="A19" s="70"/>
      <c r="B19" s="16">
        <v>14</v>
      </c>
      <c r="C19" s="16" t="s">
        <v>27</v>
      </c>
      <c r="D19" s="17">
        <v>30</v>
      </c>
      <c r="E19" s="18">
        <f ca="1">IFERROR(__xludf.DUMMYFUNCTION("COUNT(IMPORTRANGE(""https://docs.google.com/spreadsheets/d/1iYtf3wkjJIgOL8ej0-L89wY8FLXKi6EiRbi9UqA1Bzw/edit"",""1!d2:d31""))"),29)</f>
        <v>29</v>
      </c>
      <c r="F19" s="23">
        <f ca="1">IFERROR(__xludf.DUMMYFUNCTION("SUM(IMPORTRANGE(""https://docs.google.com/spreadsheets/d/1iYtf3wkjJIgOL8ej0-L89wY8FLXKi6EiRbi9UqA1Bzw/edit"",""1!Q2:Q31""))"),5631.663)</f>
        <v>5631.6629999999996</v>
      </c>
      <c r="G19" s="18">
        <f ca="1">IFERROR(__xludf.DUMMYFUNCTION("IMPORTRANGE(""https://docs.google.com/spreadsheets/d/1iYtf3wkjJIgOL8ej0-L89wY8FLXKi6EiRbi9UqA1Bzw/edit"",""1!e38"")"),2486)</f>
        <v>2486</v>
      </c>
      <c r="H19" s="18">
        <f ca="1">IFERROR(__xludf.DUMMYFUNCTION("IMPORTRANGE(""https://docs.google.com/spreadsheets/d/1iYtf3wkjJIgOL8ej0-L89wY8FLXKi6EiRbi9UqA1Bzw/edit"",""1!e39"")"),80)</f>
        <v>80</v>
      </c>
      <c r="I19" s="18">
        <f t="shared" ca="1" si="12"/>
        <v>2566</v>
      </c>
      <c r="J19" s="18">
        <f ca="1">IFERROR(__xludf.DUMMYFUNCTION("IMPORTRANGE(""https://docs.google.com/spreadsheets/d/1iYtf3wkjJIgOL8ej0-L89wY8FLXKi6EiRbi9UqA1Bzw/edit"",""1!e42"")"),2945)</f>
        <v>2945</v>
      </c>
      <c r="K19" s="18">
        <f ca="1">IFERROR(__xludf.DUMMYFUNCTION("IMPORTRANGE(""https://docs.google.com/spreadsheets/d/1iYtf3wkjJIgOL8ej0-L89wY8FLXKi6EiRbi9UqA1Bzw/edit"",""1!e43"")"),88)</f>
        <v>88</v>
      </c>
      <c r="L19" s="18">
        <f t="shared" ca="1" si="42"/>
        <v>3033</v>
      </c>
      <c r="M19" s="18">
        <f t="shared" ca="1" si="14"/>
        <v>5599</v>
      </c>
      <c r="N19" s="19">
        <f t="shared" ca="1" si="15"/>
        <v>194.19527586206894</v>
      </c>
      <c r="O19" s="16">
        <v>8101</v>
      </c>
      <c r="P19" s="20">
        <f t="shared" ca="1" si="16"/>
        <v>0.69114924083446483</v>
      </c>
      <c r="Q19" s="21">
        <v>1.5</v>
      </c>
      <c r="R19" s="20">
        <f t="shared" ca="1" si="17"/>
        <v>0.66280007640135197</v>
      </c>
      <c r="S19" s="22">
        <f t="shared" ca="1" si="18"/>
        <v>0.99420011460202795</v>
      </c>
      <c r="T19" s="21">
        <f ca="1">F19/19.985</f>
        <v>281.79449587190391</v>
      </c>
      <c r="U19" s="21">
        <f t="shared" ca="1" si="19"/>
        <v>9.7170515817897893</v>
      </c>
      <c r="V19" s="18">
        <f t="shared" ca="1" si="20"/>
        <v>193.06896551724137</v>
      </c>
      <c r="W19" s="76"/>
      <c r="X19" s="97" t="s">
        <v>44</v>
      </c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9"/>
      <c r="AS19" s="76"/>
      <c r="AT19" s="76"/>
    </row>
    <row r="20" spans="1:46" ht="15.75" customHeight="1" x14ac:dyDescent="0.25">
      <c r="A20" s="70"/>
      <c r="B20" s="16">
        <v>15</v>
      </c>
      <c r="C20" s="16" t="s">
        <v>40</v>
      </c>
      <c r="D20" s="17">
        <v>30</v>
      </c>
      <c r="E20" s="18">
        <f ca="1">IFERROR(__xludf.DUMMYFUNCTION("COUNT(IMPORTRANGE(""https://docs.google.com/spreadsheets/d/1Wdf8MsoDBzMSsrzOXwaGQzbVjVqOWfKSqYmbncevZgA/edit"",""1!d2:d31""))"),30)</f>
        <v>30</v>
      </c>
      <c r="F20" s="23">
        <f ca="1">IFERROR(__xludf.DUMMYFUNCTION("SUM(IMPORTRANGE(""https://docs.google.com/spreadsheets/d/1Wdf8MsoDBzMSsrzOXwaGQzbVjVqOWfKSqYmbncevZgA/edit"",""1!Q2:Q31""))"),5660.15699999999)</f>
        <v>5660.1569999999901</v>
      </c>
      <c r="G20" s="18">
        <f ca="1">IFERROR(__xludf.DUMMYFUNCTION("IMPORTRANGE(""https://docs.google.com/spreadsheets/d/1Wdf8MsoDBzMSsrzOXwaGQzbVjVqOWfKSqYmbncevZgA/edit"",""1!e38"")"),3382)</f>
        <v>3382</v>
      </c>
      <c r="H20" s="18">
        <f ca="1">IFERROR(__xludf.DUMMYFUNCTION("IMPORTRANGE(""https://docs.google.com/spreadsheets/d/1Wdf8MsoDBzMSsrzOXwaGQzbVjVqOWfKSqYmbncevZgA/edit"",""1!e39"")"),0)</f>
        <v>0</v>
      </c>
      <c r="I20" s="18">
        <f t="shared" ca="1" si="12"/>
        <v>3382</v>
      </c>
      <c r="J20" s="18">
        <f ca="1">IFERROR(__xludf.DUMMYFUNCTION("IMPORTRANGE(""https://docs.google.com/spreadsheets/d/1Wdf8MsoDBzMSsrzOXwaGQzbVjVqOWfKSqYmbncevZgA/edit"",""1!e42"")"),3798)</f>
        <v>3798</v>
      </c>
      <c r="K20" s="18">
        <f ca="1">IFERROR(__xludf.DUMMYFUNCTION("IMPORTRANGE(""https://docs.google.com/spreadsheets/d/1Wdf8MsoDBzMSsrzOXwaGQzbVjVqOWfKSqYmbncevZgA/edit"",""1!e43"")"),0)</f>
        <v>0</v>
      </c>
      <c r="L20" s="18">
        <f t="shared" ca="1" si="42"/>
        <v>3798</v>
      </c>
      <c r="M20" s="18">
        <f t="shared" ca="1" si="14"/>
        <v>7180</v>
      </c>
      <c r="N20" s="19">
        <f t="shared" ca="1" si="15"/>
        <v>188.67189999999968</v>
      </c>
      <c r="O20" s="16">
        <v>8239</v>
      </c>
      <c r="P20" s="20">
        <f t="shared" ca="1" si="16"/>
        <v>0.8714649836145163</v>
      </c>
      <c r="Q20" s="21">
        <v>1.5</v>
      </c>
      <c r="R20" s="20">
        <f t="shared" ca="1" si="17"/>
        <v>0.84567736666433013</v>
      </c>
      <c r="S20" s="22">
        <f t="shared" ca="1" si="18"/>
        <v>1.2685160499964951</v>
      </c>
      <c r="T20" s="21">
        <f ca="1">F20/28.443</f>
        <v>198.99999999999963</v>
      </c>
      <c r="U20" s="21">
        <f t="shared" ca="1" si="19"/>
        <v>6.6333333333333213</v>
      </c>
      <c r="V20" s="18">
        <f t="shared" ca="1" si="20"/>
        <v>239.33333333333334</v>
      </c>
      <c r="W20" s="76"/>
      <c r="X20" s="1" t="s">
        <v>2</v>
      </c>
      <c r="Y20" s="1" t="s">
        <v>3</v>
      </c>
      <c r="Z20" s="1" t="s">
        <v>4</v>
      </c>
      <c r="AA20" s="1" t="s">
        <v>5</v>
      </c>
      <c r="AB20" s="2" t="s">
        <v>6</v>
      </c>
      <c r="AC20" s="1" t="s">
        <v>7</v>
      </c>
      <c r="AD20" s="1" t="s">
        <v>8</v>
      </c>
      <c r="AE20" s="1" t="s">
        <v>9</v>
      </c>
      <c r="AF20" s="1" t="s">
        <v>10</v>
      </c>
      <c r="AG20" s="1" t="s">
        <v>11</v>
      </c>
      <c r="AH20" s="1" t="s">
        <v>12</v>
      </c>
      <c r="AI20" s="1" t="s">
        <v>13</v>
      </c>
      <c r="AJ20" s="2" t="s">
        <v>14</v>
      </c>
      <c r="AK20" s="1" t="s">
        <v>15</v>
      </c>
      <c r="AL20" s="1" t="s">
        <v>16</v>
      </c>
      <c r="AM20" s="3" t="s">
        <v>17</v>
      </c>
      <c r="AN20" s="4" t="s">
        <v>18</v>
      </c>
      <c r="AO20" s="5" t="s">
        <v>19</v>
      </c>
      <c r="AP20" s="6" t="s">
        <v>20</v>
      </c>
      <c r="AQ20" s="6" t="s">
        <v>21</v>
      </c>
      <c r="AR20" s="7" t="s">
        <v>22</v>
      </c>
      <c r="AS20" s="76"/>
      <c r="AT20" s="76"/>
    </row>
    <row r="21" spans="1:46" ht="15.75" customHeight="1" x14ac:dyDescent="0.25">
      <c r="A21" s="70"/>
      <c r="B21" s="16">
        <v>16</v>
      </c>
      <c r="C21" s="16" t="s">
        <v>42</v>
      </c>
      <c r="D21" s="17">
        <v>33</v>
      </c>
      <c r="E21" s="18">
        <f ca="1">IFERROR(__xludf.DUMMYFUNCTION("COUNT(IMPORTRANGE(""https://docs.google.com/spreadsheets/d/1Z5uB5HbeAKcHmG4EOw3rf2J8NpyvDiha6RReERAMvA0/edit"",""1!d2:d34""))"),33)</f>
        <v>33</v>
      </c>
      <c r="F21" s="23">
        <f ca="1">IFERROR(__xludf.DUMMYFUNCTION("SUM(IMPORTRANGE(""https://docs.google.com/spreadsheets/d/1Z5uB5HbeAKcHmG4EOw3rf2J8NpyvDiha6RReERAMvA0/edit"",""1!Q2:Q34""))"),6597.21499999999)</f>
        <v>6597.2149999999901</v>
      </c>
      <c r="G21" s="18">
        <f ca="1">IFERROR(__xludf.DUMMYFUNCTION("IMPORTRANGE(""https://docs.google.com/spreadsheets/d/1Z5uB5HbeAKcHmG4EOw3rf2J8NpyvDiha6RReERAMvA0/edit"",""1!e41"")"),3014)</f>
        <v>3014</v>
      </c>
      <c r="H21" s="18">
        <f ca="1">IFERROR(__xludf.DUMMYFUNCTION("IMPORTRANGE(""https://docs.google.com/spreadsheets/d/1Z5uB5HbeAKcHmG4EOw3rf2J8NpyvDiha6RReERAMvA0/edit"",""1!e42"")"),234)</f>
        <v>234</v>
      </c>
      <c r="I21" s="18">
        <f t="shared" ca="1" si="12"/>
        <v>3248</v>
      </c>
      <c r="J21" s="18">
        <f ca="1">IFERROR(__xludf.DUMMYFUNCTION("IMPORTRANGE(""https://docs.google.com/spreadsheets/d/1Z5uB5HbeAKcHmG4EOw3rf2J8NpyvDiha6RReERAMvA0/edit"",""1!e45"")"),4605)</f>
        <v>4605</v>
      </c>
      <c r="K21" s="18">
        <f ca="1">IFERROR(__xludf.DUMMYFUNCTION("IMPORTRANGE(""https://docs.google.com/spreadsheets/d/1Z5uB5HbeAKcHmG4EOw3rf2J8NpyvDiha6RReERAMvA0/edit"",""1!e46"")"),108)</f>
        <v>108</v>
      </c>
      <c r="L21" s="18">
        <f t="shared" ca="1" si="42"/>
        <v>4713</v>
      </c>
      <c r="M21" s="18">
        <f t="shared" ca="1" si="14"/>
        <v>7961</v>
      </c>
      <c r="N21" s="19">
        <f t="shared" ca="1" si="15"/>
        <v>199.91560606060577</v>
      </c>
      <c r="O21" s="16">
        <v>9877</v>
      </c>
      <c r="P21" s="20">
        <f t="shared" ca="1" si="16"/>
        <v>0.80601397185380175</v>
      </c>
      <c r="Q21" s="21">
        <v>1.5</v>
      </c>
      <c r="R21" s="20">
        <f t="shared" ca="1" si="17"/>
        <v>0.80448088069486001</v>
      </c>
      <c r="S21" s="22">
        <f t="shared" ca="1" si="18"/>
        <v>1.20672132104229</v>
      </c>
      <c r="T21" s="21">
        <f ca="1">F21/26.155</f>
        <v>252.23532785318255</v>
      </c>
      <c r="U21" s="21">
        <f t="shared" ca="1" si="19"/>
        <v>7.643494783429774</v>
      </c>
      <c r="V21" s="18">
        <f t="shared" ca="1" si="20"/>
        <v>241.24242424242425</v>
      </c>
      <c r="W21" s="76"/>
      <c r="X21" s="8">
        <v>1</v>
      </c>
      <c r="Y21" s="8" t="s">
        <v>26</v>
      </c>
      <c r="Z21" s="8">
        <f t="shared" ref="Z21:AI21" si="54">SUM(D6)</f>
        <v>20</v>
      </c>
      <c r="AA21" s="9">
        <f t="shared" ca="1" si="54"/>
        <v>20</v>
      </c>
      <c r="AB21" s="11">
        <f t="shared" ca="1" si="54"/>
        <v>3935.2949999999901</v>
      </c>
      <c r="AC21" s="9">
        <f t="shared" ca="1" si="54"/>
        <v>2229</v>
      </c>
      <c r="AD21" s="9">
        <f t="shared" ca="1" si="54"/>
        <v>0</v>
      </c>
      <c r="AE21" s="9">
        <f t="shared" ca="1" si="54"/>
        <v>2229</v>
      </c>
      <c r="AF21" s="9">
        <f t="shared" ca="1" si="54"/>
        <v>2661</v>
      </c>
      <c r="AG21" s="9">
        <f t="shared" ca="1" si="54"/>
        <v>47</v>
      </c>
      <c r="AH21" s="9">
        <f t="shared" ca="1" si="54"/>
        <v>2708</v>
      </c>
      <c r="AI21" s="9">
        <f t="shared" ca="1" si="54"/>
        <v>4937</v>
      </c>
      <c r="AJ21" s="11">
        <f t="shared" ref="AJ21:AJ27" ca="1" si="55">AB21/AA21</f>
        <v>196.76474999999951</v>
      </c>
      <c r="AK21" s="8">
        <f>SUM(O6)</f>
        <v>5161</v>
      </c>
      <c r="AL21" s="12">
        <f t="shared" ref="AL21:AL27" ca="1" si="56">AI21/AK21</f>
        <v>0.95659755861267193</v>
      </c>
      <c r="AM21" s="13">
        <f>SUM(Q6)</f>
        <v>1.5</v>
      </c>
      <c r="AN21" s="12">
        <f t="shared" ref="AN21:AN27" ca="1" si="57">AO21/AM21</f>
        <v>0.8363625429182161</v>
      </c>
      <c r="AO21" s="14">
        <f t="shared" ref="AO21:AO27" ca="1" si="58">AI21/AB21</f>
        <v>1.2545438143773242</v>
      </c>
      <c r="AP21" s="13">
        <f t="shared" ref="AP21:AQ21" ca="1" si="59">SUM(T6)</f>
        <v>272.99999999999932</v>
      </c>
      <c r="AQ21" s="13">
        <f t="shared" ca="1" si="59"/>
        <v>13.649999999999967</v>
      </c>
      <c r="AR21" s="9">
        <f t="shared" ref="AR21:AR27" ca="1" si="60">AI21/AA21</f>
        <v>246.85</v>
      </c>
      <c r="AS21" s="76"/>
      <c r="AT21" s="76"/>
    </row>
    <row r="22" spans="1:46" ht="15.75" customHeight="1" x14ac:dyDescent="0.25">
      <c r="A22" s="70"/>
      <c r="B22" s="16">
        <v>17</v>
      </c>
      <c r="C22" s="16" t="s">
        <v>29</v>
      </c>
      <c r="D22" s="17">
        <v>30</v>
      </c>
      <c r="E22" s="18">
        <f ca="1">IFERROR(__xludf.DUMMYFUNCTION("COUNT(IMPORTRANGE(""https://docs.google.com/spreadsheets/d/1wfJqI0e9wVPqEQv3N6b8KgINjqI0OBECEyIFeY9j3i8/edit"",""1!d2:d31""))"),29)</f>
        <v>29</v>
      </c>
      <c r="F22" s="23">
        <f ca="1">IFERROR(__xludf.DUMMYFUNCTION("SUM(IMPORTRANGE(""https://docs.google.com/spreadsheets/d/1wfJqI0e9wVPqEQv3N6b8KgINjqI0OBECEyIFeY9j3i8/edit"",""1!Q2:Q31""))"),5722.05599999999)</f>
        <v>5722.0559999999896</v>
      </c>
      <c r="G22" s="18">
        <f ca="1">IFERROR(__xludf.DUMMYFUNCTION("IMPORTRANGE(""https://docs.google.com/spreadsheets/d/1wfJqI0e9wVPqEQv3N6b8KgINjqI0OBECEyIFeY9j3i8/edit"",""1!e38"")"),2610)</f>
        <v>2610</v>
      </c>
      <c r="H22" s="18">
        <f ca="1">IFERROR(__xludf.DUMMYFUNCTION("IMPORTRANGE(""https://docs.google.com/spreadsheets/d/1wfJqI0e9wVPqEQv3N6b8KgINjqI0OBECEyIFeY9j3i8/edit"",""1!e39"")"),0)</f>
        <v>0</v>
      </c>
      <c r="I22" s="18">
        <f t="shared" ca="1" si="12"/>
        <v>2610</v>
      </c>
      <c r="J22" s="18">
        <f ca="1">IFERROR(__xludf.DUMMYFUNCTION("IMPORTRANGE(""https://docs.google.com/spreadsheets/d/1wfJqI0e9wVPqEQv3N6b8KgINjqI0OBECEyIFeY9j3i8/edit"",""1!e42"")"),4378)</f>
        <v>4378</v>
      </c>
      <c r="K22" s="18">
        <f ca="1">IFERROR(__xludf.DUMMYFUNCTION("IMPORTRANGE(""https://docs.google.com/spreadsheets/d/1wfJqI0e9wVPqEQv3N6b8KgINjqI0OBECEyIFeY9j3i8/edit"",""1!e43"")"),0)</f>
        <v>0</v>
      </c>
      <c r="L22" s="18">
        <f t="shared" ca="1" si="42"/>
        <v>4378</v>
      </c>
      <c r="M22" s="18">
        <f t="shared" ca="1" si="14"/>
        <v>6988</v>
      </c>
      <c r="N22" s="19">
        <f t="shared" ca="1" si="15"/>
        <v>197.31227586206862</v>
      </c>
      <c r="O22" s="16">
        <v>9201</v>
      </c>
      <c r="P22" s="20">
        <f t="shared" ca="1" si="16"/>
        <v>0.7594826649277252</v>
      </c>
      <c r="Q22" s="21">
        <v>1.5</v>
      </c>
      <c r="R22" s="20">
        <f t="shared" ca="1" si="17"/>
        <v>0.81415957248000981</v>
      </c>
      <c r="S22" s="22">
        <f t="shared" ca="1" si="18"/>
        <v>1.2212393587200148</v>
      </c>
      <c r="T22" s="21">
        <f ca="1">F22/26.491</f>
        <v>215.9999999999996</v>
      </c>
      <c r="U22" s="21">
        <f t="shared" ca="1" si="19"/>
        <v>7.448275862068952</v>
      </c>
      <c r="V22" s="18">
        <f t="shared" ca="1" si="20"/>
        <v>240.9655172413793</v>
      </c>
      <c r="W22" s="76"/>
      <c r="X22" s="8">
        <v>2</v>
      </c>
      <c r="Y22" s="8" t="s">
        <v>32</v>
      </c>
      <c r="Z22" s="8">
        <f t="shared" ref="Z22:AI22" si="61">SUM(D9)</f>
        <v>42</v>
      </c>
      <c r="AA22" s="9">
        <f t="shared" ca="1" si="61"/>
        <v>42</v>
      </c>
      <c r="AB22" s="10">
        <f t="shared" ca="1" si="61"/>
        <v>8240.6619999999893</v>
      </c>
      <c r="AC22" s="8">
        <f t="shared" ca="1" si="61"/>
        <v>4515</v>
      </c>
      <c r="AD22" s="8">
        <f t="shared" ca="1" si="61"/>
        <v>0</v>
      </c>
      <c r="AE22" s="9">
        <f t="shared" ca="1" si="61"/>
        <v>4515</v>
      </c>
      <c r="AF22" s="8">
        <f t="shared" ca="1" si="61"/>
        <v>5726</v>
      </c>
      <c r="AG22" s="8">
        <f t="shared" ca="1" si="61"/>
        <v>0</v>
      </c>
      <c r="AH22" s="9">
        <f t="shared" ca="1" si="61"/>
        <v>5726</v>
      </c>
      <c r="AI22" s="9">
        <f t="shared" ca="1" si="61"/>
        <v>10241</v>
      </c>
      <c r="AJ22" s="11">
        <f t="shared" ca="1" si="55"/>
        <v>196.20623809523784</v>
      </c>
      <c r="AK22" s="8">
        <f>SUM(O9)</f>
        <v>13817</v>
      </c>
      <c r="AL22" s="12">
        <f t="shared" ca="1" si="56"/>
        <v>0.74118839111239776</v>
      </c>
      <c r="AM22" s="13">
        <f>SUM(Q9)</f>
        <v>1.5</v>
      </c>
      <c r="AN22" s="12">
        <f t="shared" ca="1" si="57"/>
        <v>0.82849330955854539</v>
      </c>
      <c r="AO22" s="14">
        <f t="shared" ca="1" si="58"/>
        <v>1.2427399643378181</v>
      </c>
      <c r="AP22" s="13">
        <f t="shared" ref="AP22:AQ22" ca="1" si="62">SUM(T9)</f>
        <v>328.45717246602055</v>
      </c>
      <c r="AQ22" s="13">
        <f t="shared" ca="1" si="62"/>
        <v>7.8204088682385846</v>
      </c>
      <c r="AR22" s="9">
        <f t="shared" ca="1" si="60"/>
        <v>243.83333333333334</v>
      </c>
      <c r="AS22" s="76"/>
      <c r="AT22" s="76"/>
    </row>
    <row r="23" spans="1:46" ht="15.75" customHeight="1" x14ac:dyDescent="0.25">
      <c r="A23" s="70"/>
      <c r="B23" s="16">
        <v>18</v>
      </c>
      <c r="C23" s="16" t="s">
        <v>31</v>
      </c>
      <c r="D23" s="17">
        <v>15</v>
      </c>
      <c r="E23" s="18">
        <f ca="1">IFERROR(__xludf.DUMMYFUNCTION("COUNT(IMPORTRANGE(""https://docs.google.com/spreadsheets/d/1-y2KhTAo7d8kowgUuWUDfRQuRMUAFteRYEXorT3_wOs/edit"",""1!d2:d16""))"),14)</f>
        <v>14</v>
      </c>
      <c r="F23" s="19">
        <f ca="1">IFERROR(__xludf.DUMMYFUNCTION("SUM(IMPORTRANGE(""https://docs.google.com/spreadsheets/d/1-y2KhTAo7d8kowgUuWUDfRQuRMUAFteRYEXorT3_wOs/edit"",""1!Q2:Q16""))"),2520.96999999999)</f>
        <v>2520.9699999999898</v>
      </c>
      <c r="G23" s="18">
        <f ca="1">IFERROR(__xludf.DUMMYFUNCTION("IMPORTRANGE(""https://docs.google.com/spreadsheets/d/1-y2KhTAo7d8kowgUuWUDfRQuRMUAFteRYEXorT3_wOs/edit"",""1!e23"")"),633)</f>
        <v>633</v>
      </c>
      <c r="H23" s="18">
        <f ca="1">IFERROR(__xludf.DUMMYFUNCTION("IMPORTRANGE(""https://docs.google.com/spreadsheets/d/1-y2KhTAo7d8kowgUuWUDfRQuRMUAFteRYEXorT3_wOs/edit"",""1!e24"")"),0)</f>
        <v>0</v>
      </c>
      <c r="I23" s="18">
        <f t="shared" ca="1" si="12"/>
        <v>633</v>
      </c>
      <c r="J23" s="18">
        <f ca="1">IFERROR(__xludf.DUMMYFUNCTION("IMPORTRANGE(""https://docs.google.com/spreadsheets/d/1-y2KhTAo7d8kowgUuWUDfRQuRMUAFteRYEXorT3_wOs/edit"",""1!e27"")"),1148)</f>
        <v>1148</v>
      </c>
      <c r="K23" s="18">
        <f ca="1">IFERROR(__xludf.DUMMYFUNCTION("IMPORTRANGE(""https://docs.google.com/spreadsheets/d/1-y2KhTAo7d8kowgUuWUDfRQuRMUAFteRYEXorT3_wOs/edit"",""1!e28"")"),15)</f>
        <v>15</v>
      </c>
      <c r="L23" s="18">
        <f t="shared" ca="1" si="42"/>
        <v>1163</v>
      </c>
      <c r="M23" s="18">
        <f t="shared" ca="1" si="14"/>
        <v>1796</v>
      </c>
      <c r="N23" s="19">
        <f t="shared" ca="1" si="15"/>
        <v>180.06928571428497</v>
      </c>
      <c r="O23" s="16">
        <v>2717</v>
      </c>
      <c r="P23" s="20">
        <f t="shared" ca="1" si="16"/>
        <v>0.6610231873389768</v>
      </c>
      <c r="Q23" s="21">
        <v>1.5</v>
      </c>
      <c r="R23" s="20">
        <f t="shared" ca="1" si="17"/>
        <v>0.47494945728562343</v>
      </c>
      <c r="S23" s="22">
        <f t="shared" ca="1" si="18"/>
        <v>0.71242418592843515</v>
      </c>
      <c r="T23" s="21">
        <f ca="1">F23/43.465</f>
        <v>57.999999999999758</v>
      </c>
      <c r="U23" s="21">
        <f t="shared" ca="1" si="19"/>
        <v>4.1428571428571255</v>
      </c>
      <c r="V23" s="18">
        <f t="shared" ca="1" si="20"/>
        <v>128.28571428571428</v>
      </c>
      <c r="W23" s="76"/>
      <c r="X23" s="8">
        <v>3</v>
      </c>
      <c r="Y23" s="8" t="s">
        <v>36</v>
      </c>
      <c r="Z23" s="8">
        <f t="shared" ref="Z23:AI23" si="63">SUM(D14)</f>
        <v>30</v>
      </c>
      <c r="AA23" s="9">
        <f t="shared" ca="1" si="63"/>
        <v>29</v>
      </c>
      <c r="AB23" s="10">
        <f t="shared" ca="1" si="63"/>
        <v>4875.3449999999903</v>
      </c>
      <c r="AC23" s="9">
        <f t="shared" ca="1" si="63"/>
        <v>1728</v>
      </c>
      <c r="AD23" s="9">
        <f t="shared" ca="1" si="63"/>
        <v>0</v>
      </c>
      <c r="AE23" s="9">
        <f t="shared" ca="1" si="63"/>
        <v>1728</v>
      </c>
      <c r="AF23" s="9">
        <f t="shared" ca="1" si="63"/>
        <v>2407</v>
      </c>
      <c r="AG23" s="9">
        <f t="shared" ca="1" si="63"/>
        <v>20</v>
      </c>
      <c r="AH23" s="9">
        <f t="shared" ca="1" si="63"/>
        <v>2427</v>
      </c>
      <c r="AI23" s="9">
        <f t="shared" ca="1" si="63"/>
        <v>4155</v>
      </c>
      <c r="AJ23" s="11">
        <f t="shared" ca="1" si="55"/>
        <v>168.11534482758586</v>
      </c>
      <c r="AK23" s="8">
        <f t="shared" ref="AK23:AK26" si="64">SUM(O14)</f>
        <v>4796</v>
      </c>
      <c r="AL23" s="12">
        <f t="shared" ca="1" si="56"/>
        <v>0.86634695579649712</v>
      </c>
      <c r="AM23" s="13">
        <f t="shared" ref="AM23:AM26" si="65">SUM(Q14)</f>
        <v>1.5</v>
      </c>
      <c r="AN23" s="12">
        <f t="shared" ca="1" si="57"/>
        <v>0.56816491961081839</v>
      </c>
      <c r="AO23" s="14">
        <f t="shared" ca="1" si="58"/>
        <v>0.85224737941622764</v>
      </c>
      <c r="AP23" s="13">
        <f t="shared" ref="AP23:AQ23" ca="1" si="66">SUM(T14)</f>
        <v>130.30803977120837</v>
      </c>
      <c r="AQ23" s="13">
        <f t="shared" ca="1" si="66"/>
        <v>4.4933806817658057</v>
      </c>
      <c r="AR23" s="9">
        <f t="shared" ca="1" si="60"/>
        <v>143.27586206896552</v>
      </c>
      <c r="AS23" s="76"/>
      <c r="AT23" s="76"/>
    </row>
    <row r="24" spans="1:46" ht="15.75" customHeight="1" x14ac:dyDescent="0.2">
      <c r="A24" s="70"/>
      <c r="B24" s="98" t="s">
        <v>33</v>
      </c>
      <c r="C24" s="98">
        <v>18</v>
      </c>
      <c r="D24" s="98">
        <f t="shared" ref="D24:M24" si="67">SUM(D6:D23)</f>
        <v>586</v>
      </c>
      <c r="E24" s="74">
        <f t="shared" ca="1" si="67"/>
        <v>576</v>
      </c>
      <c r="F24" s="99">
        <f t="shared" ca="1" si="67"/>
        <v>111449.62299999983</v>
      </c>
      <c r="G24" s="74">
        <f t="shared" ca="1" si="67"/>
        <v>41757</v>
      </c>
      <c r="H24" s="74">
        <f t="shared" ca="1" si="67"/>
        <v>946</v>
      </c>
      <c r="I24" s="74">
        <f t="shared" ca="1" si="67"/>
        <v>42703</v>
      </c>
      <c r="J24" s="74">
        <f t="shared" ca="1" si="67"/>
        <v>57855</v>
      </c>
      <c r="K24" s="74">
        <f t="shared" ca="1" si="67"/>
        <v>875</v>
      </c>
      <c r="L24" s="74">
        <f t="shared" ca="1" si="67"/>
        <v>58730</v>
      </c>
      <c r="M24" s="74">
        <f t="shared" ca="1" si="67"/>
        <v>101433</v>
      </c>
      <c r="N24" s="99">
        <f t="shared" ca="1" si="15"/>
        <v>193.48892881944414</v>
      </c>
      <c r="O24" s="98">
        <f>SUM(O6:O23)</f>
        <v>126399</v>
      </c>
      <c r="P24" s="69">
        <f t="shared" ca="1" si="16"/>
        <v>0.80248261457764702</v>
      </c>
      <c r="Q24" s="72">
        <v>1.5</v>
      </c>
      <c r="R24" s="69">
        <f t="shared" ca="1" si="17"/>
        <v>0.60674947280889502</v>
      </c>
      <c r="S24" s="73">
        <f t="shared" ca="1" si="18"/>
        <v>0.91012420921334258</v>
      </c>
      <c r="T24" s="72">
        <f ca="1">SUM(T6:T23)</f>
        <v>4122.0222656605656</v>
      </c>
      <c r="U24" s="72">
        <f t="shared" ca="1" si="19"/>
        <v>7.1562886556607044</v>
      </c>
      <c r="V24" s="74">
        <f t="shared" ca="1" si="20"/>
        <v>176.09895833333334</v>
      </c>
      <c r="W24" s="76"/>
      <c r="X24" s="8">
        <v>4</v>
      </c>
      <c r="Y24" s="8" t="s">
        <v>37</v>
      </c>
      <c r="Z24" s="8">
        <f t="shared" ref="Z24:AI24" si="68">SUM(D15)</f>
        <v>30</v>
      </c>
      <c r="AA24" s="9">
        <f t="shared" ca="1" si="68"/>
        <v>28</v>
      </c>
      <c r="AB24" s="10">
        <f t="shared" ca="1" si="68"/>
        <v>5465.1</v>
      </c>
      <c r="AC24" s="9">
        <f t="shared" ca="1" si="68"/>
        <v>2135</v>
      </c>
      <c r="AD24" s="9">
        <f t="shared" ca="1" si="68"/>
        <v>0</v>
      </c>
      <c r="AE24" s="9">
        <f t="shared" ca="1" si="68"/>
        <v>2135</v>
      </c>
      <c r="AF24" s="9">
        <f t="shared" ca="1" si="68"/>
        <v>3182</v>
      </c>
      <c r="AG24" s="9">
        <f t="shared" ca="1" si="68"/>
        <v>0</v>
      </c>
      <c r="AH24" s="9">
        <f t="shared" ca="1" si="68"/>
        <v>3182</v>
      </c>
      <c r="AI24" s="9">
        <f t="shared" ca="1" si="68"/>
        <v>5317</v>
      </c>
      <c r="AJ24" s="11">
        <f t="shared" ca="1" si="55"/>
        <v>195.18214285714288</v>
      </c>
      <c r="AK24" s="8">
        <f t="shared" si="64"/>
        <v>5887</v>
      </c>
      <c r="AL24" s="12">
        <f t="shared" ca="1" si="56"/>
        <v>0.90317649057244775</v>
      </c>
      <c r="AM24" s="13">
        <f t="shared" si="65"/>
        <v>1.5</v>
      </c>
      <c r="AN24" s="12">
        <f t="shared" ca="1" si="57"/>
        <v>0.64860051356181347</v>
      </c>
      <c r="AO24" s="14">
        <f t="shared" ca="1" si="58"/>
        <v>0.97290077034272016</v>
      </c>
      <c r="AP24" s="13">
        <f t="shared" ref="AP24:AQ24" ca="1" si="69">SUM(T15)</f>
        <v>220.4380445304937</v>
      </c>
      <c r="AQ24" s="13">
        <f t="shared" ca="1" si="69"/>
        <v>7.8727873046604895</v>
      </c>
      <c r="AR24" s="9">
        <f t="shared" ca="1" si="60"/>
        <v>189.89285714285714</v>
      </c>
      <c r="AS24" s="76"/>
      <c r="AT24" s="76"/>
    </row>
    <row r="25" spans="1:46" ht="15.75" customHeight="1" x14ac:dyDescent="0.2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6"/>
      <c r="X25" s="8">
        <v>5</v>
      </c>
      <c r="Y25" s="8" t="s">
        <v>39</v>
      </c>
      <c r="Z25" s="8">
        <f t="shared" ref="Z25:AI25" si="70">SUM(D16)</f>
        <v>28</v>
      </c>
      <c r="AA25" s="9">
        <f t="shared" ca="1" si="70"/>
        <v>27</v>
      </c>
      <c r="AB25" s="10">
        <f t="shared" ca="1" si="70"/>
        <v>5318.4589999999998</v>
      </c>
      <c r="AC25" s="9">
        <f t="shared" ca="1" si="70"/>
        <v>1229</v>
      </c>
      <c r="AD25" s="9">
        <f t="shared" ca="1" si="70"/>
        <v>0</v>
      </c>
      <c r="AE25" s="9">
        <f t="shared" ca="1" si="70"/>
        <v>1229</v>
      </c>
      <c r="AF25" s="9">
        <f t="shared" ca="1" si="70"/>
        <v>1740</v>
      </c>
      <c r="AG25" s="9">
        <f t="shared" ca="1" si="70"/>
        <v>0</v>
      </c>
      <c r="AH25" s="9">
        <f t="shared" ca="1" si="70"/>
        <v>1740</v>
      </c>
      <c r="AI25" s="9">
        <f t="shared" ca="1" si="70"/>
        <v>2969</v>
      </c>
      <c r="AJ25" s="11">
        <f t="shared" ca="1" si="55"/>
        <v>196.97996296296296</v>
      </c>
      <c r="AK25" s="8">
        <f t="shared" si="64"/>
        <v>3569</v>
      </c>
      <c r="AL25" s="12">
        <f t="shared" ca="1" si="56"/>
        <v>0.83188568226393944</v>
      </c>
      <c r="AM25" s="13">
        <f t="shared" si="65"/>
        <v>1.5</v>
      </c>
      <c r="AN25" s="12">
        <f t="shared" ca="1" si="57"/>
        <v>0.37216293917718146</v>
      </c>
      <c r="AO25" s="14">
        <f t="shared" ca="1" si="58"/>
        <v>0.55824440876577219</v>
      </c>
      <c r="AP25" s="13">
        <f t="shared" ref="AP25:AQ25" ca="1" si="71">SUM(T16)</f>
        <v>247.7966267530168</v>
      </c>
      <c r="AQ25" s="13">
        <f t="shared" ca="1" si="71"/>
        <v>9.177652842704326</v>
      </c>
      <c r="AR25" s="9">
        <f t="shared" ca="1" si="60"/>
        <v>109.96296296296296</v>
      </c>
      <c r="AS25" s="76"/>
      <c r="AT25" s="76"/>
    </row>
    <row r="26" spans="1:46" ht="15.75" customHeight="1" x14ac:dyDescent="0.2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6"/>
      <c r="X26" s="8">
        <v>6</v>
      </c>
      <c r="Y26" s="8" t="s">
        <v>41</v>
      </c>
      <c r="Z26" s="8">
        <f t="shared" ref="Z26:AI26" si="72">SUM(D17)</f>
        <v>24</v>
      </c>
      <c r="AA26" s="9">
        <f t="shared" ca="1" si="72"/>
        <v>24</v>
      </c>
      <c r="AB26" s="10">
        <f t="shared" ca="1" si="72"/>
        <v>4793.152</v>
      </c>
      <c r="AC26" s="9">
        <f t="shared" ca="1" si="72"/>
        <v>1363</v>
      </c>
      <c r="AD26" s="9">
        <f t="shared" ca="1" si="72"/>
        <v>0</v>
      </c>
      <c r="AE26" s="9">
        <f t="shared" ca="1" si="72"/>
        <v>1363</v>
      </c>
      <c r="AF26" s="9">
        <f t="shared" ca="1" si="72"/>
        <v>1818</v>
      </c>
      <c r="AG26" s="9">
        <f t="shared" ca="1" si="72"/>
        <v>0</v>
      </c>
      <c r="AH26" s="9">
        <f t="shared" ca="1" si="72"/>
        <v>1818</v>
      </c>
      <c r="AI26" s="9">
        <f t="shared" ca="1" si="72"/>
        <v>3181</v>
      </c>
      <c r="AJ26" s="11">
        <f t="shared" ca="1" si="55"/>
        <v>199.71466666666666</v>
      </c>
      <c r="AK26" s="8">
        <f t="shared" si="64"/>
        <v>3801</v>
      </c>
      <c r="AL26" s="12">
        <f t="shared" ca="1" si="56"/>
        <v>0.83688503025519601</v>
      </c>
      <c r="AM26" s="13">
        <f t="shared" si="65"/>
        <v>1.5</v>
      </c>
      <c r="AN26" s="12">
        <f t="shared" ca="1" si="57"/>
        <v>0.44243676534077503</v>
      </c>
      <c r="AO26" s="14">
        <f t="shared" ca="1" si="58"/>
        <v>0.66365514801116254</v>
      </c>
      <c r="AP26" s="13">
        <f t="shared" ref="AP26:AQ26" ca="1" si="73">SUM(T17)</f>
        <v>161.77777777777777</v>
      </c>
      <c r="AQ26" s="13">
        <f t="shared" ca="1" si="73"/>
        <v>6.7407407407407405</v>
      </c>
      <c r="AR26" s="9">
        <f t="shared" ca="1" si="60"/>
        <v>132.54166666666666</v>
      </c>
      <c r="AS26" s="76"/>
      <c r="AT26" s="76"/>
    </row>
    <row r="27" spans="1:46" ht="15.75" customHeight="1" x14ac:dyDescent="0.25">
      <c r="A27" s="110" t="s">
        <v>45</v>
      </c>
      <c r="B27" s="76"/>
      <c r="C27" s="76"/>
      <c r="D27" s="75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24" t="s">
        <v>33</v>
      </c>
      <c r="Y27" s="24">
        <v>6</v>
      </c>
      <c r="Z27" s="24">
        <f t="shared" ref="Z27:AI27" si="74">SUM(Z21:Z26)</f>
        <v>174</v>
      </c>
      <c r="AA27" s="25">
        <f t="shared" ca="1" si="74"/>
        <v>170</v>
      </c>
      <c r="AB27" s="27">
        <f t="shared" ca="1" si="74"/>
        <v>32628.01299999997</v>
      </c>
      <c r="AC27" s="25">
        <f t="shared" ca="1" si="74"/>
        <v>13199</v>
      </c>
      <c r="AD27" s="25">
        <f t="shared" ca="1" si="74"/>
        <v>0</v>
      </c>
      <c r="AE27" s="25">
        <f t="shared" ca="1" si="74"/>
        <v>13199</v>
      </c>
      <c r="AF27" s="25">
        <f t="shared" ca="1" si="74"/>
        <v>17534</v>
      </c>
      <c r="AG27" s="25">
        <f t="shared" ca="1" si="74"/>
        <v>67</v>
      </c>
      <c r="AH27" s="25">
        <f t="shared" ca="1" si="74"/>
        <v>17601</v>
      </c>
      <c r="AI27" s="25">
        <f t="shared" ca="1" si="74"/>
        <v>30800</v>
      </c>
      <c r="AJ27" s="27">
        <f t="shared" ca="1" si="55"/>
        <v>191.92948823529395</v>
      </c>
      <c r="AK27" s="24">
        <f>SUM(AK21:AK26)</f>
        <v>37031</v>
      </c>
      <c r="AL27" s="28">
        <f t="shared" ca="1" si="56"/>
        <v>0.8317355728983824</v>
      </c>
      <c r="AM27" s="29">
        <v>1.5</v>
      </c>
      <c r="AN27" s="28">
        <f t="shared" ca="1" si="57"/>
        <v>0.62931608288047924</v>
      </c>
      <c r="AO27" s="30">
        <f t="shared" ca="1" si="58"/>
        <v>0.94397412432071881</v>
      </c>
      <c r="AP27" s="29">
        <f ca="1">SUM(AP21:AP26)</f>
        <v>1361.7776612985167</v>
      </c>
      <c r="AQ27" s="29">
        <f ca="1">AP27/AA27</f>
        <v>8.0104568311677458</v>
      </c>
      <c r="AR27" s="25">
        <f t="shared" ca="1" si="60"/>
        <v>181.1764705882353</v>
      </c>
      <c r="AS27" s="76"/>
      <c r="AT27" s="76"/>
    </row>
    <row r="28" spans="1:46" ht="15.75" customHeight="1" x14ac:dyDescent="0.2">
      <c r="A28" s="110" t="s">
        <v>45</v>
      </c>
      <c r="B28" s="76"/>
      <c r="C28" s="76"/>
      <c r="D28" s="75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7" t="s">
        <v>1</v>
      </c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9"/>
      <c r="AS28" s="76"/>
      <c r="AT28" s="76"/>
    </row>
    <row r="29" spans="1:46" ht="15.75" customHeight="1" x14ac:dyDescent="0.2">
      <c r="A29" s="109">
        <v>46267</v>
      </c>
      <c r="B29" s="80" t="s">
        <v>2</v>
      </c>
      <c r="C29" s="80" t="s">
        <v>3</v>
      </c>
      <c r="D29" s="80" t="s">
        <v>4</v>
      </c>
      <c r="E29" s="80" t="s">
        <v>5</v>
      </c>
      <c r="F29" s="81" t="s">
        <v>6</v>
      </c>
      <c r="G29" s="80" t="s">
        <v>7</v>
      </c>
      <c r="H29" s="80" t="s">
        <v>8</v>
      </c>
      <c r="I29" s="80" t="s">
        <v>9</v>
      </c>
      <c r="J29" s="80" t="s">
        <v>10</v>
      </c>
      <c r="K29" s="80" t="s">
        <v>11</v>
      </c>
      <c r="L29" s="80" t="s">
        <v>12</v>
      </c>
      <c r="M29" s="80" t="s">
        <v>13</v>
      </c>
      <c r="N29" s="81" t="s">
        <v>14</v>
      </c>
      <c r="O29" s="80" t="s">
        <v>15</v>
      </c>
      <c r="P29" s="80" t="s">
        <v>16</v>
      </c>
      <c r="Q29" s="80" t="s">
        <v>17</v>
      </c>
      <c r="R29" s="80" t="s">
        <v>18</v>
      </c>
      <c r="S29" s="106" t="s">
        <v>19</v>
      </c>
      <c r="T29" s="107" t="s">
        <v>20</v>
      </c>
      <c r="U29" s="107" t="s">
        <v>21</v>
      </c>
      <c r="V29" s="105" t="s">
        <v>22</v>
      </c>
      <c r="W29" s="76"/>
      <c r="X29" s="1" t="s">
        <v>2</v>
      </c>
      <c r="Y29" s="1" t="s">
        <v>3</v>
      </c>
      <c r="Z29" s="1" t="s">
        <v>4</v>
      </c>
      <c r="AA29" s="1" t="s">
        <v>5</v>
      </c>
      <c r="AB29" s="2" t="s">
        <v>6</v>
      </c>
      <c r="AC29" s="1" t="s">
        <v>7</v>
      </c>
      <c r="AD29" s="1" t="s">
        <v>8</v>
      </c>
      <c r="AE29" s="1" t="s">
        <v>9</v>
      </c>
      <c r="AF29" s="1" t="s">
        <v>10</v>
      </c>
      <c r="AG29" s="1" t="s">
        <v>11</v>
      </c>
      <c r="AH29" s="1" t="s">
        <v>12</v>
      </c>
      <c r="AI29" s="1" t="s">
        <v>13</v>
      </c>
      <c r="AJ29" s="2" t="s">
        <v>14</v>
      </c>
      <c r="AK29" s="1" t="s">
        <v>15</v>
      </c>
      <c r="AL29" s="1" t="s">
        <v>16</v>
      </c>
      <c r="AM29" s="3" t="s">
        <v>17</v>
      </c>
      <c r="AN29" s="4" t="s">
        <v>18</v>
      </c>
      <c r="AO29" s="5" t="s">
        <v>19</v>
      </c>
      <c r="AP29" s="6" t="s">
        <v>20</v>
      </c>
      <c r="AQ29" s="6" t="s">
        <v>21</v>
      </c>
      <c r="AR29" s="7" t="s">
        <v>22</v>
      </c>
      <c r="AS29" s="76"/>
      <c r="AT29" s="76"/>
    </row>
    <row r="30" spans="1:46" ht="15.75" customHeight="1" x14ac:dyDescent="0.2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6"/>
      <c r="X30" s="8">
        <v>1</v>
      </c>
      <c r="Y30" s="8" t="s">
        <v>23</v>
      </c>
      <c r="Z30" s="8">
        <f t="shared" ref="Z30:AI30" si="75">SUM(D38)</f>
        <v>35</v>
      </c>
      <c r="AA30" s="9">
        <f t="shared" ca="1" si="75"/>
        <v>34</v>
      </c>
      <c r="AB30" s="10">
        <f t="shared" ca="1" si="75"/>
        <v>6680.5199999999904</v>
      </c>
      <c r="AC30" s="9">
        <f t="shared" ca="1" si="75"/>
        <v>2083</v>
      </c>
      <c r="AD30" s="9">
        <f t="shared" ca="1" si="75"/>
        <v>0</v>
      </c>
      <c r="AE30" s="9">
        <f t="shared" ca="1" si="75"/>
        <v>2083</v>
      </c>
      <c r="AF30" s="9">
        <f t="shared" ca="1" si="75"/>
        <v>2916</v>
      </c>
      <c r="AG30" s="9">
        <f t="shared" ca="1" si="75"/>
        <v>0</v>
      </c>
      <c r="AH30" s="9">
        <f t="shared" ca="1" si="75"/>
        <v>2916</v>
      </c>
      <c r="AI30" s="9">
        <f t="shared" ca="1" si="75"/>
        <v>4999</v>
      </c>
      <c r="AJ30" s="11">
        <f t="shared" ref="AJ30:AJ32" ca="1" si="76">AB30/AA30</f>
        <v>196.48588235294091</v>
      </c>
      <c r="AK30" s="8">
        <f>SUM(O38)</f>
        <v>6853</v>
      </c>
      <c r="AL30" s="12">
        <f t="shared" ref="AL30:AL36" ca="1" si="77">AI30/AK30</f>
        <v>0.72946154968626875</v>
      </c>
      <c r="AM30" s="13">
        <f t="shared" ref="AM30:AM32" si="78">SUM(Q38)</f>
        <v>1.5</v>
      </c>
      <c r="AN30" s="12">
        <f t="shared" ref="AN30:AN36" ca="1" si="79">AO30/AM30</f>
        <v>0.49886336193390207</v>
      </c>
      <c r="AO30" s="14">
        <f t="shared" ref="AO30:AO36" ca="1" si="80">AI30/AB30</f>
        <v>0.74829504290085314</v>
      </c>
      <c r="AP30" s="13">
        <f t="shared" ref="AP30:AQ30" ca="1" si="81">SUM(T38)</f>
        <v>197.99999999999972</v>
      </c>
      <c r="AQ30" s="13">
        <f t="shared" ca="1" si="81"/>
        <v>5.8235294117646976</v>
      </c>
      <c r="AR30" s="9">
        <f t="shared" ref="AR30:AR36" ca="1" si="82">AI30/AA30</f>
        <v>147.02941176470588</v>
      </c>
      <c r="AS30" s="76"/>
      <c r="AT30" s="76"/>
    </row>
    <row r="31" spans="1:46" ht="15.75" customHeight="1" x14ac:dyDescent="0.2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6"/>
      <c r="X31" s="8">
        <v>2</v>
      </c>
      <c r="Y31" s="8" t="s">
        <v>24</v>
      </c>
      <c r="Z31" s="8">
        <f t="shared" ref="Z31:AI31" si="83">SUM(D39)</f>
        <v>44</v>
      </c>
      <c r="AA31" s="9">
        <f t="shared" ca="1" si="83"/>
        <v>44</v>
      </c>
      <c r="AB31" s="10">
        <f t="shared" ca="1" si="83"/>
        <v>8354.5819999999894</v>
      </c>
      <c r="AC31" s="9">
        <f t="shared" ca="1" si="83"/>
        <v>1454</v>
      </c>
      <c r="AD31" s="9">
        <f t="shared" ca="1" si="83"/>
        <v>0</v>
      </c>
      <c r="AE31" s="9">
        <f t="shared" ca="1" si="83"/>
        <v>1454</v>
      </c>
      <c r="AF31" s="9">
        <f t="shared" ca="1" si="83"/>
        <v>1288</v>
      </c>
      <c r="AG31" s="9">
        <f t="shared" ca="1" si="83"/>
        <v>28</v>
      </c>
      <c r="AH31" s="9">
        <f t="shared" ca="1" si="83"/>
        <v>1316</v>
      </c>
      <c r="AI31" s="9">
        <f t="shared" ca="1" si="83"/>
        <v>2770</v>
      </c>
      <c r="AJ31" s="11">
        <f t="shared" ca="1" si="76"/>
        <v>189.8768636363634</v>
      </c>
      <c r="AK31" s="8">
        <v>1580</v>
      </c>
      <c r="AL31" s="15">
        <f t="shared" ca="1" si="77"/>
        <v>1.7531645569620253</v>
      </c>
      <c r="AM31" s="13">
        <f t="shared" si="78"/>
        <v>1.5</v>
      </c>
      <c r="AN31" s="12">
        <f t="shared" ca="1" si="79"/>
        <v>0.22103639256478291</v>
      </c>
      <c r="AO31" s="14">
        <f t="shared" ca="1" si="80"/>
        <v>0.33155458884717437</v>
      </c>
      <c r="AP31" s="13">
        <f t="shared" ref="AP31:AQ31" ca="1" si="84">SUM(T39)</f>
        <v>311.67998507741055</v>
      </c>
      <c r="AQ31" s="13">
        <f t="shared" ca="1" si="84"/>
        <v>7.0836360244866032</v>
      </c>
      <c r="AR31" s="9">
        <f t="shared" ca="1" si="82"/>
        <v>62.954545454545453</v>
      </c>
      <c r="AS31" s="76"/>
      <c r="AT31" s="76"/>
    </row>
    <row r="32" spans="1:46" ht="15.75" customHeight="1" x14ac:dyDescent="0.2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6"/>
      <c r="X32" s="8">
        <v>3</v>
      </c>
      <c r="Y32" s="8" t="s">
        <v>25</v>
      </c>
      <c r="Z32" s="8">
        <f t="shared" ref="Z32:AI32" si="85">SUM(D40)</f>
        <v>32</v>
      </c>
      <c r="AA32" s="9">
        <f t="shared" ca="1" si="85"/>
        <v>31</v>
      </c>
      <c r="AB32" s="10">
        <f t="shared" ca="1" si="85"/>
        <v>5925.1239999999998</v>
      </c>
      <c r="AC32" s="9">
        <f t="shared" ca="1" si="85"/>
        <v>2351</v>
      </c>
      <c r="AD32" s="9">
        <f t="shared" ca="1" si="85"/>
        <v>438</v>
      </c>
      <c r="AE32" s="9">
        <f t="shared" ca="1" si="85"/>
        <v>2789</v>
      </c>
      <c r="AF32" s="9">
        <f t="shared" ca="1" si="85"/>
        <v>3213</v>
      </c>
      <c r="AG32" s="9">
        <f t="shared" ca="1" si="85"/>
        <v>305</v>
      </c>
      <c r="AH32" s="9">
        <f t="shared" ca="1" si="85"/>
        <v>3518</v>
      </c>
      <c r="AI32" s="9">
        <f t="shared" ca="1" si="85"/>
        <v>6307</v>
      </c>
      <c r="AJ32" s="11">
        <f t="shared" ca="1" si="76"/>
        <v>191.1330322580645</v>
      </c>
      <c r="AK32" s="8">
        <f>SUM(O40)</f>
        <v>6622</v>
      </c>
      <c r="AL32" s="12">
        <f t="shared" ca="1" si="77"/>
        <v>0.95243128964059198</v>
      </c>
      <c r="AM32" s="13">
        <f t="shared" si="78"/>
        <v>1.5</v>
      </c>
      <c r="AN32" s="12">
        <f t="shared" ca="1" si="79"/>
        <v>0.70963353115760386</v>
      </c>
      <c r="AO32" s="14">
        <f t="shared" ca="1" si="80"/>
        <v>1.0644502967364058</v>
      </c>
      <c r="AP32" s="13">
        <f t="shared" ref="AP32:AQ32" ca="1" si="86">SUM(T40)</f>
        <v>248.53708053691275</v>
      </c>
      <c r="AQ32" s="13">
        <f t="shared" ca="1" si="86"/>
        <v>8.0173251786100881</v>
      </c>
      <c r="AR32" s="9">
        <f t="shared" ca="1" si="82"/>
        <v>203.45161290322579</v>
      </c>
      <c r="AS32" s="76"/>
      <c r="AT32" s="76"/>
    </row>
    <row r="33" spans="1:46" ht="15.75" customHeight="1" x14ac:dyDescent="0.25">
      <c r="A33" s="70"/>
      <c r="B33" s="16">
        <v>1</v>
      </c>
      <c r="C33" s="16" t="s">
        <v>26</v>
      </c>
      <c r="D33" s="17">
        <v>20</v>
      </c>
      <c r="E33" s="18">
        <f ca="1">IFERROR(__xludf.DUMMYFUNCTION("COUNT(IMPORTRANGE(""https://docs.google.com/spreadsheets/d/1F0NpMx7WhcgPgxTWpryY3Z1CGg56FL6aiL4mHs43w4E/edit"",""2!d2:d21""))"),20)</f>
        <v>20</v>
      </c>
      <c r="F33" s="19">
        <f ca="1">IFERROR(__xludf.DUMMYFUNCTION("SUM(IMPORTRANGE(""https://docs.google.com/spreadsheets/d/1F0NpMx7WhcgPgxTWpryY3Z1CGg56FL6aiL4mHs43w4E/edit"",""2!Q2:Q21""))"),3560.964)</f>
        <v>3560.9639999999999</v>
      </c>
      <c r="G33" s="18">
        <f ca="1">IFERROR(__xludf.DUMMYFUNCTION("IMPORTRANGE(""https://docs.google.com/spreadsheets/d/1F0NpMx7WhcgPgxTWpryY3Z1CGg56FL6aiL4mHs43w4E/edit"",""2!e28"")"),1873)</f>
        <v>1873</v>
      </c>
      <c r="H33" s="18">
        <f ca="1">IFERROR(__xludf.DUMMYFUNCTION("IMPORTRANGE(""https://docs.google.com/spreadsheets/d/1F0NpMx7WhcgPgxTWpryY3Z1CGg56FL6aiL4mHs43w4E/edit"",""2!e29"")"),0)</f>
        <v>0</v>
      </c>
      <c r="I33" s="18">
        <f t="shared" ref="I33:I50" ca="1" si="87">SUM(G33:H33)</f>
        <v>1873</v>
      </c>
      <c r="J33" s="18">
        <f ca="1">IFERROR(__xludf.DUMMYFUNCTION("IMPORTRANGE(""https://docs.google.com/spreadsheets/d/1F0NpMx7WhcgPgxTWpryY3Z1CGg56FL6aiL4mHs43w4E/edit"",""2!e32"")"),3204)</f>
        <v>3204</v>
      </c>
      <c r="K33" s="18">
        <f ca="1">IFERROR(__xludf.DUMMYFUNCTION("IMPORTRANGE(""https://docs.google.com/spreadsheets/d/1F0NpMx7WhcgPgxTWpryY3Z1CGg56FL6aiL4mHs43w4E/edit"",""2!e33"")"),0)</f>
        <v>0</v>
      </c>
      <c r="L33" s="18">
        <f t="shared" ref="L33:L39" ca="1" si="88">SUM(J33:K33)</f>
        <v>3204</v>
      </c>
      <c r="M33" s="18">
        <f t="shared" ref="M33:M50" ca="1" si="89">SUM(I33+L33)</f>
        <v>5077</v>
      </c>
      <c r="N33" s="19">
        <f t="shared" ref="N33:N51" ca="1" si="90">F33/E33</f>
        <v>178.04820000000001</v>
      </c>
      <c r="O33" s="16">
        <v>5161</v>
      </c>
      <c r="P33" s="20">
        <f t="shared" ref="P33:P51" ca="1" si="91">M33/O33</f>
        <v>0.98372408447975201</v>
      </c>
      <c r="Q33" s="21">
        <v>1.5</v>
      </c>
      <c r="R33" s="20">
        <f t="shared" ref="R33:R51" ca="1" si="92">S33/Q33</f>
        <v>0.95049168333818213</v>
      </c>
      <c r="S33" s="22">
        <f t="shared" ref="S33:S51" ca="1" si="93">M33/F33</f>
        <v>1.4257375250072732</v>
      </c>
      <c r="T33" s="21">
        <f ca="1">F33/14.415</f>
        <v>247.0318418314256</v>
      </c>
      <c r="U33" s="21">
        <f t="shared" ref="U33:U51" ca="1" si="94">T33/E33</f>
        <v>12.35159209157128</v>
      </c>
      <c r="V33" s="18">
        <f t="shared" ref="V33:V51" ca="1" si="95">M33/E33</f>
        <v>253.85</v>
      </c>
      <c r="W33" s="76"/>
      <c r="X33" s="8">
        <v>4</v>
      </c>
      <c r="Y33" s="8" t="s">
        <v>27</v>
      </c>
      <c r="Z33" s="8">
        <f t="shared" ref="Z33:AK33" si="96">SUM(D46)</f>
        <v>30</v>
      </c>
      <c r="AA33" s="9">
        <f t="shared" ca="1" si="96"/>
        <v>28</v>
      </c>
      <c r="AB33" s="10">
        <f t="shared" ca="1" si="96"/>
        <v>5465.76</v>
      </c>
      <c r="AC33" s="9">
        <f t="shared" ca="1" si="96"/>
        <v>2368</v>
      </c>
      <c r="AD33" s="9">
        <f t="shared" ca="1" si="96"/>
        <v>140</v>
      </c>
      <c r="AE33" s="9">
        <f t="shared" ca="1" si="96"/>
        <v>2508</v>
      </c>
      <c r="AF33" s="9">
        <f t="shared" ca="1" si="96"/>
        <v>3355</v>
      </c>
      <c r="AG33" s="9">
        <f t="shared" ca="1" si="96"/>
        <v>107</v>
      </c>
      <c r="AH33" s="9">
        <f t="shared" ca="1" si="96"/>
        <v>3462</v>
      </c>
      <c r="AI33" s="9">
        <f t="shared" ca="1" si="96"/>
        <v>5970</v>
      </c>
      <c r="AJ33" s="11">
        <f t="shared" ca="1" si="96"/>
        <v>195.20571428571429</v>
      </c>
      <c r="AK33" s="8">
        <f t="shared" si="96"/>
        <v>8101</v>
      </c>
      <c r="AL33" s="12">
        <f t="shared" ca="1" si="77"/>
        <v>0.73694605604246388</v>
      </c>
      <c r="AM33" s="13">
        <f>SUM(Q46)</f>
        <v>1.5</v>
      </c>
      <c r="AN33" s="12">
        <f t="shared" ca="1" si="79"/>
        <v>0.72816955007171913</v>
      </c>
      <c r="AO33" s="14">
        <f t="shared" ca="1" si="80"/>
        <v>1.0922543251075787</v>
      </c>
      <c r="AP33" s="13">
        <f t="shared" ref="AP33:AQ33" ca="1" si="97">SUM(T46)</f>
        <v>273.49311983987991</v>
      </c>
      <c r="AQ33" s="13">
        <f t="shared" ca="1" si="97"/>
        <v>9.7676114228528537</v>
      </c>
      <c r="AR33" s="9">
        <f t="shared" ca="1" si="82"/>
        <v>213.21428571428572</v>
      </c>
      <c r="AS33" s="76"/>
      <c r="AT33" s="76"/>
    </row>
    <row r="34" spans="1:46" ht="15.75" customHeight="1" x14ac:dyDescent="0.25">
      <c r="A34" s="70"/>
      <c r="B34" s="16">
        <v>2</v>
      </c>
      <c r="C34" s="16" t="s">
        <v>28</v>
      </c>
      <c r="D34" s="17">
        <v>33</v>
      </c>
      <c r="E34" s="18">
        <f ca="1">IFERROR(__xludf.DUMMYFUNCTION("COUNT(IMPORTRANGE(""https://docs.google.com/spreadsheets/d/1H9vAqftAHb0OdeSGXHTnJFzoWUgpoH31sc0sHNN8y1o/edit"",""2!d2:d34""))"),33)</f>
        <v>33</v>
      </c>
      <c r="F34" s="19">
        <f ca="1">IFERROR(__xludf.DUMMYFUNCTION("SUM(IMPORTRANGE(""https://docs.google.com/spreadsheets/d/1H9vAqftAHb0OdeSGXHTnJFzoWUgpoH31sc0sHNN8y1o/edit"",""2!Q2:Q34""))"),6528.83299999999)</f>
        <v>6528.8329999999896</v>
      </c>
      <c r="G34" s="18">
        <f ca="1">IFERROR(__xludf.DUMMYFUNCTION("IMPORTRANGE(""https://docs.google.com/spreadsheets/d/1H9vAqftAHb0OdeSGXHTnJFzoWUgpoH31sc0sHNN8y1o/edit"",""2!e41"")"),2700)</f>
        <v>2700</v>
      </c>
      <c r="H34" s="18">
        <f ca="1">IFERROR(__xludf.DUMMYFUNCTION("IMPORTRANGE(""https://docs.google.com/spreadsheets/d/1H9vAqftAHb0OdeSGXHTnJFzoWUgpoH31sc0sHNN8y1o/edit"",""2!e42"")"),104)</f>
        <v>104</v>
      </c>
      <c r="I34" s="18">
        <f t="shared" ca="1" si="87"/>
        <v>2804</v>
      </c>
      <c r="J34" s="18">
        <f ca="1">IFERROR(__xludf.DUMMYFUNCTION("IMPORTRANGE(""https://docs.google.com/spreadsheets/d/1H9vAqftAHb0OdeSGXHTnJFzoWUgpoH31sc0sHNN8y1o/edit"",""2!e45"")"),3205)</f>
        <v>3205</v>
      </c>
      <c r="K34" s="18">
        <f ca="1">IFERROR(__xludf.DUMMYFUNCTION("IMPORTRANGE(""https://docs.google.com/spreadsheets/d/1H9vAqftAHb0OdeSGXHTnJFzoWUgpoH31sc0sHNN8y1o/edit"",""2!e46"")"),102)</f>
        <v>102</v>
      </c>
      <c r="L34" s="18">
        <f t="shared" ca="1" si="88"/>
        <v>3307</v>
      </c>
      <c r="M34" s="18">
        <f t="shared" ca="1" si="89"/>
        <v>6111</v>
      </c>
      <c r="N34" s="19">
        <f t="shared" ca="1" si="90"/>
        <v>197.84342424242394</v>
      </c>
      <c r="O34" s="16">
        <v>7315</v>
      </c>
      <c r="P34" s="20">
        <f t="shared" ca="1" si="91"/>
        <v>0.83540669856459326</v>
      </c>
      <c r="Q34" s="21">
        <v>1.5</v>
      </c>
      <c r="R34" s="20">
        <f t="shared" ca="1" si="92"/>
        <v>0.6240012571925192</v>
      </c>
      <c r="S34" s="22">
        <f t="shared" ca="1" si="93"/>
        <v>0.93600188578877874</v>
      </c>
      <c r="T34" s="21">
        <f ca="1">F34/30.897</f>
        <v>211.30960934718547</v>
      </c>
      <c r="U34" s="21">
        <f t="shared" ca="1" si="94"/>
        <v>6.4033214953692568</v>
      </c>
      <c r="V34" s="18">
        <f t="shared" ca="1" si="95"/>
        <v>185.18181818181819</v>
      </c>
      <c r="W34" s="76"/>
      <c r="X34" s="8">
        <v>5</v>
      </c>
      <c r="Y34" s="8" t="s">
        <v>29</v>
      </c>
      <c r="Z34" s="8">
        <f t="shared" ref="Z34:AI34" si="98">SUM(D49)</f>
        <v>30</v>
      </c>
      <c r="AA34" s="9">
        <f t="shared" ca="1" si="98"/>
        <v>29</v>
      </c>
      <c r="AB34" s="10">
        <f t="shared" ca="1" si="98"/>
        <v>5775.0379999999896</v>
      </c>
      <c r="AC34" s="9">
        <f t="shared" ca="1" si="98"/>
        <v>2726</v>
      </c>
      <c r="AD34" s="9">
        <f t="shared" ca="1" si="98"/>
        <v>0</v>
      </c>
      <c r="AE34" s="9">
        <f t="shared" ca="1" si="98"/>
        <v>2726</v>
      </c>
      <c r="AF34" s="9">
        <f t="shared" ca="1" si="98"/>
        <v>4235</v>
      </c>
      <c r="AG34" s="9">
        <f t="shared" ca="1" si="98"/>
        <v>0</v>
      </c>
      <c r="AH34" s="9">
        <f t="shared" ca="1" si="98"/>
        <v>4235</v>
      </c>
      <c r="AI34" s="9">
        <f t="shared" ca="1" si="98"/>
        <v>6961</v>
      </c>
      <c r="AJ34" s="11">
        <f t="shared" ref="AJ34:AJ36" ca="1" si="99">AB34/AA34</f>
        <v>199.13924137930999</v>
      </c>
      <c r="AK34" s="8">
        <f t="shared" ref="AK34:AK35" si="100">SUM(O49)</f>
        <v>9201</v>
      </c>
      <c r="AL34" s="12">
        <f t="shared" ca="1" si="77"/>
        <v>0.75654820128246925</v>
      </c>
      <c r="AM34" s="13">
        <f t="shared" ref="AM34:AM35" si="101">SUM(Q49)</f>
        <v>1.5</v>
      </c>
      <c r="AN34" s="12">
        <f t="shared" ca="1" si="79"/>
        <v>0.80357335599638902</v>
      </c>
      <c r="AO34" s="14">
        <f t="shared" ca="1" si="80"/>
        <v>1.2053600339945836</v>
      </c>
      <c r="AP34" s="13">
        <f t="shared" ref="AP34:AQ34" ca="1" si="102">SUM(T49)</f>
        <v>217.9999999999996</v>
      </c>
      <c r="AQ34" s="13">
        <f t="shared" ca="1" si="102"/>
        <v>7.517241379310331</v>
      </c>
      <c r="AR34" s="9">
        <f t="shared" ca="1" si="82"/>
        <v>240.0344827586207</v>
      </c>
      <c r="AS34" s="76"/>
      <c r="AT34" s="76"/>
    </row>
    <row r="35" spans="1:46" ht="15.75" customHeight="1" x14ac:dyDescent="0.25">
      <c r="A35" s="70"/>
      <c r="B35" s="16">
        <v>3</v>
      </c>
      <c r="C35" s="16" t="s">
        <v>30</v>
      </c>
      <c r="D35" s="17">
        <v>60</v>
      </c>
      <c r="E35" s="18">
        <f ca="1">IFERROR(__xludf.DUMMYFUNCTION("COUNT(IMPORTRANGE(""https://docs.google.com/spreadsheets/d/1EWN6nfpuVxbUE_9opjYCWaI7MTm5xsF6ssjklSbMZnA/edit"",""2!d2:d61""))"),58)</f>
        <v>58</v>
      </c>
      <c r="F35" s="23">
        <f ca="1">IFERROR(__xludf.DUMMYFUNCTION("SUM(IMPORTRANGE(""https://docs.google.com/spreadsheets/d/1EWN6nfpuVxbUE_9opjYCWaI7MTm5xsF6ssjklSbMZnA/edit"",""2!Q2:Q61""))"),11253.3449999999)</f>
        <v>11253.344999999899</v>
      </c>
      <c r="G35" s="18">
        <f ca="1">IFERROR(__xludf.DUMMYFUNCTION("IMPORTRANGE(""https://docs.google.com/spreadsheets/d/1EWN6nfpuVxbUE_9opjYCWaI7MTm5xsF6ssjklSbMZnA/edit"",""2!e68"")"),3757)</f>
        <v>3757</v>
      </c>
      <c r="H35" s="18">
        <f ca="1">IFERROR(__xludf.DUMMYFUNCTION("IMPORTRANGE(""https://docs.google.com/spreadsheets/d/1EWN6nfpuVxbUE_9opjYCWaI7MTm5xsF6ssjklSbMZnA/edit"",""2!e69"")"),0)</f>
        <v>0</v>
      </c>
      <c r="I35" s="18">
        <f t="shared" ca="1" si="87"/>
        <v>3757</v>
      </c>
      <c r="J35" s="18">
        <f ca="1">IFERROR(__xludf.DUMMYFUNCTION("IMPORTRANGE(""https://docs.google.com/spreadsheets/d/1EWN6nfpuVxbUE_9opjYCWaI7MTm5xsF6ssjklSbMZnA/edit"",""2!e72"")"),5596)</f>
        <v>5596</v>
      </c>
      <c r="K35" s="18">
        <f ca="1">IFERROR(__xludf.DUMMYFUNCTION("IMPORTRANGE(""https://docs.google.com/spreadsheets/d/1EWN6nfpuVxbUE_9opjYCWaI7MTm5xsF6ssjklSbMZnA/edit"",""2!e73"")"),0)</f>
        <v>0</v>
      </c>
      <c r="L35" s="18">
        <f t="shared" ca="1" si="88"/>
        <v>5596</v>
      </c>
      <c r="M35" s="18">
        <f t="shared" ca="1" si="89"/>
        <v>9353</v>
      </c>
      <c r="N35" s="19">
        <f t="shared" ca="1" si="90"/>
        <v>194.02318965517068</v>
      </c>
      <c r="O35" s="16">
        <v>11164</v>
      </c>
      <c r="P35" s="20">
        <f t="shared" ca="1" si="91"/>
        <v>0.83778215693299896</v>
      </c>
      <c r="Q35" s="21">
        <v>1.5</v>
      </c>
      <c r="R35" s="20">
        <f t="shared" ca="1" si="92"/>
        <v>0.5540871032864797</v>
      </c>
      <c r="S35" s="22">
        <f t="shared" ca="1" si="93"/>
        <v>0.83113065492971949</v>
      </c>
      <c r="T35" s="21">
        <f ca="1">F35/29.603</f>
        <v>380.14204641421134</v>
      </c>
      <c r="U35" s="21">
        <f t="shared" ca="1" si="94"/>
        <v>6.5541732140381264</v>
      </c>
      <c r="V35" s="18">
        <f t="shared" ca="1" si="95"/>
        <v>161.25862068965517</v>
      </c>
      <c r="W35" s="76"/>
      <c r="X35" s="8">
        <v>6</v>
      </c>
      <c r="Y35" s="8" t="s">
        <v>31</v>
      </c>
      <c r="Z35" s="8">
        <f t="shared" ref="Z35:AI35" si="103">SUM(D50)</f>
        <v>15</v>
      </c>
      <c r="AA35" s="9">
        <f t="shared" ca="1" si="103"/>
        <v>13</v>
      </c>
      <c r="AB35" s="11">
        <f t="shared" ca="1" si="103"/>
        <v>2607.9</v>
      </c>
      <c r="AC35" s="9">
        <f t="shared" ca="1" si="103"/>
        <v>870</v>
      </c>
      <c r="AD35" s="9">
        <f t="shared" ca="1" si="103"/>
        <v>0</v>
      </c>
      <c r="AE35" s="9">
        <f t="shared" ca="1" si="103"/>
        <v>870</v>
      </c>
      <c r="AF35" s="9">
        <f t="shared" ca="1" si="103"/>
        <v>975</v>
      </c>
      <c r="AG35" s="9">
        <f t="shared" ca="1" si="103"/>
        <v>55</v>
      </c>
      <c r="AH35" s="9">
        <f t="shared" ca="1" si="103"/>
        <v>1030</v>
      </c>
      <c r="AI35" s="9">
        <f t="shared" ca="1" si="103"/>
        <v>1900</v>
      </c>
      <c r="AJ35" s="11">
        <f t="shared" ca="1" si="99"/>
        <v>200.6076923076923</v>
      </c>
      <c r="AK35" s="8">
        <f t="shared" si="100"/>
        <v>2717</v>
      </c>
      <c r="AL35" s="12">
        <f t="shared" ca="1" si="77"/>
        <v>0.69930069930069927</v>
      </c>
      <c r="AM35" s="13">
        <f t="shared" si="101"/>
        <v>1.5</v>
      </c>
      <c r="AN35" s="12">
        <f t="shared" ca="1" si="79"/>
        <v>0.48570369518258621</v>
      </c>
      <c r="AO35" s="14">
        <f t="shared" ca="1" si="80"/>
        <v>0.72855554277387935</v>
      </c>
      <c r="AP35" s="13">
        <f t="shared" ref="AP35:AQ35" ca="1" si="104">SUM(T50)</f>
        <v>60</v>
      </c>
      <c r="AQ35" s="13">
        <f t="shared" ca="1" si="104"/>
        <v>4.615384615384615</v>
      </c>
      <c r="AR35" s="9">
        <f t="shared" ca="1" si="82"/>
        <v>146.15384615384616</v>
      </c>
      <c r="AS35" s="76"/>
      <c r="AT35" s="76"/>
    </row>
    <row r="36" spans="1:46" ht="15.75" customHeight="1" x14ac:dyDescent="0.25">
      <c r="A36" s="70"/>
      <c r="B36" s="16">
        <v>4</v>
      </c>
      <c r="C36" s="16" t="s">
        <v>32</v>
      </c>
      <c r="D36" s="17">
        <v>42</v>
      </c>
      <c r="E36" s="18">
        <f ca="1">IFERROR(__xludf.DUMMYFUNCTION("COUNT(IMPORTRANGE(""https://docs.google.com/spreadsheets/d/1Rmar8QqWK4XOJ-eY6xMzkAfDSw0srEXcAw89ilArun8/edit"",""2!d2:d43""))"),42)</f>
        <v>42</v>
      </c>
      <c r="F36" s="23">
        <f ca="1">IFERROR(__xludf.DUMMYFUNCTION("SUM(IMPORTRANGE(""https://docs.google.com/spreadsheets/d/1Rmar8QqWK4XOJ-eY6xMzkAfDSw0srEXcAw89ilArun8/edit"",""2!Q2:Q43""))"),8179.01399999999)</f>
        <v>8179.0139999999901</v>
      </c>
      <c r="G36" s="16">
        <f ca="1">IFERROR(__xludf.DUMMYFUNCTION("IMPORTRANGE(""https://docs.google.com/spreadsheets/d/1Rmar8QqWK4XOJ-eY6xMzkAfDSw0srEXcAw89ilArun8/edit"",""2!e50"")"),4808)</f>
        <v>4808</v>
      </c>
      <c r="H36" s="16">
        <f ca="1">IFERROR(__xludf.DUMMYFUNCTION("IMPORTRANGE(""https://docs.google.com/spreadsheets/d/1Rmar8QqWK4XOJ-eY6xMzkAfDSw0srEXcAw89ilArun8/edit"",""2!e51"")"),0)</f>
        <v>0</v>
      </c>
      <c r="I36" s="18">
        <f t="shared" ca="1" si="87"/>
        <v>4808</v>
      </c>
      <c r="J36" s="16">
        <f ca="1">IFERROR(__xludf.DUMMYFUNCTION("IMPORTRANGE(""https://docs.google.com/spreadsheets/d/1Rmar8QqWK4XOJ-eY6xMzkAfDSw0srEXcAw89ilArun8/edit"",""2!e54"")"),5449)</f>
        <v>5449</v>
      </c>
      <c r="K36" s="16">
        <f ca="1">IFERROR(__xludf.DUMMYFUNCTION("IMPORTRANGE(""https://docs.google.com/spreadsheets/d/1Rmar8QqWK4XOJ-eY6xMzkAfDSw0srEXcAw89ilArun8/edit"",""2!e55"")"),190)</f>
        <v>190</v>
      </c>
      <c r="L36" s="18">
        <f t="shared" ca="1" si="88"/>
        <v>5639</v>
      </c>
      <c r="M36" s="18">
        <f t="shared" ca="1" si="89"/>
        <v>10447</v>
      </c>
      <c r="N36" s="19">
        <f t="shared" ca="1" si="90"/>
        <v>194.73842857142833</v>
      </c>
      <c r="O36" s="16">
        <v>13817</v>
      </c>
      <c r="P36" s="20">
        <f t="shared" ca="1" si="91"/>
        <v>0.75609756097560976</v>
      </c>
      <c r="Q36" s="21">
        <v>1.5</v>
      </c>
      <c r="R36" s="20">
        <f t="shared" ca="1" si="92"/>
        <v>0.85152888437000784</v>
      </c>
      <c r="S36" s="22">
        <f t="shared" ca="1" si="93"/>
        <v>1.2772933265550117</v>
      </c>
      <c r="T36" s="21">
        <f ca="1">F36/25.089</f>
        <v>325.9999999999996</v>
      </c>
      <c r="U36" s="21">
        <f t="shared" ca="1" si="94"/>
        <v>7.7619047619047521</v>
      </c>
      <c r="V36" s="18">
        <f t="shared" ca="1" si="95"/>
        <v>248.73809523809524</v>
      </c>
      <c r="W36" s="76"/>
      <c r="X36" s="24" t="s">
        <v>33</v>
      </c>
      <c r="Y36" s="24">
        <v>6</v>
      </c>
      <c r="Z36" s="24">
        <f t="shared" ref="Z36:AI36" si="105">SUM(Z30:Z35)</f>
        <v>186</v>
      </c>
      <c r="AA36" s="25">
        <f t="shared" ca="1" si="105"/>
        <v>179</v>
      </c>
      <c r="AB36" s="26">
        <f t="shared" ca="1" si="105"/>
        <v>34808.92399999997</v>
      </c>
      <c r="AC36" s="25">
        <f t="shared" ca="1" si="105"/>
        <v>11852</v>
      </c>
      <c r="AD36" s="25">
        <f t="shared" ca="1" si="105"/>
        <v>578</v>
      </c>
      <c r="AE36" s="25">
        <f t="shared" ca="1" si="105"/>
        <v>12430</v>
      </c>
      <c r="AF36" s="25">
        <f t="shared" ca="1" si="105"/>
        <v>15982</v>
      </c>
      <c r="AG36" s="25">
        <f t="shared" ca="1" si="105"/>
        <v>495</v>
      </c>
      <c r="AH36" s="25">
        <f t="shared" ca="1" si="105"/>
        <v>16477</v>
      </c>
      <c r="AI36" s="25">
        <f t="shared" ca="1" si="105"/>
        <v>28907</v>
      </c>
      <c r="AJ36" s="27">
        <f t="shared" ca="1" si="99"/>
        <v>194.46326256983224</v>
      </c>
      <c r="AK36" s="24">
        <f>SUM(AK30:AK35)</f>
        <v>35074</v>
      </c>
      <c r="AL36" s="28">
        <f t="shared" ca="1" si="77"/>
        <v>0.82417175115470154</v>
      </c>
      <c r="AM36" s="29">
        <v>1.5</v>
      </c>
      <c r="AN36" s="28">
        <f t="shared" ca="1" si="79"/>
        <v>0.5536319747583508</v>
      </c>
      <c r="AO36" s="30">
        <f t="shared" ca="1" si="80"/>
        <v>0.83044796213752614</v>
      </c>
      <c r="AP36" s="29">
        <f ca="1">SUM(AP30:AP35)</f>
        <v>1309.7101854542025</v>
      </c>
      <c r="AQ36" s="29">
        <f ca="1">AP36/AA36</f>
        <v>7.3168166785150976</v>
      </c>
      <c r="AR36" s="25">
        <f t="shared" ca="1" si="82"/>
        <v>161.49162011173183</v>
      </c>
      <c r="AS36" s="76"/>
      <c r="AT36" s="76"/>
    </row>
    <row r="37" spans="1:46" ht="15.75" customHeight="1" x14ac:dyDescent="0.25">
      <c r="A37" s="70"/>
      <c r="B37" s="16">
        <v>5</v>
      </c>
      <c r="C37" s="16" t="s">
        <v>34</v>
      </c>
      <c r="D37" s="17">
        <v>40</v>
      </c>
      <c r="E37" s="18">
        <f ca="1">IFERROR(__xludf.DUMMYFUNCTION("COUNT(IMPORTRANGE(""https://docs.google.com/spreadsheets/d/1u99JxAoytGQQ8GcjxXl38CGdyEWy5uIbuJJHnsotyvk/edit"",""2!d2:d41""))"),40)</f>
        <v>40</v>
      </c>
      <c r="F37" s="23">
        <f ca="1">IFERROR(__xludf.DUMMYFUNCTION("SUM(IMPORTRANGE(""https://docs.google.com/spreadsheets/d/1u99JxAoytGQQ8GcjxXl38CGdyEWy5uIbuJJHnsotyvk/edit"",""2!Q2:Q41""))"),7895.343)</f>
        <v>7895.3429999999998</v>
      </c>
      <c r="G37" s="18">
        <f ca="1">IFERROR(__xludf.DUMMYFUNCTION("IMPORTRANGE(""https://docs.google.com/spreadsheets/d/1u99JxAoytGQQ8GcjxXl38CGdyEWy5uIbuJJHnsotyvk/edit"",""2!e48"")"),3069)</f>
        <v>3069</v>
      </c>
      <c r="H37" s="18">
        <f ca="1">IFERROR(__xludf.DUMMYFUNCTION("IMPORTRANGE(""https://docs.google.com/spreadsheets/d/1u99JxAoytGQQ8GcjxXl38CGdyEWy5uIbuJJHnsotyvk/edit"",""2!e49"")"),0)</f>
        <v>0</v>
      </c>
      <c r="I37" s="18">
        <f t="shared" ca="1" si="87"/>
        <v>3069</v>
      </c>
      <c r="J37" s="18">
        <f ca="1">IFERROR(__xludf.DUMMYFUNCTION("IMPORTRANGE(""https://docs.google.com/spreadsheets/d/1u99JxAoytGQQ8GcjxXl38CGdyEWy5uIbuJJHnsotyvk/edit"",""2!e52"")"),3126)</f>
        <v>3126</v>
      </c>
      <c r="K37" s="18">
        <f ca="1">IFERROR(__xludf.DUMMYFUNCTION("IMPORTRANGE(""https://docs.google.com/spreadsheets/d/1u99JxAoytGQQ8GcjxXl38CGdyEWy5uIbuJJHnsotyvk/edit"",""2!e53"")"),0)</f>
        <v>0</v>
      </c>
      <c r="L37" s="18">
        <f t="shared" ca="1" si="88"/>
        <v>3126</v>
      </c>
      <c r="M37" s="18">
        <f t="shared" ca="1" si="89"/>
        <v>6195</v>
      </c>
      <c r="N37" s="19">
        <f t="shared" ca="1" si="90"/>
        <v>197.38357500000001</v>
      </c>
      <c r="O37" s="16">
        <v>9354</v>
      </c>
      <c r="P37" s="20">
        <f t="shared" ca="1" si="91"/>
        <v>0.66228351507376526</v>
      </c>
      <c r="Q37" s="21">
        <v>1.5</v>
      </c>
      <c r="R37" s="20">
        <f t="shared" ca="1" si="92"/>
        <v>0.52309317023972235</v>
      </c>
      <c r="S37" s="22">
        <f t="shared" ca="1" si="93"/>
        <v>0.78463975535958352</v>
      </c>
      <c r="T37" s="21">
        <f ca="1">F37/30.713</f>
        <v>257.06844007423564</v>
      </c>
      <c r="U37" s="21">
        <f t="shared" ca="1" si="94"/>
        <v>6.4267110018558906</v>
      </c>
      <c r="V37" s="18">
        <f t="shared" ca="1" si="95"/>
        <v>154.875</v>
      </c>
      <c r="W37" s="76"/>
      <c r="X37" s="100" t="s">
        <v>35</v>
      </c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9"/>
      <c r="AS37" s="76"/>
      <c r="AT37" s="76"/>
    </row>
    <row r="38" spans="1:46" ht="15.75" customHeight="1" x14ac:dyDescent="0.25">
      <c r="A38" s="70"/>
      <c r="B38" s="16">
        <v>6</v>
      </c>
      <c r="C38" s="16" t="s">
        <v>23</v>
      </c>
      <c r="D38" s="17">
        <v>35</v>
      </c>
      <c r="E38" s="18">
        <f ca="1">IFERROR(__xludf.DUMMYFUNCTION("COUNT(IMPORTRANGE(""https://docs.google.com/spreadsheets/d/1uVc-vnTn57HE53lwrUYNZP4sGKTXisrqOoZ-6EyvLzY/edit"",""2!d2:d36""))"),34)</f>
        <v>34</v>
      </c>
      <c r="F38" s="23">
        <f ca="1">IFERROR(__xludf.DUMMYFUNCTION("SUM(IMPORTRANGE(""https://docs.google.com/spreadsheets/d/1uVc-vnTn57HE53lwrUYNZP4sGKTXisrqOoZ-6EyvLzY/edit"",""2!Q2:Q36""))"),6680.51999999999)</f>
        <v>6680.5199999999904</v>
      </c>
      <c r="G38" s="18">
        <f ca="1">IFERROR(__xludf.DUMMYFUNCTION("IMPORTRANGE(""https://docs.google.com/spreadsheets/d/1uVc-vnTn57HE53lwrUYNZP4sGKTXisrqOoZ-6EyvLzY/edit"",""2!e43"")"),2083)</f>
        <v>2083</v>
      </c>
      <c r="H38" s="18">
        <f ca="1">IFERROR(__xludf.DUMMYFUNCTION("IMPORTRANGE(""https://docs.google.com/spreadsheets/d/1uVc-vnTn57HE53lwrUYNZP4sGKTXisrqOoZ-6EyvLzY/edit"",""2!e44"")"),0)</f>
        <v>0</v>
      </c>
      <c r="I38" s="18">
        <f t="shared" ca="1" si="87"/>
        <v>2083</v>
      </c>
      <c r="J38" s="18">
        <f ca="1">IFERROR(__xludf.DUMMYFUNCTION("IMPORTRANGE(""https://docs.google.com/spreadsheets/d/1uVc-vnTn57HE53lwrUYNZP4sGKTXisrqOoZ-6EyvLzY/edit"",""2!e47"")"),2916)</f>
        <v>2916</v>
      </c>
      <c r="K38" s="18">
        <f ca="1">IFERROR(__xludf.DUMMYFUNCTION("IMPORTRANGE(""https://docs.google.com/spreadsheets/d/1uVc-vnTn57HE53lwrUYNZP4sGKTXisrqOoZ-6EyvLzY/edit"",""2!e48"")"),0)</f>
        <v>0</v>
      </c>
      <c r="L38" s="18">
        <f t="shared" ca="1" si="88"/>
        <v>2916</v>
      </c>
      <c r="M38" s="18">
        <f t="shared" ca="1" si="89"/>
        <v>4999</v>
      </c>
      <c r="N38" s="19">
        <f t="shared" ca="1" si="90"/>
        <v>196.48588235294091</v>
      </c>
      <c r="O38" s="16">
        <v>6853</v>
      </c>
      <c r="P38" s="20">
        <f t="shared" ca="1" si="91"/>
        <v>0.72946154968626875</v>
      </c>
      <c r="Q38" s="21">
        <v>1.5</v>
      </c>
      <c r="R38" s="20">
        <f t="shared" ca="1" si="92"/>
        <v>0.49886336193390207</v>
      </c>
      <c r="S38" s="22">
        <f t="shared" ca="1" si="93"/>
        <v>0.74829504290085314</v>
      </c>
      <c r="T38" s="21">
        <f ca="1">F38/33.74</f>
        <v>197.99999999999972</v>
      </c>
      <c r="U38" s="21">
        <f t="shared" ca="1" si="94"/>
        <v>5.8235294117646976</v>
      </c>
      <c r="V38" s="18">
        <f t="shared" ca="1" si="95"/>
        <v>147.02941176470588</v>
      </c>
      <c r="W38" s="76"/>
      <c r="X38" s="1" t="s">
        <v>2</v>
      </c>
      <c r="Y38" s="1" t="s">
        <v>3</v>
      </c>
      <c r="Z38" s="1" t="s">
        <v>4</v>
      </c>
      <c r="AA38" s="1" t="s">
        <v>5</v>
      </c>
      <c r="AB38" s="2" t="s">
        <v>6</v>
      </c>
      <c r="AC38" s="1" t="s">
        <v>7</v>
      </c>
      <c r="AD38" s="1" t="s">
        <v>8</v>
      </c>
      <c r="AE38" s="1" t="s">
        <v>9</v>
      </c>
      <c r="AF38" s="1" t="s">
        <v>10</v>
      </c>
      <c r="AG38" s="1" t="s">
        <v>11</v>
      </c>
      <c r="AH38" s="1" t="s">
        <v>12</v>
      </c>
      <c r="AI38" s="1" t="s">
        <v>13</v>
      </c>
      <c r="AJ38" s="2" t="s">
        <v>14</v>
      </c>
      <c r="AK38" s="1" t="s">
        <v>15</v>
      </c>
      <c r="AL38" s="1" t="s">
        <v>16</v>
      </c>
      <c r="AM38" s="3" t="s">
        <v>17</v>
      </c>
      <c r="AN38" s="4" t="s">
        <v>18</v>
      </c>
      <c r="AO38" s="5" t="s">
        <v>19</v>
      </c>
      <c r="AP38" s="6" t="s">
        <v>20</v>
      </c>
      <c r="AQ38" s="6" t="s">
        <v>21</v>
      </c>
      <c r="AR38" s="7" t="s">
        <v>22</v>
      </c>
      <c r="AS38" s="76"/>
      <c r="AT38" s="76"/>
    </row>
    <row r="39" spans="1:46" ht="15.75" customHeight="1" x14ac:dyDescent="0.25">
      <c r="A39" s="70"/>
      <c r="B39" s="16">
        <v>7</v>
      </c>
      <c r="C39" s="16" t="s">
        <v>24</v>
      </c>
      <c r="D39" s="17">
        <v>44</v>
      </c>
      <c r="E39" s="31">
        <f ca="1">IFERROR(__xludf.DUMMYFUNCTION("COUNT(IMPORTRANGE(""https://docs.google.com/spreadsheets/d/1iuPvivSypupo44l6GtmR-2qZ3za7cTk7KzsOVp_kv2c/edit"",""2!d2:d45""))"),44)</f>
        <v>44</v>
      </c>
      <c r="F39" s="32">
        <f ca="1">IFERROR(__xludf.DUMMYFUNCTION("SUM(IMPORTRANGE(""https://docs.google.com/spreadsheets/d/1iuPvivSypupo44l6GtmR-2qZ3za7cTk7KzsOVp_kv2c/edit"",""2!Q2:Q45""))"),8354.58199999999)</f>
        <v>8354.5819999999894</v>
      </c>
      <c r="G39" s="31">
        <f ca="1">IFERROR(__xludf.DUMMYFUNCTION("IMPORTRANGE(""https://docs.google.com/spreadsheets/d/1iuPvivSypupo44l6GtmR-2qZ3za7cTk7KzsOVp_kv2c/edit"",""2!e53"")"),1454)</f>
        <v>1454</v>
      </c>
      <c r="H39" s="31">
        <f ca="1">IFERROR(__xludf.DUMMYFUNCTION("IMPORTRANGE(""https://docs.google.com/spreadsheets/d/1iuPvivSypupo44l6GtmR-2qZ3za7cTk7KzsOVp_kv2c/edit"",""2!e54"")"),0)</f>
        <v>0</v>
      </c>
      <c r="I39" s="31">
        <f t="shared" ca="1" si="87"/>
        <v>1454</v>
      </c>
      <c r="J39" s="31">
        <f ca="1">IFERROR(__xludf.DUMMYFUNCTION("IMPORTRANGE(""https://docs.google.com/spreadsheets/d/1iuPvivSypupo44l6GtmR-2qZ3za7cTk7KzsOVp_kv2c/edit"",""2!e57"")"),1288)</f>
        <v>1288</v>
      </c>
      <c r="K39" s="31">
        <f ca="1">IFERROR(__xludf.DUMMYFUNCTION("IMPORTRANGE(""https://docs.google.com/spreadsheets/d/1iuPvivSypupo44l6GtmR-2qZ3za7cTk7KzsOVp_kv2c/edit"",""2!e58"")"),28)</f>
        <v>28</v>
      </c>
      <c r="L39" s="18">
        <f t="shared" ca="1" si="88"/>
        <v>1316</v>
      </c>
      <c r="M39" s="18">
        <f t="shared" ca="1" si="89"/>
        <v>2770</v>
      </c>
      <c r="N39" s="19">
        <f t="shared" ca="1" si="90"/>
        <v>189.8768636363634</v>
      </c>
      <c r="O39" s="16">
        <v>1580</v>
      </c>
      <c r="P39" s="33">
        <f t="shared" ca="1" si="91"/>
        <v>1.7531645569620253</v>
      </c>
      <c r="Q39" s="21">
        <v>1.5</v>
      </c>
      <c r="R39" s="20">
        <f t="shared" ca="1" si="92"/>
        <v>0.22103639256478291</v>
      </c>
      <c r="S39" s="22">
        <f t="shared" ca="1" si="93"/>
        <v>0.33155458884717437</v>
      </c>
      <c r="T39" s="21">
        <f ca="1">F39/26.805</f>
        <v>311.67998507741055</v>
      </c>
      <c r="U39" s="21">
        <f t="shared" ca="1" si="94"/>
        <v>7.0836360244866032</v>
      </c>
      <c r="V39" s="18">
        <f t="shared" ca="1" si="95"/>
        <v>62.954545454545453</v>
      </c>
      <c r="W39" s="76"/>
      <c r="X39" s="8">
        <v>1</v>
      </c>
      <c r="Y39" s="8" t="s">
        <v>28</v>
      </c>
      <c r="Z39" s="8">
        <f t="shared" ref="Z39:AI39" si="106">SUM(D34)</f>
        <v>33</v>
      </c>
      <c r="AA39" s="9">
        <f t="shared" ca="1" si="106"/>
        <v>33</v>
      </c>
      <c r="AB39" s="11">
        <f t="shared" ca="1" si="106"/>
        <v>6528.8329999999896</v>
      </c>
      <c r="AC39" s="9">
        <f t="shared" ca="1" si="106"/>
        <v>2700</v>
      </c>
      <c r="AD39" s="9">
        <f t="shared" ca="1" si="106"/>
        <v>104</v>
      </c>
      <c r="AE39" s="9">
        <f t="shared" ca="1" si="106"/>
        <v>2804</v>
      </c>
      <c r="AF39" s="9">
        <f t="shared" ca="1" si="106"/>
        <v>3205</v>
      </c>
      <c r="AG39" s="9">
        <f t="shared" ca="1" si="106"/>
        <v>102</v>
      </c>
      <c r="AH39" s="9">
        <f t="shared" ca="1" si="106"/>
        <v>3307</v>
      </c>
      <c r="AI39" s="9">
        <f t="shared" ca="1" si="106"/>
        <v>6111</v>
      </c>
      <c r="AJ39" s="11">
        <f t="shared" ref="AJ39:AJ45" ca="1" si="107">AB39/AA39</f>
        <v>197.84342424242394</v>
      </c>
      <c r="AK39" s="8">
        <f t="shared" ref="AK39:AK40" si="108">SUM(O34)</f>
        <v>7315</v>
      </c>
      <c r="AL39" s="12">
        <f t="shared" ref="AL39:AL45" ca="1" si="109">AI39/AK39</f>
        <v>0.83540669856459326</v>
      </c>
      <c r="AM39" s="13">
        <f t="shared" ref="AM39:AM40" si="110">SUM(Q34)</f>
        <v>1.5</v>
      </c>
      <c r="AN39" s="12">
        <f t="shared" ref="AN39:AN45" ca="1" si="111">AO39/AM39</f>
        <v>0.6240012571925192</v>
      </c>
      <c r="AO39" s="14">
        <f t="shared" ref="AO39:AO45" ca="1" si="112">AI39/AB39</f>
        <v>0.93600188578877874</v>
      </c>
      <c r="AP39" s="13">
        <f t="shared" ref="AP39:AQ39" ca="1" si="113">SUM(T34)</f>
        <v>211.30960934718547</v>
      </c>
      <c r="AQ39" s="13">
        <f t="shared" ca="1" si="113"/>
        <v>6.4033214953692568</v>
      </c>
      <c r="AR39" s="9">
        <f t="shared" ref="AR39:AR45" ca="1" si="114">AI39/AA39</f>
        <v>185.18181818181819</v>
      </c>
      <c r="AS39" s="76"/>
      <c r="AT39" s="76"/>
    </row>
    <row r="40" spans="1:46" ht="15.75" customHeight="1" x14ac:dyDescent="0.25">
      <c r="A40" s="70"/>
      <c r="B40" s="16">
        <v>8</v>
      </c>
      <c r="C40" s="16" t="s">
        <v>25</v>
      </c>
      <c r="D40" s="34">
        <v>32</v>
      </c>
      <c r="E40" s="18">
        <f ca="1">IFERROR(__xludf.DUMMYFUNCTION("COUNT(IMPORTRANGE(""https://docs.google.com/spreadsheets/d/1sqWX7UerdR9KR_duBzDNfjwbPG-3hLgV1LiN2ZVZ6Js/edit"",""2!d2:D33""))"),31)</f>
        <v>31</v>
      </c>
      <c r="F40" s="23">
        <f ca="1">IFERROR(__xludf.DUMMYFUNCTION("SUM(IMPORTRANGE(""https://docs.google.com/spreadsheets/d/1sqWX7UerdR9KR_duBzDNfjwbPG-3hLgV1LiN2ZVZ6Js/edit"",""2!Q2:Q33""))"),5925.124)</f>
        <v>5925.1239999999998</v>
      </c>
      <c r="G40" s="18">
        <f ca="1">IFERROR(__xludf.DUMMYFUNCTION("IMPORTRANGE(""https://docs.google.com/spreadsheets/d/1sqWX7UerdR9KR_duBzDNfjwbPG-3hLgV1LiN2ZVZ6Js/edit"",""2!e40"")"),2351)</f>
        <v>2351</v>
      </c>
      <c r="H40" s="18">
        <f ca="1">IFERROR(__xludf.DUMMYFUNCTION("IMPORTRANGE(""https://docs.google.com/spreadsheets/d/1sqWX7UerdR9KR_duBzDNfjwbPG-3hLgV1LiN2ZVZ6Js/edit"",""2!e41"")"),438)</f>
        <v>438</v>
      </c>
      <c r="I40" s="18">
        <f t="shared" ca="1" si="87"/>
        <v>2789</v>
      </c>
      <c r="J40" s="18">
        <f ca="1">IFERROR(__xludf.DUMMYFUNCTION("IMPORTRANGE(""https://docs.google.com/spreadsheets/d/1sqWX7UerdR9KR_duBzDNfjwbPG-3hLgV1LiN2ZVZ6Js/edit"",""2!e44"")"),3213)</f>
        <v>3213</v>
      </c>
      <c r="K40" s="18">
        <f ca="1">IFERROR(__xludf.DUMMYFUNCTION("IMPORTRANGE(""https://docs.google.com/spreadsheets/d/1sqWX7UerdR9KR_duBzDNfjwbPG-3hLgV1LiN2ZVZ6Js/edit"",""2!e45"")"),305)</f>
        <v>305</v>
      </c>
      <c r="L40" s="18">
        <f ca="1">J40+K40</f>
        <v>3518</v>
      </c>
      <c r="M40" s="18">
        <f t="shared" ca="1" si="89"/>
        <v>6307</v>
      </c>
      <c r="N40" s="19">
        <f t="shared" ca="1" si="90"/>
        <v>191.1330322580645</v>
      </c>
      <c r="O40" s="16">
        <v>6622</v>
      </c>
      <c r="P40" s="20">
        <f t="shared" ca="1" si="91"/>
        <v>0.95243128964059198</v>
      </c>
      <c r="Q40" s="21">
        <v>1.5</v>
      </c>
      <c r="R40" s="20">
        <f t="shared" ca="1" si="92"/>
        <v>0.70963353115760386</v>
      </c>
      <c r="S40" s="22">
        <f t="shared" ca="1" si="93"/>
        <v>1.0644502967364058</v>
      </c>
      <c r="T40" s="21">
        <f ca="1">F40/23.84</f>
        <v>248.53708053691275</v>
      </c>
      <c r="U40" s="21">
        <f t="shared" ca="1" si="94"/>
        <v>8.0173251786100881</v>
      </c>
      <c r="V40" s="18">
        <f t="shared" ca="1" si="95"/>
        <v>203.45161290322579</v>
      </c>
      <c r="W40" s="76"/>
      <c r="X40" s="8">
        <v>2</v>
      </c>
      <c r="Y40" s="8" t="s">
        <v>30</v>
      </c>
      <c r="Z40" s="8">
        <f t="shared" ref="Z40:AI40" si="115">SUM(D35)</f>
        <v>60</v>
      </c>
      <c r="AA40" s="9">
        <f t="shared" ca="1" si="115"/>
        <v>58</v>
      </c>
      <c r="AB40" s="10">
        <f t="shared" ca="1" si="115"/>
        <v>11253.344999999899</v>
      </c>
      <c r="AC40" s="9">
        <f t="shared" ca="1" si="115"/>
        <v>3757</v>
      </c>
      <c r="AD40" s="9">
        <f t="shared" ca="1" si="115"/>
        <v>0</v>
      </c>
      <c r="AE40" s="9">
        <f t="shared" ca="1" si="115"/>
        <v>3757</v>
      </c>
      <c r="AF40" s="9">
        <f t="shared" ca="1" si="115"/>
        <v>5596</v>
      </c>
      <c r="AG40" s="9">
        <f t="shared" ca="1" si="115"/>
        <v>0</v>
      </c>
      <c r="AH40" s="9">
        <f t="shared" ca="1" si="115"/>
        <v>5596</v>
      </c>
      <c r="AI40" s="9">
        <f t="shared" ca="1" si="115"/>
        <v>9353</v>
      </c>
      <c r="AJ40" s="11">
        <f t="shared" ca="1" si="107"/>
        <v>194.02318965517068</v>
      </c>
      <c r="AK40" s="8">
        <f t="shared" si="108"/>
        <v>11164</v>
      </c>
      <c r="AL40" s="12">
        <f t="shared" ca="1" si="109"/>
        <v>0.83778215693299896</v>
      </c>
      <c r="AM40" s="13">
        <f t="shared" si="110"/>
        <v>1.5</v>
      </c>
      <c r="AN40" s="12">
        <f t="shared" ca="1" si="111"/>
        <v>0.5540871032864797</v>
      </c>
      <c r="AO40" s="14">
        <f t="shared" ca="1" si="112"/>
        <v>0.83113065492971949</v>
      </c>
      <c r="AP40" s="13">
        <f t="shared" ref="AP40:AQ40" ca="1" si="116">SUM(T35)</f>
        <v>380.14204641421134</v>
      </c>
      <c r="AQ40" s="13">
        <f t="shared" ca="1" si="116"/>
        <v>6.5541732140381264</v>
      </c>
      <c r="AR40" s="9">
        <f t="shared" ca="1" si="114"/>
        <v>161.25862068965517</v>
      </c>
      <c r="AS40" s="76"/>
      <c r="AT40" s="76"/>
    </row>
    <row r="41" spans="1:46" ht="15.75" customHeight="1" x14ac:dyDescent="0.25">
      <c r="A41" s="70"/>
      <c r="B41" s="16">
        <v>9</v>
      </c>
      <c r="C41" s="16" t="s">
        <v>36</v>
      </c>
      <c r="D41" s="34">
        <v>30</v>
      </c>
      <c r="E41" s="18">
        <f ca="1">IFERROR(__xludf.DUMMYFUNCTION("COUNT(IMPORTRANGE(""https://docs.google.com/spreadsheets/d/1YNna43iTSqnwwbMJgTIPHSJEoDO8RGPRFg5pJCoQR_Y/edit"",""2!d2:d31""))"),29)</f>
        <v>29</v>
      </c>
      <c r="F41" s="23">
        <f ca="1">IFERROR(__xludf.DUMMYFUNCTION("SUM(IMPORTRANGE(""https://docs.google.com/spreadsheets/d/1YNna43iTSqnwwbMJgTIPHSJEoDO8RGPRFg5pJCoQR_Y/edit"",""2!Q2:Q31""))"),5604.12)</f>
        <v>5604.12</v>
      </c>
      <c r="G41" s="18">
        <f ca="1">IFERROR(__xludf.DUMMYFUNCTION("IMPORTRANGE(""https://docs.google.com/spreadsheets/d/1YNna43iTSqnwwbMJgTIPHSJEoDO8RGPRFg5pJCoQR_Y/edit"",""2!e38"")"),1533)</f>
        <v>1533</v>
      </c>
      <c r="H41" s="18">
        <f ca="1">IFERROR(__xludf.DUMMYFUNCTION("IMPORTRANGE(""https://docs.google.com/spreadsheets/d/1YNna43iTSqnwwbMJgTIPHSJEoDO8RGPRFg5pJCoQR_Y/edit"",""2!e39"")"),0)</f>
        <v>0</v>
      </c>
      <c r="I41" s="18">
        <f t="shared" ca="1" si="87"/>
        <v>1533</v>
      </c>
      <c r="J41" s="18">
        <f ca="1">IFERROR(__xludf.DUMMYFUNCTION("IMPORTRANGE(""https://docs.google.com/spreadsheets/d/1YNna43iTSqnwwbMJgTIPHSJEoDO8RGPRFg5pJCoQR_Y/edit"",""2!e42"")"),2301)</f>
        <v>2301</v>
      </c>
      <c r="K41" s="18">
        <f ca="1">IFERROR(__xludf.DUMMYFUNCTION("IMPORTRANGE(""https://docs.google.com/spreadsheets/d/1YNna43iTSqnwwbMJgTIPHSJEoDO8RGPRFg5pJCoQR_Y/edit"",""2!e43"")"),0)</f>
        <v>0</v>
      </c>
      <c r="L41" s="18">
        <f t="shared" ref="L41:L50" ca="1" si="117">SUM(J41:K41)</f>
        <v>2301</v>
      </c>
      <c r="M41" s="18">
        <f t="shared" ca="1" si="89"/>
        <v>3834</v>
      </c>
      <c r="N41" s="19">
        <f t="shared" ca="1" si="90"/>
        <v>193.2455172413793</v>
      </c>
      <c r="O41" s="16">
        <v>4796</v>
      </c>
      <c r="P41" s="20">
        <f t="shared" ca="1" si="91"/>
        <v>0.79941618015012506</v>
      </c>
      <c r="Q41" s="21">
        <v>1.5</v>
      </c>
      <c r="R41" s="20">
        <f t="shared" ca="1" si="92"/>
        <v>0.4560930172801439</v>
      </c>
      <c r="S41" s="22">
        <f t="shared" ca="1" si="93"/>
        <v>0.68413952592021587</v>
      </c>
      <c r="T41" s="21">
        <f ca="1">F41/37.414</f>
        <v>149.78671085689848</v>
      </c>
      <c r="U41" s="21">
        <f t="shared" ca="1" si="94"/>
        <v>5.1650589950654648</v>
      </c>
      <c r="V41" s="18">
        <f t="shared" ca="1" si="95"/>
        <v>132.20689655172413</v>
      </c>
      <c r="W41" s="76"/>
      <c r="X41" s="8">
        <v>3</v>
      </c>
      <c r="Y41" s="8" t="s">
        <v>34</v>
      </c>
      <c r="Z41" s="8">
        <f t="shared" ref="Z41:AI41" si="118">SUM(D37)</f>
        <v>40</v>
      </c>
      <c r="AA41" s="9">
        <f t="shared" ca="1" si="118"/>
        <v>40</v>
      </c>
      <c r="AB41" s="10">
        <f t="shared" ca="1" si="118"/>
        <v>7895.3429999999998</v>
      </c>
      <c r="AC41" s="9">
        <f t="shared" ca="1" si="118"/>
        <v>3069</v>
      </c>
      <c r="AD41" s="9">
        <f t="shared" ca="1" si="118"/>
        <v>0</v>
      </c>
      <c r="AE41" s="9">
        <f t="shared" ca="1" si="118"/>
        <v>3069</v>
      </c>
      <c r="AF41" s="9">
        <f t="shared" ca="1" si="118"/>
        <v>3126</v>
      </c>
      <c r="AG41" s="9">
        <f t="shared" ca="1" si="118"/>
        <v>0</v>
      </c>
      <c r="AH41" s="9">
        <f t="shared" ca="1" si="118"/>
        <v>3126</v>
      </c>
      <c r="AI41" s="9">
        <f t="shared" ca="1" si="118"/>
        <v>6195</v>
      </c>
      <c r="AJ41" s="11">
        <f t="shared" ca="1" si="107"/>
        <v>197.38357500000001</v>
      </c>
      <c r="AK41" s="8">
        <f>SUM(O37)</f>
        <v>9354</v>
      </c>
      <c r="AL41" s="12">
        <f t="shared" ca="1" si="109"/>
        <v>0.66228351507376526</v>
      </c>
      <c r="AM41" s="13">
        <f>SUM(Q37)</f>
        <v>1.5</v>
      </c>
      <c r="AN41" s="12">
        <f t="shared" ca="1" si="111"/>
        <v>0.52309317023972235</v>
      </c>
      <c r="AO41" s="14">
        <f t="shared" ca="1" si="112"/>
        <v>0.78463975535958352</v>
      </c>
      <c r="AP41" s="13">
        <f t="shared" ref="AP41:AQ41" ca="1" si="119">SUM(T37)</f>
        <v>257.06844007423564</v>
      </c>
      <c r="AQ41" s="13">
        <f t="shared" ca="1" si="119"/>
        <v>6.4267110018558906</v>
      </c>
      <c r="AR41" s="9">
        <f t="shared" ca="1" si="114"/>
        <v>154.875</v>
      </c>
      <c r="AS41" s="76"/>
      <c r="AT41" s="76"/>
    </row>
    <row r="42" spans="1:46" ht="15.75" customHeight="1" x14ac:dyDescent="0.25">
      <c r="A42" s="70"/>
      <c r="B42" s="16">
        <v>10</v>
      </c>
      <c r="C42" s="16" t="s">
        <v>37</v>
      </c>
      <c r="D42" s="17">
        <v>30</v>
      </c>
      <c r="E42" s="18">
        <f ca="1">IFERROR(__xludf.DUMMYFUNCTION("COUNT(IMPORTRANGE(""https://docs.google.com/spreadsheets/d/1913Df5BsXS_b-nClL8LOK5w0engQYTl1mPOiyngRtO0/edit"",""2!d2:d31""))"),30)</f>
        <v>30</v>
      </c>
      <c r="F42" s="23">
        <f ca="1">IFERROR(__xludf.DUMMYFUNCTION("SUM(IMPORTRANGE(""https://docs.google.com/spreadsheets/d/1913Df5BsXS_b-nClL8LOK5w0engQYTl1mPOiyngRtO0/edit"",""2!Q2:Q31""))"),5812.188)</f>
        <v>5812.1880000000001</v>
      </c>
      <c r="G42" s="18">
        <f ca="1">IFERROR(__xludf.DUMMYFUNCTION("(IMPORTRANGE(""https://docs.google.com/spreadsheets/d/1913Df5BsXS_b-nClL8LOK5w0engQYTl1mPOiyngRtO0/edit"",""2!e38""))"),2138)</f>
        <v>2138</v>
      </c>
      <c r="H42" s="18">
        <f ca="1">IFERROR(__xludf.DUMMYFUNCTION("(IMPORTRANGE(""https://docs.google.com/spreadsheets/d/1913Df5BsXS_b-nClL8LOK5w0engQYTl1mPOiyngRtO0/edit"",""2!e39""))"),0)</f>
        <v>0</v>
      </c>
      <c r="I42" s="18">
        <f t="shared" ca="1" si="87"/>
        <v>2138</v>
      </c>
      <c r="J42" s="18">
        <f ca="1">IFERROR(__xludf.DUMMYFUNCTION("(IMPORTRANGE(""https://docs.google.com/spreadsheets/d/1913Df5BsXS_b-nClL8LOK5w0engQYTl1mPOiyngRtO0/edit"",""2!e42""))"),3071)</f>
        <v>3071</v>
      </c>
      <c r="K42" s="18">
        <f ca="1">IFERROR(__xludf.DUMMYFUNCTION("(IMPORTRANGE(""https://docs.google.com/spreadsheets/d/1913Df5BsXS_b-nClL8LOK5w0engQYTl1mPOiyngRtO0/edit"",""2!e43""))"),0)</f>
        <v>0</v>
      </c>
      <c r="L42" s="18">
        <f t="shared" ca="1" si="117"/>
        <v>3071</v>
      </c>
      <c r="M42" s="18">
        <f t="shared" ca="1" si="89"/>
        <v>5209</v>
      </c>
      <c r="N42" s="19">
        <f t="shared" ca="1" si="90"/>
        <v>193.7396</v>
      </c>
      <c r="O42" s="16">
        <v>5887</v>
      </c>
      <c r="P42" s="20">
        <f t="shared" ca="1" si="91"/>
        <v>0.88483098352301681</v>
      </c>
      <c r="Q42" s="21">
        <v>1.5</v>
      </c>
      <c r="R42" s="20">
        <f t="shared" ca="1" si="92"/>
        <v>0.59748009986371164</v>
      </c>
      <c r="S42" s="22">
        <f t="shared" ca="1" si="93"/>
        <v>0.89622014979556752</v>
      </c>
      <c r="T42" s="21">
        <f ca="1">F42/24.792</f>
        <v>234.4380445304937</v>
      </c>
      <c r="U42" s="21">
        <f t="shared" ca="1" si="94"/>
        <v>7.8146014843497902</v>
      </c>
      <c r="V42" s="18">
        <f t="shared" ca="1" si="95"/>
        <v>173.63333333333333</v>
      </c>
      <c r="W42" s="76"/>
      <c r="X42" s="8">
        <v>4</v>
      </c>
      <c r="Y42" s="8" t="s">
        <v>38</v>
      </c>
      <c r="Z42" s="8">
        <f t="shared" ref="Z42:AI42" si="120">SUM(D45)</f>
        <v>30</v>
      </c>
      <c r="AA42" s="9">
        <f t="shared" ca="1" si="120"/>
        <v>30</v>
      </c>
      <c r="AB42" s="10">
        <f t="shared" ca="1" si="120"/>
        <v>6284.2779999999902</v>
      </c>
      <c r="AC42" s="9">
        <f t="shared" ca="1" si="120"/>
        <v>2309</v>
      </c>
      <c r="AD42" s="9">
        <f t="shared" ca="1" si="120"/>
        <v>0</v>
      </c>
      <c r="AE42" s="9">
        <f t="shared" ca="1" si="120"/>
        <v>2309</v>
      </c>
      <c r="AF42" s="9">
        <f t="shared" ca="1" si="120"/>
        <v>2749</v>
      </c>
      <c r="AG42" s="9">
        <f t="shared" ca="1" si="120"/>
        <v>159</v>
      </c>
      <c r="AH42" s="9">
        <f t="shared" ca="1" si="120"/>
        <v>2908</v>
      </c>
      <c r="AI42" s="9">
        <f t="shared" ca="1" si="120"/>
        <v>5217</v>
      </c>
      <c r="AJ42" s="11">
        <f t="shared" ca="1" si="107"/>
        <v>209.47593333333302</v>
      </c>
      <c r="AK42" s="8">
        <v>7324</v>
      </c>
      <c r="AL42" s="12">
        <f t="shared" ca="1" si="109"/>
        <v>0.71231567449481159</v>
      </c>
      <c r="AM42" s="13">
        <f>SUM(Q45)</f>
        <v>1.5</v>
      </c>
      <c r="AN42" s="12">
        <f t="shared" ca="1" si="111"/>
        <v>0.55344464391931825</v>
      </c>
      <c r="AO42" s="14">
        <f t="shared" ca="1" si="112"/>
        <v>0.83016696587897731</v>
      </c>
      <c r="AP42" s="13">
        <f t="shared" ref="AP42:AQ42" ca="1" si="121">SUM(T45)</f>
        <v>152.51251061764327</v>
      </c>
      <c r="AQ42" s="13">
        <f t="shared" ca="1" si="121"/>
        <v>5.0837503539214426</v>
      </c>
      <c r="AR42" s="9">
        <f t="shared" ca="1" si="114"/>
        <v>173.9</v>
      </c>
      <c r="AS42" s="76"/>
      <c r="AT42" s="76"/>
    </row>
    <row r="43" spans="1:46" ht="15.75" customHeight="1" x14ac:dyDescent="0.25">
      <c r="A43" s="70"/>
      <c r="B43" s="16">
        <v>12</v>
      </c>
      <c r="C43" s="16" t="s">
        <v>39</v>
      </c>
      <c r="D43" s="17">
        <v>28</v>
      </c>
      <c r="E43" s="18">
        <f ca="1">IFERROR(__xludf.DUMMYFUNCTION("COUNT(IMPORTRANGE(""https://docs.google.com/spreadsheets/d/1wMeol_MpSIcocGxt3WZGl46mJ2tc80mANPvP_YzaP18/edit"",""2!d2:d29""))"),28)</f>
        <v>28</v>
      </c>
      <c r="F43" s="23">
        <f ca="1">IFERROR(__xludf.DUMMYFUNCTION("SUM(IMPORTRANGE(""https://docs.google.com/spreadsheets/d/1wMeol_MpSIcocGxt3WZGl46mJ2tc80mANPvP_YzaP18/edit"",""2!Q2:Q29""))"),5458.878)</f>
        <v>5458.8779999999997</v>
      </c>
      <c r="G43" s="18">
        <f ca="1">IFERROR(__xludf.DUMMYFUNCTION("IMPORTRANGE(""https://docs.google.com/spreadsheets/d/1wMeol_MpSIcocGxt3WZGl46mJ2tc80mANPvP_YzaP18/edit"",""2!e36"")"),1516)</f>
        <v>1516</v>
      </c>
      <c r="H43" s="18">
        <f ca="1">IFERROR(__xludf.DUMMYFUNCTION("(IMPORTRANGE(""https://docs.google.com/spreadsheets/d/1wMeol_MpSIcocGxt3WZGl46mJ2tc80mANPvP_YzaP18/edit"",""2!e37""))"),43)</f>
        <v>43</v>
      </c>
      <c r="I43" s="18">
        <f t="shared" ca="1" si="87"/>
        <v>1559</v>
      </c>
      <c r="J43" s="18">
        <f ca="1">IFERROR(__xludf.DUMMYFUNCTION("IMPORTRANGE(""https://docs.google.com/spreadsheets/d/1wMeol_MpSIcocGxt3WZGl46mJ2tc80mANPvP_YzaP18/edit"",""2!e40"")"),1765)</f>
        <v>1765</v>
      </c>
      <c r="K43" s="18">
        <f ca="1">IFERROR(__xludf.DUMMYFUNCTION("IMPORTRANGE(""https://docs.google.com/spreadsheets/d/1wMeol_MpSIcocGxt3WZGl46mJ2tc80mANPvP_YzaP18/edit"",""2!e41"")"),115)</f>
        <v>115</v>
      </c>
      <c r="L43" s="18">
        <f t="shared" ca="1" si="117"/>
        <v>1880</v>
      </c>
      <c r="M43" s="18">
        <f t="shared" ca="1" si="89"/>
        <v>3439</v>
      </c>
      <c r="N43" s="19">
        <f t="shared" ca="1" si="90"/>
        <v>194.95992857142855</v>
      </c>
      <c r="O43" s="16">
        <v>3569</v>
      </c>
      <c r="P43" s="20">
        <f t="shared" ca="1" si="91"/>
        <v>0.96357523115718691</v>
      </c>
      <c r="Q43" s="21">
        <v>1.5</v>
      </c>
      <c r="R43" s="20">
        <f t="shared" ca="1" si="92"/>
        <v>0.4199886252571805</v>
      </c>
      <c r="S43" s="22">
        <f t="shared" ca="1" si="93"/>
        <v>0.62998293788577076</v>
      </c>
      <c r="T43" s="21">
        <f ca="1">F43/21.463</f>
        <v>254.33900200344777</v>
      </c>
      <c r="U43" s="21">
        <f t="shared" ca="1" si="94"/>
        <v>9.0835357858374213</v>
      </c>
      <c r="V43" s="18">
        <f t="shared" ca="1" si="95"/>
        <v>122.82142857142857</v>
      </c>
      <c r="W43" s="76"/>
      <c r="X43" s="8">
        <v>5</v>
      </c>
      <c r="Y43" s="8" t="s">
        <v>40</v>
      </c>
      <c r="Z43" s="8">
        <f t="shared" ref="Z43:AI43" si="122">SUM(D47)</f>
        <v>30</v>
      </c>
      <c r="AA43" s="9">
        <f t="shared" ca="1" si="122"/>
        <v>30</v>
      </c>
      <c r="AB43" s="10">
        <f t="shared" ca="1" si="122"/>
        <v>5845.7029999999904</v>
      </c>
      <c r="AC43" s="9">
        <f t="shared" ca="1" si="122"/>
        <v>3323</v>
      </c>
      <c r="AD43" s="9">
        <f t="shared" ca="1" si="122"/>
        <v>39</v>
      </c>
      <c r="AE43" s="9">
        <f t="shared" ca="1" si="122"/>
        <v>3362</v>
      </c>
      <c r="AF43" s="9">
        <f t="shared" ca="1" si="122"/>
        <v>3928</v>
      </c>
      <c r="AG43" s="9">
        <f t="shared" ca="1" si="122"/>
        <v>73</v>
      </c>
      <c r="AH43" s="9">
        <f t="shared" ca="1" si="122"/>
        <v>4001</v>
      </c>
      <c r="AI43" s="9">
        <f t="shared" ca="1" si="122"/>
        <v>7363</v>
      </c>
      <c r="AJ43" s="11">
        <f t="shared" ca="1" si="107"/>
        <v>194.85676666666635</v>
      </c>
      <c r="AK43" s="8">
        <f t="shared" ref="AK43:AK44" si="123">SUM(O47)</f>
        <v>8239</v>
      </c>
      <c r="AL43" s="12">
        <f t="shared" ca="1" si="109"/>
        <v>0.89367641704090306</v>
      </c>
      <c r="AM43" s="13">
        <f t="shared" ref="AM43:AM44" si="124">SUM(Q47)</f>
        <v>1.5</v>
      </c>
      <c r="AN43" s="12">
        <f t="shared" ca="1" si="111"/>
        <v>0.83970510760924311</v>
      </c>
      <c r="AO43" s="14">
        <f t="shared" ca="1" si="112"/>
        <v>1.2595576614138646</v>
      </c>
      <c r="AP43" s="13">
        <f t="shared" ref="AP43:AQ43" ca="1" si="125">SUM(T47)</f>
        <v>205.52343283057309</v>
      </c>
      <c r="AQ43" s="13">
        <f t="shared" ca="1" si="125"/>
        <v>6.8507810943524365</v>
      </c>
      <c r="AR43" s="9">
        <f t="shared" ca="1" si="114"/>
        <v>245.43333333333334</v>
      </c>
      <c r="AS43" s="76"/>
      <c r="AT43" s="76"/>
    </row>
    <row r="44" spans="1:46" ht="15.75" customHeight="1" x14ac:dyDescent="0.25">
      <c r="A44" s="70"/>
      <c r="B44" s="16">
        <v>12</v>
      </c>
      <c r="C44" s="16" t="s">
        <v>41</v>
      </c>
      <c r="D44" s="17">
        <v>24</v>
      </c>
      <c r="E44" s="18">
        <f ca="1">IFERROR(__xludf.DUMMYFUNCTION("COUNT(IMPORTRANGE(""https://docs.google.com/spreadsheets/d/1sHk6_yuc4kORC_xnhEeazoemV_hVUQVqRpfoNae-PLk/edit"",""2!d2:d25""))"),24)</f>
        <v>24</v>
      </c>
      <c r="F44" s="23">
        <f ca="1">IFERROR(__xludf.DUMMYFUNCTION("SUM(IMPORTRANGE(""https://docs.google.com/spreadsheets/d/1sHk6_yuc4kORC_xnhEeazoemV_hVUQVqRpfoNae-PLk/edit"",""2!Q2:Q25""))"),4806.32)</f>
        <v>4806.32</v>
      </c>
      <c r="G44" s="18">
        <f ca="1">IFERROR(__xludf.DUMMYFUNCTION("IMPORTRANGE(""https://docs.google.com/spreadsheets/d/1sHk6_yuc4kORC_xnhEeazoemV_hVUQVqRpfoNae-PLk/edit"",""2!e32"")"),1468)</f>
        <v>1468</v>
      </c>
      <c r="H44" s="18">
        <f ca="1">IFERROR(__xludf.DUMMYFUNCTION("IMPORTRANGE(""https://docs.google.com/spreadsheets/d/1sHk6_yuc4kORC_xnhEeazoemV_hVUQVqRpfoNae-PLk/edit"",""2!e33"")"),0)</f>
        <v>0</v>
      </c>
      <c r="I44" s="18">
        <f t="shared" ca="1" si="87"/>
        <v>1468</v>
      </c>
      <c r="J44" s="18">
        <f ca="1">IFERROR(__xludf.DUMMYFUNCTION("IMPORTRANGE(""https://docs.google.com/spreadsheets/d/1sHk6_yuc4kORC_xnhEeazoemV_hVUQVqRpfoNae-PLk/edit"",""2!e36"")"),1656)</f>
        <v>1656</v>
      </c>
      <c r="K44" s="18">
        <f ca="1">IFERROR(__xludf.DUMMYFUNCTION("IMPORTRANGE(""https://docs.google.com/spreadsheets/d/1sHk6_yuc4kORC_xnhEeazoemV_hVUQVqRpfoNae-PLk/edit"",""2!e37"")"),0)</f>
        <v>0</v>
      </c>
      <c r="L44" s="18">
        <f t="shared" ca="1" si="117"/>
        <v>1656</v>
      </c>
      <c r="M44" s="18">
        <f t="shared" ca="1" si="89"/>
        <v>3124</v>
      </c>
      <c r="N44" s="19">
        <f t="shared" ca="1" si="90"/>
        <v>200.26333333333332</v>
      </c>
      <c r="O44" s="16">
        <v>3801</v>
      </c>
      <c r="P44" s="20">
        <f t="shared" ca="1" si="91"/>
        <v>0.82188897658510918</v>
      </c>
      <c r="Q44" s="21">
        <v>1.5</v>
      </c>
      <c r="R44" s="20">
        <f t="shared" ca="1" si="92"/>
        <v>0.43331835305736338</v>
      </c>
      <c r="S44" s="22">
        <f t="shared" ca="1" si="93"/>
        <v>0.64997752958604504</v>
      </c>
      <c r="T44" s="21">
        <f ca="1">F44/29.628</f>
        <v>162.2222222222222</v>
      </c>
      <c r="U44" s="21">
        <f t="shared" ca="1" si="94"/>
        <v>6.7592592592592586</v>
      </c>
      <c r="V44" s="18">
        <f t="shared" ca="1" si="95"/>
        <v>130.16666666666666</v>
      </c>
      <c r="W44" s="76"/>
      <c r="X44" s="8">
        <v>6</v>
      </c>
      <c r="Y44" s="8" t="s">
        <v>42</v>
      </c>
      <c r="Z44" s="8">
        <f t="shared" ref="Z44:AI44" si="126">SUM(D48)</f>
        <v>33</v>
      </c>
      <c r="AA44" s="9">
        <f t="shared" ca="1" si="126"/>
        <v>33</v>
      </c>
      <c r="AB44" s="10">
        <f t="shared" ca="1" si="126"/>
        <v>6380.2819999999901</v>
      </c>
      <c r="AC44" s="9">
        <f t="shared" ca="1" si="126"/>
        <v>3133</v>
      </c>
      <c r="AD44" s="9">
        <f t="shared" ca="1" si="126"/>
        <v>0</v>
      </c>
      <c r="AE44" s="9">
        <f t="shared" ca="1" si="126"/>
        <v>3133</v>
      </c>
      <c r="AF44" s="9">
        <f t="shared" ca="1" si="126"/>
        <v>4360</v>
      </c>
      <c r="AG44" s="9">
        <f t="shared" ca="1" si="126"/>
        <v>0</v>
      </c>
      <c r="AH44" s="9">
        <f t="shared" ca="1" si="126"/>
        <v>4360</v>
      </c>
      <c r="AI44" s="9">
        <f t="shared" ca="1" si="126"/>
        <v>7493</v>
      </c>
      <c r="AJ44" s="11">
        <f t="shared" ca="1" si="107"/>
        <v>193.3418787878785</v>
      </c>
      <c r="AK44" s="8">
        <f t="shared" si="123"/>
        <v>9877</v>
      </c>
      <c r="AL44" s="12">
        <f t="shared" ca="1" si="109"/>
        <v>0.75863116330869695</v>
      </c>
      <c r="AM44" s="13">
        <f t="shared" si="124"/>
        <v>1.5</v>
      </c>
      <c r="AN44" s="12">
        <f t="shared" ca="1" si="111"/>
        <v>0.78293300097602903</v>
      </c>
      <c r="AO44" s="14">
        <f t="shared" ca="1" si="112"/>
        <v>1.1743995014640436</v>
      </c>
      <c r="AP44" s="13">
        <f t="shared" ref="AP44:AQ44" ca="1" si="127">SUM(T48)</f>
        <v>243.94119671190938</v>
      </c>
      <c r="AQ44" s="13">
        <f t="shared" ca="1" si="127"/>
        <v>7.3921574761184665</v>
      </c>
      <c r="AR44" s="9">
        <f t="shared" ca="1" si="114"/>
        <v>227.06060606060606</v>
      </c>
      <c r="AS44" s="76"/>
      <c r="AT44" s="76"/>
    </row>
    <row r="45" spans="1:46" ht="15.75" customHeight="1" x14ac:dyDescent="0.25">
      <c r="A45" s="70"/>
      <c r="B45" s="16">
        <v>13</v>
      </c>
      <c r="C45" s="16" t="s">
        <v>43</v>
      </c>
      <c r="D45" s="17">
        <v>30</v>
      </c>
      <c r="E45" s="18">
        <f ca="1">IFERROR(__xludf.DUMMYFUNCTION("COUNT(IMPORTRANGE(""https://docs.google.com/spreadsheets/d/1uGXvAN2jA6kmcEHUY4KqOHHewllZsujDdA6KVDfBCoA/edit"",""2!d2:d31""))"),30)</f>
        <v>30</v>
      </c>
      <c r="F45" s="23">
        <f ca="1">IFERROR(__xludf.DUMMYFUNCTION("SUM(IMPORTRANGE(""https://docs.google.com/spreadsheets/d/1uGXvAN2jA6kmcEHUY4KqOHHewllZsujDdA6KVDfBCoA/edit"",""2!Q2:Q31""))"),6284.27799999999)</f>
        <v>6284.2779999999902</v>
      </c>
      <c r="G45" s="18">
        <f ca="1">IFERROR(__xludf.DUMMYFUNCTION("IMPORTRANGE(""https://docs.google.com/spreadsheets/d/1uGXvAN2jA6kmcEHUY4KqOHHewllZsujDdA6KVDfBCoA/edit"",""2!e38"")"),2309)</f>
        <v>2309</v>
      </c>
      <c r="H45" s="18">
        <f ca="1">IFERROR(__xludf.DUMMYFUNCTION("IMPORTRANGE(""https://docs.google.com/spreadsheets/d/1uGXvAN2jA6kmcEHUY4KqOHHewllZsujDdA6KVDfBCoA/edit"",""2!e39"")"),0)</f>
        <v>0</v>
      </c>
      <c r="I45" s="18">
        <f t="shared" ca="1" si="87"/>
        <v>2309</v>
      </c>
      <c r="J45" s="18">
        <f ca="1">IFERROR(__xludf.DUMMYFUNCTION("IMPORTRANGE(""https://docs.google.com/spreadsheets/d/1uGXvAN2jA6kmcEHUY4KqOHHewllZsujDdA6KVDfBCoA/edit"",""2!e42"")"),2749)</f>
        <v>2749</v>
      </c>
      <c r="K45" s="18">
        <f ca="1">IFERROR(__xludf.DUMMYFUNCTION("IMPORTRANGE(""https://docs.google.com/spreadsheets/d/1uGXvAN2jA6kmcEHUY4KqOHHewllZsujDdA6KVDfBCoA/edit"",""2!e43"")"),159)</f>
        <v>159</v>
      </c>
      <c r="L45" s="18">
        <f t="shared" ca="1" si="117"/>
        <v>2908</v>
      </c>
      <c r="M45" s="18">
        <f t="shared" ca="1" si="89"/>
        <v>5217</v>
      </c>
      <c r="N45" s="19">
        <f t="shared" ca="1" si="90"/>
        <v>209.47593333333302</v>
      </c>
      <c r="O45" s="16">
        <v>8345</v>
      </c>
      <c r="P45" s="20">
        <f t="shared" ca="1" si="91"/>
        <v>0.62516476932294784</v>
      </c>
      <c r="Q45" s="21">
        <v>1.5</v>
      </c>
      <c r="R45" s="20">
        <f t="shared" ca="1" si="92"/>
        <v>0.55344464391931825</v>
      </c>
      <c r="S45" s="22">
        <f t="shared" ca="1" si="93"/>
        <v>0.83016696587897731</v>
      </c>
      <c r="T45" s="21">
        <f ca="1">F45/41.205</f>
        <v>152.51251061764327</v>
      </c>
      <c r="U45" s="21">
        <f t="shared" ca="1" si="94"/>
        <v>5.0837503539214426</v>
      </c>
      <c r="V45" s="18">
        <f t="shared" ca="1" si="95"/>
        <v>173.9</v>
      </c>
      <c r="W45" s="76"/>
      <c r="X45" s="24" t="s">
        <v>33</v>
      </c>
      <c r="Y45" s="24">
        <v>6</v>
      </c>
      <c r="Z45" s="24">
        <f t="shared" ref="Z45:AI45" si="128">SUM(Z39:Z44)</f>
        <v>226</v>
      </c>
      <c r="AA45" s="25">
        <f t="shared" ca="1" si="128"/>
        <v>224</v>
      </c>
      <c r="AB45" s="27">
        <f t="shared" ca="1" si="128"/>
        <v>44187.783999999869</v>
      </c>
      <c r="AC45" s="25">
        <f t="shared" ca="1" si="128"/>
        <v>18291</v>
      </c>
      <c r="AD45" s="25">
        <f t="shared" ca="1" si="128"/>
        <v>143</v>
      </c>
      <c r="AE45" s="25">
        <f t="shared" ca="1" si="128"/>
        <v>18434</v>
      </c>
      <c r="AF45" s="25">
        <f t="shared" ca="1" si="128"/>
        <v>22964</v>
      </c>
      <c r="AG45" s="25">
        <f t="shared" ca="1" si="128"/>
        <v>334</v>
      </c>
      <c r="AH45" s="25">
        <f t="shared" ca="1" si="128"/>
        <v>23298</v>
      </c>
      <c r="AI45" s="25">
        <f t="shared" ca="1" si="128"/>
        <v>41732</v>
      </c>
      <c r="AJ45" s="27">
        <f t="shared" ca="1" si="107"/>
        <v>197.26689285714227</v>
      </c>
      <c r="AK45" s="24">
        <f>SUM(AK39:AK44)</f>
        <v>53273</v>
      </c>
      <c r="AL45" s="28">
        <f t="shared" ca="1" si="109"/>
        <v>0.78336117733185662</v>
      </c>
      <c r="AM45" s="29">
        <v>1.5</v>
      </c>
      <c r="AN45" s="28">
        <f t="shared" ca="1" si="111"/>
        <v>0.62961594392996523</v>
      </c>
      <c r="AO45" s="30">
        <f t="shared" ca="1" si="112"/>
        <v>0.9444239158949479</v>
      </c>
      <c r="AP45" s="29">
        <f ca="1">SUM(AP39:AP44)</f>
        <v>1450.4972359957583</v>
      </c>
      <c r="AQ45" s="29">
        <f ca="1">AP45/AA45</f>
        <v>6.4754340892667779</v>
      </c>
      <c r="AR45" s="25">
        <f t="shared" ca="1" si="114"/>
        <v>186.30357142857142</v>
      </c>
      <c r="AS45" s="76"/>
      <c r="AT45" s="76"/>
    </row>
    <row r="46" spans="1:46" ht="15.75" customHeight="1" x14ac:dyDescent="0.25">
      <c r="A46" s="70"/>
      <c r="B46" s="16">
        <v>14</v>
      </c>
      <c r="C46" s="16" t="s">
        <v>27</v>
      </c>
      <c r="D46" s="17">
        <v>30</v>
      </c>
      <c r="E46" s="18">
        <f ca="1">IFERROR(__xludf.DUMMYFUNCTION("COUNT(IMPORTRANGE(""https://docs.google.com/spreadsheets/d/1iYtf3wkjJIgOL8ej0-L89wY8FLXKi6EiRbi9UqA1Bzw/edit"",""2!d2:d31""))"),28)</f>
        <v>28</v>
      </c>
      <c r="F46" s="23">
        <f ca="1">IFERROR(__xludf.DUMMYFUNCTION("SUM(IMPORTRANGE(""https://docs.google.com/spreadsheets/d/1iYtf3wkjJIgOL8ej0-L89wY8FLXKi6EiRbi9UqA1Bzw/edit"",""2!Q2:Q31""))"),5465.76)</f>
        <v>5465.76</v>
      </c>
      <c r="G46" s="18">
        <f ca="1">IFERROR(__xludf.DUMMYFUNCTION("IMPORTRANGE(""https://docs.google.com/spreadsheets/d/1iYtf3wkjJIgOL8ej0-L89wY8FLXKi6EiRbi9UqA1Bzw/edit"",""2!e38"")"),2368)</f>
        <v>2368</v>
      </c>
      <c r="H46" s="18">
        <f ca="1">IFERROR(__xludf.DUMMYFUNCTION("IMPORTRANGE(""https://docs.google.com/spreadsheets/d/1iYtf3wkjJIgOL8ej0-L89wY8FLXKi6EiRbi9UqA1Bzw/edit"",""2!e39"")"),140)</f>
        <v>140</v>
      </c>
      <c r="I46" s="18">
        <f t="shared" ca="1" si="87"/>
        <v>2508</v>
      </c>
      <c r="J46" s="18">
        <f ca="1">IFERROR(__xludf.DUMMYFUNCTION("IMPORTRANGE(""https://docs.google.com/spreadsheets/d/1iYtf3wkjJIgOL8ej0-L89wY8FLXKi6EiRbi9UqA1Bzw/edit"",""2!e42"")"),3355)</f>
        <v>3355</v>
      </c>
      <c r="K46" s="18">
        <f ca="1">IFERROR(__xludf.DUMMYFUNCTION("IMPORTRANGE(""https://docs.google.com/spreadsheets/d/1iYtf3wkjJIgOL8ej0-L89wY8FLXKi6EiRbi9UqA1Bzw/edit"",""2!e43"")"),107)</f>
        <v>107</v>
      </c>
      <c r="L46" s="18">
        <f t="shared" ca="1" si="117"/>
        <v>3462</v>
      </c>
      <c r="M46" s="18">
        <f t="shared" ca="1" si="89"/>
        <v>5970</v>
      </c>
      <c r="N46" s="19">
        <f t="shared" ca="1" si="90"/>
        <v>195.20571428571429</v>
      </c>
      <c r="O46" s="16">
        <v>8101</v>
      </c>
      <c r="P46" s="20">
        <f t="shared" ca="1" si="91"/>
        <v>0.73694605604246388</v>
      </c>
      <c r="Q46" s="21">
        <v>1.5</v>
      </c>
      <c r="R46" s="20">
        <f t="shared" ca="1" si="92"/>
        <v>0.72816955007171913</v>
      </c>
      <c r="S46" s="22">
        <f t="shared" ca="1" si="93"/>
        <v>1.0922543251075787</v>
      </c>
      <c r="T46" s="21">
        <f ca="1">F46/19.985</f>
        <v>273.49311983987991</v>
      </c>
      <c r="U46" s="21">
        <f t="shared" ca="1" si="94"/>
        <v>9.7676114228528537</v>
      </c>
      <c r="V46" s="18">
        <f t="shared" ca="1" si="95"/>
        <v>213.21428571428572</v>
      </c>
      <c r="W46" s="76"/>
      <c r="X46" s="97" t="s">
        <v>44</v>
      </c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9"/>
      <c r="AS46" s="76"/>
      <c r="AT46" s="76"/>
    </row>
    <row r="47" spans="1:46" ht="15.75" customHeight="1" x14ac:dyDescent="0.25">
      <c r="A47" s="70"/>
      <c r="B47" s="16">
        <v>15</v>
      </c>
      <c r="C47" s="16" t="s">
        <v>40</v>
      </c>
      <c r="D47" s="17">
        <v>30</v>
      </c>
      <c r="E47" s="18">
        <f ca="1">IFERROR(__xludf.DUMMYFUNCTION("COUNT(IMPORTRANGE(""https://docs.google.com/spreadsheets/d/1Wdf8MsoDBzMSsrzOXwaGQzbVjVqOWfKSqYmbncevZgA/edit"",""2!d2:d31""))"),30)</f>
        <v>30</v>
      </c>
      <c r="F47" s="23">
        <f ca="1">IFERROR(__xludf.DUMMYFUNCTION("SUM(IMPORTRANGE(""https://docs.google.com/spreadsheets/d/1Wdf8MsoDBzMSsrzOXwaGQzbVjVqOWfKSqYmbncevZgA/edit"",""2!Q2:Q31""))"),5845.70299999999)</f>
        <v>5845.7029999999904</v>
      </c>
      <c r="G47" s="18">
        <f ca="1">IFERROR(__xludf.DUMMYFUNCTION("IMPORTRANGE(""https://docs.google.com/spreadsheets/d/1Wdf8MsoDBzMSsrzOXwaGQzbVjVqOWfKSqYmbncevZgA/edit"",""2!e38"")"),3323)</f>
        <v>3323</v>
      </c>
      <c r="H47" s="18">
        <f ca="1">IFERROR(__xludf.DUMMYFUNCTION("IMPORTRANGE(""https://docs.google.com/spreadsheets/d/1Wdf8MsoDBzMSsrzOXwaGQzbVjVqOWfKSqYmbncevZgA/edit"",""2!e39"")"),39)</f>
        <v>39</v>
      </c>
      <c r="I47" s="18">
        <f t="shared" ca="1" si="87"/>
        <v>3362</v>
      </c>
      <c r="J47" s="18">
        <f ca="1">IFERROR(__xludf.DUMMYFUNCTION("IMPORTRANGE(""https://docs.google.com/spreadsheets/d/1Wdf8MsoDBzMSsrzOXwaGQzbVjVqOWfKSqYmbncevZgA/edit"",""2!e42"")"),3928)</f>
        <v>3928</v>
      </c>
      <c r="K47" s="18">
        <f ca="1">IFERROR(__xludf.DUMMYFUNCTION("IMPORTRANGE(""https://docs.google.com/spreadsheets/d/1Wdf8MsoDBzMSsrzOXwaGQzbVjVqOWfKSqYmbncevZgA/edit"",""2!e43"")"),73)</f>
        <v>73</v>
      </c>
      <c r="L47" s="18">
        <f t="shared" ca="1" si="117"/>
        <v>4001</v>
      </c>
      <c r="M47" s="18">
        <f t="shared" ca="1" si="89"/>
        <v>7363</v>
      </c>
      <c r="N47" s="19">
        <f t="shared" ca="1" si="90"/>
        <v>194.85676666666635</v>
      </c>
      <c r="O47" s="16">
        <v>8239</v>
      </c>
      <c r="P47" s="20">
        <f t="shared" ca="1" si="91"/>
        <v>0.89367641704090306</v>
      </c>
      <c r="Q47" s="21">
        <v>1.5</v>
      </c>
      <c r="R47" s="20">
        <f t="shared" ca="1" si="92"/>
        <v>0.83970510760924311</v>
      </c>
      <c r="S47" s="22">
        <f t="shared" ca="1" si="93"/>
        <v>1.2595576614138646</v>
      </c>
      <c r="T47" s="21">
        <f ca="1">F47/28.443</f>
        <v>205.52343283057309</v>
      </c>
      <c r="U47" s="21">
        <f t="shared" ca="1" si="94"/>
        <v>6.8507810943524365</v>
      </c>
      <c r="V47" s="18">
        <f t="shared" ca="1" si="95"/>
        <v>245.43333333333334</v>
      </c>
      <c r="W47" s="76"/>
      <c r="X47" s="1" t="s">
        <v>2</v>
      </c>
      <c r="Y47" s="1" t="s">
        <v>3</v>
      </c>
      <c r="Z47" s="1" t="s">
        <v>4</v>
      </c>
      <c r="AA47" s="1" t="s">
        <v>5</v>
      </c>
      <c r="AB47" s="2" t="s">
        <v>6</v>
      </c>
      <c r="AC47" s="1" t="s">
        <v>7</v>
      </c>
      <c r="AD47" s="1" t="s">
        <v>8</v>
      </c>
      <c r="AE47" s="1" t="s">
        <v>9</v>
      </c>
      <c r="AF47" s="1" t="s">
        <v>10</v>
      </c>
      <c r="AG47" s="1" t="s">
        <v>11</v>
      </c>
      <c r="AH47" s="1" t="s">
        <v>12</v>
      </c>
      <c r="AI47" s="1" t="s">
        <v>13</v>
      </c>
      <c r="AJ47" s="2" t="s">
        <v>14</v>
      </c>
      <c r="AK47" s="1" t="s">
        <v>15</v>
      </c>
      <c r="AL47" s="1" t="s">
        <v>16</v>
      </c>
      <c r="AM47" s="3" t="s">
        <v>17</v>
      </c>
      <c r="AN47" s="4" t="s">
        <v>18</v>
      </c>
      <c r="AO47" s="5" t="s">
        <v>19</v>
      </c>
      <c r="AP47" s="6" t="s">
        <v>20</v>
      </c>
      <c r="AQ47" s="6" t="s">
        <v>21</v>
      </c>
      <c r="AR47" s="7" t="s">
        <v>22</v>
      </c>
      <c r="AS47" s="76"/>
      <c r="AT47" s="76"/>
    </row>
    <row r="48" spans="1:46" ht="15.75" customHeight="1" x14ac:dyDescent="0.25">
      <c r="A48" s="70"/>
      <c r="B48" s="16">
        <v>16</v>
      </c>
      <c r="C48" s="16" t="s">
        <v>42</v>
      </c>
      <c r="D48" s="17">
        <v>33</v>
      </c>
      <c r="E48" s="18">
        <f ca="1">IFERROR(__xludf.DUMMYFUNCTION("COUNT(IMPORTRANGE(""https://docs.google.com/spreadsheets/d/1Z5uB5HbeAKcHmG4EOw3rf2J8NpyvDiha6RReERAMvA0/edit"",""2!d2:d34""))"),33)</f>
        <v>33</v>
      </c>
      <c r="F48" s="23">
        <f ca="1">IFERROR(__xludf.DUMMYFUNCTION("SUM(IMPORTRANGE(""https://docs.google.com/spreadsheets/d/1Z5uB5HbeAKcHmG4EOw3rf2J8NpyvDiha6RReERAMvA0/edit"",""2!Q2:Q34""))"),6380.28199999999)</f>
        <v>6380.2819999999901</v>
      </c>
      <c r="G48" s="18">
        <f ca="1">IFERROR(__xludf.DUMMYFUNCTION("IMPORTRANGE(""https://docs.google.com/spreadsheets/d/1Z5uB5HbeAKcHmG4EOw3rf2J8NpyvDiha6RReERAMvA0/edit"",""2!e41"")"),3133)</f>
        <v>3133</v>
      </c>
      <c r="H48" s="18">
        <f ca="1">IFERROR(__xludf.DUMMYFUNCTION("IMPORTRANGE(""https://docs.google.com/spreadsheets/d/1Z5uB5HbeAKcHmG4EOw3rf2J8NpyvDiha6RReERAMvA0/edit"",""2!e42"")"),0)</f>
        <v>0</v>
      </c>
      <c r="I48" s="18">
        <f t="shared" ca="1" si="87"/>
        <v>3133</v>
      </c>
      <c r="J48" s="18">
        <f ca="1">IFERROR(__xludf.DUMMYFUNCTION("IMPORTRANGE(""https://docs.google.com/spreadsheets/d/1Z5uB5HbeAKcHmG4EOw3rf2J8NpyvDiha6RReERAMvA0/edit"",""2!e45"")"),4360)</f>
        <v>4360</v>
      </c>
      <c r="K48" s="18">
        <f ca="1">IFERROR(__xludf.DUMMYFUNCTION("IMPORTRANGE(""https://docs.google.com/spreadsheets/d/1Z5uB5HbeAKcHmG4EOw3rf2J8NpyvDiha6RReERAMvA0/edit"",""2!e46"")"),0)</f>
        <v>0</v>
      </c>
      <c r="L48" s="18">
        <f t="shared" ca="1" si="117"/>
        <v>4360</v>
      </c>
      <c r="M48" s="18">
        <f t="shared" ca="1" si="89"/>
        <v>7493</v>
      </c>
      <c r="N48" s="19">
        <f t="shared" ca="1" si="90"/>
        <v>193.3418787878785</v>
      </c>
      <c r="O48" s="16">
        <v>9877</v>
      </c>
      <c r="P48" s="20">
        <f t="shared" ca="1" si="91"/>
        <v>0.75863116330869695</v>
      </c>
      <c r="Q48" s="21">
        <v>1.5</v>
      </c>
      <c r="R48" s="20">
        <f t="shared" ca="1" si="92"/>
        <v>0.78293300097602903</v>
      </c>
      <c r="S48" s="22">
        <f t="shared" ca="1" si="93"/>
        <v>1.1743995014640436</v>
      </c>
      <c r="T48" s="21">
        <f ca="1">F48/26.155</f>
        <v>243.94119671190938</v>
      </c>
      <c r="U48" s="21">
        <f t="shared" ca="1" si="94"/>
        <v>7.3921574761184665</v>
      </c>
      <c r="V48" s="18">
        <f t="shared" ca="1" si="95"/>
        <v>227.06060606060606</v>
      </c>
      <c r="W48" s="76"/>
      <c r="X48" s="8">
        <v>1</v>
      </c>
      <c r="Y48" s="8" t="s">
        <v>26</v>
      </c>
      <c r="Z48" s="8">
        <f t="shared" ref="Z48:AI48" si="129">SUM(D33)</f>
        <v>20</v>
      </c>
      <c r="AA48" s="9">
        <f t="shared" ca="1" si="129"/>
        <v>20</v>
      </c>
      <c r="AB48" s="11">
        <f t="shared" ca="1" si="129"/>
        <v>3560.9639999999999</v>
      </c>
      <c r="AC48" s="9">
        <f t="shared" ca="1" si="129"/>
        <v>1873</v>
      </c>
      <c r="AD48" s="9">
        <f t="shared" ca="1" si="129"/>
        <v>0</v>
      </c>
      <c r="AE48" s="9">
        <f t="shared" ca="1" si="129"/>
        <v>1873</v>
      </c>
      <c r="AF48" s="9">
        <f t="shared" ca="1" si="129"/>
        <v>3204</v>
      </c>
      <c r="AG48" s="9">
        <f t="shared" ca="1" si="129"/>
        <v>0</v>
      </c>
      <c r="AH48" s="9">
        <f t="shared" ca="1" si="129"/>
        <v>3204</v>
      </c>
      <c r="AI48" s="9">
        <f t="shared" ca="1" si="129"/>
        <v>5077</v>
      </c>
      <c r="AJ48" s="11">
        <f t="shared" ref="AJ48:AJ54" ca="1" si="130">AB48/AA48</f>
        <v>178.04820000000001</v>
      </c>
      <c r="AK48" s="8">
        <f>SUM(O33)</f>
        <v>5161</v>
      </c>
      <c r="AL48" s="12">
        <f t="shared" ref="AL48:AL54" ca="1" si="131">AI48/AK48</f>
        <v>0.98372408447975201</v>
      </c>
      <c r="AM48" s="13">
        <f>SUM(Q33)</f>
        <v>1.5</v>
      </c>
      <c r="AN48" s="12">
        <f t="shared" ref="AN48:AN54" ca="1" si="132">AO48/AM48</f>
        <v>0.95049168333818213</v>
      </c>
      <c r="AO48" s="14">
        <f t="shared" ref="AO48:AO54" ca="1" si="133">AI48/AB48</f>
        <v>1.4257375250072732</v>
      </c>
      <c r="AP48" s="13">
        <f t="shared" ref="AP48:AQ48" ca="1" si="134">SUM(T33)</f>
        <v>247.0318418314256</v>
      </c>
      <c r="AQ48" s="13">
        <f t="shared" ca="1" si="134"/>
        <v>12.35159209157128</v>
      </c>
      <c r="AR48" s="9">
        <f t="shared" ref="AR48:AR54" ca="1" si="135">AI48/AA48</f>
        <v>253.85</v>
      </c>
      <c r="AS48" s="76"/>
      <c r="AT48" s="76"/>
    </row>
    <row r="49" spans="1:46" ht="15.75" customHeight="1" x14ac:dyDescent="0.25">
      <c r="A49" s="70"/>
      <c r="B49" s="16">
        <v>17</v>
      </c>
      <c r="C49" s="16" t="s">
        <v>29</v>
      </c>
      <c r="D49" s="17">
        <v>30</v>
      </c>
      <c r="E49" s="18">
        <f ca="1">IFERROR(__xludf.DUMMYFUNCTION("COUNT(IMPORTRANGE(""https://docs.google.com/spreadsheets/d/1wfJqI0e9wVPqEQv3N6b8KgINjqI0OBECEyIFeY9j3i8/edit"",""2!d2:d31""))"),29)</f>
        <v>29</v>
      </c>
      <c r="F49" s="23">
        <f ca="1">IFERROR(__xludf.DUMMYFUNCTION("SUM(IMPORTRANGE(""https://docs.google.com/spreadsheets/d/1wfJqI0e9wVPqEQv3N6b8KgINjqI0OBECEyIFeY9j3i8/edit"",""2!Q2:Q31""))"),5775.03799999999)</f>
        <v>5775.0379999999896</v>
      </c>
      <c r="G49" s="18">
        <f ca="1">IFERROR(__xludf.DUMMYFUNCTION("IMPORTRANGE(""https://docs.google.com/spreadsheets/d/1wfJqI0e9wVPqEQv3N6b8KgINjqI0OBECEyIFeY9j3i8/edit"",""2!e38"")"),2726)</f>
        <v>2726</v>
      </c>
      <c r="H49" s="18">
        <f ca="1">IFERROR(__xludf.DUMMYFUNCTION("IMPORTRANGE(""https://docs.google.com/spreadsheets/d/1wfJqI0e9wVPqEQv3N6b8KgINjqI0OBECEyIFeY9j3i8/edit"",""2!e39"")"),0)</f>
        <v>0</v>
      </c>
      <c r="I49" s="18">
        <f t="shared" ca="1" si="87"/>
        <v>2726</v>
      </c>
      <c r="J49" s="18">
        <f ca="1">IFERROR(__xludf.DUMMYFUNCTION("IMPORTRANGE(""https://docs.google.com/spreadsheets/d/1wfJqI0e9wVPqEQv3N6b8KgINjqI0OBECEyIFeY9j3i8/edit"",""2!e42"")"),4235)</f>
        <v>4235</v>
      </c>
      <c r="K49" s="18">
        <f ca="1">IFERROR(__xludf.DUMMYFUNCTION("IMPORTRANGE(""https://docs.google.com/spreadsheets/d/1wfJqI0e9wVPqEQv3N6b8KgINjqI0OBECEyIFeY9j3i8/edit"",""2!e43"")"),0)</f>
        <v>0</v>
      </c>
      <c r="L49" s="18">
        <f t="shared" ca="1" si="117"/>
        <v>4235</v>
      </c>
      <c r="M49" s="18">
        <f t="shared" ca="1" si="89"/>
        <v>6961</v>
      </c>
      <c r="N49" s="19">
        <f t="shared" ca="1" si="90"/>
        <v>199.13924137930999</v>
      </c>
      <c r="O49" s="16">
        <v>9201</v>
      </c>
      <c r="P49" s="20">
        <f t="shared" ca="1" si="91"/>
        <v>0.75654820128246925</v>
      </c>
      <c r="Q49" s="21">
        <v>1.5</v>
      </c>
      <c r="R49" s="20">
        <f t="shared" ca="1" si="92"/>
        <v>0.80357335599638902</v>
      </c>
      <c r="S49" s="22">
        <f t="shared" ca="1" si="93"/>
        <v>1.2053600339945836</v>
      </c>
      <c r="T49" s="21">
        <f ca="1">F49/26.491</f>
        <v>217.9999999999996</v>
      </c>
      <c r="U49" s="21">
        <f t="shared" ca="1" si="94"/>
        <v>7.517241379310331</v>
      </c>
      <c r="V49" s="18">
        <f t="shared" ca="1" si="95"/>
        <v>240.0344827586207</v>
      </c>
      <c r="W49" s="76"/>
      <c r="X49" s="8">
        <v>2</v>
      </c>
      <c r="Y49" s="8" t="s">
        <v>32</v>
      </c>
      <c r="Z49" s="8">
        <f t="shared" ref="Z49:AI49" si="136">SUM(D36)</f>
        <v>42</v>
      </c>
      <c r="AA49" s="9">
        <f t="shared" ca="1" si="136"/>
        <v>42</v>
      </c>
      <c r="AB49" s="10">
        <f t="shared" ca="1" si="136"/>
        <v>8179.0139999999901</v>
      </c>
      <c r="AC49" s="8">
        <f t="shared" ca="1" si="136"/>
        <v>4808</v>
      </c>
      <c r="AD49" s="8">
        <f t="shared" ca="1" si="136"/>
        <v>0</v>
      </c>
      <c r="AE49" s="9">
        <f t="shared" ca="1" si="136"/>
        <v>4808</v>
      </c>
      <c r="AF49" s="8">
        <f t="shared" ca="1" si="136"/>
        <v>5449</v>
      </c>
      <c r="AG49" s="8">
        <f t="shared" ca="1" si="136"/>
        <v>190</v>
      </c>
      <c r="AH49" s="9">
        <f t="shared" ca="1" si="136"/>
        <v>5639</v>
      </c>
      <c r="AI49" s="9">
        <f t="shared" ca="1" si="136"/>
        <v>10447</v>
      </c>
      <c r="AJ49" s="11">
        <f t="shared" ca="1" si="130"/>
        <v>194.73842857142833</v>
      </c>
      <c r="AK49" s="8">
        <f>SUM(O36)</f>
        <v>13817</v>
      </c>
      <c r="AL49" s="12">
        <f t="shared" ca="1" si="131"/>
        <v>0.75609756097560976</v>
      </c>
      <c r="AM49" s="13">
        <f>SUM(Q36)</f>
        <v>1.5</v>
      </c>
      <c r="AN49" s="12">
        <f t="shared" ca="1" si="132"/>
        <v>0.85152888437000784</v>
      </c>
      <c r="AO49" s="14">
        <f t="shared" ca="1" si="133"/>
        <v>1.2772933265550117</v>
      </c>
      <c r="AP49" s="13">
        <f t="shared" ref="AP49:AQ49" ca="1" si="137">SUM(T36)</f>
        <v>325.9999999999996</v>
      </c>
      <c r="AQ49" s="13">
        <f t="shared" ca="1" si="137"/>
        <v>7.7619047619047521</v>
      </c>
      <c r="AR49" s="9">
        <f t="shared" ca="1" si="135"/>
        <v>248.73809523809524</v>
      </c>
      <c r="AS49" s="76"/>
      <c r="AT49" s="76"/>
    </row>
    <row r="50" spans="1:46" ht="15.75" customHeight="1" x14ac:dyDescent="0.25">
      <c r="A50" s="70"/>
      <c r="B50" s="16">
        <v>18</v>
      </c>
      <c r="C50" s="16" t="s">
        <v>31</v>
      </c>
      <c r="D50" s="17">
        <v>15</v>
      </c>
      <c r="E50" s="18">
        <f ca="1">IFERROR(__xludf.DUMMYFUNCTION("COUNT(IMPORTRANGE(""https://docs.google.com/spreadsheets/d/1-y2KhTAo7d8kowgUuWUDfRQuRMUAFteRYEXorT3_wOs/edit"",""2!d2:d16""))"),13)</f>
        <v>13</v>
      </c>
      <c r="F50" s="19">
        <f ca="1">IFERROR(__xludf.DUMMYFUNCTION("SUM(IMPORTRANGE(""https://docs.google.com/spreadsheets/d/1-y2KhTAo7d8kowgUuWUDfRQuRMUAFteRYEXorT3_wOs/edit"",""2!Q2:Q16""))"),2607.9)</f>
        <v>2607.9</v>
      </c>
      <c r="G50" s="18">
        <f ca="1">IFERROR(__xludf.DUMMYFUNCTION("IMPORTRANGE(""https://docs.google.com/spreadsheets/d/1-y2KhTAo7d8kowgUuWUDfRQuRMUAFteRYEXorT3_wOs/edit"",""2!e23"")"),870)</f>
        <v>870</v>
      </c>
      <c r="H50" s="18">
        <f ca="1">IFERROR(__xludf.DUMMYFUNCTION("IMPORTRANGE(""https://docs.google.com/spreadsheets/d/1-y2KhTAo7d8kowgUuWUDfRQuRMUAFteRYEXorT3_wOs/edit"",""2!e24"")"),0)</f>
        <v>0</v>
      </c>
      <c r="I50" s="18">
        <f t="shared" ca="1" si="87"/>
        <v>870</v>
      </c>
      <c r="J50" s="18">
        <f ca="1">IFERROR(__xludf.DUMMYFUNCTION("IMPORTRANGE(""https://docs.google.com/spreadsheets/d/1-y2KhTAo7d8kowgUuWUDfRQuRMUAFteRYEXorT3_wOs/edit"",""2!e27"")"),975)</f>
        <v>975</v>
      </c>
      <c r="K50" s="18">
        <f ca="1">IFERROR(__xludf.DUMMYFUNCTION("IMPORTRANGE(""https://docs.google.com/spreadsheets/d/1-y2KhTAo7d8kowgUuWUDfRQuRMUAFteRYEXorT3_wOs/edit"",""2!e28"")"),55)</f>
        <v>55</v>
      </c>
      <c r="L50" s="18">
        <f t="shared" ca="1" si="117"/>
        <v>1030</v>
      </c>
      <c r="M50" s="18">
        <f t="shared" ca="1" si="89"/>
        <v>1900</v>
      </c>
      <c r="N50" s="19">
        <f t="shared" ca="1" si="90"/>
        <v>200.6076923076923</v>
      </c>
      <c r="O50" s="16">
        <v>2717</v>
      </c>
      <c r="P50" s="20">
        <f t="shared" ca="1" si="91"/>
        <v>0.69930069930069927</v>
      </c>
      <c r="Q50" s="21">
        <v>1.5</v>
      </c>
      <c r="R50" s="20">
        <f t="shared" ca="1" si="92"/>
        <v>0.48570369518258621</v>
      </c>
      <c r="S50" s="22">
        <f t="shared" ca="1" si="93"/>
        <v>0.72855554277387935</v>
      </c>
      <c r="T50" s="21">
        <f ca="1">F50/43.465</f>
        <v>60</v>
      </c>
      <c r="U50" s="21">
        <f t="shared" ca="1" si="94"/>
        <v>4.615384615384615</v>
      </c>
      <c r="V50" s="18">
        <f t="shared" ca="1" si="95"/>
        <v>146.15384615384616</v>
      </c>
      <c r="W50" s="76"/>
      <c r="X50" s="8">
        <v>3</v>
      </c>
      <c r="Y50" s="8" t="s">
        <v>36</v>
      </c>
      <c r="Z50" s="8">
        <f t="shared" ref="Z50:AI50" si="138">SUM(D41)</f>
        <v>30</v>
      </c>
      <c r="AA50" s="9">
        <f t="shared" ca="1" si="138"/>
        <v>29</v>
      </c>
      <c r="AB50" s="10">
        <f t="shared" ca="1" si="138"/>
        <v>5604.12</v>
      </c>
      <c r="AC50" s="9">
        <f t="shared" ca="1" si="138"/>
        <v>1533</v>
      </c>
      <c r="AD50" s="9">
        <f t="shared" ca="1" si="138"/>
        <v>0</v>
      </c>
      <c r="AE50" s="9">
        <f t="shared" ca="1" si="138"/>
        <v>1533</v>
      </c>
      <c r="AF50" s="9">
        <f t="shared" ca="1" si="138"/>
        <v>2301</v>
      </c>
      <c r="AG50" s="9">
        <f t="shared" ca="1" si="138"/>
        <v>0</v>
      </c>
      <c r="AH50" s="9">
        <f t="shared" ca="1" si="138"/>
        <v>2301</v>
      </c>
      <c r="AI50" s="9">
        <f t="shared" ca="1" si="138"/>
        <v>3834</v>
      </c>
      <c r="AJ50" s="11">
        <f t="shared" ca="1" si="130"/>
        <v>193.2455172413793</v>
      </c>
      <c r="AK50" s="8">
        <f t="shared" ref="AK50:AK53" si="139">SUM(O41)</f>
        <v>4796</v>
      </c>
      <c r="AL50" s="12">
        <f t="shared" ca="1" si="131"/>
        <v>0.79941618015012506</v>
      </c>
      <c r="AM50" s="13">
        <f t="shared" ref="AM50:AM53" si="140">SUM(Q41)</f>
        <v>1.5</v>
      </c>
      <c r="AN50" s="12">
        <f t="shared" ca="1" si="132"/>
        <v>0.4560930172801439</v>
      </c>
      <c r="AO50" s="14">
        <f t="shared" ca="1" si="133"/>
        <v>0.68413952592021587</v>
      </c>
      <c r="AP50" s="13">
        <f t="shared" ref="AP50:AQ50" ca="1" si="141">SUM(T41)</f>
        <v>149.78671085689848</v>
      </c>
      <c r="AQ50" s="13">
        <f t="shared" ca="1" si="141"/>
        <v>5.1650589950654648</v>
      </c>
      <c r="AR50" s="9">
        <f t="shared" ca="1" si="135"/>
        <v>132.20689655172413</v>
      </c>
      <c r="AS50" s="76"/>
      <c r="AT50" s="76"/>
    </row>
    <row r="51" spans="1:46" ht="15.75" customHeight="1" x14ac:dyDescent="0.2">
      <c r="A51" s="70"/>
      <c r="B51" s="98" t="s">
        <v>33</v>
      </c>
      <c r="C51" s="98">
        <v>18</v>
      </c>
      <c r="D51" s="98">
        <f t="shared" ref="D51:M51" si="142">SUM(D33:D50)</f>
        <v>586</v>
      </c>
      <c r="E51" s="74">
        <f t="shared" ca="1" si="142"/>
        <v>576</v>
      </c>
      <c r="F51" s="99">
        <f t="shared" ca="1" si="142"/>
        <v>112418.19199999981</v>
      </c>
      <c r="G51" s="74">
        <f t="shared" ca="1" si="142"/>
        <v>43479</v>
      </c>
      <c r="H51" s="74">
        <f t="shared" ca="1" si="142"/>
        <v>764</v>
      </c>
      <c r="I51" s="74">
        <f t="shared" ca="1" si="142"/>
        <v>44243</v>
      </c>
      <c r="J51" s="74">
        <f t="shared" ca="1" si="142"/>
        <v>56392</v>
      </c>
      <c r="K51" s="74">
        <f t="shared" ca="1" si="142"/>
        <v>1134</v>
      </c>
      <c r="L51" s="74">
        <f t="shared" ca="1" si="142"/>
        <v>57526</v>
      </c>
      <c r="M51" s="74">
        <f t="shared" ca="1" si="142"/>
        <v>101769</v>
      </c>
      <c r="N51" s="99">
        <f t="shared" ca="1" si="90"/>
        <v>195.17047222222189</v>
      </c>
      <c r="O51" s="98">
        <f>SUM(O33:O50)</f>
        <v>126399</v>
      </c>
      <c r="P51" s="69">
        <f t="shared" ca="1" si="91"/>
        <v>0.80514086345619817</v>
      </c>
      <c r="Q51" s="72">
        <v>1.5</v>
      </c>
      <c r="R51" s="69">
        <f t="shared" ca="1" si="92"/>
        <v>0.60351442051300841</v>
      </c>
      <c r="S51" s="73">
        <f t="shared" ca="1" si="93"/>
        <v>0.90527163076951256</v>
      </c>
      <c r="T51" s="72">
        <f ca="1">SUM(T33:T50)</f>
        <v>4134.0252428944477</v>
      </c>
      <c r="U51" s="72">
        <f t="shared" ca="1" si="94"/>
        <v>7.177127157802861</v>
      </c>
      <c r="V51" s="74">
        <f t="shared" ca="1" si="95"/>
        <v>176.68229166666666</v>
      </c>
      <c r="W51" s="76"/>
      <c r="X51" s="8">
        <v>4</v>
      </c>
      <c r="Y51" s="8" t="s">
        <v>37</v>
      </c>
      <c r="Z51" s="8">
        <f t="shared" ref="Z51:AI51" si="143">SUM(D42)</f>
        <v>30</v>
      </c>
      <c r="AA51" s="9">
        <f t="shared" ca="1" si="143"/>
        <v>30</v>
      </c>
      <c r="AB51" s="10">
        <f t="shared" ca="1" si="143"/>
        <v>5812.1880000000001</v>
      </c>
      <c r="AC51" s="9">
        <f t="shared" ca="1" si="143"/>
        <v>2138</v>
      </c>
      <c r="AD51" s="9">
        <f t="shared" ca="1" si="143"/>
        <v>0</v>
      </c>
      <c r="AE51" s="9">
        <f t="shared" ca="1" si="143"/>
        <v>2138</v>
      </c>
      <c r="AF51" s="9">
        <f t="shared" ca="1" si="143"/>
        <v>3071</v>
      </c>
      <c r="AG51" s="9">
        <f t="shared" ca="1" si="143"/>
        <v>0</v>
      </c>
      <c r="AH51" s="9">
        <f t="shared" ca="1" si="143"/>
        <v>3071</v>
      </c>
      <c r="AI51" s="9">
        <f t="shared" ca="1" si="143"/>
        <v>5209</v>
      </c>
      <c r="AJ51" s="11">
        <f t="shared" ca="1" si="130"/>
        <v>193.7396</v>
      </c>
      <c r="AK51" s="8">
        <f t="shared" si="139"/>
        <v>5887</v>
      </c>
      <c r="AL51" s="12">
        <f t="shared" ca="1" si="131"/>
        <v>0.88483098352301681</v>
      </c>
      <c r="AM51" s="13">
        <f t="shared" si="140"/>
        <v>1.5</v>
      </c>
      <c r="AN51" s="12">
        <f t="shared" ca="1" si="132"/>
        <v>0.59748009986371164</v>
      </c>
      <c r="AO51" s="14">
        <f t="shared" ca="1" si="133"/>
        <v>0.89622014979556752</v>
      </c>
      <c r="AP51" s="13">
        <f t="shared" ref="AP51:AQ51" ca="1" si="144">SUM(T42)</f>
        <v>234.4380445304937</v>
      </c>
      <c r="AQ51" s="13">
        <f t="shared" ca="1" si="144"/>
        <v>7.8146014843497902</v>
      </c>
      <c r="AR51" s="9">
        <f t="shared" ca="1" si="135"/>
        <v>173.63333333333333</v>
      </c>
      <c r="AS51" s="76"/>
      <c r="AT51" s="76"/>
    </row>
    <row r="52" spans="1:46" ht="15.75" customHeight="1" x14ac:dyDescent="0.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6"/>
      <c r="X52" s="8">
        <v>5</v>
      </c>
      <c r="Y52" s="8" t="s">
        <v>39</v>
      </c>
      <c r="Z52" s="8">
        <f t="shared" ref="Z52:AI52" si="145">SUM(D43)</f>
        <v>28</v>
      </c>
      <c r="AA52" s="9">
        <f t="shared" ca="1" si="145"/>
        <v>28</v>
      </c>
      <c r="AB52" s="10">
        <f t="shared" ca="1" si="145"/>
        <v>5458.8779999999997</v>
      </c>
      <c r="AC52" s="9">
        <f t="shared" ca="1" si="145"/>
        <v>1516</v>
      </c>
      <c r="AD52" s="9">
        <f t="shared" ca="1" si="145"/>
        <v>43</v>
      </c>
      <c r="AE52" s="9">
        <f t="shared" ca="1" si="145"/>
        <v>1559</v>
      </c>
      <c r="AF52" s="9">
        <f t="shared" ca="1" si="145"/>
        <v>1765</v>
      </c>
      <c r="AG52" s="9">
        <f t="shared" ca="1" si="145"/>
        <v>115</v>
      </c>
      <c r="AH52" s="9">
        <f t="shared" ca="1" si="145"/>
        <v>1880</v>
      </c>
      <c r="AI52" s="9">
        <f t="shared" ca="1" si="145"/>
        <v>3439</v>
      </c>
      <c r="AJ52" s="11">
        <f t="shared" ca="1" si="130"/>
        <v>194.95992857142855</v>
      </c>
      <c r="AK52" s="8">
        <f t="shared" si="139"/>
        <v>3569</v>
      </c>
      <c r="AL52" s="12">
        <f t="shared" ca="1" si="131"/>
        <v>0.96357523115718691</v>
      </c>
      <c r="AM52" s="13">
        <f t="shared" si="140"/>
        <v>1.5</v>
      </c>
      <c r="AN52" s="12">
        <f t="shared" ca="1" si="132"/>
        <v>0.4199886252571805</v>
      </c>
      <c r="AO52" s="14">
        <f t="shared" ca="1" si="133"/>
        <v>0.62998293788577076</v>
      </c>
      <c r="AP52" s="13">
        <f t="shared" ref="AP52:AQ52" ca="1" si="146">SUM(T43)</f>
        <v>254.33900200344777</v>
      </c>
      <c r="AQ52" s="13">
        <f t="shared" ca="1" si="146"/>
        <v>9.0835357858374213</v>
      </c>
      <c r="AR52" s="9">
        <f t="shared" ca="1" si="135"/>
        <v>122.82142857142857</v>
      </c>
      <c r="AS52" s="76"/>
      <c r="AT52" s="76"/>
    </row>
    <row r="53" spans="1:46" ht="15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6"/>
      <c r="X53" s="8">
        <v>6</v>
      </c>
      <c r="Y53" s="8" t="s">
        <v>41</v>
      </c>
      <c r="Z53" s="8">
        <f t="shared" ref="Z53:AI53" si="147">SUM(D44)</f>
        <v>24</v>
      </c>
      <c r="AA53" s="9">
        <f t="shared" ca="1" si="147"/>
        <v>24</v>
      </c>
      <c r="AB53" s="10">
        <f t="shared" ca="1" si="147"/>
        <v>4806.32</v>
      </c>
      <c r="AC53" s="9">
        <f t="shared" ca="1" si="147"/>
        <v>1468</v>
      </c>
      <c r="AD53" s="9">
        <f t="shared" ca="1" si="147"/>
        <v>0</v>
      </c>
      <c r="AE53" s="9">
        <f t="shared" ca="1" si="147"/>
        <v>1468</v>
      </c>
      <c r="AF53" s="9">
        <f t="shared" ca="1" si="147"/>
        <v>1656</v>
      </c>
      <c r="AG53" s="9">
        <f t="shared" ca="1" si="147"/>
        <v>0</v>
      </c>
      <c r="AH53" s="9">
        <f t="shared" ca="1" si="147"/>
        <v>1656</v>
      </c>
      <c r="AI53" s="9">
        <f t="shared" ca="1" si="147"/>
        <v>3124</v>
      </c>
      <c r="AJ53" s="11">
        <f t="shared" ca="1" si="130"/>
        <v>200.26333333333332</v>
      </c>
      <c r="AK53" s="8">
        <f t="shared" si="139"/>
        <v>3801</v>
      </c>
      <c r="AL53" s="12">
        <f t="shared" ca="1" si="131"/>
        <v>0.82188897658510918</v>
      </c>
      <c r="AM53" s="13">
        <f t="shared" si="140"/>
        <v>1.5</v>
      </c>
      <c r="AN53" s="12">
        <f t="shared" ca="1" si="132"/>
        <v>0.43331835305736338</v>
      </c>
      <c r="AO53" s="14">
        <f t="shared" ca="1" si="133"/>
        <v>0.64997752958604504</v>
      </c>
      <c r="AP53" s="13">
        <f t="shared" ref="AP53:AQ53" ca="1" si="148">SUM(T44)</f>
        <v>162.2222222222222</v>
      </c>
      <c r="AQ53" s="13">
        <f t="shared" ca="1" si="148"/>
        <v>6.7592592592592586</v>
      </c>
      <c r="AR53" s="9">
        <f t="shared" ca="1" si="135"/>
        <v>130.16666666666666</v>
      </c>
      <c r="AS53" s="76"/>
      <c r="AT53" s="76"/>
    </row>
    <row r="54" spans="1:46" ht="15.75" customHeight="1" x14ac:dyDescent="0.25">
      <c r="A54" s="110" t="s">
        <v>45</v>
      </c>
      <c r="B54" s="76"/>
      <c r="C54" s="76"/>
      <c r="D54" s="75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24" t="s">
        <v>33</v>
      </c>
      <c r="Y54" s="24">
        <v>6</v>
      </c>
      <c r="Z54" s="24">
        <f t="shared" ref="Z54:AI54" si="149">SUM(Z48:Z53)</f>
        <v>174</v>
      </c>
      <c r="AA54" s="25">
        <f t="shared" ca="1" si="149"/>
        <v>173</v>
      </c>
      <c r="AB54" s="27">
        <f t="shared" ca="1" si="149"/>
        <v>33421.483999999997</v>
      </c>
      <c r="AC54" s="25">
        <f t="shared" ca="1" si="149"/>
        <v>13336</v>
      </c>
      <c r="AD54" s="25">
        <f t="shared" ca="1" si="149"/>
        <v>43</v>
      </c>
      <c r="AE54" s="25">
        <f t="shared" ca="1" si="149"/>
        <v>13379</v>
      </c>
      <c r="AF54" s="25">
        <f t="shared" ca="1" si="149"/>
        <v>17446</v>
      </c>
      <c r="AG54" s="25">
        <f t="shared" ca="1" si="149"/>
        <v>305</v>
      </c>
      <c r="AH54" s="25">
        <f t="shared" ca="1" si="149"/>
        <v>17751</v>
      </c>
      <c r="AI54" s="25">
        <f t="shared" ca="1" si="149"/>
        <v>31130</v>
      </c>
      <c r="AJ54" s="27">
        <f t="shared" ca="1" si="130"/>
        <v>193.18776878612715</v>
      </c>
      <c r="AK54" s="24">
        <f>SUM(AK48:AK53)</f>
        <v>37031</v>
      </c>
      <c r="AL54" s="28">
        <f t="shared" ca="1" si="131"/>
        <v>0.8406470254651508</v>
      </c>
      <c r="AM54" s="29">
        <v>1.5</v>
      </c>
      <c r="AN54" s="28">
        <f t="shared" ca="1" si="132"/>
        <v>0.62095786450815094</v>
      </c>
      <c r="AO54" s="30">
        <f t="shared" ca="1" si="133"/>
        <v>0.93143679676222646</v>
      </c>
      <c r="AP54" s="29">
        <f ca="1">SUM(AP48:AP53)</f>
        <v>1373.8178214444874</v>
      </c>
      <c r="AQ54" s="29">
        <f ca="1">AP54/AA54</f>
        <v>7.9411434765577305</v>
      </c>
      <c r="AR54" s="25">
        <f t="shared" ca="1" si="135"/>
        <v>179.94219653179192</v>
      </c>
      <c r="AS54" s="76"/>
      <c r="AT54" s="76"/>
    </row>
    <row r="55" spans="1:46" ht="15.75" customHeight="1" x14ac:dyDescent="0.2">
      <c r="A55" s="110" t="s">
        <v>45</v>
      </c>
      <c r="B55" s="76"/>
      <c r="C55" s="76"/>
      <c r="D55" s="75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7" t="s">
        <v>1</v>
      </c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9"/>
      <c r="AS55" s="76"/>
      <c r="AT55" s="76"/>
    </row>
    <row r="56" spans="1:46" ht="15.75" customHeight="1" x14ac:dyDescent="0.2">
      <c r="A56" s="109">
        <v>46268</v>
      </c>
      <c r="B56" s="80" t="s">
        <v>2</v>
      </c>
      <c r="C56" s="80" t="s">
        <v>3</v>
      </c>
      <c r="D56" s="80" t="s">
        <v>4</v>
      </c>
      <c r="E56" s="80" t="s">
        <v>5</v>
      </c>
      <c r="F56" s="81" t="s">
        <v>6</v>
      </c>
      <c r="G56" s="80" t="s">
        <v>7</v>
      </c>
      <c r="H56" s="80" t="s">
        <v>8</v>
      </c>
      <c r="I56" s="80" t="s">
        <v>9</v>
      </c>
      <c r="J56" s="80" t="s">
        <v>10</v>
      </c>
      <c r="K56" s="80" t="s">
        <v>11</v>
      </c>
      <c r="L56" s="80" t="s">
        <v>12</v>
      </c>
      <c r="M56" s="80" t="s">
        <v>13</v>
      </c>
      <c r="N56" s="81" t="s">
        <v>14</v>
      </c>
      <c r="O56" s="80" t="s">
        <v>15</v>
      </c>
      <c r="P56" s="80" t="s">
        <v>16</v>
      </c>
      <c r="Q56" s="80" t="s">
        <v>17</v>
      </c>
      <c r="R56" s="80" t="s">
        <v>18</v>
      </c>
      <c r="S56" s="106" t="s">
        <v>19</v>
      </c>
      <c r="T56" s="107" t="s">
        <v>20</v>
      </c>
      <c r="U56" s="107" t="s">
        <v>21</v>
      </c>
      <c r="V56" s="105" t="s">
        <v>22</v>
      </c>
      <c r="W56" s="76"/>
      <c r="X56" s="1" t="s">
        <v>2</v>
      </c>
      <c r="Y56" s="1" t="s">
        <v>3</v>
      </c>
      <c r="Z56" s="1" t="s">
        <v>4</v>
      </c>
      <c r="AA56" s="1" t="s">
        <v>5</v>
      </c>
      <c r="AB56" s="2" t="s">
        <v>6</v>
      </c>
      <c r="AC56" s="1" t="s">
        <v>7</v>
      </c>
      <c r="AD56" s="1" t="s">
        <v>8</v>
      </c>
      <c r="AE56" s="1" t="s">
        <v>9</v>
      </c>
      <c r="AF56" s="1" t="s">
        <v>10</v>
      </c>
      <c r="AG56" s="1" t="s">
        <v>11</v>
      </c>
      <c r="AH56" s="1" t="s">
        <v>12</v>
      </c>
      <c r="AI56" s="1" t="s">
        <v>13</v>
      </c>
      <c r="AJ56" s="2" t="s">
        <v>14</v>
      </c>
      <c r="AK56" s="1" t="s">
        <v>15</v>
      </c>
      <c r="AL56" s="1" t="s">
        <v>16</v>
      </c>
      <c r="AM56" s="3" t="s">
        <v>17</v>
      </c>
      <c r="AN56" s="4" t="s">
        <v>18</v>
      </c>
      <c r="AO56" s="5" t="s">
        <v>19</v>
      </c>
      <c r="AP56" s="6" t="s">
        <v>20</v>
      </c>
      <c r="AQ56" s="6" t="s">
        <v>21</v>
      </c>
      <c r="AR56" s="7" t="s">
        <v>22</v>
      </c>
      <c r="AS56" s="76"/>
      <c r="AT56" s="76"/>
    </row>
    <row r="57" spans="1:46" ht="15.75" customHeight="1" x14ac:dyDescent="0.2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6"/>
      <c r="X57" s="8">
        <v>1</v>
      </c>
      <c r="Y57" s="8" t="s">
        <v>23</v>
      </c>
      <c r="Z57" s="8">
        <f t="shared" ref="Z57:AI57" si="150">SUM(D65)</f>
        <v>35</v>
      </c>
      <c r="AA57" s="9">
        <f t="shared" ca="1" si="150"/>
        <v>34</v>
      </c>
      <c r="AB57" s="10">
        <f t="shared" ca="1" si="150"/>
        <v>6343.1199999999899</v>
      </c>
      <c r="AC57" s="9">
        <f t="shared" ca="1" si="150"/>
        <v>1642</v>
      </c>
      <c r="AD57" s="9">
        <f t="shared" ca="1" si="150"/>
        <v>0</v>
      </c>
      <c r="AE57" s="9">
        <f t="shared" ca="1" si="150"/>
        <v>1642</v>
      </c>
      <c r="AF57" s="9">
        <f t="shared" ca="1" si="150"/>
        <v>2911</v>
      </c>
      <c r="AG57" s="9">
        <f t="shared" ca="1" si="150"/>
        <v>0</v>
      </c>
      <c r="AH57" s="9">
        <f t="shared" ca="1" si="150"/>
        <v>2911</v>
      </c>
      <c r="AI57" s="9">
        <f t="shared" ca="1" si="150"/>
        <v>4553</v>
      </c>
      <c r="AJ57" s="11">
        <f t="shared" ref="AJ57:AJ59" ca="1" si="151">AB57/AA57</f>
        <v>186.56235294117619</v>
      </c>
      <c r="AK57" s="8">
        <f>SUM(O65)</f>
        <v>6853</v>
      </c>
      <c r="AL57" s="12">
        <f t="shared" ref="AL57:AL63" ca="1" si="152">AI57/AK57</f>
        <v>0.6643805632569677</v>
      </c>
      <c r="AM57" s="13">
        <f t="shared" ref="AM57:AM59" si="153">SUM(Q65)</f>
        <v>1.5</v>
      </c>
      <c r="AN57" s="12">
        <f t="shared" ref="AN57:AN63" ca="1" si="154">AO57/AM57</f>
        <v>0.47852371283112066</v>
      </c>
      <c r="AO57" s="14">
        <f t="shared" ref="AO57:AO63" ca="1" si="155">AI57/AB57</f>
        <v>0.71778556924668102</v>
      </c>
      <c r="AP57" s="13">
        <f t="shared" ref="AP57:AQ57" ca="1" si="156">SUM(T65)</f>
        <v>187.99999999999969</v>
      </c>
      <c r="AQ57" s="13">
        <f t="shared" ca="1" si="156"/>
        <v>5.5294117647058734</v>
      </c>
      <c r="AR57" s="9">
        <f t="shared" ref="AR57:AR63" ca="1" si="157">AI57/AA57</f>
        <v>133.91176470588235</v>
      </c>
      <c r="AS57" s="76"/>
      <c r="AT57" s="76"/>
    </row>
    <row r="58" spans="1:46" ht="15.75" customHeight="1" x14ac:dyDescent="0.2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6"/>
      <c r="X58" s="8">
        <v>2</v>
      </c>
      <c r="Y58" s="8" t="s">
        <v>24</v>
      </c>
      <c r="Z58" s="8">
        <f t="shared" ref="Z58:AI58" si="158">SUM(D66)</f>
        <v>44</v>
      </c>
      <c r="AA58" s="9">
        <f t="shared" ca="1" si="158"/>
        <v>44</v>
      </c>
      <c r="AB58" s="10">
        <f t="shared" ca="1" si="158"/>
        <v>8503.1839999999902</v>
      </c>
      <c r="AC58" s="9">
        <f t="shared" ca="1" si="158"/>
        <v>1215</v>
      </c>
      <c r="AD58" s="9">
        <f t="shared" ca="1" si="158"/>
        <v>0</v>
      </c>
      <c r="AE58" s="9">
        <f t="shared" ca="1" si="158"/>
        <v>1215</v>
      </c>
      <c r="AF58" s="9">
        <f t="shared" ca="1" si="158"/>
        <v>1449</v>
      </c>
      <c r="AG58" s="9">
        <f t="shared" ca="1" si="158"/>
        <v>47</v>
      </c>
      <c r="AH58" s="9">
        <f t="shared" ca="1" si="158"/>
        <v>1496</v>
      </c>
      <c r="AI58" s="9">
        <f t="shared" ca="1" si="158"/>
        <v>2711</v>
      </c>
      <c r="AJ58" s="11">
        <f t="shared" ca="1" si="151"/>
        <v>193.25418181818159</v>
      </c>
      <c r="AK58" s="8">
        <v>1580</v>
      </c>
      <c r="AL58" s="15">
        <f t="shared" ca="1" si="152"/>
        <v>1.7158227848101266</v>
      </c>
      <c r="AM58" s="13">
        <f t="shared" si="153"/>
        <v>1.5</v>
      </c>
      <c r="AN58" s="12">
        <f t="shared" ca="1" si="154"/>
        <v>0.21254783306268987</v>
      </c>
      <c r="AO58" s="14">
        <f t="shared" ca="1" si="155"/>
        <v>0.31882174959403481</v>
      </c>
      <c r="AP58" s="13">
        <f t="shared" ref="AP58:AQ58" ca="1" si="159">SUM(T66)</f>
        <v>317.22380152956504</v>
      </c>
      <c r="AQ58" s="13">
        <f t="shared" ca="1" si="159"/>
        <v>7.2096318529446597</v>
      </c>
      <c r="AR58" s="9">
        <f t="shared" ca="1" si="157"/>
        <v>61.613636363636367</v>
      </c>
      <c r="AS58" s="76"/>
      <c r="AT58" s="76"/>
    </row>
    <row r="59" spans="1:46" ht="15.75" customHeight="1" x14ac:dyDescent="0.2">
      <c r="A59" s="70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6"/>
      <c r="X59" s="8">
        <v>3</v>
      </c>
      <c r="Y59" s="8" t="s">
        <v>25</v>
      </c>
      <c r="Z59" s="8">
        <f t="shared" ref="Z59:AI59" si="160">SUM(D67)</f>
        <v>32</v>
      </c>
      <c r="AA59" s="9">
        <f t="shared" ca="1" si="160"/>
        <v>32</v>
      </c>
      <c r="AB59" s="10">
        <f t="shared" ca="1" si="160"/>
        <v>6115.8440000000001</v>
      </c>
      <c r="AC59" s="9">
        <f t="shared" ca="1" si="160"/>
        <v>2262</v>
      </c>
      <c r="AD59" s="9">
        <f t="shared" ca="1" si="160"/>
        <v>452</v>
      </c>
      <c r="AE59" s="9">
        <f t="shared" ca="1" si="160"/>
        <v>2714</v>
      </c>
      <c r="AF59" s="9">
        <f t="shared" ca="1" si="160"/>
        <v>2922</v>
      </c>
      <c r="AG59" s="9">
        <f t="shared" ca="1" si="160"/>
        <v>298</v>
      </c>
      <c r="AH59" s="9">
        <f t="shared" ca="1" si="160"/>
        <v>3220</v>
      </c>
      <c r="AI59" s="9">
        <f t="shared" ca="1" si="160"/>
        <v>5934</v>
      </c>
      <c r="AJ59" s="11">
        <f t="shared" ca="1" si="151"/>
        <v>191.120125</v>
      </c>
      <c r="AK59" s="8">
        <f>SUM(O67)</f>
        <v>6622</v>
      </c>
      <c r="AL59" s="12">
        <f t="shared" ca="1" si="152"/>
        <v>0.89610389610389607</v>
      </c>
      <c r="AM59" s="13">
        <f t="shared" si="153"/>
        <v>1.5</v>
      </c>
      <c r="AN59" s="12">
        <f t="shared" ca="1" si="154"/>
        <v>0.64684449112828901</v>
      </c>
      <c r="AO59" s="14">
        <f t="shared" ca="1" si="155"/>
        <v>0.97026673669243357</v>
      </c>
      <c r="AP59" s="13">
        <f t="shared" ref="AP59:AQ59" ca="1" si="161">SUM(T67)</f>
        <v>256.53708053691275</v>
      </c>
      <c r="AQ59" s="13">
        <f t="shared" ca="1" si="161"/>
        <v>8.0167837667785236</v>
      </c>
      <c r="AR59" s="9">
        <f t="shared" ca="1" si="157"/>
        <v>185.4375</v>
      </c>
      <c r="AS59" s="76"/>
      <c r="AT59" s="76"/>
    </row>
    <row r="60" spans="1:46" ht="15.75" customHeight="1" x14ac:dyDescent="0.25">
      <c r="A60" s="70"/>
      <c r="B60" s="16">
        <v>1</v>
      </c>
      <c r="C60" s="16" t="s">
        <v>26</v>
      </c>
      <c r="D60" s="17">
        <v>20</v>
      </c>
      <c r="E60" s="18">
        <f ca="1">IFERROR(__xludf.DUMMYFUNCTION("COUNT(IMPORTRANGE(""https://docs.google.com/spreadsheets/d/1F0NpMx7WhcgPgxTWpryY3Z1CGg56FL6aiL4mHs43w4E/edit"",""3!d2:d21""))"),20)</f>
        <v>20</v>
      </c>
      <c r="F60" s="19">
        <f ca="1">IFERROR(__xludf.DUMMYFUNCTION("SUM(IMPORTRANGE(""https://docs.google.com/spreadsheets/d/1F0NpMx7WhcgPgxTWpryY3Z1CGg56FL6aiL4mHs43w4E/edit"",""3!Q2:Q21""))"),3993.567)</f>
        <v>3993.567</v>
      </c>
      <c r="G60" s="18">
        <f ca="1">IFERROR(__xludf.DUMMYFUNCTION("IMPORTRANGE(""https://docs.google.com/spreadsheets/d/1F0NpMx7WhcgPgxTWpryY3Z1CGg56FL6aiL4mHs43w4E/edit"",""3!e28"")"),2441)</f>
        <v>2441</v>
      </c>
      <c r="H60" s="18">
        <f ca="1">IFERROR(__xludf.DUMMYFUNCTION("IMPORTRANGE(""https://docs.google.com/spreadsheets/d/1F0NpMx7WhcgPgxTWpryY3Z1CGg56FL6aiL4mHs43w4E/edit"",""3!e29"")"),20)</f>
        <v>20</v>
      </c>
      <c r="I60" s="18">
        <f t="shared" ref="I60:I77" ca="1" si="162">SUM(G60:H60)</f>
        <v>2461</v>
      </c>
      <c r="J60" s="18">
        <f ca="1">IFERROR(__xludf.DUMMYFUNCTION("IMPORTRANGE(""https://docs.google.com/spreadsheets/d/1F0NpMx7WhcgPgxTWpryY3Z1CGg56FL6aiL4mHs43w4E/edit"",""3!e32"")"),2544)</f>
        <v>2544</v>
      </c>
      <c r="K60" s="18">
        <f ca="1">IFERROR(__xludf.DUMMYFUNCTION("IMPORTRANGE(""https://docs.google.com/spreadsheets/d/1F0NpMx7WhcgPgxTWpryY3Z1CGg56FL6aiL4mHs43w4E/edit"",""3!e33"")"),220)</f>
        <v>220</v>
      </c>
      <c r="L60" s="18">
        <f t="shared" ref="L60:L66" ca="1" si="163">SUM(J60:K60)</f>
        <v>2764</v>
      </c>
      <c r="M60" s="18">
        <f t="shared" ref="M60:M77" ca="1" si="164">SUM(I60+L60)</f>
        <v>5225</v>
      </c>
      <c r="N60" s="19">
        <f t="shared" ref="N60:N78" ca="1" si="165">F60/E60</f>
        <v>199.67834999999999</v>
      </c>
      <c r="O60" s="16">
        <v>5161</v>
      </c>
      <c r="P60" s="33">
        <f t="shared" ref="P60:P78" ca="1" si="166">M60/O60</f>
        <v>1.0124006975392366</v>
      </c>
      <c r="Q60" s="21">
        <v>1.5</v>
      </c>
      <c r="R60" s="20">
        <f t="shared" ref="R60:R78" ca="1" si="167">S60/Q60</f>
        <v>0.87223610705250054</v>
      </c>
      <c r="S60" s="22">
        <f t="shared" ref="S60:S78" ca="1" si="168">M60/F60</f>
        <v>1.3083541605787508</v>
      </c>
      <c r="T60" s="21">
        <f ca="1">F60/14.415</f>
        <v>277.04245577523415</v>
      </c>
      <c r="U60" s="21">
        <f t="shared" ref="U60:U78" ca="1" si="169">T60/E60</f>
        <v>13.852122788761708</v>
      </c>
      <c r="V60" s="18">
        <f t="shared" ref="V60:V78" ca="1" si="170">M60/E60</f>
        <v>261.25</v>
      </c>
      <c r="W60" s="76"/>
      <c r="X60" s="8">
        <v>4</v>
      </c>
      <c r="Y60" s="8" t="s">
        <v>27</v>
      </c>
      <c r="Z60" s="8">
        <f t="shared" ref="Z60:AK60" si="171">SUM(D73)</f>
        <v>30</v>
      </c>
      <c r="AA60" s="9">
        <f t="shared" ca="1" si="171"/>
        <v>29</v>
      </c>
      <c r="AB60" s="10">
        <f t="shared" ca="1" si="171"/>
        <v>5265.91</v>
      </c>
      <c r="AC60" s="9">
        <f t="shared" ca="1" si="171"/>
        <v>2086</v>
      </c>
      <c r="AD60" s="9">
        <f t="shared" ca="1" si="171"/>
        <v>80</v>
      </c>
      <c r="AE60" s="9">
        <f t="shared" ca="1" si="171"/>
        <v>2166</v>
      </c>
      <c r="AF60" s="9">
        <f t="shared" ca="1" si="171"/>
        <v>3135</v>
      </c>
      <c r="AG60" s="9">
        <f t="shared" ca="1" si="171"/>
        <v>99</v>
      </c>
      <c r="AH60" s="9">
        <f t="shared" ca="1" si="171"/>
        <v>3234</v>
      </c>
      <c r="AI60" s="9">
        <f t="shared" ca="1" si="171"/>
        <v>5400</v>
      </c>
      <c r="AJ60" s="11">
        <f t="shared" ca="1" si="171"/>
        <v>181.58310344827586</v>
      </c>
      <c r="AK60" s="8">
        <f t="shared" si="171"/>
        <v>8101</v>
      </c>
      <c r="AL60" s="12">
        <f t="shared" ca="1" si="152"/>
        <v>0.66658437229971612</v>
      </c>
      <c r="AM60" s="13">
        <f>SUM(Q73)</f>
        <v>1.5</v>
      </c>
      <c r="AN60" s="12">
        <f t="shared" ca="1" si="154"/>
        <v>0.68364252332455366</v>
      </c>
      <c r="AO60" s="14">
        <f t="shared" ca="1" si="155"/>
        <v>1.0254637849868304</v>
      </c>
      <c r="AP60" s="13">
        <f t="shared" ref="AP60:AQ60" ca="1" si="172">SUM(T73)</f>
        <v>263.49311983987991</v>
      </c>
      <c r="AQ60" s="13">
        <f t="shared" ca="1" si="172"/>
        <v>9.085969649651032</v>
      </c>
      <c r="AR60" s="9">
        <f t="shared" ca="1" si="157"/>
        <v>186.20689655172413</v>
      </c>
      <c r="AS60" s="76"/>
      <c r="AT60" s="76"/>
    </row>
    <row r="61" spans="1:46" ht="15.75" customHeight="1" x14ac:dyDescent="0.25">
      <c r="A61" s="70"/>
      <c r="B61" s="16">
        <v>2</v>
      </c>
      <c r="C61" s="16" t="s">
        <v>28</v>
      </c>
      <c r="D61" s="17">
        <v>33</v>
      </c>
      <c r="E61" s="18">
        <f ca="1">IFERROR(__xludf.DUMMYFUNCTION("COUNT(IMPORTRANGE(""https://docs.google.com/spreadsheets/d/1H9vAqftAHb0OdeSGXHTnJFzoWUgpoH31sc0sHNN8y1o/edit"",""3!d2:d34""))"),32)</f>
        <v>32</v>
      </c>
      <c r="F61" s="19">
        <f ca="1">IFERROR(__xludf.DUMMYFUNCTION("SUM(IMPORTRANGE(""https://docs.google.com/spreadsheets/d/1H9vAqftAHb0OdeSGXHTnJFzoWUgpoH31sc0sHNN8y1o/edit"",""3!Q2:Q34""))"),6236.48799999999)</f>
        <v>6236.4879999999903</v>
      </c>
      <c r="G61" s="18">
        <f ca="1">IFERROR(__xludf.DUMMYFUNCTION("IMPORTRANGE(""https://docs.google.com/spreadsheets/d/1H9vAqftAHb0OdeSGXHTnJFzoWUgpoH31sc0sHNN8y1o/edit"",""3!e41"")"),2795)</f>
        <v>2795</v>
      </c>
      <c r="H61" s="18">
        <f ca="1">IFERROR(__xludf.DUMMYFUNCTION("IMPORTRANGE(""https://docs.google.com/spreadsheets/d/1H9vAqftAHb0OdeSGXHTnJFzoWUgpoH31sc0sHNN8y1o/edit"",""3!e42"")"),140)</f>
        <v>140</v>
      </c>
      <c r="I61" s="18">
        <f t="shared" ca="1" si="162"/>
        <v>2935</v>
      </c>
      <c r="J61" s="18">
        <f ca="1">IFERROR(__xludf.DUMMYFUNCTION("IMPORTRANGE(""https://docs.google.com/spreadsheets/d/1H9vAqftAHb0OdeSGXHTnJFzoWUgpoH31sc0sHNN8y1o/edit"",""3!e45"")"),2886)</f>
        <v>2886</v>
      </c>
      <c r="K61" s="18">
        <f ca="1">IFERROR(__xludf.DUMMYFUNCTION("IMPORTRANGE(""https://docs.google.com/spreadsheets/d/1H9vAqftAHb0OdeSGXHTnJFzoWUgpoH31sc0sHNN8y1o/edit"",""3!e46"")"),186)</f>
        <v>186</v>
      </c>
      <c r="L61" s="18">
        <f t="shared" ca="1" si="163"/>
        <v>3072</v>
      </c>
      <c r="M61" s="18">
        <f t="shared" ca="1" si="164"/>
        <v>6007</v>
      </c>
      <c r="N61" s="19">
        <f t="shared" ca="1" si="165"/>
        <v>194.8902499999997</v>
      </c>
      <c r="O61" s="16">
        <v>7315</v>
      </c>
      <c r="P61" s="20">
        <f t="shared" ca="1" si="166"/>
        <v>0.82118933697881069</v>
      </c>
      <c r="Q61" s="21">
        <v>1.5</v>
      </c>
      <c r="R61" s="20">
        <f t="shared" ca="1" si="167"/>
        <v>0.64213491097339925</v>
      </c>
      <c r="S61" s="22">
        <f t="shared" ca="1" si="168"/>
        <v>0.96320236646009894</v>
      </c>
      <c r="T61" s="21">
        <f ca="1">F61/30.897</f>
        <v>201.84768747774834</v>
      </c>
      <c r="U61" s="21">
        <f t="shared" ca="1" si="169"/>
        <v>6.3077402336796355</v>
      </c>
      <c r="V61" s="18">
        <f t="shared" ca="1" si="170"/>
        <v>187.71875</v>
      </c>
      <c r="W61" s="76"/>
      <c r="X61" s="8">
        <v>5</v>
      </c>
      <c r="Y61" s="8" t="s">
        <v>29</v>
      </c>
      <c r="Z61" s="8">
        <f t="shared" ref="Z61:AI61" si="173">SUM(D76)</f>
        <v>30</v>
      </c>
      <c r="AA61" s="9">
        <f t="shared" ca="1" si="173"/>
        <v>30</v>
      </c>
      <c r="AB61" s="10">
        <f t="shared" ca="1" si="173"/>
        <v>6172.4029999999902</v>
      </c>
      <c r="AC61" s="9">
        <f t="shared" ca="1" si="173"/>
        <v>2776</v>
      </c>
      <c r="AD61" s="9">
        <f t="shared" ca="1" si="173"/>
        <v>0</v>
      </c>
      <c r="AE61" s="9">
        <f t="shared" ca="1" si="173"/>
        <v>2776</v>
      </c>
      <c r="AF61" s="9">
        <f t="shared" ca="1" si="173"/>
        <v>4306</v>
      </c>
      <c r="AG61" s="9">
        <f t="shared" ca="1" si="173"/>
        <v>0</v>
      </c>
      <c r="AH61" s="9">
        <f t="shared" ca="1" si="173"/>
        <v>4306</v>
      </c>
      <c r="AI61" s="9">
        <f t="shared" ca="1" si="173"/>
        <v>7082</v>
      </c>
      <c r="AJ61" s="11">
        <f t="shared" ref="AJ61:AJ63" ca="1" si="174">AB61/AA61</f>
        <v>205.74676666666633</v>
      </c>
      <c r="AK61" s="8">
        <f t="shared" ref="AK61:AK62" si="175">SUM(O76)</f>
        <v>9201</v>
      </c>
      <c r="AL61" s="12">
        <f t="shared" ca="1" si="152"/>
        <v>0.76969894576676445</v>
      </c>
      <c r="AM61" s="13">
        <f t="shared" ref="AM61:AM62" si="176">SUM(Q76)</f>
        <v>1.5</v>
      </c>
      <c r="AN61" s="12">
        <f t="shared" ca="1" si="154"/>
        <v>0.76491008985209508</v>
      </c>
      <c r="AO61" s="14">
        <f t="shared" ca="1" si="155"/>
        <v>1.1473651347781426</v>
      </c>
      <c r="AP61" s="13">
        <f t="shared" ref="AP61:AQ61" ca="1" si="177">SUM(T76)</f>
        <v>232.99999999999963</v>
      </c>
      <c r="AQ61" s="13">
        <f t="shared" ca="1" si="177"/>
        <v>7.7666666666666542</v>
      </c>
      <c r="AR61" s="9">
        <f t="shared" ca="1" si="157"/>
        <v>236.06666666666666</v>
      </c>
      <c r="AS61" s="76"/>
      <c r="AT61" s="76"/>
    </row>
    <row r="62" spans="1:46" ht="15.75" customHeight="1" x14ac:dyDescent="0.25">
      <c r="A62" s="70"/>
      <c r="B62" s="16">
        <v>3</v>
      </c>
      <c r="C62" s="16" t="s">
        <v>30</v>
      </c>
      <c r="D62" s="17">
        <v>60</v>
      </c>
      <c r="E62" s="18">
        <f ca="1">IFERROR(__xludf.DUMMYFUNCTION("COUNT(IMPORTRANGE(""https://docs.google.com/spreadsheets/d/1EWN6nfpuVxbUE_9opjYCWaI7MTm5xsF6ssjklSbMZnA/edit"",""3!d2:d61""))"),60)</f>
        <v>60</v>
      </c>
      <c r="F62" s="23">
        <f ca="1">IFERROR(__xludf.DUMMYFUNCTION("SUM(IMPORTRANGE(""https://docs.google.com/spreadsheets/d/1EWN6nfpuVxbUE_9opjYCWaI7MTm5xsF6ssjklSbMZnA/edit"",""3!Q2:Q61""))"),11240.6459999999)</f>
        <v>11240.645999999901</v>
      </c>
      <c r="G62" s="18">
        <f ca="1">IFERROR(__xludf.DUMMYFUNCTION("IMPORTRANGE(""https://docs.google.com/spreadsheets/d/1EWN6nfpuVxbUE_9opjYCWaI7MTm5xsF6ssjklSbMZnA/edit"",""3!e68"")"),3447)</f>
        <v>3447</v>
      </c>
      <c r="H62" s="18">
        <f ca="1">IFERROR(__xludf.DUMMYFUNCTION("IMPORTRANGE(""https://docs.google.com/spreadsheets/d/1EWN6nfpuVxbUE_9opjYCWaI7MTm5xsF6ssjklSbMZnA/edit"",""3!e69"")"),0)</f>
        <v>0</v>
      </c>
      <c r="I62" s="18">
        <f t="shared" ca="1" si="162"/>
        <v>3447</v>
      </c>
      <c r="J62" s="18">
        <f ca="1">IFERROR(__xludf.DUMMYFUNCTION("IMPORTRANGE(""https://docs.google.com/spreadsheets/d/1EWN6nfpuVxbUE_9opjYCWaI7MTm5xsF6ssjklSbMZnA/edit"",""3!e72"")"),5534)</f>
        <v>5534</v>
      </c>
      <c r="K62" s="18">
        <f ca="1">IFERROR(__xludf.DUMMYFUNCTION("IMPORTRANGE(""https://docs.google.com/spreadsheets/d/1EWN6nfpuVxbUE_9opjYCWaI7MTm5xsF6ssjklSbMZnA/edit"",""3!e73"")"),0)</f>
        <v>0</v>
      </c>
      <c r="L62" s="18">
        <f t="shared" ca="1" si="163"/>
        <v>5534</v>
      </c>
      <c r="M62" s="18">
        <f t="shared" ca="1" si="164"/>
        <v>8981</v>
      </c>
      <c r="N62" s="19">
        <f t="shared" ca="1" si="165"/>
        <v>187.34409999999835</v>
      </c>
      <c r="O62" s="16">
        <v>11164</v>
      </c>
      <c r="P62" s="20">
        <f t="shared" ca="1" si="166"/>
        <v>0.80446076675026867</v>
      </c>
      <c r="Q62" s="21">
        <v>1.5</v>
      </c>
      <c r="R62" s="20">
        <f t="shared" ca="1" si="167"/>
        <v>0.53265028836717987</v>
      </c>
      <c r="S62" s="22">
        <f t="shared" ca="1" si="168"/>
        <v>0.79897543255076975</v>
      </c>
      <c r="T62" s="21">
        <f ca="1">F62/29.603</f>
        <v>379.71306962131877</v>
      </c>
      <c r="U62" s="21">
        <f t="shared" ca="1" si="169"/>
        <v>6.3285511603553131</v>
      </c>
      <c r="V62" s="18">
        <f t="shared" ca="1" si="170"/>
        <v>149.68333333333334</v>
      </c>
      <c r="W62" s="76"/>
      <c r="X62" s="8">
        <v>6</v>
      </c>
      <c r="Y62" s="8" t="s">
        <v>31</v>
      </c>
      <c r="Z62" s="8">
        <f t="shared" ref="Z62:AI62" si="178">SUM(D77)</f>
        <v>15</v>
      </c>
      <c r="AA62" s="9">
        <f t="shared" ca="1" si="178"/>
        <v>14</v>
      </c>
      <c r="AB62" s="11">
        <f t="shared" ca="1" si="178"/>
        <v>2825.2249999999999</v>
      </c>
      <c r="AC62" s="9">
        <f t="shared" ca="1" si="178"/>
        <v>838</v>
      </c>
      <c r="AD62" s="9">
        <f t="shared" ca="1" si="178"/>
        <v>0</v>
      </c>
      <c r="AE62" s="9">
        <f t="shared" ca="1" si="178"/>
        <v>838</v>
      </c>
      <c r="AF62" s="9">
        <f t="shared" ca="1" si="178"/>
        <v>1055</v>
      </c>
      <c r="AG62" s="9">
        <f t="shared" ca="1" si="178"/>
        <v>14</v>
      </c>
      <c r="AH62" s="9">
        <f t="shared" ca="1" si="178"/>
        <v>1069</v>
      </c>
      <c r="AI62" s="9">
        <f t="shared" ca="1" si="178"/>
        <v>1907</v>
      </c>
      <c r="AJ62" s="11">
        <f t="shared" ca="1" si="174"/>
        <v>201.8017857142857</v>
      </c>
      <c r="AK62" s="8">
        <f t="shared" si="175"/>
        <v>2717</v>
      </c>
      <c r="AL62" s="12">
        <f t="shared" ca="1" si="152"/>
        <v>0.70187707029812296</v>
      </c>
      <c r="AM62" s="13">
        <f t="shared" si="176"/>
        <v>1.5</v>
      </c>
      <c r="AN62" s="12">
        <f t="shared" ca="1" si="154"/>
        <v>0.44999365832219856</v>
      </c>
      <c r="AO62" s="14">
        <f t="shared" ca="1" si="155"/>
        <v>0.67499048748329782</v>
      </c>
      <c r="AP62" s="13">
        <f t="shared" ref="AP62:AQ62" ca="1" si="179">SUM(T77)</f>
        <v>64.999999999999986</v>
      </c>
      <c r="AQ62" s="13">
        <f t="shared" ca="1" si="179"/>
        <v>4.6428571428571415</v>
      </c>
      <c r="AR62" s="9">
        <f t="shared" ca="1" si="157"/>
        <v>136.21428571428572</v>
      </c>
      <c r="AS62" s="76"/>
      <c r="AT62" s="76"/>
    </row>
    <row r="63" spans="1:46" ht="15.75" customHeight="1" x14ac:dyDescent="0.25">
      <c r="A63" s="70"/>
      <c r="B63" s="16">
        <v>4</v>
      </c>
      <c r="C63" s="16" t="s">
        <v>32</v>
      </c>
      <c r="D63" s="17">
        <v>42</v>
      </c>
      <c r="E63" s="18">
        <f ca="1">IFERROR(__xludf.DUMMYFUNCTION("COUNT(IMPORTRANGE(""https://docs.google.com/spreadsheets/d/1Rmar8QqWK4XOJ-eY6xMzkAfDSw0srEXcAw89ilArun8/edit"",""3!d2:d43""))"),42)</f>
        <v>42</v>
      </c>
      <c r="F63" s="23">
        <f ca="1">IFERROR(__xludf.DUMMYFUNCTION("SUM(IMPORTRANGE(""https://docs.google.com/spreadsheets/d/1Rmar8QqWK4XOJ-eY6xMzkAfDSw0srEXcAw89ilArun8/edit"",""3!Q2:Q43""))"),8204.10299999999)</f>
        <v>8204.1029999999901</v>
      </c>
      <c r="G63" s="16">
        <f ca="1">IFERROR(__xludf.DUMMYFUNCTION("IMPORTRANGE(""https://docs.google.com/spreadsheets/d/1Rmar8QqWK4XOJ-eY6xMzkAfDSw0srEXcAw89ilArun8/edit"",""3!e50"")"),4595)</f>
        <v>4595</v>
      </c>
      <c r="H63" s="16">
        <f ca="1">IFERROR(__xludf.DUMMYFUNCTION("IMPORTRANGE(""https://docs.google.com/spreadsheets/d/1Rmar8QqWK4XOJ-eY6xMzkAfDSw0srEXcAw89ilArun8/edit"",""3!e51"")"),0)</f>
        <v>0</v>
      </c>
      <c r="I63" s="18">
        <f t="shared" ca="1" si="162"/>
        <v>4595</v>
      </c>
      <c r="J63" s="16">
        <f ca="1">IFERROR(__xludf.DUMMYFUNCTION("IMPORTRANGE(""https://docs.google.com/spreadsheets/d/1Rmar8QqWK4XOJ-eY6xMzkAfDSw0srEXcAw89ilArun8/edit"",""3!e54"")"),5729)</f>
        <v>5729</v>
      </c>
      <c r="K63" s="16">
        <f ca="1">IFERROR(__xludf.DUMMYFUNCTION("IMPORTRANGE(""https://docs.google.com/spreadsheets/d/1Rmar8QqWK4XOJ-eY6xMzkAfDSw0srEXcAw89ilArun8/edit"",""3!e55"")"),110)</f>
        <v>110</v>
      </c>
      <c r="L63" s="18">
        <f t="shared" ca="1" si="163"/>
        <v>5839</v>
      </c>
      <c r="M63" s="18">
        <f t="shared" ca="1" si="164"/>
        <v>10434</v>
      </c>
      <c r="N63" s="19">
        <f t="shared" ca="1" si="165"/>
        <v>195.33578571428546</v>
      </c>
      <c r="O63" s="16">
        <v>13817</v>
      </c>
      <c r="P63" s="20">
        <f t="shared" ca="1" si="166"/>
        <v>0.75515669103278571</v>
      </c>
      <c r="Q63" s="21">
        <v>1.5</v>
      </c>
      <c r="R63" s="20">
        <f t="shared" ca="1" si="167"/>
        <v>0.84786843851180427</v>
      </c>
      <c r="S63" s="22">
        <f t="shared" ca="1" si="168"/>
        <v>1.2718026577677064</v>
      </c>
      <c r="T63" s="21">
        <f ca="1">F63/25.089</f>
        <v>326.9999999999996</v>
      </c>
      <c r="U63" s="21">
        <f t="shared" ca="1" si="169"/>
        <v>7.7857142857142758</v>
      </c>
      <c r="V63" s="18">
        <f t="shared" ca="1" si="170"/>
        <v>248.42857142857142</v>
      </c>
      <c r="W63" s="76"/>
      <c r="X63" s="24" t="s">
        <v>33</v>
      </c>
      <c r="Y63" s="24">
        <v>6</v>
      </c>
      <c r="Z63" s="24">
        <f t="shared" ref="Z63:AI63" si="180">SUM(Z57:Z62)</f>
        <v>186</v>
      </c>
      <c r="AA63" s="25">
        <f t="shared" ca="1" si="180"/>
        <v>183</v>
      </c>
      <c r="AB63" s="26">
        <f t="shared" ca="1" si="180"/>
        <v>35225.685999999972</v>
      </c>
      <c r="AC63" s="25">
        <f t="shared" ca="1" si="180"/>
        <v>10819</v>
      </c>
      <c r="AD63" s="25">
        <f t="shared" ca="1" si="180"/>
        <v>532</v>
      </c>
      <c r="AE63" s="25">
        <f t="shared" ca="1" si="180"/>
        <v>11351</v>
      </c>
      <c r="AF63" s="25">
        <f t="shared" ca="1" si="180"/>
        <v>15778</v>
      </c>
      <c r="AG63" s="25">
        <f t="shared" ca="1" si="180"/>
        <v>458</v>
      </c>
      <c r="AH63" s="25">
        <f t="shared" ca="1" si="180"/>
        <v>16236</v>
      </c>
      <c r="AI63" s="25">
        <f t="shared" ca="1" si="180"/>
        <v>27587</v>
      </c>
      <c r="AJ63" s="27">
        <f t="shared" ca="1" si="174"/>
        <v>192.49008743169384</v>
      </c>
      <c r="AK63" s="24">
        <f>SUM(AK57:AK62)</f>
        <v>35074</v>
      </c>
      <c r="AL63" s="28">
        <f t="shared" ca="1" si="152"/>
        <v>0.78653703598106861</v>
      </c>
      <c r="AM63" s="29">
        <v>1.5</v>
      </c>
      <c r="AN63" s="28">
        <f t="shared" ca="1" si="154"/>
        <v>0.52210007587455776</v>
      </c>
      <c r="AO63" s="30">
        <f t="shared" ca="1" si="155"/>
        <v>0.78315011381183663</v>
      </c>
      <c r="AP63" s="29">
        <f ca="1">SUM(AP57:AP62)</f>
        <v>1323.254001906357</v>
      </c>
      <c r="AQ63" s="29">
        <f ca="1">AP63/AA63</f>
        <v>7.2308961852806393</v>
      </c>
      <c r="AR63" s="25">
        <f t="shared" ca="1" si="157"/>
        <v>150.74863387978141</v>
      </c>
      <c r="AS63" s="76"/>
      <c r="AT63" s="76"/>
    </row>
    <row r="64" spans="1:46" ht="15.75" customHeight="1" x14ac:dyDescent="0.25">
      <c r="A64" s="70"/>
      <c r="B64" s="16">
        <v>5</v>
      </c>
      <c r="C64" s="16" t="s">
        <v>34</v>
      </c>
      <c r="D64" s="17">
        <v>40</v>
      </c>
      <c r="E64" s="18">
        <f ca="1">IFERROR(__xludf.DUMMYFUNCTION("COUNT(IMPORTRANGE(""https://docs.google.com/spreadsheets/d/1u99JxAoytGQQ8GcjxXl38CGdyEWy5uIbuJJHnsotyvk/edit"",""3!d2:d41""))"),39)</f>
        <v>39</v>
      </c>
      <c r="F64" s="23">
        <f ca="1">IFERROR(__xludf.DUMMYFUNCTION("SUM(IMPORTRANGE(""https://docs.google.com/spreadsheets/d/1u99JxAoytGQQ8GcjxXl38CGdyEWy5uIbuJJHnsotyvk/edit"",""3!Q2:Q41""))"),7668.567)</f>
        <v>7668.567</v>
      </c>
      <c r="G64" s="18">
        <f ca="1">IFERROR(__xludf.DUMMYFUNCTION("IMPORTRANGE(""https://docs.google.com/spreadsheets/d/1u99JxAoytGQQ8GcjxXl38CGdyEWy5uIbuJJHnsotyvk/edit"",""3!e48"")"),3177)</f>
        <v>3177</v>
      </c>
      <c r="H64" s="18">
        <f ca="1">IFERROR(__xludf.DUMMYFUNCTION("IMPORTRANGE(""https://docs.google.com/spreadsheets/d/1u99JxAoytGQQ8GcjxXl38CGdyEWy5uIbuJJHnsotyvk/edit"",""3!e49"")"),0)</f>
        <v>0</v>
      </c>
      <c r="I64" s="18">
        <f t="shared" ca="1" si="162"/>
        <v>3177</v>
      </c>
      <c r="J64" s="18">
        <f ca="1">IFERROR(__xludf.DUMMYFUNCTION("IMPORTRANGE(""https://docs.google.com/spreadsheets/d/1u99JxAoytGQQ8GcjxXl38CGdyEWy5uIbuJJHnsotyvk/edit"",""3!e52"")"),2832)</f>
        <v>2832</v>
      </c>
      <c r="K64" s="18">
        <f ca="1">IFERROR(__xludf.DUMMYFUNCTION("IMPORTRANGE(""https://docs.google.com/spreadsheets/d/1u99JxAoytGQQ8GcjxXl38CGdyEWy5uIbuJJHnsotyvk/edit"",""3!e53"")"),107)</f>
        <v>107</v>
      </c>
      <c r="L64" s="18">
        <f t="shared" ca="1" si="163"/>
        <v>2939</v>
      </c>
      <c r="M64" s="18">
        <f t="shared" ca="1" si="164"/>
        <v>6116</v>
      </c>
      <c r="N64" s="19">
        <f t="shared" ca="1" si="165"/>
        <v>196.62992307692306</v>
      </c>
      <c r="O64" s="16">
        <v>9354</v>
      </c>
      <c r="P64" s="20">
        <f t="shared" ca="1" si="166"/>
        <v>0.65383793029719905</v>
      </c>
      <c r="Q64" s="21">
        <v>1.5</v>
      </c>
      <c r="R64" s="20">
        <f t="shared" ca="1" si="167"/>
        <v>0.53169429612251329</v>
      </c>
      <c r="S64" s="22">
        <f t="shared" ca="1" si="168"/>
        <v>0.79754144418376993</v>
      </c>
      <c r="T64" s="21">
        <f ca="1">F64/30.713</f>
        <v>249.68472633738156</v>
      </c>
      <c r="U64" s="21">
        <f t="shared" ca="1" si="169"/>
        <v>6.4021724701892708</v>
      </c>
      <c r="V64" s="18">
        <f t="shared" ca="1" si="170"/>
        <v>156.82051282051282</v>
      </c>
      <c r="W64" s="76"/>
      <c r="X64" s="100" t="s">
        <v>35</v>
      </c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9"/>
      <c r="AS64" s="76"/>
      <c r="AT64" s="76"/>
    </row>
    <row r="65" spans="1:46" ht="15.75" customHeight="1" x14ac:dyDescent="0.25">
      <c r="A65" s="70"/>
      <c r="B65" s="16">
        <v>6</v>
      </c>
      <c r="C65" s="16" t="s">
        <v>23</v>
      </c>
      <c r="D65" s="17">
        <v>35</v>
      </c>
      <c r="E65" s="18">
        <f ca="1">IFERROR(__xludf.DUMMYFUNCTION("COUNT(IMPORTRANGE(""https://docs.google.com/spreadsheets/d/1uVc-vnTn57HE53lwrUYNZP4sGKTXisrqOoZ-6EyvLzY/edit"",""3!d2:d36""))"),34)</f>
        <v>34</v>
      </c>
      <c r="F65" s="23">
        <f ca="1">IFERROR(__xludf.DUMMYFUNCTION("SUM(IMPORTRANGE(""https://docs.google.com/spreadsheets/d/1uVc-vnTn57HE53lwrUYNZP4sGKTXisrqOoZ-6EyvLzY/edit"",""3!Q2:Q36""))"),6343.11999999999)</f>
        <v>6343.1199999999899</v>
      </c>
      <c r="G65" s="18">
        <f ca="1">IFERROR(__xludf.DUMMYFUNCTION("IMPORTRANGE(""https://docs.google.com/spreadsheets/d/1uVc-vnTn57HE53lwrUYNZP4sGKTXisrqOoZ-6EyvLzY/edit"",""3!e43"")"),1642)</f>
        <v>1642</v>
      </c>
      <c r="H65" s="18">
        <f ca="1">IFERROR(__xludf.DUMMYFUNCTION("IMPORTRANGE(""https://docs.google.com/spreadsheets/d/1uVc-vnTn57HE53lwrUYNZP4sGKTXisrqOoZ-6EyvLzY/edit"",""3!e44"")"),0)</f>
        <v>0</v>
      </c>
      <c r="I65" s="18">
        <f t="shared" ca="1" si="162"/>
        <v>1642</v>
      </c>
      <c r="J65" s="18">
        <f ca="1">IFERROR(__xludf.DUMMYFUNCTION("IMPORTRANGE(""https://docs.google.com/spreadsheets/d/1uVc-vnTn57HE53lwrUYNZP4sGKTXisrqOoZ-6EyvLzY/edit"",""3!e47"")"),2911)</f>
        <v>2911</v>
      </c>
      <c r="K65" s="18">
        <f ca="1">IFERROR(__xludf.DUMMYFUNCTION("IMPORTRANGE(""https://docs.google.com/spreadsheets/d/1uVc-vnTn57HE53lwrUYNZP4sGKTXisrqOoZ-6EyvLzY/edit"",""3!e48"")"),0)</f>
        <v>0</v>
      </c>
      <c r="L65" s="18">
        <f t="shared" ca="1" si="163"/>
        <v>2911</v>
      </c>
      <c r="M65" s="18">
        <f t="shared" ca="1" si="164"/>
        <v>4553</v>
      </c>
      <c r="N65" s="19">
        <f t="shared" ca="1" si="165"/>
        <v>186.56235294117619</v>
      </c>
      <c r="O65" s="16">
        <v>6853</v>
      </c>
      <c r="P65" s="20">
        <f t="shared" ca="1" si="166"/>
        <v>0.6643805632569677</v>
      </c>
      <c r="Q65" s="21">
        <v>1.5</v>
      </c>
      <c r="R65" s="20">
        <f t="shared" ca="1" si="167"/>
        <v>0.47852371283112066</v>
      </c>
      <c r="S65" s="22">
        <f t="shared" ca="1" si="168"/>
        <v>0.71778556924668102</v>
      </c>
      <c r="T65" s="21">
        <f ca="1">F65/33.74</f>
        <v>187.99999999999969</v>
      </c>
      <c r="U65" s="21">
        <f t="shared" ca="1" si="169"/>
        <v>5.5294117647058734</v>
      </c>
      <c r="V65" s="18">
        <f t="shared" ca="1" si="170"/>
        <v>133.91176470588235</v>
      </c>
      <c r="W65" s="76"/>
      <c r="X65" s="1" t="s">
        <v>2</v>
      </c>
      <c r="Y65" s="1" t="s">
        <v>3</v>
      </c>
      <c r="Z65" s="1" t="s">
        <v>4</v>
      </c>
      <c r="AA65" s="1" t="s">
        <v>5</v>
      </c>
      <c r="AB65" s="2" t="s">
        <v>6</v>
      </c>
      <c r="AC65" s="1" t="s">
        <v>7</v>
      </c>
      <c r="AD65" s="1" t="s">
        <v>8</v>
      </c>
      <c r="AE65" s="1" t="s">
        <v>9</v>
      </c>
      <c r="AF65" s="1" t="s">
        <v>10</v>
      </c>
      <c r="AG65" s="1" t="s">
        <v>11</v>
      </c>
      <c r="AH65" s="1" t="s">
        <v>12</v>
      </c>
      <c r="AI65" s="1" t="s">
        <v>13</v>
      </c>
      <c r="AJ65" s="2" t="s">
        <v>14</v>
      </c>
      <c r="AK65" s="1" t="s">
        <v>15</v>
      </c>
      <c r="AL65" s="1" t="s">
        <v>16</v>
      </c>
      <c r="AM65" s="3" t="s">
        <v>17</v>
      </c>
      <c r="AN65" s="4" t="s">
        <v>18</v>
      </c>
      <c r="AO65" s="5" t="s">
        <v>19</v>
      </c>
      <c r="AP65" s="6" t="s">
        <v>20</v>
      </c>
      <c r="AQ65" s="6" t="s">
        <v>21</v>
      </c>
      <c r="AR65" s="7" t="s">
        <v>22</v>
      </c>
      <c r="AS65" s="76"/>
      <c r="AT65" s="76"/>
    </row>
    <row r="66" spans="1:46" ht="15.75" customHeight="1" x14ac:dyDescent="0.25">
      <c r="A66" s="70"/>
      <c r="B66" s="16">
        <v>7</v>
      </c>
      <c r="C66" s="16" t="s">
        <v>24</v>
      </c>
      <c r="D66" s="17">
        <v>44</v>
      </c>
      <c r="E66" s="31">
        <f ca="1">IFERROR(__xludf.DUMMYFUNCTION("COUNT(IMPORTRANGE(""https://docs.google.com/spreadsheets/d/1iuPvivSypupo44l6GtmR-2qZ3za7cTk7KzsOVp_kv2c/edit"",""3!d2:d45""))"),44)</f>
        <v>44</v>
      </c>
      <c r="F66" s="32">
        <f ca="1">IFERROR(__xludf.DUMMYFUNCTION("SUM(IMPORTRANGE(""https://docs.google.com/spreadsheets/d/1iuPvivSypupo44l6GtmR-2qZ3za7cTk7KzsOVp_kv2c/edit"",""3!Q2:Q45""))"),8503.18399999999)</f>
        <v>8503.1839999999902</v>
      </c>
      <c r="G66" s="31">
        <f ca="1">IFERROR(__xludf.DUMMYFUNCTION("IMPORTRANGE(""https://docs.google.com/spreadsheets/d/1iuPvivSypupo44l6GtmR-2qZ3za7cTk7KzsOVp_kv2c/edit"",""3!e53"")"),1215)</f>
        <v>1215</v>
      </c>
      <c r="H66" s="31">
        <f ca="1">IFERROR(__xludf.DUMMYFUNCTION("IMPORTRANGE(""https://docs.google.com/spreadsheets/d/1iuPvivSypupo44l6GtmR-2qZ3za7cTk7KzsOVp_kv2c/edit"",""3!e54"")"),0)</f>
        <v>0</v>
      </c>
      <c r="I66" s="31">
        <f t="shared" ca="1" si="162"/>
        <v>1215</v>
      </c>
      <c r="J66" s="31">
        <f ca="1">IFERROR(__xludf.DUMMYFUNCTION("IMPORTRANGE(""https://docs.google.com/spreadsheets/d/1iuPvivSypupo44l6GtmR-2qZ3za7cTk7KzsOVp_kv2c/edit"",""3!e57"")"),1449)</f>
        <v>1449</v>
      </c>
      <c r="K66" s="31">
        <f ca="1">IFERROR(__xludf.DUMMYFUNCTION("IMPORTRANGE(""https://docs.google.com/spreadsheets/d/1iuPvivSypupo44l6GtmR-2qZ3za7cTk7KzsOVp_kv2c/edit"",""3!e58"")"),47)</f>
        <v>47</v>
      </c>
      <c r="L66" s="18">
        <f t="shared" ca="1" si="163"/>
        <v>1496</v>
      </c>
      <c r="M66" s="18">
        <f t="shared" ca="1" si="164"/>
        <v>2711</v>
      </c>
      <c r="N66" s="19">
        <f t="shared" ca="1" si="165"/>
        <v>193.25418181818159</v>
      </c>
      <c r="O66" s="16">
        <v>1580</v>
      </c>
      <c r="P66" s="33">
        <f t="shared" ca="1" si="166"/>
        <v>1.7158227848101266</v>
      </c>
      <c r="Q66" s="21">
        <v>1.5</v>
      </c>
      <c r="R66" s="20">
        <f t="shared" ca="1" si="167"/>
        <v>0.21254783306268987</v>
      </c>
      <c r="S66" s="22">
        <f t="shared" ca="1" si="168"/>
        <v>0.31882174959403481</v>
      </c>
      <c r="T66" s="21">
        <f ca="1">F66/26.805</f>
        <v>317.22380152956504</v>
      </c>
      <c r="U66" s="21">
        <f t="shared" ca="1" si="169"/>
        <v>7.2096318529446597</v>
      </c>
      <c r="V66" s="18">
        <f t="shared" ca="1" si="170"/>
        <v>61.613636363636367</v>
      </c>
      <c r="W66" s="76"/>
      <c r="X66" s="8">
        <v>1</v>
      </c>
      <c r="Y66" s="8" t="s">
        <v>28</v>
      </c>
      <c r="Z66" s="8">
        <f t="shared" ref="Z66:AI66" si="181">SUM(D61)</f>
        <v>33</v>
      </c>
      <c r="AA66" s="9">
        <f t="shared" ca="1" si="181"/>
        <v>32</v>
      </c>
      <c r="AB66" s="11">
        <f t="shared" ca="1" si="181"/>
        <v>6236.4879999999903</v>
      </c>
      <c r="AC66" s="9">
        <f t="shared" ca="1" si="181"/>
        <v>2795</v>
      </c>
      <c r="AD66" s="9">
        <f t="shared" ca="1" si="181"/>
        <v>140</v>
      </c>
      <c r="AE66" s="9">
        <f t="shared" ca="1" si="181"/>
        <v>2935</v>
      </c>
      <c r="AF66" s="9">
        <f t="shared" ca="1" si="181"/>
        <v>2886</v>
      </c>
      <c r="AG66" s="9">
        <f t="shared" ca="1" si="181"/>
        <v>186</v>
      </c>
      <c r="AH66" s="9">
        <f t="shared" ca="1" si="181"/>
        <v>3072</v>
      </c>
      <c r="AI66" s="9">
        <f t="shared" ca="1" si="181"/>
        <v>6007</v>
      </c>
      <c r="AJ66" s="11">
        <f t="shared" ref="AJ66:AJ72" ca="1" si="182">AB66/AA66</f>
        <v>194.8902499999997</v>
      </c>
      <c r="AK66" s="8">
        <f t="shared" ref="AK66:AK67" si="183">SUM(O61)</f>
        <v>7315</v>
      </c>
      <c r="AL66" s="12">
        <f t="shared" ref="AL66:AL72" ca="1" si="184">AI66/AK66</f>
        <v>0.82118933697881069</v>
      </c>
      <c r="AM66" s="13">
        <f t="shared" ref="AM66:AM67" si="185">SUM(Q61)</f>
        <v>1.5</v>
      </c>
      <c r="AN66" s="12">
        <f t="shared" ref="AN66:AN72" ca="1" si="186">AO66/AM66</f>
        <v>0.64213491097339925</v>
      </c>
      <c r="AO66" s="14">
        <f t="shared" ref="AO66:AO72" ca="1" si="187">AI66/AB66</f>
        <v>0.96320236646009894</v>
      </c>
      <c r="AP66" s="13">
        <f t="shared" ref="AP66:AQ66" ca="1" si="188">SUM(T61)</f>
        <v>201.84768747774834</v>
      </c>
      <c r="AQ66" s="13">
        <f t="shared" ca="1" si="188"/>
        <v>6.3077402336796355</v>
      </c>
      <c r="AR66" s="9">
        <f t="shared" ref="AR66:AR72" ca="1" si="189">AI66/AA66</f>
        <v>187.71875</v>
      </c>
      <c r="AS66" s="76"/>
      <c r="AT66" s="76"/>
    </row>
    <row r="67" spans="1:46" ht="15.75" customHeight="1" x14ac:dyDescent="0.25">
      <c r="A67" s="70"/>
      <c r="B67" s="16">
        <v>8</v>
      </c>
      <c r="C67" s="16" t="s">
        <v>25</v>
      </c>
      <c r="D67" s="34">
        <v>32</v>
      </c>
      <c r="E67" s="18">
        <f ca="1">IFERROR(__xludf.DUMMYFUNCTION("COUNT(IMPORTRANGE(""https://docs.google.com/spreadsheets/d/1sqWX7UerdR9KR_duBzDNfjwbPG-3hLgV1LiN2ZVZ6Js/edit"",""3!d2:D33""))"),32)</f>
        <v>32</v>
      </c>
      <c r="F67" s="23">
        <f ca="1">IFERROR(__xludf.DUMMYFUNCTION("SUM(IMPORTRANGE(""https://docs.google.com/spreadsheets/d/1sqWX7UerdR9KR_duBzDNfjwbPG-3hLgV1LiN2ZVZ6Js/edit"",""3!Q2:Q33""))"),6115.844)</f>
        <v>6115.8440000000001</v>
      </c>
      <c r="G67" s="18">
        <f ca="1">IFERROR(__xludf.DUMMYFUNCTION("IMPORTRANGE(""https://docs.google.com/spreadsheets/d/1sqWX7UerdR9KR_duBzDNfjwbPG-3hLgV1LiN2ZVZ6Js/edit"",""3!e40"")"),2262)</f>
        <v>2262</v>
      </c>
      <c r="H67" s="18">
        <f ca="1">IFERROR(__xludf.DUMMYFUNCTION("IMPORTRANGE(""https://docs.google.com/spreadsheets/d/1sqWX7UerdR9KR_duBzDNfjwbPG-3hLgV1LiN2ZVZ6Js/edit"",""3!e41"")"),452)</f>
        <v>452</v>
      </c>
      <c r="I67" s="18">
        <f t="shared" ca="1" si="162"/>
        <v>2714</v>
      </c>
      <c r="J67" s="18">
        <f ca="1">IFERROR(__xludf.DUMMYFUNCTION("IMPORTRANGE(""https://docs.google.com/spreadsheets/d/1sqWX7UerdR9KR_duBzDNfjwbPG-3hLgV1LiN2ZVZ6Js/edit"",""3!e44"")"),2922)</f>
        <v>2922</v>
      </c>
      <c r="K67" s="18">
        <f ca="1">IFERROR(__xludf.DUMMYFUNCTION("IMPORTRANGE(""https://docs.google.com/spreadsheets/d/1sqWX7UerdR9KR_duBzDNfjwbPG-3hLgV1LiN2ZVZ6Js/edit"",""3!e45"")"),298)</f>
        <v>298</v>
      </c>
      <c r="L67" s="18">
        <f ca="1">J67+K67</f>
        <v>3220</v>
      </c>
      <c r="M67" s="18">
        <f t="shared" ca="1" si="164"/>
        <v>5934</v>
      </c>
      <c r="N67" s="19">
        <f t="shared" ca="1" si="165"/>
        <v>191.120125</v>
      </c>
      <c r="O67" s="16">
        <v>6622</v>
      </c>
      <c r="P67" s="20">
        <f t="shared" ca="1" si="166"/>
        <v>0.89610389610389607</v>
      </c>
      <c r="Q67" s="21">
        <v>1.5</v>
      </c>
      <c r="R67" s="20">
        <f t="shared" ca="1" si="167"/>
        <v>0.64684449112828901</v>
      </c>
      <c r="S67" s="22">
        <f t="shared" ca="1" si="168"/>
        <v>0.97026673669243357</v>
      </c>
      <c r="T67" s="21">
        <f ca="1">F67/23.84</f>
        <v>256.53708053691275</v>
      </c>
      <c r="U67" s="21">
        <f t="shared" ca="1" si="169"/>
        <v>8.0167837667785236</v>
      </c>
      <c r="V67" s="18">
        <f t="shared" ca="1" si="170"/>
        <v>185.4375</v>
      </c>
      <c r="W67" s="76"/>
      <c r="X67" s="8">
        <v>2</v>
      </c>
      <c r="Y67" s="8" t="s">
        <v>30</v>
      </c>
      <c r="Z67" s="8">
        <f t="shared" ref="Z67:AI67" si="190">SUM(D62)</f>
        <v>60</v>
      </c>
      <c r="AA67" s="9">
        <f t="shared" ca="1" si="190"/>
        <v>60</v>
      </c>
      <c r="AB67" s="10">
        <f t="shared" ca="1" si="190"/>
        <v>11240.645999999901</v>
      </c>
      <c r="AC67" s="9">
        <f t="shared" ca="1" si="190"/>
        <v>3447</v>
      </c>
      <c r="AD67" s="9">
        <f t="shared" ca="1" si="190"/>
        <v>0</v>
      </c>
      <c r="AE67" s="9">
        <f t="shared" ca="1" si="190"/>
        <v>3447</v>
      </c>
      <c r="AF67" s="9">
        <f t="shared" ca="1" si="190"/>
        <v>5534</v>
      </c>
      <c r="AG67" s="9">
        <f t="shared" ca="1" si="190"/>
        <v>0</v>
      </c>
      <c r="AH67" s="9">
        <f t="shared" ca="1" si="190"/>
        <v>5534</v>
      </c>
      <c r="AI67" s="9">
        <f t="shared" ca="1" si="190"/>
        <v>8981</v>
      </c>
      <c r="AJ67" s="11">
        <f t="shared" ca="1" si="182"/>
        <v>187.34409999999835</v>
      </c>
      <c r="AK67" s="8">
        <f t="shared" si="183"/>
        <v>11164</v>
      </c>
      <c r="AL67" s="12">
        <f t="shared" ca="1" si="184"/>
        <v>0.80446076675026867</v>
      </c>
      <c r="AM67" s="13">
        <f t="shared" si="185"/>
        <v>1.5</v>
      </c>
      <c r="AN67" s="12">
        <f t="shared" ca="1" si="186"/>
        <v>0.53265028836717987</v>
      </c>
      <c r="AO67" s="14">
        <f t="shared" ca="1" si="187"/>
        <v>0.79897543255076975</v>
      </c>
      <c r="AP67" s="13">
        <f t="shared" ref="AP67:AQ67" ca="1" si="191">SUM(T62)</f>
        <v>379.71306962131877</v>
      </c>
      <c r="AQ67" s="13">
        <f t="shared" ca="1" si="191"/>
        <v>6.3285511603553131</v>
      </c>
      <c r="AR67" s="9">
        <f t="shared" ca="1" si="189"/>
        <v>149.68333333333334</v>
      </c>
      <c r="AS67" s="76"/>
      <c r="AT67" s="76"/>
    </row>
    <row r="68" spans="1:46" ht="15.75" customHeight="1" x14ac:dyDescent="0.25">
      <c r="A68" s="70"/>
      <c r="B68" s="16">
        <v>9</v>
      </c>
      <c r="C68" s="16" t="s">
        <v>36</v>
      </c>
      <c r="D68" s="34">
        <v>30</v>
      </c>
      <c r="E68" s="18">
        <f ca="1">IFERROR(__xludf.DUMMYFUNCTION("COUNT(IMPORTRANGE(""https://docs.google.com/spreadsheets/d/1YNna43iTSqnwwbMJgTIPHSJEoDO8RGPRFg5pJCoQR_Y/edit"",""3!d2:d31""))"),30)</f>
        <v>30</v>
      </c>
      <c r="F68" s="23">
        <f ca="1">IFERROR(__xludf.DUMMYFUNCTION("SUM(IMPORTRANGE(""https://docs.google.com/spreadsheets/d/1YNna43iTSqnwwbMJgTIPHSJEoDO8RGPRFg5pJCoQR_Y/edit"",""3!Q2:Q31""))"),5794.382)</f>
        <v>5794.3819999999996</v>
      </c>
      <c r="G68" s="18">
        <f ca="1">IFERROR(__xludf.DUMMYFUNCTION("IMPORTRANGE(""https://docs.google.com/spreadsheets/d/1YNna43iTSqnwwbMJgTIPHSJEoDO8RGPRFg5pJCoQR_Y/edit"",""3!e38"")"),1670)</f>
        <v>1670</v>
      </c>
      <c r="H68" s="18">
        <f ca="1">IFERROR(__xludf.DUMMYFUNCTION("IMPORTRANGE(""https://docs.google.com/spreadsheets/d/1YNna43iTSqnwwbMJgTIPHSJEoDO8RGPRFg5pJCoQR_Y/edit"",""3!e39"")"),0)</f>
        <v>0</v>
      </c>
      <c r="I68" s="18">
        <f t="shared" ca="1" si="162"/>
        <v>1670</v>
      </c>
      <c r="J68" s="18">
        <f ca="1">IFERROR(__xludf.DUMMYFUNCTION("IMPORTRANGE(""https://docs.google.com/spreadsheets/d/1YNna43iTSqnwwbMJgTIPHSJEoDO8RGPRFg5pJCoQR_Y/edit"",""3!e42"")"),2442)</f>
        <v>2442</v>
      </c>
      <c r="K68" s="18">
        <f ca="1">IFERROR(__xludf.DUMMYFUNCTION("IMPORTRANGE(""https://docs.google.com/spreadsheets/d/1YNna43iTSqnwwbMJgTIPHSJEoDO8RGPRFg5pJCoQR_Y/edit"",""3!e43"")"),0)</f>
        <v>0</v>
      </c>
      <c r="L68" s="18">
        <f t="shared" ref="L68:L77" ca="1" si="192">SUM(J68:K68)</f>
        <v>2442</v>
      </c>
      <c r="M68" s="18">
        <f t="shared" ca="1" si="164"/>
        <v>4112</v>
      </c>
      <c r="N68" s="19">
        <f t="shared" ca="1" si="165"/>
        <v>193.14606666666666</v>
      </c>
      <c r="O68" s="16">
        <v>4796</v>
      </c>
      <c r="P68" s="20">
        <f t="shared" ca="1" si="166"/>
        <v>0.85738115095913259</v>
      </c>
      <c r="Q68" s="21">
        <v>1.5</v>
      </c>
      <c r="R68" s="20">
        <f t="shared" ca="1" si="167"/>
        <v>0.47310193448297566</v>
      </c>
      <c r="S68" s="22">
        <f t="shared" ca="1" si="168"/>
        <v>0.70965290172446349</v>
      </c>
      <c r="T68" s="21">
        <f ca="1">F68/37.414</f>
        <v>154.87202651413907</v>
      </c>
      <c r="U68" s="21">
        <f t="shared" ca="1" si="169"/>
        <v>5.1624008838046356</v>
      </c>
      <c r="V68" s="18">
        <f t="shared" ca="1" si="170"/>
        <v>137.06666666666666</v>
      </c>
      <c r="W68" s="76"/>
      <c r="X68" s="8">
        <v>3</v>
      </c>
      <c r="Y68" s="8" t="s">
        <v>34</v>
      </c>
      <c r="Z68" s="8">
        <f t="shared" ref="Z68:AI68" si="193">SUM(D64)</f>
        <v>40</v>
      </c>
      <c r="AA68" s="9">
        <f t="shared" ca="1" si="193"/>
        <v>39</v>
      </c>
      <c r="AB68" s="10">
        <f t="shared" ca="1" si="193"/>
        <v>7668.567</v>
      </c>
      <c r="AC68" s="9">
        <f t="shared" ca="1" si="193"/>
        <v>3177</v>
      </c>
      <c r="AD68" s="9">
        <f t="shared" ca="1" si="193"/>
        <v>0</v>
      </c>
      <c r="AE68" s="9">
        <f t="shared" ca="1" si="193"/>
        <v>3177</v>
      </c>
      <c r="AF68" s="9">
        <f t="shared" ca="1" si="193"/>
        <v>2832</v>
      </c>
      <c r="AG68" s="9">
        <f t="shared" ca="1" si="193"/>
        <v>107</v>
      </c>
      <c r="AH68" s="9">
        <f t="shared" ca="1" si="193"/>
        <v>2939</v>
      </c>
      <c r="AI68" s="9">
        <f t="shared" ca="1" si="193"/>
        <v>6116</v>
      </c>
      <c r="AJ68" s="11">
        <f t="shared" ca="1" si="182"/>
        <v>196.62992307692306</v>
      </c>
      <c r="AK68" s="8">
        <f>SUM(O64)</f>
        <v>9354</v>
      </c>
      <c r="AL68" s="12">
        <f t="shared" ca="1" si="184"/>
        <v>0.65383793029719905</v>
      </c>
      <c r="AM68" s="13">
        <f>SUM(Q64)</f>
        <v>1.5</v>
      </c>
      <c r="AN68" s="12">
        <f t="shared" ca="1" si="186"/>
        <v>0.53169429612251329</v>
      </c>
      <c r="AO68" s="14">
        <f t="shared" ca="1" si="187"/>
        <v>0.79754144418376993</v>
      </c>
      <c r="AP68" s="13">
        <f t="shared" ref="AP68:AQ68" ca="1" si="194">SUM(T64)</f>
        <v>249.68472633738156</v>
      </c>
      <c r="AQ68" s="13">
        <f t="shared" ca="1" si="194"/>
        <v>6.4021724701892708</v>
      </c>
      <c r="AR68" s="9">
        <f t="shared" ca="1" si="189"/>
        <v>156.82051282051282</v>
      </c>
      <c r="AS68" s="76"/>
      <c r="AT68" s="76"/>
    </row>
    <row r="69" spans="1:46" ht="15.75" customHeight="1" x14ac:dyDescent="0.25">
      <c r="A69" s="70"/>
      <c r="B69" s="16">
        <v>10</v>
      </c>
      <c r="C69" s="16" t="s">
        <v>37</v>
      </c>
      <c r="D69" s="17">
        <v>30</v>
      </c>
      <c r="E69" s="18">
        <f ca="1">IFERROR(__xludf.DUMMYFUNCTION("COUNT(IMPORTRANGE(""https://docs.google.com/spreadsheets/d/1913Df5BsXS_b-nClL8LOK5w0engQYTl1mPOiyngRtO0/edit"",""3!d2:d31""))"),29)</f>
        <v>29</v>
      </c>
      <c r="F69" s="23">
        <f ca="1">IFERROR(__xludf.DUMMYFUNCTION("SUM(IMPORTRANGE(""https://docs.google.com/spreadsheets/d/1913Df5BsXS_b-nClL8LOK5w0engQYTl1mPOiyngRtO0/edit"",""3!Q2:Q31""))"),5613.852)</f>
        <v>5613.8519999999999</v>
      </c>
      <c r="G69" s="18">
        <f ca="1">IFERROR(__xludf.DUMMYFUNCTION("(IMPORTRANGE(""https://docs.google.com/spreadsheets/d/1913Df5BsXS_b-nClL8LOK5w0engQYTl1mPOiyngRtO0/edit"",""3!e38""))"),2252)</f>
        <v>2252</v>
      </c>
      <c r="H69" s="18">
        <f ca="1">IFERROR(__xludf.DUMMYFUNCTION("(IMPORTRANGE(""https://docs.google.com/spreadsheets/d/1913Df5BsXS_b-nClL8LOK5w0engQYTl1mPOiyngRtO0/edit"",""3!e39""))"),0)</f>
        <v>0</v>
      </c>
      <c r="I69" s="18">
        <f t="shared" ca="1" si="162"/>
        <v>2252</v>
      </c>
      <c r="J69" s="18">
        <f ca="1">IFERROR(__xludf.DUMMYFUNCTION("(IMPORTRANGE(""https://docs.google.com/spreadsheets/d/1913Df5BsXS_b-nClL8LOK5w0engQYTl1mPOiyngRtO0/edit"",""3!e42""))"),3036)</f>
        <v>3036</v>
      </c>
      <c r="K69" s="18">
        <f ca="1">IFERROR(__xludf.DUMMYFUNCTION("(IMPORTRANGE(""https://docs.google.com/spreadsheets/d/1913Df5BsXS_b-nClL8LOK5w0engQYTl1mPOiyngRtO0/edit"",""3!e43""))"),0)</f>
        <v>0</v>
      </c>
      <c r="L69" s="18">
        <f t="shared" ca="1" si="192"/>
        <v>3036</v>
      </c>
      <c r="M69" s="18">
        <f t="shared" ca="1" si="164"/>
        <v>5288</v>
      </c>
      <c r="N69" s="19">
        <f t="shared" ca="1" si="165"/>
        <v>193.58110344827585</v>
      </c>
      <c r="O69" s="16">
        <v>5887</v>
      </c>
      <c r="P69" s="20">
        <f t="shared" ca="1" si="166"/>
        <v>0.89825038219806352</v>
      </c>
      <c r="Q69" s="21">
        <v>1.5</v>
      </c>
      <c r="R69" s="20">
        <f t="shared" ca="1" si="167"/>
        <v>0.62797047968726882</v>
      </c>
      <c r="S69" s="22">
        <f t="shared" ca="1" si="168"/>
        <v>0.94195571953090318</v>
      </c>
      <c r="T69" s="21">
        <f ca="1">F69/24.792</f>
        <v>226.4380445304937</v>
      </c>
      <c r="U69" s="21">
        <f t="shared" ca="1" si="169"/>
        <v>7.8082084320859897</v>
      </c>
      <c r="V69" s="18">
        <f t="shared" ca="1" si="170"/>
        <v>182.34482758620689</v>
      </c>
      <c r="W69" s="76"/>
      <c r="X69" s="8">
        <v>4</v>
      </c>
      <c r="Y69" s="8" t="s">
        <v>38</v>
      </c>
      <c r="Z69" s="8">
        <f t="shared" ref="Z69:AI69" si="195">SUM(D72)</f>
        <v>30</v>
      </c>
      <c r="AA69" s="9">
        <f t="shared" ca="1" si="195"/>
        <v>30</v>
      </c>
      <c r="AB69" s="10">
        <f t="shared" ca="1" si="195"/>
        <v>6057.1350000000002</v>
      </c>
      <c r="AC69" s="9">
        <f t="shared" ca="1" si="195"/>
        <v>2252</v>
      </c>
      <c r="AD69" s="9">
        <f t="shared" ca="1" si="195"/>
        <v>0</v>
      </c>
      <c r="AE69" s="9">
        <f t="shared" ca="1" si="195"/>
        <v>2252</v>
      </c>
      <c r="AF69" s="9">
        <f t="shared" ca="1" si="195"/>
        <v>2532</v>
      </c>
      <c r="AG69" s="9">
        <f t="shared" ca="1" si="195"/>
        <v>106</v>
      </c>
      <c r="AH69" s="9">
        <f t="shared" ca="1" si="195"/>
        <v>2638</v>
      </c>
      <c r="AI69" s="9">
        <f t="shared" ca="1" si="195"/>
        <v>4890</v>
      </c>
      <c r="AJ69" s="11">
        <f t="shared" ca="1" si="182"/>
        <v>201.90450000000001</v>
      </c>
      <c r="AK69" s="8">
        <v>7324</v>
      </c>
      <c r="AL69" s="12">
        <f t="shared" ca="1" si="184"/>
        <v>0.66766794101583837</v>
      </c>
      <c r="AM69" s="13">
        <f>SUM(Q72)</f>
        <v>1.5</v>
      </c>
      <c r="AN69" s="12">
        <f t="shared" ca="1" si="186"/>
        <v>0.53820824531729927</v>
      </c>
      <c r="AO69" s="14">
        <f t="shared" ca="1" si="187"/>
        <v>0.80731236797594896</v>
      </c>
      <c r="AP69" s="13">
        <f t="shared" ref="AP69:AQ69" ca="1" si="196">SUM(T72)</f>
        <v>147</v>
      </c>
      <c r="AQ69" s="13">
        <f t="shared" ca="1" si="196"/>
        <v>4.9000000000000004</v>
      </c>
      <c r="AR69" s="9">
        <f t="shared" ca="1" si="189"/>
        <v>163</v>
      </c>
      <c r="AS69" s="76"/>
      <c r="AT69" s="76"/>
    </row>
    <row r="70" spans="1:46" ht="15.75" customHeight="1" x14ac:dyDescent="0.25">
      <c r="A70" s="70"/>
      <c r="B70" s="16">
        <v>12</v>
      </c>
      <c r="C70" s="16" t="s">
        <v>39</v>
      </c>
      <c r="D70" s="17">
        <v>28</v>
      </c>
      <c r="E70" s="18">
        <f ca="1">IFERROR(__xludf.DUMMYFUNCTION("COUNT(IMPORTRANGE(""https://docs.google.com/spreadsheets/d/1wMeol_MpSIcocGxt3WZGl46mJ2tc80mANPvP_YzaP18/edit"",""3!d2:d29""))"),28)</f>
        <v>28</v>
      </c>
      <c r="F70" s="23">
        <f ca="1">IFERROR(__xludf.DUMMYFUNCTION("SUM(IMPORTRANGE(""https://docs.google.com/spreadsheets/d/1wMeol_MpSIcocGxt3WZGl46mJ2tc80mANPvP_YzaP18/edit"",""3!Q2:Q29""))"),5158.396)</f>
        <v>5158.3959999999997</v>
      </c>
      <c r="G70" s="18">
        <f ca="1">IFERROR(__xludf.DUMMYFUNCTION("IMPORTRANGE(""https://docs.google.com/spreadsheets/d/1wMeol_MpSIcocGxt3WZGl46mJ2tc80mANPvP_YzaP18/edit"",""3!e36"")"),1344)</f>
        <v>1344</v>
      </c>
      <c r="H70" s="18">
        <f ca="1">IFERROR(__xludf.DUMMYFUNCTION("(IMPORTRANGE(""https://docs.google.com/spreadsheets/d/1wMeol_MpSIcocGxt3WZGl46mJ2tc80mANPvP_YzaP18/edit"",""3!e37""))"),0)</f>
        <v>0</v>
      </c>
      <c r="I70" s="18">
        <f t="shared" ca="1" si="162"/>
        <v>1344</v>
      </c>
      <c r="J70" s="18">
        <f ca="1">IFERROR(__xludf.DUMMYFUNCTION("IMPORTRANGE(""https://docs.google.com/spreadsheets/d/1wMeol_MpSIcocGxt3WZGl46mJ2tc80mANPvP_YzaP18/edit"",""3!e40"")"),1623)</f>
        <v>1623</v>
      </c>
      <c r="K70" s="18">
        <f ca="1">IFERROR(__xludf.DUMMYFUNCTION("IMPORTRANGE(""https://docs.google.com/spreadsheets/d/1wMeol_MpSIcocGxt3WZGl46mJ2tc80mANPvP_YzaP18/edit"",""3!e41"")"),73)</f>
        <v>73</v>
      </c>
      <c r="L70" s="18">
        <f t="shared" ca="1" si="192"/>
        <v>1696</v>
      </c>
      <c r="M70" s="18">
        <f t="shared" ca="1" si="164"/>
        <v>3040</v>
      </c>
      <c r="N70" s="19">
        <f t="shared" ca="1" si="165"/>
        <v>184.22842857142857</v>
      </c>
      <c r="O70" s="16">
        <v>3569</v>
      </c>
      <c r="P70" s="20">
        <f t="shared" ca="1" si="166"/>
        <v>0.85177920986270661</v>
      </c>
      <c r="Q70" s="21">
        <v>1.5</v>
      </c>
      <c r="R70" s="20">
        <f t="shared" ca="1" si="167"/>
        <v>0.39288698786728798</v>
      </c>
      <c r="S70" s="22">
        <f t="shared" ca="1" si="168"/>
        <v>0.58933048180093195</v>
      </c>
      <c r="T70" s="21">
        <f ca="1">F70/21.463</f>
        <v>240.33900200344777</v>
      </c>
      <c r="U70" s="21">
        <f t="shared" ca="1" si="169"/>
        <v>8.5835357858374213</v>
      </c>
      <c r="V70" s="18">
        <f t="shared" ca="1" si="170"/>
        <v>108.57142857142857</v>
      </c>
      <c r="W70" s="76"/>
      <c r="X70" s="8">
        <v>5</v>
      </c>
      <c r="Y70" s="8" t="s">
        <v>40</v>
      </c>
      <c r="Z70" s="8">
        <f t="shared" ref="Z70:AI70" si="197">SUM(D74)</f>
        <v>30</v>
      </c>
      <c r="AA70" s="9">
        <f t="shared" ca="1" si="197"/>
        <v>30</v>
      </c>
      <c r="AB70" s="10">
        <f t="shared" ca="1" si="197"/>
        <v>5944.5869999999904</v>
      </c>
      <c r="AC70" s="9">
        <f t="shared" ca="1" si="197"/>
        <v>3145</v>
      </c>
      <c r="AD70" s="9">
        <f t="shared" ca="1" si="197"/>
        <v>0</v>
      </c>
      <c r="AE70" s="9">
        <f t="shared" ca="1" si="197"/>
        <v>3145</v>
      </c>
      <c r="AF70" s="9">
        <f t="shared" ca="1" si="197"/>
        <v>4341</v>
      </c>
      <c r="AG70" s="9">
        <f t="shared" ca="1" si="197"/>
        <v>25</v>
      </c>
      <c r="AH70" s="9">
        <f t="shared" ca="1" si="197"/>
        <v>4366</v>
      </c>
      <c r="AI70" s="9">
        <f t="shared" ca="1" si="197"/>
        <v>7511</v>
      </c>
      <c r="AJ70" s="11">
        <f t="shared" ca="1" si="182"/>
        <v>198.15289999999968</v>
      </c>
      <c r="AK70" s="8">
        <f t="shared" ref="AK70:AK71" si="198">SUM(O74)</f>
        <v>8239</v>
      </c>
      <c r="AL70" s="12">
        <f t="shared" ca="1" si="184"/>
        <v>0.91163976210705178</v>
      </c>
      <c r="AM70" s="13">
        <f t="shared" ref="AM70:AM71" si="199">SUM(Q74)</f>
        <v>1.5</v>
      </c>
      <c r="AN70" s="12">
        <f t="shared" ca="1" si="186"/>
        <v>0.84233493989293817</v>
      </c>
      <c r="AO70" s="14">
        <f t="shared" ca="1" si="187"/>
        <v>1.2635024098394072</v>
      </c>
      <c r="AP70" s="13">
        <f t="shared" ref="AP70:AQ70" ca="1" si="200">SUM(T74)</f>
        <v>208.99999999999966</v>
      </c>
      <c r="AQ70" s="13">
        <f t="shared" ca="1" si="200"/>
        <v>6.9666666666666552</v>
      </c>
      <c r="AR70" s="9">
        <f t="shared" ca="1" si="189"/>
        <v>250.36666666666667</v>
      </c>
      <c r="AS70" s="76"/>
      <c r="AT70" s="76"/>
    </row>
    <row r="71" spans="1:46" ht="15.75" customHeight="1" x14ac:dyDescent="0.25">
      <c r="A71" s="70"/>
      <c r="B71" s="16">
        <v>12</v>
      </c>
      <c r="C71" s="16" t="s">
        <v>41</v>
      </c>
      <c r="D71" s="17">
        <v>24</v>
      </c>
      <c r="E71" s="18">
        <f ca="1">IFERROR(__xludf.DUMMYFUNCTION("COUNT(IMPORTRANGE(""https://docs.google.com/spreadsheets/d/1sHk6_yuc4kORC_xnhEeazoemV_hVUQVqRpfoNae-PLk/edit"",""3!d2:d25""))"),24)</f>
        <v>24</v>
      </c>
      <c r="F71" s="23">
        <f ca="1">IFERROR(__xludf.DUMMYFUNCTION("SUM(IMPORTRANGE(""https://docs.google.com/spreadsheets/d/1sHk6_yuc4kORC_xnhEeazoemV_hVUQVqRpfoNae-PLk/edit"",""3!Q2:Q25""))"),4615.384)</f>
        <v>4615.384</v>
      </c>
      <c r="G71" s="18">
        <f ca="1">IFERROR(__xludf.DUMMYFUNCTION("IMPORTRANGE(""https://docs.google.com/spreadsheets/d/1sHk6_yuc4kORC_xnhEeazoemV_hVUQVqRpfoNae-PLk/edit"",""3!e32"")"),1410)</f>
        <v>1410</v>
      </c>
      <c r="H71" s="18">
        <f ca="1">IFERROR(__xludf.DUMMYFUNCTION("IMPORTRANGE(""https://docs.google.com/spreadsheets/d/1sHk6_yuc4kORC_xnhEeazoemV_hVUQVqRpfoNae-PLk/edit"",""3!e33"")"),0)</f>
        <v>0</v>
      </c>
      <c r="I71" s="18">
        <f t="shared" ca="1" si="162"/>
        <v>1410</v>
      </c>
      <c r="J71" s="18">
        <f ca="1">IFERROR(__xludf.DUMMYFUNCTION("IMPORTRANGE(""https://docs.google.com/spreadsheets/d/1sHk6_yuc4kORC_xnhEeazoemV_hVUQVqRpfoNae-PLk/edit"",""3!e36"")"),1622)</f>
        <v>1622</v>
      </c>
      <c r="K71" s="18">
        <f ca="1">IFERROR(__xludf.DUMMYFUNCTION("IMPORTRANGE(""https://docs.google.com/spreadsheets/d/1sHk6_yuc4kORC_xnhEeazoemV_hVUQVqRpfoNae-PLk/edit"",""3!e37"")"),0)</f>
        <v>0</v>
      </c>
      <c r="L71" s="18">
        <f t="shared" ca="1" si="192"/>
        <v>1622</v>
      </c>
      <c r="M71" s="18">
        <f t="shared" ca="1" si="164"/>
        <v>3032</v>
      </c>
      <c r="N71" s="19">
        <f t="shared" ca="1" si="165"/>
        <v>192.30766666666668</v>
      </c>
      <c r="O71" s="16">
        <v>3801</v>
      </c>
      <c r="P71" s="20">
        <f t="shared" ca="1" si="166"/>
        <v>0.79768481978426731</v>
      </c>
      <c r="Q71" s="21">
        <v>1.5</v>
      </c>
      <c r="R71" s="20">
        <f t="shared" ca="1" si="167"/>
        <v>0.43795561394963745</v>
      </c>
      <c r="S71" s="22">
        <f t="shared" ca="1" si="168"/>
        <v>0.65693342092445617</v>
      </c>
      <c r="T71" s="21">
        <f ca="1">F71/29.628</f>
        <v>155.77777777777777</v>
      </c>
      <c r="U71" s="21">
        <f t="shared" ca="1" si="169"/>
        <v>6.4907407407407405</v>
      </c>
      <c r="V71" s="18">
        <f t="shared" ca="1" si="170"/>
        <v>126.33333333333333</v>
      </c>
      <c r="W71" s="76"/>
      <c r="X71" s="8">
        <v>6</v>
      </c>
      <c r="Y71" s="8" t="s">
        <v>42</v>
      </c>
      <c r="Z71" s="8">
        <f t="shared" ref="Z71:AI71" si="201">SUM(D75)</f>
        <v>33</v>
      </c>
      <c r="AA71" s="9">
        <f t="shared" ca="1" si="201"/>
        <v>33</v>
      </c>
      <c r="AB71" s="10">
        <f t="shared" ca="1" si="201"/>
        <v>6587.9839999999904</v>
      </c>
      <c r="AC71" s="9">
        <f t="shared" ca="1" si="201"/>
        <v>3029</v>
      </c>
      <c r="AD71" s="9">
        <f t="shared" ca="1" si="201"/>
        <v>104</v>
      </c>
      <c r="AE71" s="9">
        <f t="shared" ca="1" si="201"/>
        <v>3133</v>
      </c>
      <c r="AF71" s="9">
        <f t="shared" ca="1" si="201"/>
        <v>4505</v>
      </c>
      <c r="AG71" s="9">
        <f t="shared" ca="1" si="201"/>
        <v>257</v>
      </c>
      <c r="AH71" s="9">
        <f t="shared" ca="1" si="201"/>
        <v>4762</v>
      </c>
      <c r="AI71" s="9">
        <f t="shared" ca="1" si="201"/>
        <v>7895</v>
      </c>
      <c r="AJ71" s="11">
        <f t="shared" ca="1" si="182"/>
        <v>199.63587878787848</v>
      </c>
      <c r="AK71" s="8">
        <f t="shared" si="198"/>
        <v>9877</v>
      </c>
      <c r="AL71" s="12">
        <f t="shared" ca="1" si="184"/>
        <v>0.79933178090513313</v>
      </c>
      <c r="AM71" s="13">
        <f t="shared" si="199"/>
        <v>1.5</v>
      </c>
      <c r="AN71" s="12">
        <f t="shared" ca="1" si="186"/>
        <v>0.79892928296931831</v>
      </c>
      <c r="AO71" s="14">
        <f t="shared" ca="1" si="187"/>
        <v>1.1983939244539774</v>
      </c>
      <c r="AP71" s="13">
        <f t="shared" ref="AP71:AQ71" ca="1" si="202">SUM(T75)</f>
        <v>251.88239342381917</v>
      </c>
      <c r="AQ71" s="13">
        <f t="shared" ca="1" si="202"/>
        <v>7.6327998007217932</v>
      </c>
      <c r="AR71" s="9">
        <f t="shared" ca="1" si="189"/>
        <v>239.24242424242425</v>
      </c>
      <c r="AS71" s="76"/>
      <c r="AT71" s="76"/>
    </row>
    <row r="72" spans="1:46" ht="15.75" customHeight="1" x14ac:dyDescent="0.25">
      <c r="A72" s="70"/>
      <c r="B72" s="16">
        <v>13</v>
      </c>
      <c r="C72" s="16" t="s">
        <v>43</v>
      </c>
      <c r="D72" s="17">
        <v>30</v>
      </c>
      <c r="E72" s="18">
        <f ca="1">IFERROR(__xludf.DUMMYFUNCTION("COUNT(IMPORTRANGE(""https://docs.google.com/spreadsheets/d/1uGXvAN2jA6kmcEHUY4KqOHHewllZsujDdA6KVDfBCoA/edit"",""3!d2:d31""))"),30)</f>
        <v>30</v>
      </c>
      <c r="F72" s="23">
        <f ca="1">IFERROR(__xludf.DUMMYFUNCTION("SUM(IMPORTRANGE(""https://docs.google.com/spreadsheets/d/1uGXvAN2jA6kmcEHUY4KqOHHewllZsujDdA6KVDfBCoA/edit"",""3!Q2:Q31""))"),6057.135)</f>
        <v>6057.1350000000002</v>
      </c>
      <c r="G72" s="18">
        <f ca="1">IFERROR(__xludf.DUMMYFUNCTION("IMPORTRANGE(""https://docs.google.com/spreadsheets/d/1uGXvAN2jA6kmcEHUY4KqOHHewllZsujDdA6KVDfBCoA/edit"",""3!e38"")"),2252)</f>
        <v>2252</v>
      </c>
      <c r="H72" s="18">
        <f ca="1">IFERROR(__xludf.DUMMYFUNCTION("IMPORTRANGE(""https://docs.google.com/spreadsheets/d/1uGXvAN2jA6kmcEHUY4KqOHHewllZsujDdA6KVDfBCoA/edit"",""3!e39"")"),0)</f>
        <v>0</v>
      </c>
      <c r="I72" s="18">
        <f t="shared" ca="1" si="162"/>
        <v>2252</v>
      </c>
      <c r="J72" s="18">
        <f ca="1">IFERROR(__xludf.DUMMYFUNCTION("IMPORTRANGE(""https://docs.google.com/spreadsheets/d/1uGXvAN2jA6kmcEHUY4KqOHHewllZsujDdA6KVDfBCoA/edit"",""3!e42"")"),2532)</f>
        <v>2532</v>
      </c>
      <c r="K72" s="18">
        <f ca="1">IFERROR(__xludf.DUMMYFUNCTION("IMPORTRANGE(""https://docs.google.com/spreadsheets/d/1uGXvAN2jA6kmcEHUY4KqOHHewllZsujDdA6KVDfBCoA/edit"",""3!e43"")"),106)</f>
        <v>106</v>
      </c>
      <c r="L72" s="18">
        <f t="shared" ca="1" si="192"/>
        <v>2638</v>
      </c>
      <c r="M72" s="18">
        <f t="shared" ca="1" si="164"/>
        <v>4890</v>
      </c>
      <c r="N72" s="19">
        <f t="shared" ca="1" si="165"/>
        <v>201.90450000000001</v>
      </c>
      <c r="O72" s="16">
        <v>8345</v>
      </c>
      <c r="P72" s="20">
        <f t="shared" ca="1" si="166"/>
        <v>0.5859796285200719</v>
      </c>
      <c r="Q72" s="21">
        <v>1.5</v>
      </c>
      <c r="R72" s="20">
        <f t="shared" ca="1" si="167"/>
        <v>0.53820824531729927</v>
      </c>
      <c r="S72" s="22">
        <f t="shared" ca="1" si="168"/>
        <v>0.80731236797594896</v>
      </c>
      <c r="T72" s="21">
        <f ca="1">F72/41.205</f>
        <v>147</v>
      </c>
      <c r="U72" s="21">
        <f t="shared" ca="1" si="169"/>
        <v>4.9000000000000004</v>
      </c>
      <c r="V72" s="18">
        <f t="shared" ca="1" si="170"/>
        <v>163</v>
      </c>
      <c r="W72" s="76"/>
      <c r="X72" s="24" t="s">
        <v>33</v>
      </c>
      <c r="Y72" s="24">
        <v>6</v>
      </c>
      <c r="Z72" s="24">
        <f t="shared" ref="Z72:AI72" si="203">SUM(Z66:Z71)</f>
        <v>226</v>
      </c>
      <c r="AA72" s="25">
        <f t="shared" ca="1" si="203"/>
        <v>224</v>
      </c>
      <c r="AB72" s="27">
        <f t="shared" ca="1" si="203"/>
        <v>43735.406999999868</v>
      </c>
      <c r="AC72" s="25">
        <f t="shared" ca="1" si="203"/>
        <v>17845</v>
      </c>
      <c r="AD72" s="25">
        <f t="shared" ca="1" si="203"/>
        <v>244</v>
      </c>
      <c r="AE72" s="25">
        <f t="shared" ca="1" si="203"/>
        <v>18089</v>
      </c>
      <c r="AF72" s="25">
        <f t="shared" ca="1" si="203"/>
        <v>22630</v>
      </c>
      <c r="AG72" s="25">
        <f t="shared" ca="1" si="203"/>
        <v>681</v>
      </c>
      <c r="AH72" s="25">
        <f t="shared" ca="1" si="203"/>
        <v>23311</v>
      </c>
      <c r="AI72" s="25">
        <f t="shared" ca="1" si="203"/>
        <v>41400</v>
      </c>
      <c r="AJ72" s="27">
        <f t="shared" ca="1" si="182"/>
        <v>195.24735267857085</v>
      </c>
      <c r="AK72" s="24">
        <f>SUM(AK66:AK71)</f>
        <v>53273</v>
      </c>
      <c r="AL72" s="28">
        <f t="shared" ca="1" si="184"/>
        <v>0.77712912732528672</v>
      </c>
      <c r="AM72" s="29">
        <v>1.5</v>
      </c>
      <c r="AN72" s="28">
        <f t="shared" ca="1" si="186"/>
        <v>0.63106763817243283</v>
      </c>
      <c r="AO72" s="30">
        <f t="shared" ca="1" si="187"/>
        <v>0.94660145725864919</v>
      </c>
      <c r="AP72" s="29">
        <f ca="1">SUM(AP66:AP71)</f>
        <v>1439.1278768602676</v>
      </c>
      <c r="AQ72" s="29">
        <f ca="1">AP72/AA72</f>
        <v>6.4246780216976234</v>
      </c>
      <c r="AR72" s="25">
        <f t="shared" ca="1" si="189"/>
        <v>184.82142857142858</v>
      </c>
      <c r="AS72" s="76"/>
      <c r="AT72" s="76"/>
    </row>
    <row r="73" spans="1:46" ht="15.75" customHeight="1" x14ac:dyDescent="0.25">
      <c r="A73" s="70"/>
      <c r="B73" s="16">
        <v>14</v>
      </c>
      <c r="C73" s="16" t="s">
        <v>27</v>
      </c>
      <c r="D73" s="17">
        <v>30</v>
      </c>
      <c r="E73" s="18">
        <f ca="1">IFERROR(__xludf.DUMMYFUNCTION("COUNT(IMPORTRANGE(""https://docs.google.com/spreadsheets/d/1iYtf3wkjJIgOL8ej0-L89wY8FLXKi6EiRbi9UqA1Bzw/edit"",""3!d2:d31""))"),29)</f>
        <v>29</v>
      </c>
      <c r="F73" s="23">
        <f ca="1">IFERROR(__xludf.DUMMYFUNCTION("SUM(IMPORTRANGE(""https://docs.google.com/spreadsheets/d/1iYtf3wkjJIgOL8ej0-L89wY8FLXKi6EiRbi9UqA1Bzw/edit"",""3!Q2:Q31""))"),5265.91)</f>
        <v>5265.91</v>
      </c>
      <c r="G73" s="18">
        <f ca="1">IFERROR(__xludf.DUMMYFUNCTION("IMPORTRANGE(""https://docs.google.com/spreadsheets/d/1iYtf3wkjJIgOL8ej0-L89wY8FLXKi6EiRbi9UqA1Bzw/edit"",""3!e38"")"),2086)</f>
        <v>2086</v>
      </c>
      <c r="H73" s="18">
        <f ca="1">IFERROR(__xludf.DUMMYFUNCTION("IMPORTRANGE(""https://docs.google.com/spreadsheets/d/1iYtf3wkjJIgOL8ej0-L89wY8FLXKi6EiRbi9UqA1Bzw/edit"",""3!e39"")"),80)</f>
        <v>80</v>
      </c>
      <c r="I73" s="18">
        <f t="shared" ca="1" si="162"/>
        <v>2166</v>
      </c>
      <c r="J73" s="18">
        <f ca="1">IFERROR(__xludf.DUMMYFUNCTION("IMPORTRANGE(""https://docs.google.com/spreadsheets/d/1iYtf3wkjJIgOL8ej0-L89wY8FLXKi6EiRbi9UqA1Bzw/edit"",""3!e42"")"),3135)</f>
        <v>3135</v>
      </c>
      <c r="K73" s="18">
        <f ca="1">IFERROR(__xludf.DUMMYFUNCTION("IMPORTRANGE(""https://docs.google.com/spreadsheets/d/1iYtf3wkjJIgOL8ej0-L89wY8FLXKi6EiRbi9UqA1Bzw/edit"",""3!e43"")"),99)</f>
        <v>99</v>
      </c>
      <c r="L73" s="18">
        <f t="shared" ca="1" si="192"/>
        <v>3234</v>
      </c>
      <c r="M73" s="18">
        <f t="shared" ca="1" si="164"/>
        <v>5400</v>
      </c>
      <c r="N73" s="19">
        <f t="shared" ca="1" si="165"/>
        <v>181.58310344827586</v>
      </c>
      <c r="O73" s="16">
        <v>8101</v>
      </c>
      <c r="P73" s="20">
        <f t="shared" ca="1" si="166"/>
        <v>0.66658437229971612</v>
      </c>
      <c r="Q73" s="21">
        <v>1.5</v>
      </c>
      <c r="R73" s="20">
        <f t="shared" ca="1" si="167"/>
        <v>0.68364252332455366</v>
      </c>
      <c r="S73" s="22">
        <f t="shared" ca="1" si="168"/>
        <v>1.0254637849868304</v>
      </c>
      <c r="T73" s="21">
        <f ca="1">F73/19.985</f>
        <v>263.49311983987991</v>
      </c>
      <c r="U73" s="21">
        <f t="shared" ca="1" si="169"/>
        <v>9.085969649651032</v>
      </c>
      <c r="V73" s="18">
        <f t="shared" ca="1" si="170"/>
        <v>186.20689655172413</v>
      </c>
      <c r="W73" s="76"/>
      <c r="X73" s="97" t="s">
        <v>44</v>
      </c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9"/>
      <c r="AS73" s="76"/>
      <c r="AT73" s="76"/>
    </row>
    <row r="74" spans="1:46" ht="15.75" customHeight="1" x14ac:dyDescent="0.25">
      <c r="A74" s="70"/>
      <c r="B74" s="16">
        <v>15</v>
      </c>
      <c r="C74" s="16" t="s">
        <v>40</v>
      </c>
      <c r="D74" s="17">
        <v>30</v>
      </c>
      <c r="E74" s="18">
        <f ca="1">IFERROR(__xludf.DUMMYFUNCTION("COUNT(IMPORTRANGE(""https://docs.google.com/spreadsheets/d/1Wdf8MsoDBzMSsrzOXwaGQzbVjVqOWfKSqYmbncevZgA/edit"",""3!d2:d31""))"),30)</f>
        <v>30</v>
      </c>
      <c r="F74" s="23">
        <f ca="1">IFERROR(__xludf.DUMMYFUNCTION("SUM(IMPORTRANGE(""https://docs.google.com/spreadsheets/d/1Wdf8MsoDBzMSsrzOXwaGQzbVjVqOWfKSqYmbncevZgA/edit"",""3!Q2:Q31""))"),5944.58699999999)</f>
        <v>5944.5869999999904</v>
      </c>
      <c r="G74" s="18">
        <f ca="1">IFERROR(__xludf.DUMMYFUNCTION("IMPORTRANGE(""https://docs.google.com/spreadsheets/d/1Wdf8MsoDBzMSsrzOXwaGQzbVjVqOWfKSqYmbncevZgA/edit"",""3!e38"")"),3145)</f>
        <v>3145</v>
      </c>
      <c r="H74" s="18">
        <f ca="1">IFERROR(__xludf.DUMMYFUNCTION("IMPORTRANGE(""https://docs.google.com/spreadsheets/d/1Wdf8MsoDBzMSsrzOXwaGQzbVjVqOWfKSqYmbncevZgA/edit"",""3!e39"")"),0)</f>
        <v>0</v>
      </c>
      <c r="I74" s="18">
        <f t="shared" ca="1" si="162"/>
        <v>3145</v>
      </c>
      <c r="J74" s="18">
        <f ca="1">IFERROR(__xludf.DUMMYFUNCTION("IMPORTRANGE(""https://docs.google.com/spreadsheets/d/1Wdf8MsoDBzMSsrzOXwaGQzbVjVqOWfKSqYmbncevZgA/edit"",""3!e42"")"),4341)</f>
        <v>4341</v>
      </c>
      <c r="K74" s="18">
        <f ca="1">IFERROR(__xludf.DUMMYFUNCTION("IMPORTRANGE(""https://docs.google.com/spreadsheets/d/1Wdf8MsoDBzMSsrzOXwaGQzbVjVqOWfKSqYmbncevZgA/edit"",""3!e43"")"),25)</f>
        <v>25</v>
      </c>
      <c r="L74" s="18">
        <f t="shared" ca="1" si="192"/>
        <v>4366</v>
      </c>
      <c r="M74" s="18">
        <f t="shared" ca="1" si="164"/>
        <v>7511</v>
      </c>
      <c r="N74" s="19">
        <f t="shared" ca="1" si="165"/>
        <v>198.15289999999968</v>
      </c>
      <c r="O74" s="16">
        <v>8239</v>
      </c>
      <c r="P74" s="20">
        <f t="shared" ca="1" si="166"/>
        <v>0.91163976210705178</v>
      </c>
      <c r="Q74" s="21">
        <v>1.5</v>
      </c>
      <c r="R74" s="20">
        <f t="shared" ca="1" si="167"/>
        <v>0.84233493989293817</v>
      </c>
      <c r="S74" s="22">
        <f t="shared" ca="1" si="168"/>
        <v>1.2635024098394072</v>
      </c>
      <c r="T74" s="21">
        <f ca="1">F74/28.443</f>
        <v>208.99999999999966</v>
      </c>
      <c r="U74" s="21">
        <f t="shared" ca="1" si="169"/>
        <v>6.9666666666666552</v>
      </c>
      <c r="V74" s="18">
        <f t="shared" ca="1" si="170"/>
        <v>250.36666666666667</v>
      </c>
      <c r="W74" s="76"/>
      <c r="X74" s="1" t="s">
        <v>2</v>
      </c>
      <c r="Y74" s="1" t="s">
        <v>3</v>
      </c>
      <c r="Z74" s="1" t="s">
        <v>4</v>
      </c>
      <c r="AA74" s="1" t="s">
        <v>5</v>
      </c>
      <c r="AB74" s="2" t="s">
        <v>6</v>
      </c>
      <c r="AC74" s="1" t="s">
        <v>7</v>
      </c>
      <c r="AD74" s="1" t="s">
        <v>8</v>
      </c>
      <c r="AE74" s="1" t="s">
        <v>9</v>
      </c>
      <c r="AF74" s="1" t="s">
        <v>10</v>
      </c>
      <c r="AG74" s="1" t="s">
        <v>11</v>
      </c>
      <c r="AH74" s="1" t="s">
        <v>12</v>
      </c>
      <c r="AI74" s="1" t="s">
        <v>13</v>
      </c>
      <c r="AJ74" s="2" t="s">
        <v>14</v>
      </c>
      <c r="AK74" s="1" t="s">
        <v>15</v>
      </c>
      <c r="AL74" s="1" t="s">
        <v>16</v>
      </c>
      <c r="AM74" s="3" t="s">
        <v>17</v>
      </c>
      <c r="AN74" s="4" t="s">
        <v>18</v>
      </c>
      <c r="AO74" s="5" t="s">
        <v>19</v>
      </c>
      <c r="AP74" s="6" t="s">
        <v>20</v>
      </c>
      <c r="AQ74" s="6" t="s">
        <v>21</v>
      </c>
      <c r="AR74" s="7" t="s">
        <v>22</v>
      </c>
      <c r="AS74" s="76"/>
      <c r="AT74" s="76"/>
    </row>
    <row r="75" spans="1:46" ht="15.75" customHeight="1" x14ac:dyDescent="0.25">
      <c r="A75" s="70"/>
      <c r="B75" s="16">
        <v>16</v>
      </c>
      <c r="C75" s="16" t="s">
        <v>42</v>
      </c>
      <c r="D75" s="17">
        <v>33</v>
      </c>
      <c r="E75" s="18">
        <f ca="1">IFERROR(__xludf.DUMMYFUNCTION("COUNT(IMPORTRANGE(""https://docs.google.com/spreadsheets/d/1Z5uB5HbeAKcHmG4EOw3rf2J8NpyvDiha6RReERAMvA0/edit"",""3!d2:d34""))"),33)</f>
        <v>33</v>
      </c>
      <c r="F75" s="23">
        <f ca="1">IFERROR(__xludf.DUMMYFUNCTION("SUM(IMPORTRANGE(""https://docs.google.com/spreadsheets/d/1Z5uB5HbeAKcHmG4EOw3rf2J8NpyvDiha6RReERAMvA0/edit"",""3!Q2:Q34""))"),6587.98399999999)</f>
        <v>6587.9839999999904</v>
      </c>
      <c r="G75" s="18">
        <f ca="1">IFERROR(__xludf.DUMMYFUNCTION("IMPORTRANGE(""https://docs.google.com/spreadsheets/d/1Z5uB5HbeAKcHmG4EOw3rf2J8NpyvDiha6RReERAMvA0/edit"",""3!e41"")"),3029)</f>
        <v>3029</v>
      </c>
      <c r="H75" s="18">
        <f ca="1">IFERROR(__xludf.DUMMYFUNCTION("IMPORTRANGE(""https://docs.google.com/spreadsheets/d/1Z5uB5HbeAKcHmG4EOw3rf2J8NpyvDiha6RReERAMvA0/edit"",""3!e42"")"),104)</f>
        <v>104</v>
      </c>
      <c r="I75" s="18">
        <f t="shared" ca="1" si="162"/>
        <v>3133</v>
      </c>
      <c r="J75" s="18">
        <f ca="1">IFERROR(__xludf.DUMMYFUNCTION("IMPORTRANGE(""https://docs.google.com/spreadsheets/d/1Z5uB5HbeAKcHmG4EOw3rf2J8NpyvDiha6RReERAMvA0/edit"",""3!e45"")"),4505)</f>
        <v>4505</v>
      </c>
      <c r="K75" s="18">
        <f ca="1">IFERROR(__xludf.DUMMYFUNCTION("IMPORTRANGE(""https://docs.google.com/spreadsheets/d/1Z5uB5HbeAKcHmG4EOw3rf2J8NpyvDiha6RReERAMvA0/edit"",""3!e46"")"),257)</f>
        <v>257</v>
      </c>
      <c r="L75" s="18">
        <f t="shared" ca="1" si="192"/>
        <v>4762</v>
      </c>
      <c r="M75" s="18">
        <f t="shared" ca="1" si="164"/>
        <v>7895</v>
      </c>
      <c r="N75" s="19">
        <f t="shared" ca="1" si="165"/>
        <v>199.63587878787848</v>
      </c>
      <c r="O75" s="16">
        <v>9877</v>
      </c>
      <c r="P75" s="20">
        <f t="shared" ca="1" si="166"/>
        <v>0.79933178090513313</v>
      </c>
      <c r="Q75" s="21">
        <v>1.5</v>
      </c>
      <c r="R75" s="20">
        <f t="shared" ca="1" si="167"/>
        <v>0.79892928296931831</v>
      </c>
      <c r="S75" s="22">
        <f t="shared" ca="1" si="168"/>
        <v>1.1983939244539774</v>
      </c>
      <c r="T75" s="21">
        <f ca="1">F75/26.155</f>
        <v>251.88239342381917</v>
      </c>
      <c r="U75" s="21">
        <f t="shared" ca="1" si="169"/>
        <v>7.6327998007217932</v>
      </c>
      <c r="V75" s="18">
        <f t="shared" ca="1" si="170"/>
        <v>239.24242424242425</v>
      </c>
      <c r="W75" s="76"/>
      <c r="X75" s="8">
        <v>1</v>
      </c>
      <c r="Y75" s="8" t="s">
        <v>26</v>
      </c>
      <c r="Z75" s="8">
        <f t="shared" ref="Z75:AI75" si="204">SUM(D60)</f>
        <v>20</v>
      </c>
      <c r="AA75" s="9">
        <f t="shared" ca="1" si="204"/>
        <v>20</v>
      </c>
      <c r="AB75" s="11">
        <f t="shared" ca="1" si="204"/>
        <v>3993.567</v>
      </c>
      <c r="AC75" s="9">
        <f t="shared" ca="1" si="204"/>
        <v>2441</v>
      </c>
      <c r="AD75" s="9">
        <f t="shared" ca="1" si="204"/>
        <v>20</v>
      </c>
      <c r="AE75" s="9">
        <f t="shared" ca="1" si="204"/>
        <v>2461</v>
      </c>
      <c r="AF75" s="9">
        <f t="shared" ca="1" si="204"/>
        <v>2544</v>
      </c>
      <c r="AG75" s="9">
        <f t="shared" ca="1" si="204"/>
        <v>220</v>
      </c>
      <c r="AH75" s="9">
        <f t="shared" ca="1" si="204"/>
        <v>2764</v>
      </c>
      <c r="AI75" s="9">
        <f t="shared" ca="1" si="204"/>
        <v>5225</v>
      </c>
      <c r="AJ75" s="11">
        <f t="shared" ref="AJ75:AJ81" ca="1" si="205">AB75/AA75</f>
        <v>199.67834999999999</v>
      </c>
      <c r="AK75" s="8">
        <f>SUM(O60)</f>
        <v>5161</v>
      </c>
      <c r="AL75" s="15">
        <f t="shared" ref="AL75:AL81" ca="1" si="206">AI75/AK75</f>
        <v>1.0124006975392366</v>
      </c>
      <c r="AM75" s="13">
        <f>SUM(Q60)</f>
        <v>1.5</v>
      </c>
      <c r="AN75" s="12">
        <f t="shared" ref="AN75:AN81" ca="1" si="207">AO75/AM75</f>
        <v>0.87223610705250054</v>
      </c>
      <c r="AO75" s="14">
        <f t="shared" ref="AO75:AO81" ca="1" si="208">AI75/AB75</f>
        <v>1.3083541605787508</v>
      </c>
      <c r="AP75" s="13">
        <f t="shared" ref="AP75:AQ75" ca="1" si="209">SUM(T60)</f>
        <v>277.04245577523415</v>
      </c>
      <c r="AQ75" s="13">
        <f t="shared" ca="1" si="209"/>
        <v>13.852122788761708</v>
      </c>
      <c r="AR75" s="9">
        <f t="shared" ref="AR75:AR81" ca="1" si="210">AI75/AA75</f>
        <v>261.25</v>
      </c>
      <c r="AS75" s="76"/>
      <c r="AT75" s="76"/>
    </row>
    <row r="76" spans="1:46" ht="15.75" customHeight="1" x14ac:dyDescent="0.25">
      <c r="A76" s="70"/>
      <c r="B76" s="16">
        <v>17</v>
      </c>
      <c r="C76" s="16" t="s">
        <v>29</v>
      </c>
      <c r="D76" s="17">
        <v>30</v>
      </c>
      <c r="E76" s="18">
        <f ca="1">IFERROR(__xludf.DUMMYFUNCTION("COUNT(IMPORTRANGE(""https://docs.google.com/spreadsheets/d/1wfJqI0e9wVPqEQv3N6b8KgINjqI0OBECEyIFeY9j3i8/edit"",""3!d2:d31""))"),30)</f>
        <v>30</v>
      </c>
      <c r="F76" s="23">
        <f ca="1">IFERROR(__xludf.DUMMYFUNCTION("SUM(IMPORTRANGE(""https://docs.google.com/spreadsheets/d/1wfJqI0e9wVPqEQv3N6b8KgINjqI0OBECEyIFeY9j3i8/edit"",""3!Q2:Q31""))"),6172.40299999999)</f>
        <v>6172.4029999999902</v>
      </c>
      <c r="G76" s="18">
        <f ca="1">IFERROR(__xludf.DUMMYFUNCTION("IMPORTRANGE(""https://docs.google.com/spreadsheets/d/1wfJqI0e9wVPqEQv3N6b8KgINjqI0OBECEyIFeY9j3i8/edit"",""3!e38"")"),2776)</f>
        <v>2776</v>
      </c>
      <c r="H76" s="18">
        <f ca="1">IFERROR(__xludf.DUMMYFUNCTION("IMPORTRANGE(""https://docs.google.com/spreadsheets/d/1wfJqI0e9wVPqEQv3N6b8KgINjqI0OBECEyIFeY9j3i8/edit"",""3!e39"")"),0)</f>
        <v>0</v>
      </c>
      <c r="I76" s="18">
        <f t="shared" ca="1" si="162"/>
        <v>2776</v>
      </c>
      <c r="J76" s="18">
        <f ca="1">IFERROR(__xludf.DUMMYFUNCTION("IMPORTRANGE(""https://docs.google.com/spreadsheets/d/1wfJqI0e9wVPqEQv3N6b8KgINjqI0OBECEyIFeY9j3i8/edit"",""3!e42"")"),4306)</f>
        <v>4306</v>
      </c>
      <c r="K76" s="18">
        <f ca="1">IFERROR(__xludf.DUMMYFUNCTION("IMPORTRANGE(""https://docs.google.com/spreadsheets/d/1wfJqI0e9wVPqEQv3N6b8KgINjqI0OBECEyIFeY9j3i8/edit"",""3!e43"")"),0)</f>
        <v>0</v>
      </c>
      <c r="L76" s="18">
        <f t="shared" ca="1" si="192"/>
        <v>4306</v>
      </c>
      <c r="M76" s="18">
        <f t="shared" ca="1" si="164"/>
        <v>7082</v>
      </c>
      <c r="N76" s="19">
        <f t="shared" ca="1" si="165"/>
        <v>205.74676666666633</v>
      </c>
      <c r="O76" s="16">
        <v>9201</v>
      </c>
      <c r="P76" s="20">
        <f t="shared" ca="1" si="166"/>
        <v>0.76969894576676445</v>
      </c>
      <c r="Q76" s="21">
        <v>1.5</v>
      </c>
      <c r="R76" s="20">
        <f t="shared" ca="1" si="167"/>
        <v>0.76491008985209508</v>
      </c>
      <c r="S76" s="22">
        <f t="shared" ca="1" si="168"/>
        <v>1.1473651347781426</v>
      </c>
      <c r="T76" s="21">
        <f ca="1">F76/26.491</f>
        <v>232.99999999999963</v>
      </c>
      <c r="U76" s="21">
        <f t="shared" ca="1" si="169"/>
        <v>7.7666666666666542</v>
      </c>
      <c r="V76" s="18">
        <f t="shared" ca="1" si="170"/>
        <v>236.06666666666666</v>
      </c>
      <c r="W76" s="76"/>
      <c r="X76" s="8">
        <v>2</v>
      </c>
      <c r="Y76" s="8" t="s">
        <v>32</v>
      </c>
      <c r="Z76" s="8">
        <f t="shared" ref="Z76:AI76" si="211">SUM(D63)</f>
        <v>42</v>
      </c>
      <c r="AA76" s="9">
        <f t="shared" ca="1" si="211"/>
        <v>42</v>
      </c>
      <c r="AB76" s="10">
        <f t="shared" ca="1" si="211"/>
        <v>8204.1029999999901</v>
      </c>
      <c r="AC76" s="8">
        <f t="shared" ca="1" si="211"/>
        <v>4595</v>
      </c>
      <c r="AD76" s="8">
        <f t="shared" ca="1" si="211"/>
        <v>0</v>
      </c>
      <c r="AE76" s="9">
        <f t="shared" ca="1" si="211"/>
        <v>4595</v>
      </c>
      <c r="AF76" s="8">
        <f t="shared" ca="1" si="211"/>
        <v>5729</v>
      </c>
      <c r="AG76" s="8">
        <f t="shared" ca="1" si="211"/>
        <v>110</v>
      </c>
      <c r="AH76" s="9">
        <f t="shared" ca="1" si="211"/>
        <v>5839</v>
      </c>
      <c r="AI76" s="9">
        <f t="shared" ca="1" si="211"/>
        <v>10434</v>
      </c>
      <c r="AJ76" s="11">
        <f t="shared" ca="1" si="205"/>
        <v>195.33578571428546</v>
      </c>
      <c r="AK76" s="8">
        <f>SUM(O63)</f>
        <v>13817</v>
      </c>
      <c r="AL76" s="12">
        <f t="shared" ca="1" si="206"/>
        <v>0.75515669103278571</v>
      </c>
      <c r="AM76" s="13">
        <f>SUM(Q63)</f>
        <v>1.5</v>
      </c>
      <c r="AN76" s="12">
        <f t="shared" ca="1" si="207"/>
        <v>0.84786843851180427</v>
      </c>
      <c r="AO76" s="14">
        <f t="shared" ca="1" si="208"/>
        <v>1.2718026577677064</v>
      </c>
      <c r="AP76" s="13">
        <f t="shared" ref="AP76:AQ76" ca="1" si="212">SUM(T63)</f>
        <v>326.9999999999996</v>
      </c>
      <c r="AQ76" s="13">
        <f t="shared" ca="1" si="212"/>
        <v>7.7857142857142758</v>
      </c>
      <c r="AR76" s="9">
        <f t="shared" ca="1" si="210"/>
        <v>248.42857142857142</v>
      </c>
      <c r="AS76" s="76"/>
      <c r="AT76" s="76"/>
    </row>
    <row r="77" spans="1:46" ht="15.75" customHeight="1" x14ac:dyDescent="0.25">
      <c r="A77" s="70"/>
      <c r="B77" s="16">
        <v>18</v>
      </c>
      <c r="C77" s="16" t="s">
        <v>31</v>
      </c>
      <c r="D77" s="17">
        <v>15</v>
      </c>
      <c r="E77" s="18">
        <f ca="1">IFERROR(__xludf.DUMMYFUNCTION("COUNT(IMPORTRANGE(""https://docs.google.com/spreadsheets/d/1-y2KhTAo7d8kowgUuWUDfRQuRMUAFteRYEXorT3_wOs/edit"",""3!d2:d16""))"),14)</f>
        <v>14</v>
      </c>
      <c r="F77" s="19">
        <f ca="1">IFERROR(__xludf.DUMMYFUNCTION("SUM(IMPORTRANGE(""https://docs.google.com/spreadsheets/d/1-y2KhTAo7d8kowgUuWUDfRQuRMUAFteRYEXorT3_wOs/edit"",""3!Q2:Q16""))"),2825.225)</f>
        <v>2825.2249999999999</v>
      </c>
      <c r="G77" s="18">
        <f ca="1">IFERROR(__xludf.DUMMYFUNCTION("IMPORTRANGE(""https://docs.google.com/spreadsheets/d/1-y2KhTAo7d8kowgUuWUDfRQuRMUAFteRYEXorT3_wOs/edit"",""3!e23"")"),838)</f>
        <v>838</v>
      </c>
      <c r="H77" s="18">
        <f ca="1">IFERROR(__xludf.DUMMYFUNCTION("IMPORTRANGE(""https://docs.google.com/spreadsheets/d/1-y2KhTAo7d8kowgUuWUDfRQuRMUAFteRYEXorT3_wOs/edit"",""3!e24"")"),0)</f>
        <v>0</v>
      </c>
      <c r="I77" s="18">
        <f t="shared" ca="1" si="162"/>
        <v>838</v>
      </c>
      <c r="J77" s="18">
        <f ca="1">IFERROR(__xludf.DUMMYFUNCTION("IMPORTRANGE(""https://docs.google.com/spreadsheets/d/1-y2KhTAo7d8kowgUuWUDfRQuRMUAFteRYEXorT3_wOs/edit"",""3!e27"")"),1055)</f>
        <v>1055</v>
      </c>
      <c r="K77" s="18">
        <f ca="1">IFERROR(__xludf.DUMMYFUNCTION("IMPORTRANGE(""https://docs.google.com/spreadsheets/d/1-y2KhTAo7d8kowgUuWUDfRQuRMUAFteRYEXorT3_wOs/edit"",""3!e28"")"),14)</f>
        <v>14</v>
      </c>
      <c r="L77" s="18">
        <f t="shared" ca="1" si="192"/>
        <v>1069</v>
      </c>
      <c r="M77" s="18">
        <f t="shared" ca="1" si="164"/>
        <v>1907</v>
      </c>
      <c r="N77" s="19">
        <f t="shared" ca="1" si="165"/>
        <v>201.8017857142857</v>
      </c>
      <c r="O77" s="16">
        <v>2717</v>
      </c>
      <c r="P77" s="20">
        <f t="shared" ca="1" si="166"/>
        <v>0.70187707029812296</v>
      </c>
      <c r="Q77" s="21">
        <v>1.5</v>
      </c>
      <c r="R77" s="20">
        <f t="shared" ca="1" si="167"/>
        <v>0.44999365832219856</v>
      </c>
      <c r="S77" s="22">
        <f t="shared" ca="1" si="168"/>
        <v>0.67499048748329782</v>
      </c>
      <c r="T77" s="21">
        <f ca="1">F77/43.465</f>
        <v>64.999999999999986</v>
      </c>
      <c r="U77" s="21">
        <f t="shared" ca="1" si="169"/>
        <v>4.6428571428571415</v>
      </c>
      <c r="V77" s="18">
        <f t="shared" ca="1" si="170"/>
        <v>136.21428571428572</v>
      </c>
      <c r="W77" s="76"/>
      <c r="X77" s="8">
        <v>3</v>
      </c>
      <c r="Y77" s="8" t="s">
        <v>36</v>
      </c>
      <c r="Z77" s="8">
        <f t="shared" ref="Z77:AI77" si="213">SUM(D68)</f>
        <v>30</v>
      </c>
      <c r="AA77" s="9">
        <f t="shared" ca="1" si="213"/>
        <v>30</v>
      </c>
      <c r="AB77" s="10">
        <f t="shared" ca="1" si="213"/>
        <v>5794.3819999999996</v>
      </c>
      <c r="AC77" s="9">
        <f t="shared" ca="1" si="213"/>
        <v>1670</v>
      </c>
      <c r="AD77" s="9">
        <f t="shared" ca="1" si="213"/>
        <v>0</v>
      </c>
      <c r="AE77" s="9">
        <f t="shared" ca="1" si="213"/>
        <v>1670</v>
      </c>
      <c r="AF77" s="9">
        <f t="shared" ca="1" si="213"/>
        <v>2442</v>
      </c>
      <c r="AG77" s="9">
        <f t="shared" ca="1" si="213"/>
        <v>0</v>
      </c>
      <c r="AH77" s="9">
        <f t="shared" ca="1" si="213"/>
        <v>2442</v>
      </c>
      <c r="AI77" s="9">
        <f t="shared" ca="1" si="213"/>
        <v>4112</v>
      </c>
      <c r="AJ77" s="11">
        <f t="shared" ca="1" si="205"/>
        <v>193.14606666666666</v>
      </c>
      <c r="AK77" s="8">
        <f t="shared" ref="AK77:AK80" si="214">SUM(O68)</f>
        <v>4796</v>
      </c>
      <c r="AL77" s="12">
        <f t="shared" ca="1" si="206"/>
        <v>0.85738115095913259</v>
      </c>
      <c r="AM77" s="13">
        <f t="shared" ref="AM77:AM80" si="215">SUM(Q68)</f>
        <v>1.5</v>
      </c>
      <c r="AN77" s="12">
        <f t="shared" ca="1" si="207"/>
        <v>0.47310193448297566</v>
      </c>
      <c r="AO77" s="14">
        <f t="shared" ca="1" si="208"/>
        <v>0.70965290172446349</v>
      </c>
      <c r="AP77" s="13">
        <f t="shared" ref="AP77:AQ77" ca="1" si="216">SUM(T68)</f>
        <v>154.87202651413907</v>
      </c>
      <c r="AQ77" s="13">
        <f t="shared" ca="1" si="216"/>
        <v>5.1624008838046356</v>
      </c>
      <c r="AR77" s="9">
        <f t="shared" ca="1" si="210"/>
        <v>137.06666666666666</v>
      </c>
      <c r="AS77" s="76"/>
      <c r="AT77" s="76"/>
    </row>
    <row r="78" spans="1:46" ht="15.75" customHeight="1" x14ac:dyDescent="0.2">
      <c r="A78" s="70"/>
      <c r="B78" s="98" t="s">
        <v>33</v>
      </c>
      <c r="C78" s="98">
        <v>18</v>
      </c>
      <c r="D78" s="98">
        <f t="shared" ref="D78:M78" si="217">SUM(D60:D77)</f>
        <v>586</v>
      </c>
      <c r="E78" s="74">
        <f t="shared" ca="1" si="217"/>
        <v>580</v>
      </c>
      <c r="F78" s="99">
        <f t="shared" ca="1" si="217"/>
        <v>112340.77699999983</v>
      </c>
      <c r="G78" s="74">
        <f t="shared" ca="1" si="217"/>
        <v>42376</v>
      </c>
      <c r="H78" s="74">
        <f t="shared" ca="1" si="217"/>
        <v>796</v>
      </c>
      <c r="I78" s="74">
        <f t="shared" ca="1" si="217"/>
        <v>43172</v>
      </c>
      <c r="J78" s="74">
        <f t="shared" ca="1" si="217"/>
        <v>55404</v>
      </c>
      <c r="K78" s="74">
        <f t="shared" ca="1" si="217"/>
        <v>1542</v>
      </c>
      <c r="L78" s="74">
        <f t="shared" ca="1" si="217"/>
        <v>56946</v>
      </c>
      <c r="M78" s="74">
        <f t="shared" ca="1" si="217"/>
        <v>100118</v>
      </c>
      <c r="N78" s="99">
        <f t="shared" ca="1" si="165"/>
        <v>193.69099482758591</v>
      </c>
      <c r="O78" s="98">
        <f>SUM(O60:O77)</f>
        <v>126399</v>
      </c>
      <c r="P78" s="69">
        <f t="shared" ca="1" si="166"/>
        <v>0.7920790512583169</v>
      </c>
      <c r="Q78" s="72">
        <v>1.5</v>
      </c>
      <c r="R78" s="69">
        <f t="shared" ca="1" si="167"/>
        <v>0.59413273715681558</v>
      </c>
      <c r="S78" s="73">
        <f t="shared" ca="1" si="168"/>
        <v>0.89119910573522343</v>
      </c>
      <c r="T78" s="72">
        <f ca="1">SUM(T60:T77)</f>
        <v>4143.8511853677164</v>
      </c>
      <c r="U78" s="72">
        <f t="shared" ca="1" si="169"/>
        <v>7.1445710092546832</v>
      </c>
      <c r="V78" s="74">
        <f t="shared" ca="1" si="170"/>
        <v>172.61724137931034</v>
      </c>
      <c r="W78" s="76"/>
      <c r="X78" s="8">
        <v>4</v>
      </c>
      <c r="Y78" s="8" t="s">
        <v>37</v>
      </c>
      <c r="Z78" s="8">
        <f t="shared" ref="Z78:AI78" si="218">SUM(D69)</f>
        <v>30</v>
      </c>
      <c r="AA78" s="9">
        <f t="shared" ca="1" si="218"/>
        <v>29</v>
      </c>
      <c r="AB78" s="10">
        <f t="shared" ca="1" si="218"/>
        <v>5613.8519999999999</v>
      </c>
      <c r="AC78" s="9">
        <f t="shared" ca="1" si="218"/>
        <v>2252</v>
      </c>
      <c r="AD78" s="9">
        <f t="shared" ca="1" si="218"/>
        <v>0</v>
      </c>
      <c r="AE78" s="9">
        <f t="shared" ca="1" si="218"/>
        <v>2252</v>
      </c>
      <c r="AF78" s="9">
        <f t="shared" ca="1" si="218"/>
        <v>3036</v>
      </c>
      <c r="AG78" s="9">
        <f t="shared" ca="1" si="218"/>
        <v>0</v>
      </c>
      <c r="AH78" s="9">
        <f t="shared" ca="1" si="218"/>
        <v>3036</v>
      </c>
      <c r="AI78" s="9">
        <f t="shared" ca="1" si="218"/>
        <v>5288</v>
      </c>
      <c r="AJ78" s="11">
        <f t="shared" ca="1" si="205"/>
        <v>193.58110344827585</v>
      </c>
      <c r="AK78" s="8">
        <f t="shared" si="214"/>
        <v>5887</v>
      </c>
      <c r="AL78" s="12">
        <f t="shared" ca="1" si="206"/>
        <v>0.89825038219806352</v>
      </c>
      <c r="AM78" s="13">
        <f t="shared" si="215"/>
        <v>1.5</v>
      </c>
      <c r="AN78" s="12">
        <f t="shared" ca="1" si="207"/>
        <v>0.62797047968726882</v>
      </c>
      <c r="AO78" s="14">
        <f t="shared" ca="1" si="208"/>
        <v>0.94195571953090318</v>
      </c>
      <c r="AP78" s="13">
        <f t="shared" ref="AP78:AQ78" ca="1" si="219">SUM(T69)</f>
        <v>226.4380445304937</v>
      </c>
      <c r="AQ78" s="13">
        <f t="shared" ca="1" si="219"/>
        <v>7.8082084320859897</v>
      </c>
      <c r="AR78" s="9">
        <f t="shared" ca="1" si="210"/>
        <v>182.34482758620689</v>
      </c>
      <c r="AS78" s="76"/>
      <c r="AT78" s="76"/>
    </row>
    <row r="79" spans="1:46" ht="15.75" customHeight="1" x14ac:dyDescent="0.2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6"/>
      <c r="X79" s="8">
        <v>5</v>
      </c>
      <c r="Y79" s="8" t="s">
        <v>39</v>
      </c>
      <c r="Z79" s="8">
        <f t="shared" ref="Z79:AI79" si="220">SUM(D70)</f>
        <v>28</v>
      </c>
      <c r="AA79" s="9">
        <f t="shared" ca="1" si="220"/>
        <v>28</v>
      </c>
      <c r="AB79" s="10">
        <f t="shared" ca="1" si="220"/>
        <v>5158.3959999999997</v>
      </c>
      <c r="AC79" s="9">
        <f t="shared" ca="1" si="220"/>
        <v>1344</v>
      </c>
      <c r="AD79" s="9">
        <f t="shared" ca="1" si="220"/>
        <v>0</v>
      </c>
      <c r="AE79" s="9">
        <f t="shared" ca="1" si="220"/>
        <v>1344</v>
      </c>
      <c r="AF79" s="9">
        <f t="shared" ca="1" si="220"/>
        <v>1623</v>
      </c>
      <c r="AG79" s="9">
        <f t="shared" ca="1" si="220"/>
        <v>73</v>
      </c>
      <c r="AH79" s="9">
        <f t="shared" ca="1" si="220"/>
        <v>1696</v>
      </c>
      <c r="AI79" s="9">
        <f t="shared" ca="1" si="220"/>
        <v>3040</v>
      </c>
      <c r="AJ79" s="11">
        <f t="shared" ca="1" si="205"/>
        <v>184.22842857142857</v>
      </c>
      <c r="AK79" s="8">
        <f t="shared" si="214"/>
        <v>3569</v>
      </c>
      <c r="AL79" s="12">
        <f t="shared" ca="1" si="206"/>
        <v>0.85177920986270661</v>
      </c>
      <c r="AM79" s="13">
        <f t="shared" si="215"/>
        <v>1.5</v>
      </c>
      <c r="AN79" s="12">
        <f t="shared" ca="1" si="207"/>
        <v>0.39288698786728798</v>
      </c>
      <c r="AO79" s="14">
        <f t="shared" ca="1" si="208"/>
        <v>0.58933048180093195</v>
      </c>
      <c r="AP79" s="13">
        <f t="shared" ref="AP79:AQ79" ca="1" si="221">SUM(T70)</f>
        <v>240.33900200344777</v>
      </c>
      <c r="AQ79" s="13">
        <f t="shared" ca="1" si="221"/>
        <v>8.5835357858374213</v>
      </c>
      <c r="AR79" s="9">
        <f t="shared" ca="1" si="210"/>
        <v>108.57142857142857</v>
      </c>
      <c r="AS79" s="76"/>
      <c r="AT79" s="76"/>
    </row>
    <row r="80" spans="1:46" ht="15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6"/>
      <c r="X80" s="8">
        <v>6</v>
      </c>
      <c r="Y80" s="8" t="s">
        <v>41</v>
      </c>
      <c r="Z80" s="8">
        <f t="shared" ref="Z80:AI80" si="222">SUM(D71)</f>
        <v>24</v>
      </c>
      <c r="AA80" s="9">
        <f t="shared" ca="1" si="222"/>
        <v>24</v>
      </c>
      <c r="AB80" s="10">
        <f t="shared" ca="1" si="222"/>
        <v>4615.384</v>
      </c>
      <c r="AC80" s="9">
        <f t="shared" ca="1" si="222"/>
        <v>1410</v>
      </c>
      <c r="AD80" s="9">
        <f t="shared" ca="1" si="222"/>
        <v>0</v>
      </c>
      <c r="AE80" s="9">
        <f t="shared" ca="1" si="222"/>
        <v>1410</v>
      </c>
      <c r="AF80" s="9">
        <f t="shared" ca="1" si="222"/>
        <v>1622</v>
      </c>
      <c r="AG80" s="9">
        <f t="shared" ca="1" si="222"/>
        <v>0</v>
      </c>
      <c r="AH80" s="9">
        <f t="shared" ca="1" si="222"/>
        <v>1622</v>
      </c>
      <c r="AI80" s="9">
        <f t="shared" ca="1" si="222"/>
        <v>3032</v>
      </c>
      <c r="AJ80" s="11">
        <f t="shared" ca="1" si="205"/>
        <v>192.30766666666668</v>
      </c>
      <c r="AK80" s="8">
        <f t="shared" si="214"/>
        <v>3801</v>
      </c>
      <c r="AL80" s="12">
        <f t="shared" ca="1" si="206"/>
        <v>0.79768481978426731</v>
      </c>
      <c r="AM80" s="13">
        <f t="shared" si="215"/>
        <v>1.5</v>
      </c>
      <c r="AN80" s="12">
        <f t="shared" ca="1" si="207"/>
        <v>0.43795561394963745</v>
      </c>
      <c r="AO80" s="14">
        <f t="shared" ca="1" si="208"/>
        <v>0.65693342092445617</v>
      </c>
      <c r="AP80" s="13">
        <f t="shared" ref="AP80:AQ80" ca="1" si="223">SUM(T71)</f>
        <v>155.77777777777777</v>
      </c>
      <c r="AQ80" s="13">
        <f t="shared" ca="1" si="223"/>
        <v>6.4907407407407405</v>
      </c>
      <c r="AR80" s="9">
        <f t="shared" ca="1" si="210"/>
        <v>126.33333333333333</v>
      </c>
      <c r="AS80" s="76"/>
      <c r="AT80" s="76"/>
    </row>
    <row r="81" spans="1:46" ht="15.75" customHeight="1" x14ac:dyDescent="0.25">
      <c r="A81" s="110" t="s">
        <v>45</v>
      </c>
      <c r="B81" s="76"/>
      <c r="C81" s="76"/>
      <c r="D81" s="75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24" t="s">
        <v>33</v>
      </c>
      <c r="Y81" s="24">
        <v>6</v>
      </c>
      <c r="Z81" s="24">
        <f t="shared" ref="Z81:AI81" si="224">SUM(Z75:Z80)</f>
        <v>174</v>
      </c>
      <c r="AA81" s="25">
        <f t="shared" ca="1" si="224"/>
        <v>173</v>
      </c>
      <c r="AB81" s="27">
        <f t="shared" ca="1" si="224"/>
        <v>33379.683999999987</v>
      </c>
      <c r="AC81" s="25">
        <f t="shared" ca="1" si="224"/>
        <v>13712</v>
      </c>
      <c r="AD81" s="25">
        <f t="shared" ca="1" si="224"/>
        <v>20</v>
      </c>
      <c r="AE81" s="25">
        <f t="shared" ca="1" si="224"/>
        <v>13732</v>
      </c>
      <c r="AF81" s="25">
        <f t="shared" ca="1" si="224"/>
        <v>16996</v>
      </c>
      <c r="AG81" s="25">
        <f t="shared" ca="1" si="224"/>
        <v>403</v>
      </c>
      <c r="AH81" s="25">
        <f t="shared" ca="1" si="224"/>
        <v>17399</v>
      </c>
      <c r="AI81" s="25">
        <f t="shared" ca="1" si="224"/>
        <v>31131</v>
      </c>
      <c r="AJ81" s="27">
        <f t="shared" ca="1" si="205"/>
        <v>192.94615028901725</v>
      </c>
      <c r="AK81" s="24">
        <f>SUM(AK75:AK80)</f>
        <v>37031</v>
      </c>
      <c r="AL81" s="28">
        <f t="shared" ca="1" si="206"/>
        <v>0.84067402986686834</v>
      </c>
      <c r="AM81" s="29">
        <v>1.5</v>
      </c>
      <c r="AN81" s="28">
        <f t="shared" ca="1" si="207"/>
        <v>0.62175543663025712</v>
      </c>
      <c r="AO81" s="30">
        <f t="shared" ca="1" si="208"/>
        <v>0.93263315494538568</v>
      </c>
      <c r="AP81" s="29">
        <f ca="1">SUM(AP75:AP80)</f>
        <v>1381.4693066010921</v>
      </c>
      <c r="AQ81" s="29">
        <f ca="1">AP81/AA81</f>
        <v>7.9853717144571794</v>
      </c>
      <c r="AR81" s="25">
        <f t="shared" ca="1" si="210"/>
        <v>179.94797687861271</v>
      </c>
      <c r="AS81" s="76"/>
      <c r="AT81" s="76"/>
    </row>
    <row r="82" spans="1:46" ht="15.75" customHeight="1" x14ac:dyDescent="0.2">
      <c r="A82" s="110" t="s">
        <v>45</v>
      </c>
      <c r="B82" s="76"/>
      <c r="C82" s="76"/>
      <c r="D82" s="75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7" t="s">
        <v>1</v>
      </c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9"/>
      <c r="AS82" s="76"/>
      <c r="AT82" s="76"/>
    </row>
    <row r="83" spans="1:46" ht="15.75" customHeight="1" x14ac:dyDescent="0.2">
      <c r="A83" s="109">
        <v>46269</v>
      </c>
      <c r="B83" s="80" t="s">
        <v>2</v>
      </c>
      <c r="C83" s="80" t="s">
        <v>3</v>
      </c>
      <c r="D83" s="80" t="s">
        <v>4</v>
      </c>
      <c r="E83" s="80" t="s">
        <v>5</v>
      </c>
      <c r="F83" s="81" t="s">
        <v>6</v>
      </c>
      <c r="G83" s="80" t="s">
        <v>7</v>
      </c>
      <c r="H83" s="80" t="s">
        <v>8</v>
      </c>
      <c r="I83" s="80" t="s">
        <v>9</v>
      </c>
      <c r="J83" s="80" t="s">
        <v>10</v>
      </c>
      <c r="K83" s="80" t="s">
        <v>11</v>
      </c>
      <c r="L83" s="80" t="s">
        <v>12</v>
      </c>
      <c r="M83" s="80" t="s">
        <v>13</v>
      </c>
      <c r="N83" s="81" t="s">
        <v>14</v>
      </c>
      <c r="O83" s="80" t="s">
        <v>15</v>
      </c>
      <c r="P83" s="80" t="s">
        <v>16</v>
      </c>
      <c r="Q83" s="80" t="s">
        <v>17</v>
      </c>
      <c r="R83" s="80" t="s">
        <v>18</v>
      </c>
      <c r="S83" s="106" t="s">
        <v>19</v>
      </c>
      <c r="T83" s="107" t="s">
        <v>20</v>
      </c>
      <c r="U83" s="107" t="s">
        <v>21</v>
      </c>
      <c r="V83" s="105" t="s">
        <v>22</v>
      </c>
      <c r="W83" s="76"/>
      <c r="X83" s="1" t="s">
        <v>2</v>
      </c>
      <c r="Y83" s="1" t="s">
        <v>3</v>
      </c>
      <c r="Z83" s="1" t="s">
        <v>4</v>
      </c>
      <c r="AA83" s="1" t="s">
        <v>5</v>
      </c>
      <c r="AB83" s="2" t="s">
        <v>6</v>
      </c>
      <c r="AC83" s="1" t="s">
        <v>7</v>
      </c>
      <c r="AD83" s="1" t="s">
        <v>8</v>
      </c>
      <c r="AE83" s="1" t="s">
        <v>9</v>
      </c>
      <c r="AF83" s="1" t="s">
        <v>10</v>
      </c>
      <c r="AG83" s="1" t="s">
        <v>11</v>
      </c>
      <c r="AH83" s="1" t="s">
        <v>12</v>
      </c>
      <c r="AI83" s="1" t="s">
        <v>13</v>
      </c>
      <c r="AJ83" s="2" t="s">
        <v>14</v>
      </c>
      <c r="AK83" s="1" t="s">
        <v>15</v>
      </c>
      <c r="AL83" s="1" t="s">
        <v>16</v>
      </c>
      <c r="AM83" s="3" t="s">
        <v>17</v>
      </c>
      <c r="AN83" s="4" t="s">
        <v>18</v>
      </c>
      <c r="AO83" s="5" t="s">
        <v>19</v>
      </c>
      <c r="AP83" s="6" t="s">
        <v>20</v>
      </c>
      <c r="AQ83" s="6" t="s">
        <v>21</v>
      </c>
      <c r="AR83" s="7" t="s">
        <v>22</v>
      </c>
      <c r="AS83" s="76"/>
      <c r="AT83" s="76"/>
    </row>
    <row r="84" spans="1:46" ht="15.75" customHeight="1" x14ac:dyDescent="0.2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6"/>
      <c r="X84" s="8">
        <v>1</v>
      </c>
      <c r="Y84" s="8" t="s">
        <v>23</v>
      </c>
      <c r="Z84" s="8">
        <f t="shared" ref="Z84:AI84" si="225">SUM(D92)</f>
        <v>35</v>
      </c>
      <c r="AA84" s="9">
        <f t="shared" ca="1" si="225"/>
        <v>35</v>
      </c>
      <c r="AB84" s="10">
        <f t="shared" ca="1" si="225"/>
        <v>6747.99999999999</v>
      </c>
      <c r="AC84" s="9">
        <f t="shared" ca="1" si="225"/>
        <v>1541</v>
      </c>
      <c r="AD84" s="9">
        <f t="shared" ca="1" si="225"/>
        <v>58</v>
      </c>
      <c r="AE84" s="9">
        <f t="shared" ca="1" si="225"/>
        <v>1599</v>
      </c>
      <c r="AF84" s="9">
        <f t="shared" ca="1" si="225"/>
        <v>2883</v>
      </c>
      <c r="AG84" s="9">
        <f t="shared" ca="1" si="225"/>
        <v>77</v>
      </c>
      <c r="AH84" s="9">
        <f t="shared" ca="1" si="225"/>
        <v>2960</v>
      </c>
      <c r="AI84" s="9">
        <f t="shared" ca="1" si="225"/>
        <v>4559</v>
      </c>
      <c r="AJ84" s="11">
        <f t="shared" ref="AJ84:AJ86" ca="1" si="226">AB84/AA84</f>
        <v>192.79999999999973</v>
      </c>
      <c r="AK84" s="8">
        <f>SUM(O92)</f>
        <v>6853</v>
      </c>
      <c r="AL84" s="12">
        <f t="shared" ref="AL84:AL90" ca="1" si="227">AI84/AK84</f>
        <v>0.66525609222238435</v>
      </c>
      <c r="AM84" s="13">
        <f t="shared" ref="AM84:AM86" si="228">SUM(Q92)</f>
        <v>1.5</v>
      </c>
      <c r="AN84" s="12">
        <f t="shared" ref="AN84:AN90" ca="1" si="229">AO84/AM84</f>
        <v>0.45040505828887639</v>
      </c>
      <c r="AO84" s="14">
        <f t="shared" ref="AO84:AO90" ca="1" si="230">AI84/AB84</f>
        <v>0.67560758743331462</v>
      </c>
      <c r="AP84" s="13">
        <f t="shared" ref="AP84:AQ84" ca="1" si="231">SUM(T92)</f>
        <v>199.99999999999969</v>
      </c>
      <c r="AQ84" s="13">
        <f t="shared" ca="1" si="231"/>
        <v>5.7142857142857055</v>
      </c>
      <c r="AR84" s="9">
        <f t="shared" ref="AR84:AR90" ca="1" si="232">AI84/AA84</f>
        <v>130.25714285714287</v>
      </c>
      <c r="AS84" s="76"/>
      <c r="AT84" s="76"/>
    </row>
    <row r="85" spans="1:46" ht="15.75" customHeight="1" x14ac:dyDescent="0.2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6"/>
      <c r="X85" s="8">
        <v>2</v>
      </c>
      <c r="Y85" s="8" t="s">
        <v>24</v>
      </c>
      <c r="Z85" s="8">
        <f t="shared" ref="Z85:AI85" si="233">SUM(D93)</f>
        <v>44</v>
      </c>
      <c r="AA85" s="9">
        <f t="shared" ca="1" si="233"/>
        <v>43</v>
      </c>
      <c r="AB85" s="10">
        <f t="shared" ca="1" si="233"/>
        <v>8618.1229999999905</v>
      </c>
      <c r="AC85" s="9">
        <f t="shared" ca="1" si="233"/>
        <v>1253</v>
      </c>
      <c r="AD85" s="9">
        <f t="shared" ca="1" si="233"/>
        <v>0</v>
      </c>
      <c r="AE85" s="9">
        <f t="shared" ca="1" si="233"/>
        <v>1253</v>
      </c>
      <c r="AF85" s="9">
        <f t="shared" ca="1" si="233"/>
        <v>1254</v>
      </c>
      <c r="AG85" s="9">
        <f t="shared" ca="1" si="233"/>
        <v>43</v>
      </c>
      <c r="AH85" s="9">
        <f t="shared" ca="1" si="233"/>
        <v>1297</v>
      </c>
      <c r="AI85" s="9">
        <f t="shared" ca="1" si="233"/>
        <v>2550</v>
      </c>
      <c r="AJ85" s="11">
        <f t="shared" ca="1" si="226"/>
        <v>200.42146511627885</v>
      </c>
      <c r="AK85" s="8">
        <v>1580</v>
      </c>
      <c r="AL85" s="15">
        <f t="shared" ca="1" si="227"/>
        <v>1.6139240506329113</v>
      </c>
      <c r="AM85" s="13">
        <f t="shared" si="228"/>
        <v>1.5</v>
      </c>
      <c r="AN85" s="12">
        <f t="shared" ca="1" si="229"/>
        <v>0.19725873023627094</v>
      </c>
      <c r="AO85" s="14">
        <f t="shared" ca="1" si="230"/>
        <v>0.29588809535440641</v>
      </c>
      <c r="AP85" s="13">
        <f t="shared" ref="AP85:AQ85" ca="1" si="234">SUM(T93)</f>
        <v>321.51177019212798</v>
      </c>
      <c r="AQ85" s="13">
        <f t="shared" ca="1" si="234"/>
        <v>7.477017911444837</v>
      </c>
      <c r="AR85" s="9">
        <f t="shared" ca="1" si="232"/>
        <v>59.302325581395351</v>
      </c>
      <c r="AS85" s="76"/>
      <c r="AT85" s="76"/>
    </row>
    <row r="86" spans="1:46" ht="15.75" customHeight="1" x14ac:dyDescent="0.2">
      <c r="A86" s="70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6"/>
      <c r="X86" s="8">
        <v>3</v>
      </c>
      <c r="Y86" s="8" t="s">
        <v>25</v>
      </c>
      <c r="Z86" s="8">
        <f t="shared" ref="Z86:AI86" si="235">SUM(D94)</f>
        <v>32</v>
      </c>
      <c r="AA86" s="9">
        <f t="shared" ca="1" si="235"/>
        <v>28</v>
      </c>
      <c r="AB86" s="10">
        <f t="shared" ca="1" si="235"/>
        <v>5077.9199999999901</v>
      </c>
      <c r="AC86" s="9">
        <f t="shared" ca="1" si="235"/>
        <v>2083</v>
      </c>
      <c r="AD86" s="9">
        <f t="shared" ca="1" si="235"/>
        <v>321</v>
      </c>
      <c r="AE86" s="9">
        <f t="shared" ca="1" si="235"/>
        <v>2404</v>
      </c>
      <c r="AF86" s="9">
        <f t="shared" ca="1" si="235"/>
        <v>2795</v>
      </c>
      <c r="AG86" s="9">
        <f t="shared" ca="1" si="235"/>
        <v>275</v>
      </c>
      <c r="AH86" s="9">
        <f t="shared" ca="1" si="235"/>
        <v>3070</v>
      </c>
      <c r="AI86" s="9">
        <f t="shared" ca="1" si="235"/>
        <v>5474</v>
      </c>
      <c r="AJ86" s="11">
        <f t="shared" ca="1" si="226"/>
        <v>181.35428571428537</v>
      </c>
      <c r="AK86" s="8">
        <f>SUM(O94)</f>
        <v>6622</v>
      </c>
      <c r="AL86" s="12">
        <f t="shared" ca="1" si="227"/>
        <v>0.82663847780126853</v>
      </c>
      <c r="AM86" s="13">
        <f t="shared" si="228"/>
        <v>1.5</v>
      </c>
      <c r="AN86" s="12">
        <f t="shared" ca="1" si="229"/>
        <v>0.71866696075033498</v>
      </c>
      <c r="AO86" s="14">
        <f t="shared" ca="1" si="230"/>
        <v>1.0780004411255024</v>
      </c>
      <c r="AP86" s="13">
        <f t="shared" ref="AP86:AQ86" ca="1" si="236">SUM(T94)</f>
        <v>212.99999999999957</v>
      </c>
      <c r="AQ86" s="13">
        <f t="shared" ca="1" si="236"/>
        <v>7.6071428571428417</v>
      </c>
      <c r="AR86" s="9">
        <f t="shared" ca="1" si="232"/>
        <v>195.5</v>
      </c>
      <c r="AS86" s="76"/>
      <c r="AT86" s="76"/>
    </row>
    <row r="87" spans="1:46" ht="15.75" customHeight="1" x14ac:dyDescent="0.25">
      <c r="A87" s="70"/>
      <c r="B87" s="16">
        <v>1</v>
      </c>
      <c r="C87" s="16" t="s">
        <v>26</v>
      </c>
      <c r="D87" s="17">
        <v>20</v>
      </c>
      <c r="E87" s="18">
        <f ca="1">IFERROR(__xludf.DUMMYFUNCTION("COUNT(IMPORTRANGE(""https://docs.google.com/spreadsheets/d/1F0NpMx7WhcgPgxTWpryY3Z1CGg56FL6aiL4mHs43w4E/edit"",""4!d2:d21""))"),19)</f>
        <v>19</v>
      </c>
      <c r="F87" s="19">
        <f ca="1">IFERROR(__xludf.DUMMYFUNCTION("SUM(IMPORTRANGE(""https://docs.google.com/spreadsheets/d/1F0NpMx7WhcgPgxTWpryY3Z1CGg56FL6aiL4mHs43w4E/edit"",""4!Q2:Q21""))"),3683.56799999999)</f>
        <v>3683.5679999999902</v>
      </c>
      <c r="G87" s="18">
        <f ca="1">IFERROR(__xludf.DUMMYFUNCTION("IMPORTRANGE(""https://docs.google.com/spreadsheets/d/1F0NpMx7WhcgPgxTWpryY3Z1CGg56FL6aiL4mHs43w4E/edit"",""4!e28"")"),1808)</f>
        <v>1808</v>
      </c>
      <c r="H87" s="18">
        <f ca="1">IFERROR(__xludf.DUMMYFUNCTION("IMPORTRANGE(""https://docs.google.com/spreadsheets/d/1F0NpMx7WhcgPgxTWpryY3Z1CGg56FL6aiL4mHs43w4E/edit"",""4!e29"")"),0)</f>
        <v>0</v>
      </c>
      <c r="I87" s="18">
        <f t="shared" ref="I87:I104" ca="1" si="237">SUM(G87:H87)</f>
        <v>1808</v>
      </c>
      <c r="J87" s="18">
        <f ca="1">IFERROR(__xludf.DUMMYFUNCTION("IMPORTRANGE(""https://docs.google.com/spreadsheets/d/1F0NpMx7WhcgPgxTWpryY3Z1CGg56FL6aiL4mHs43w4E/edit"",""4!e32"")"),3230)</f>
        <v>3230</v>
      </c>
      <c r="K87" s="18">
        <f ca="1">IFERROR(__xludf.DUMMYFUNCTION("IMPORTRANGE(""https://docs.google.com/spreadsheets/d/1F0NpMx7WhcgPgxTWpryY3Z1CGg56FL6aiL4mHs43w4E/edit"",""4!e33"")"),0)</f>
        <v>0</v>
      </c>
      <c r="L87" s="18">
        <f t="shared" ref="L87:L93" ca="1" si="238">SUM(J87:K87)</f>
        <v>3230</v>
      </c>
      <c r="M87" s="18">
        <f t="shared" ref="M87:M104" ca="1" si="239">SUM(I87+L87)</f>
        <v>5038</v>
      </c>
      <c r="N87" s="19">
        <f t="shared" ref="N87:N105" ca="1" si="240">F87/E87</f>
        <v>193.87199999999947</v>
      </c>
      <c r="O87" s="16">
        <v>5161</v>
      </c>
      <c r="P87" s="20">
        <f t="shared" ref="P87:P105" ca="1" si="241">M87/O87</f>
        <v>0.97616740941677971</v>
      </c>
      <c r="Q87" s="21">
        <v>1.5</v>
      </c>
      <c r="R87" s="20">
        <f t="shared" ref="R87:R105" ca="1" si="242">S87/Q87</f>
        <v>0.91179711265454466</v>
      </c>
      <c r="S87" s="22">
        <f t="shared" ref="S87:S105" ca="1" si="243">M87/F87</f>
        <v>1.3676956689818169</v>
      </c>
      <c r="T87" s="21">
        <f ca="1">F87/14.415</f>
        <v>255.53714880332919</v>
      </c>
      <c r="U87" s="21">
        <f t="shared" ref="U87:U105" ca="1" si="244">T87/E87</f>
        <v>13.449323621227853</v>
      </c>
      <c r="V87" s="18">
        <f t="shared" ref="V87:V105" ca="1" si="245">M87/E87</f>
        <v>265.15789473684208</v>
      </c>
      <c r="W87" s="76"/>
      <c r="X87" s="8">
        <v>4</v>
      </c>
      <c r="Y87" s="8" t="s">
        <v>27</v>
      </c>
      <c r="Z87" s="8">
        <f t="shared" ref="Z87:AK87" si="246">SUM(D100)</f>
        <v>30</v>
      </c>
      <c r="AA87" s="9">
        <f t="shared" ca="1" si="246"/>
        <v>29</v>
      </c>
      <c r="AB87" s="10">
        <f t="shared" ca="1" si="246"/>
        <v>5385.82</v>
      </c>
      <c r="AC87" s="9">
        <f t="shared" ca="1" si="246"/>
        <v>2451</v>
      </c>
      <c r="AD87" s="9">
        <f t="shared" ca="1" si="246"/>
        <v>90</v>
      </c>
      <c r="AE87" s="9">
        <f t="shared" ca="1" si="246"/>
        <v>2541</v>
      </c>
      <c r="AF87" s="9">
        <f t="shared" ca="1" si="246"/>
        <v>2614</v>
      </c>
      <c r="AG87" s="9">
        <f t="shared" ca="1" si="246"/>
        <v>380</v>
      </c>
      <c r="AH87" s="9">
        <f t="shared" ca="1" si="246"/>
        <v>2994</v>
      </c>
      <c r="AI87" s="9">
        <f t="shared" ca="1" si="246"/>
        <v>5535</v>
      </c>
      <c r="AJ87" s="11">
        <f t="shared" ca="1" si="246"/>
        <v>185.71793103448275</v>
      </c>
      <c r="AK87" s="8">
        <f t="shared" si="246"/>
        <v>8101</v>
      </c>
      <c r="AL87" s="12">
        <f t="shared" ca="1" si="227"/>
        <v>0.68324898160720904</v>
      </c>
      <c r="AM87" s="13">
        <f>SUM(Q100)</f>
        <v>1.5</v>
      </c>
      <c r="AN87" s="12">
        <f t="shared" ca="1" si="229"/>
        <v>0.68513244037119703</v>
      </c>
      <c r="AO87" s="14">
        <f t="shared" ca="1" si="230"/>
        <v>1.0276986605567955</v>
      </c>
      <c r="AP87" s="13">
        <f t="shared" ref="AP87:AQ87" ca="1" si="247">SUM(T100)</f>
        <v>269.49311983987991</v>
      </c>
      <c r="AQ87" s="13">
        <f t="shared" ca="1" si="247"/>
        <v>9.2928662013751691</v>
      </c>
      <c r="AR87" s="9">
        <f t="shared" ca="1" si="232"/>
        <v>190.86206896551724</v>
      </c>
      <c r="AS87" s="76"/>
      <c r="AT87" s="76"/>
    </row>
    <row r="88" spans="1:46" ht="15.75" customHeight="1" x14ac:dyDescent="0.25">
      <c r="A88" s="70"/>
      <c r="B88" s="16">
        <v>2</v>
      </c>
      <c r="C88" s="16" t="s">
        <v>28</v>
      </c>
      <c r="D88" s="17">
        <v>33</v>
      </c>
      <c r="E88" s="18">
        <f ca="1">IFERROR(__xludf.DUMMYFUNCTION("COUNT(IMPORTRANGE(""https://docs.google.com/spreadsheets/d/1H9vAqftAHb0OdeSGXHTnJFzoWUgpoH31sc0sHNN8y1o/edit"",""4!d2:d34""))"),33)</f>
        <v>33</v>
      </c>
      <c r="F88" s="19">
        <f ca="1">IFERROR(__xludf.DUMMYFUNCTION("SUM(IMPORTRANGE(""https://docs.google.com/spreadsheets/d/1H9vAqftAHb0OdeSGXHTnJFzoWUgpoH31sc0sHNN8y1o/edit"",""4!Q2:Q34""))"),6574.002)</f>
        <v>6574.0020000000004</v>
      </c>
      <c r="G88" s="18">
        <f ca="1">IFERROR(__xludf.DUMMYFUNCTION("IMPORTRANGE(""https://docs.google.com/spreadsheets/d/1H9vAqftAHb0OdeSGXHTnJFzoWUgpoH31sc0sHNN8y1o/edit"",""4!e41"")"),3105)</f>
        <v>3105</v>
      </c>
      <c r="H88" s="18">
        <f ca="1">IFERROR(__xludf.DUMMYFUNCTION("IMPORTRANGE(""https://docs.google.com/spreadsheets/d/1H9vAqftAHb0OdeSGXHTnJFzoWUgpoH31sc0sHNN8y1o/edit"",""4!e42"")"),42)</f>
        <v>42</v>
      </c>
      <c r="I88" s="18">
        <f t="shared" ca="1" si="237"/>
        <v>3147</v>
      </c>
      <c r="J88" s="18">
        <f ca="1">IFERROR(__xludf.DUMMYFUNCTION("IMPORTRANGE(""https://docs.google.com/spreadsheets/d/1H9vAqftAHb0OdeSGXHTnJFzoWUgpoH31sc0sHNN8y1o/edit"",""4!e45"")"),2663)</f>
        <v>2663</v>
      </c>
      <c r="K88" s="18">
        <f ca="1">IFERROR(__xludf.DUMMYFUNCTION("IMPORTRANGE(""https://docs.google.com/spreadsheets/d/1H9vAqftAHb0OdeSGXHTnJFzoWUgpoH31sc0sHNN8y1o/edit"",""4!e46"")"),300)</f>
        <v>300</v>
      </c>
      <c r="L88" s="18">
        <f t="shared" ca="1" si="238"/>
        <v>2963</v>
      </c>
      <c r="M88" s="18">
        <f t="shared" ca="1" si="239"/>
        <v>6110</v>
      </c>
      <c r="N88" s="19">
        <f t="shared" ca="1" si="240"/>
        <v>199.21218181818182</v>
      </c>
      <c r="O88" s="16">
        <v>7315</v>
      </c>
      <c r="P88" s="20">
        <f t="shared" ca="1" si="241"/>
        <v>0.83526999316473005</v>
      </c>
      <c r="Q88" s="21">
        <v>1.5</v>
      </c>
      <c r="R88" s="20">
        <f t="shared" ca="1" si="242"/>
        <v>0.6196124268494797</v>
      </c>
      <c r="S88" s="22">
        <f t="shared" ca="1" si="243"/>
        <v>0.9294186402742195</v>
      </c>
      <c r="T88" s="21">
        <f ca="1">F88/30.897</f>
        <v>212.771531216623</v>
      </c>
      <c r="U88" s="21">
        <f t="shared" ca="1" si="244"/>
        <v>6.4476221580794846</v>
      </c>
      <c r="V88" s="18">
        <f t="shared" ca="1" si="245"/>
        <v>185.15151515151516</v>
      </c>
      <c r="W88" s="76"/>
      <c r="X88" s="8">
        <v>5</v>
      </c>
      <c r="Y88" s="8" t="s">
        <v>29</v>
      </c>
      <c r="Z88" s="8">
        <f t="shared" ref="Z88:AI88" si="248">SUM(D103)</f>
        <v>30</v>
      </c>
      <c r="AA88" s="9">
        <f t="shared" ca="1" si="248"/>
        <v>29</v>
      </c>
      <c r="AB88" s="10">
        <f t="shared" ca="1" si="248"/>
        <v>5960.4749999999904</v>
      </c>
      <c r="AC88" s="9">
        <f t="shared" ca="1" si="248"/>
        <v>2825</v>
      </c>
      <c r="AD88" s="9">
        <f t="shared" ca="1" si="248"/>
        <v>0</v>
      </c>
      <c r="AE88" s="9">
        <f t="shared" ca="1" si="248"/>
        <v>2825</v>
      </c>
      <c r="AF88" s="9">
        <f t="shared" ca="1" si="248"/>
        <v>3014</v>
      </c>
      <c r="AG88" s="9">
        <f t="shared" ca="1" si="248"/>
        <v>0</v>
      </c>
      <c r="AH88" s="9">
        <f t="shared" ca="1" si="248"/>
        <v>3014</v>
      </c>
      <c r="AI88" s="9">
        <f t="shared" ca="1" si="248"/>
        <v>5839</v>
      </c>
      <c r="AJ88" s="11">
        <f t="shared" ref="AJ88:AJ90" ca="1" si="249">AB88/AA88</f>
        <v>205.53362068965484</v>
      </c>
      <c r="AK88" s="8">
        <f t="shared" ref="AK88:AK89" si="250">SUM(O103)</f>
        <v>9201</v>
      </c>
      <c r="AL88" s="12">
        <f t="shared" ca="1" si="227"/>
        <v>0.63460493424627762</v>
      </c>
      <c r="AM88" s="13">
        <f t="shared" ref="AM88:AM89" si="251">SUM(Q103)</f>
        <v>1.5</v>
      </c>
      <c r="AN88" s="12">
        <f t="shared" ca="1" si="229"/>
        <v>0.65307994189501228</v>
      </c>
      <c r="AO88" s="14">
        <f t="shared" ca="1" si="230"/>
        <v>0.97961991284251837</v>
      </c>
      <c r="AP88" s="13">
        <f t="shared" ref="AP88:AQ88" ca="1" si="252">SUM(T103)</f>
        <v>224.99999999999963</v>
      </c>
      <c r="AQ88" s="13">
        <f t="shared" ca="1" si="252"/>
        <v>7.7586206896551593</v>
      </c>
      <c r="AR88" s="9">
        <f t="shared" ca="1" si="232"/>
        <v>201.34482758620689</v>
      </c>
      <c r="AS88" s="76"/>
      <c r="AT88" s="76"/>
    </row>
    <row r="89" spans="1:46" ht="15.75" customHeight="1" x14ac:dyDescent="0.25">
      <c r="A89" s="70"/>
      <c r="B89" s="16">
        <v>3</v>
      </c>
      <c r="C89" s="16" t="s">
        <v>30</v>
      </c>
      <c r="D89" s="17">
        <v>60</v>
      </c>
      <c r="E89" s="18">
        <f ca="1">IFERROR(__xludf.DUMMYFUNCTION("COUNT(IMPORTRANGE(""https://docs.google.com/spreadsheets/d/1EWN6nfpuVxbUE_9opjYCWaI7MTm5xsF6ssjklSbMZnA/edit"",""4!d2:d61""))"),59)</f>
        <v>59</v>
      </c>
      <c r="F89" s="23">
        <f ca="1">IFERROR(__xludf.DUMMYFUNCTION("SUM(IMPORTRANGE(""https://docs.google.com/spreadsheets/d/1EWN6nfpuVxbUE_9opjYCWaI7MTm5xsF6ssjklSbMZnA/edit"",""4!Q2:Q61""))"),11650.8829999999)</f>
        <v>11650.8829999999</v>
      </c>
      <c r="G89" s="18">
        <f ca="1">IFERROR(__xludf.DUMMYFUNCTION("IMPORTRANGE(""https://docs.google.com/spreadsheets/d/1EWN6nfpuVxbUE_9opjYCWaI7MTm5xsF6ssjklSbMZnA/edit"",""4!e68"")"),3449)</f>
        <v>3449</v>
      </c>
      <c r="H89" s="18">
        <f ca="1">IFERROR(__xludf.DUMMYFUNCTION("IMPORTRANGE(""https://docs.google.com/spreadsheets/d/1EWN6nfpuVxbUE_9opjYCWaI7MTm5xsF6ssjklSbMZnA/edit"",""4!e69"")"),0)</f>
        <v>0</v>
      </c>
      <c r="I89" s="18">
        <f t="shared" ca="1" si="237"/>
        <v>3449</v>
      </c>
      <c r="J89" s="18">
        <f ca="1">IFERROR(__xludf.DUMMYFUNCTION("IMPORTRANGE(""https://docs.google.com/spreadsheets/d/1EWN6nfpuVxbUE_9opjYCWaI7MTm5xsF6ssjklSbMZnA/edit"",""4!e72"")"),5760)</f>
        <v>5760</v>
      </c>
      <c r="K89" s="18">
        <f ca="1">IFERROR(__xludf.DUMMYFUNCTION("IMPORTRANGE(""https://docs.google.com/spreadsheets/d/1EWN6nfpuVxbUE_9opjYCWaI7MTm5xsF6ssjklSbMZnA/edit"",""4!e73"")"),0)</f>
        <v>0</v>
      </c>
      <c r="L89" s="18">
        <f t="shared" ca="1" si="238"/>
        <v>5760</v>
      </c>
      <c r="M89" s="18">
        <f t="shared" ca="1" si="239"/>
        <v>9209</v>
      </c>
      <c r="N89" s="19">
        <f t="shared" ca="1" si="240"/>
        <v>197.47259322033727</v>
      </c>
      <c r="O89" s="16">
        <v>11164</v>
      </c>
      <c r="P89" s="20">
        <f t="shared" ca="1" si="241"/>
        <v>0.82488355428161952</v>
      </c>
      <c r="Q89" s="21">
        <v>1.5</v>
      </c>
      <c r="R89" s="20">
        <f t="shared" ca="1" si="242"/>
        <v>0.52694146300614175</v>
      </c>
      <c r="S89" s="22">
        <f t="shared" ca="1" si="243"/>
        <v>0.79041219450921263</v>
      </c>
      <c r="T89" s="21">
        <f ca="1">F89/29.603</f>
        <v>393.57102320710396</v>
      </c>
      <c r="U89" s="21">
        <f t="shared" ca="1" si="244"/>
        <v>6.6706953085949827</v>
      </c>
      <c r="V89" s="18">
        <f t="shared" ca="1" si="245"/>
        <v>156.08474576271186</v>
      </c>
      <c r="W89" s="76"/>
      <c r="X89" s="8">
        <v>6</v>
      </c>
      <c r="Y89" s="8" t="s">
        <v>31</v>
      </c>
      <c r="Z89" s="8">
        <f t="shared" ref="Z89:AI89" si="253">SUM(D104)</f>
        <v>15</v>
      </c>
      <c r="AA89" s="9">
        <f t="shared" ca="1" si="253"/>
        <v>14</v>
      </c>
      <c r="AB89" s="11">
        <f t="shared" ca="1" si="253"/>
        <v>2367.1209999999901</v>
      </c>
      <c r="AC89" s="9">
        <f t="shared" ca="1" si="253"/>
        <v>729</v>
      </c>
      <c r="AD89" s="9">
        <f t="shared" ca="1" si="253"/>
        <v>0</v>
      </c>
      <c r="AE89" s="9">
        <f t="shared" ca="1" si="253"/>
        <v>729</v>
      </c>
      <c r="AF89" s="9">
        <f t="shared" ca="1" si="253"/>
        <v>1064</v>
      </c>
      <c r="AG89" s="9">
        <f t="shared" ca="1" si="253"/>
        <v>14</v>
      </c>
      <c r="AH89" s="9">
        <f t="shared" ca="1" si="253"/>
        <v>1078</v>
      </c>
      <c r="AI89" s="9">
        <f t="shared" ca="1" si="253"/>
        <v>1807</v>
      </c>
      <c r="AJ89" s="11">
        <f t="shared" ca="1" si="249"/>
        <v>169.08007142857073</v>
      </c>
      <c r="AK89" s="8">
        <f t="shared" si="250"/>
        <v>2717</v>
      </c>
      <c r="AL89" s="12">
        <f t="shared" ca="1" si="227"/>
        <v>0.66507177033492826</v>
      </c>
      <c r="AM89" s="13">
        <f t="shared" si="251"/>
        <v>1.5</v>
      </c>
      <c r="AN89" s="12">
        <f t="shared" ca="1" si="229"/>
        <v>0.50891638689643315</v>
      </c>
      <c r="AO89" s="14">
        <f t="shared" ca="1" si="230"/>
        <v>0.76337458034464967</v>
      </c>
      <c r="AP89" s="13">
        <f t="shared" ref="AP89:AQ89" ca="1" si="254">SUM(T104)</f>
        <v>54.460393419992869</v>
      </c>
      <c r="AQ89" s="13">
        <f t="shared" ca="1" si="254"/>
        <v>3.890028101428062</v>
      </c>
      <c r="AR89" s="9">
        <f t="shared" ca="1" si="232"/>
        <v>129.07142857142858</v>
      </c>
      <c r="AS89" s="76"/>
      <c r="AT89" s="76"/>
    </row>
    <row r="90" spans="1:46" ht="15.75" customHeight="1" x14ac:dyDescent="0.25">
      <c r="A90" s="70"/>
      <c r="B90" s="16">
        <v>4</v>
      </c>
      <c r="C90" s="16" t="s">
        <v>32</v>
      </c>
      <c r="D90" s="17">
        <v>42</v>
      </c>
      <c r="E90" s="18">
        <f ca="1">IFERROR(__xludf.DUMMYFUNCTION("COUNT(IMPORTRANGE(""https://docs.google.com/spreadsheets/d/1Rmar8QqWK4XOJ-eY6xMzkAfDSw0srEXcAw89ilArun8/edit"",""4!d2:d43""))"),42)</f>
        <v>42</v>
      </c>
      <c r="F90" s="23">
        <f ca="1">IFERROR(__xludf.DUMMYFUNCTION("SUM(IMPORTRANGE(""https://docs.google.com/spreadsheets/d/1Rmar8QqWK4XOJ-eY6xMzkAfDSw0srEXcAw89ilArun8/edit"",""4!Q2:Q43""))"),7804.82799999999)</f>
        <v>7804.8279999999904</v>
      </c>
      <c r="G90" s="16">
        <f ca="1">IFERROR(__xludf.DUMMYFUNCTION("IMPORTRANGE(""https://docs.google.com/spreadsheets/d/1Rmar8QqWK4XOJ-eY6xMzkAfDSw0srEXcAw89ilArun8/edit"",""4!e50"")"),4858)</f>
        <v>4858</v>
      </c>
      <c r="H90" s="16">
        <f ca="1">IFERROR(__xludf.DUMMYFUNCTION("IMPORTRANGE(""https://docs.google.com/spreadsheets/d/1Rmar8QqWK4XOJ-eY6xMzkAfDSw0srEXcAw89ilArun8/edit"",""4!e51"")"),0)</f>
        <v>0</v>
      </c>
      <c r="I90" s="18">
        <f t="shared" ca="1" si="237"/>
        <v>4858</v>
      </c>
      <c r="J90" s="16">
        <f ca="1">IFERROR(__xludf.DUMMYFUNCTION("IMPORTRANGE(""https://docs.google.com/spreadsheets/d/1Rmar8QqWK4XOJ-eY6xMzkAfDSw0srEXcAw89ilArun8/edit"",""4!e54"")"),5059)</f>
        <v>5059</v>
      </c>
      <c r="K90" s="16">
        <f ca="1">IFERROR(__xludf.DUMMYFUNCTION("IMPORTRANGE(""https://docs.google.com/spreadsheets/d/1Rmar8QqWK4XOJ-eY6xMzkAfDSw0srEXcAw89ilArun8/edit"",""4!e55"")"),155)</f>
        <v>155</v>
      </c>
      <c r="L90" s="18">
        <f t="shared" ca="1" si="238"/>
        <v>5214</v>
      </c>
      <c r="M90" s="18">
        <f t="shared" ca="1" si="239"/>
        <v>10072</v>
      </c>
      <c r="N90" s="19">
        <f t="shared" ca="1" si="240"/>
        <v>185.82923809523786</v>
      </c>
      <c r="O90" s="16">
        <v>13817</v>
      </c>
      <c r="P90" s="20">
        <f t="shared" ca="1" si="241"/>
        <v>0.72895708185568497</v>
      </c>
      <c r="Q90" s="21">
        <v>1.5</v>
      </c>
      <c r="R90" s="20">
        <f t="shared" ca="1" si="242"/>
        <v>0.8603221834826692</v>
      </c>
      <c r="S90" s="22">
        <f t="shared" ca="1" si="243"/>
        <v>1.2904832752240039</v>
      </c>
      <c r="T90" s="21">
        <f ca="1">F90/25.089</f>
        <v>311.0856550679577</v>
      </c>
      <c r="U90" s="21">
        <f t="shared" ca="1" si="244"/>
        <v>7.4068013111418498</v>
      </c>
      <c r="V90" s="18">
        <f t="shared" ca="1" si="245"/>
        <v>239.8095238095238</v>
      </c>
      <c r="W90" s="76"/>
      <c r="X90" s="24" t="s">
        <v>33</v>
      </c>
      <c r="Y90" s="24">
        <v>6</v>
      </c>
      <c r="Z90" s="24">
        <f t="shared" ref="Z90:AI90" si="255">SUM(Z84:Z89)</f>
        <v>186</v>
      </c>
      <c r="AA90" s="25">
        <f t="shared" ca="1" si="255"/>
        <v>178</v>
      </c>
      <c r="AB90" s="26">
        <f t="shared" ca="1" si="255"/>
        <v>34157.458999999952</v>
      </c>
      <c r="AC90" s="25">
        <f t="shared" ca="1" si="255"/>
        <v>10882</v>
      </c>
      <c r="AD90" s="25">
        <f t="shared" ca="1" si="255"/>
        <v>469</v>
      </c>
      <c r="AE90" s="25">
        <f t="shared" ca="1" si="255"/>
        <v>11351</v>
      </c>
      <c r="AF90" s="25">
        <f t="shared" ca="1" si="255"/>
        <v>13624</v>
      </c>
      <c r="AG90" s="25">
        <f t="shared" ca="1" si="255"/>
        <v>789</v>
      </c>
      <c r="AH90" s="25">
        <f t="shared" ca="1" si="255"/>
        <v>14413</v>
      </c>
      <c r="AI90" s="25">
        <f t="shared" ca="1" si="255"/>
        <v>25764</v>
      </c>
      <c r="AJ90" s="27">
        <f t="shared" ca="1" si="249"/>
        <v>191.89583707865143</v>
      </c>
      <c r="AK90" s="24">
        <f>SUM(AK84:AK89)</f>
        <v>35074</v>
      </c>
      <c r="AL90" s="28">
        <f t="shared" ca="1" si="227"/>
        <v>0.73456121343445291</v>
      </c>
      <c r="AM90" s="29">
        <v>1.5</v>
      </c>
      <c r="AN90" s="28">
        <f t="shared" ca="1" si="229"/>
        <v>0.50284770890012698</v>
      </c>
      <c r="AO90" s="30">
        <f t="shared" ca="1" si="230"/>
        <v>0.75427156335019052</v>
      </c>
      <c r="AP90" s="29">
        <f ca="1">SUM(AP84:AP89)</f>
        <v>1283.4652834519995</v>
      </c>
      <c r="AQ90" s="29">
        <f ca="1">AP90/AA90</f>
        <v>7.210479120516851</v>
      </c>
      <c r="AR90" s="25">
        <f t="shared" ca="1" si="232"/>
        <v>144.74157303370785</v>
      </c>
      <c r="AS90" s="76"/>
      <c r="AT90" s="76"/>
    </row>
    <row r="91" spans="1:46" ht="15.75" customHeight="1" x14ac:dyDescent="0.25">
      <c r="A91" s="70"/>
      <c r="B91" s="16">
        <v>5</v>
      </c>
      <c r="C91" s="16" t="s">
        <v>34</v>
      </c>
      <c r="D91" s="17">
        <v>40</v>
      </c>
      <c r="E91" s="18">
        <f ca="1">IFERROR(__xludf.DUMMYFUNCTION("COUNT(IMPORTRANGE(""https://docs.google.com/spreadsheets/d/1u99JxAoytGQQ8GcjxXl38CGdyEWy5uIbuJJHnsotyvk/edit"",""4!d2:d41""))"),38)</f>
        <v>38</v>
      </c>
      <c r="F91" s="23">
        <f ca="1">IFERROR(__xludf.DUMMYFUNCTION("SUM(IMPORTRANGE(""https://docs.google.com/spreadsheets/d/1u99JxAoytGQQ8GcjxXl38CGdyEWy5uIbuJJHnsotyvk/edit"",""4!Q2:Q41""))"),7453.854)</f>
        <v>7453.8540000000003</v>
      </c>
      <c r="G91" s="18">
        <f ca="1">IFERROR(__xludf.DUMMYFUNCTION("IMPORTRANGE(""https://docs.google.com/spreadsheets/d/1u99JxAoytGQQ8GcjxXl38CGdyEWy5uIbuJJHnsotyvk/edit"",""4!e48"")"),2927)</f>
        <v>2927</v>
      </c>
      <c r="H91" s="18">
        <f ca="1">IFERROR(__xludf.DUMMYFUNCTION("IMPORTRANGE(""https://docs.google.com/spreadsheets/d/1u99JxAoytGQQ8GcjxXl38CGdyEWy5uIbuJJHnsotyvk/edit"",""4!e49"")"),0)</f>
        <v>0</v>
      </c>
      <c r="I91" s="18">
        <f t="shared" ca="1" si="237"/>
        <v>2927</v>
      </c>
      <c r="J91" s="18">
        <f ca="1">IFERROR(__xludf.DUMMYFUNCTION("IMPORTRANGE(""https://docs.google.com/spreadsheets/d/1u99JxAoytGQQ8GcjxXl38CGdyEWy5uIbuJJHnsotyvk/edit"",""4!e52"")"),3090)</f>
        <v>3090</v>
      </c>
      <c r="K91" s="18">
        <f ca="1">IFERROR(__xludf.DUMMYFUNCTION("IMPORTRANGE(""https://docs.google.com/spreadsheets/d/1u99JxAoytGQQ8GcjxXl38CGdyEWy5uIbuJJHnsotyvk/edit"",""4!e53"")"),20)</f>
        <v>20</v>
      </c>
      <c r="L91" s="18">
        <f t="shared" ca="1" si="238"/>
        <v>3110</v>
      </c>
      <c r="M91" s="18">
        <f t="shared" ca="1" si="239"/>
        <v>6037</v>
      </c>
      <c r="N91" s="19">
        <f t="shared" ca="1" si="240"/>
        <v>196.15405263157896</v>
      </c>
      <c r="O91" s="16">
        <v>9354</v>
      </c>
      <c r="P91" s="20">
        <f t="shared" ca="1" si="241"/>
        <v>0.64539234552063285</v>
      </c>
      <c r="Q91" s="21">
        <v>1.5</v>
      </c>
      <c r="R91" s="20">
        <f t="shared" ca="1" si="242"/>
        <v>0.53994439207779854</v>
      </c>
      <c r="S91" s="22">
        <f t="shared" ca="1" si="243"/>
        <v>0.80991658811669776</v>
      </c>
      <c r="T91" s="21">
        <f ca="1">F91/30.713</f>
        <v>242.69377787907402</v>
      </c>
      <c r="U91" s="21">
        <f t="shared" ca="1" si="244"/>
        <v>6.3866783652387902</v>
      </c>
      <c r="V91" s="18">
        <f t="shared" ca="1" si="245"/>
        <v>158.86842105263159</v>
      </c>
      <c r="W91" s="76"/>
      <c r="X91" s="100" t="s">
        <v>35</v>
      </c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9"/>
      <c r="AS91" s="76"/>
      <c r="AT91" s="76"/>
    </row>
    <row r="92" spans="1:46" ht="15.75" customHeight="1" x14ac:dyDescent="0.25">
      <c r="A92" s="70"/>
      <c r="B92" s="16">
        <v>6</v>
      </c>
      <c r="C92" s="16" t="s">
        <v>23</v>
      </c>
      <c r="D92" s="17">
        <v>35</v>
      </c>
      <c r="E92" s="18">
        <f ca="1">IFERROR(__xludf.DUMMYFUNCTION("COUNT(IMPORTRANGE(""https://docs.google.com/spreadsheets/d/1uVc-vnTn57HE53lwrUYNZP4sGKTXisrqOoZ-6EyvLzY/edit"",""4!d2:d36""))"),35)</f>
        <v>35</v>
      </c>
      <c r="F92" s="23">
        <f ca="1">IFERROR(__xludf.DUMMYFUNCTION("SUM(IMPORTRANGE(""https://docs.google.com/spreadsheets/d/1uVc-vnTn57HE53lwrUYNZP4sGKTXisrqOoZ-6EyvLzY/edit"",""4!Q2:Q36""))"),6747.99999999999)</f>
        <v>6747.99999999999</v>
      </c>
      <c r="G92" s="18">
        <f ca="1">IFERROR(__xludf.DUMMYFUNCTION("IMPORTRANGE(""https://docs.google.com/spreadsheets/d/1uVc-vnTn57HE53lwrUYNZP4sGKTXisrqOoZ-6EyvLzY/edit"",""4!e43"")"),1541)</f>
        <v>1541</v>
      </c>
      <c r="H92" s="18">
        <f ca="1">IFERROR(__xludf.DUMMYFUNCTION("IMPORTRANGE(""https://docs.google.com/spreadsheets/d/1uVc-vnTn57HE53lwrUYNZP4sGKTXisrqOoZ-6EyvLzY/edit"",""4!e44"")"),58)</f>
        <v>58</v>
      </c>
      <c r="I92" s="18">
        <f t="shared" ca="1" si="237"/>
        <v>1599</v>
      </c>
      <c r="J92" s="18">
        <f ca="1">IFERROR(__xludf.DUMMYFUNCTION("IMPORTRANGE(""https://docs.google.com/spreadsheets/d/1uVc-vnTn57HE53lwrUYNZP4sGKTXisrqOoZ-6EyvLzY/edit"",""4!e47"")"),2883)</f>
        <v>2883</v>
      </c>
      <c r="K92" s="18">
        <f ca="1">IFERROR(__xludf.DUMMYFUNCTION("IMPORTRANGE(""https://docs.google.com/spreadsheets/d/1uVc-vnTn57HE53lwrUYNZP4sGKTXisrqOoZ-6EyvLzY/edit"",""4!e48"")"),77)</f>
        <v>77</v>
      </c>
      <c r="L92" s="18">
        <f t="shared" ca="1" si="238"/>
        <v>2960</v>
      </c>
      <c r="M92" s="18">
        <f t="shared" ca="1" si="239"/>
        <v>4559</v>
      </c>
      <c r="N92" s="19">
        <f t="shared" ca="1" si="240"/>
        <v>192.79999999999973</v>
      </c>
      <c r="O92" s="16">
        <v>6853</v>
      </c>
      <c r="P92" s="20">
        <f t="shared" ca="1" si="241"/>
        <v>0.66525609222238435</v>
      </c>
      <c r="Q92" s="21">
        <v>1.5</v>
      </c>
      <c r="R92" s="20">
        <f t="shared" ca="1" si="242"/>
        <v>0.45040505828887639</v>
      </c>
      <c r="S92" s="22">
        <f t="shared" ca="1" si="243"/>
        <v>0.67560758743331462</v>
      </c>
      <c r="T92" s="21">
        <f ca="1">F92/33.74</f>
        <v>199.99999999999969</v>
      </c>
      <c r="U92" s="21">
        <f t="shared" ca="1" si="244"/>
        <v>5.7142857142857055</v>
      </c>
      <c r="V92" s="18">
        <f t="shared" ca="1" si="245"/>
        <v>130.25714285714287</v>
      </c>
      <c r="W92" s="76"/>
      <c r="X92" s="1" t="s">
        <v>2</v>
      </c>
      <c r="Y92" s="1" t="s">
        <v>3</v>
      </c>
      <c r="Z92" s="1" t="s">
        <v>4</v>
      </c>
      <c r="AA92" s="1" t="s">
        <v>5</v>
      </c>
      <c r="AB92" s="2" t="s">
        <v>6</v>
      </c>
      <c r="AC92" s="1" t="s">
        <v>7</v>
      </c>
      <c r="AD92" s="1" t="s">
        <v>8</v>
      </c>
      <c r="AE92" s="1" t="s">
        <v>9</v>
      </c>
      <c r="AF92" s="1" t="s">
        <v>10</v>
      </c>
      <c r="AG92" s="1" t="s">
        <v>11</v>
      </c>
      <c r="AH92" s="1" t="s">
        <v>12</v>
      </c>
      <c r="AI92" s="1" t="s">
        <v>13</v>
      </c>
      <c r="AJ92" s="2" t="s">
        <v>14</v>
      </c>
      <c r="AK92" s="1" t="s">
        <v>15</v>
      </c>
      <c r="AL92" s="1" t="s">
        <v>16</v>
      </c>
      <c r="AM92" s="3" t="s">
        <v>17</v>
      </c>
      <c r="AN92" s="4" t="s">
        <v>18</v>
      </c>
      <c r="AO92" s="5" t="s">
        <v>19</v>
      </c>
      <c r="AP92" s="6" t="s">
        <v>20</v>
      </c>
      <c r="AQ92" s="6" t="s">
        <v>21</v>
      </c>
      <c r="AR92" s="7" t="s">
        <v>22</v>
      </c>
      <c r="AS92" s="76"/>
      <c r="AT92" s="76"/>
    </row>
    <row r="93" spans="1:46" ht="15.75" customHeight="1" x14ac:dyDescent="0.25">
      <c r="A93" s="70"/>
      <c r="B93" s="16">
        <v>7</v>
      </c>
      <c r="C93" s="16" t="s">
        <v>24</v>
      </c>
      <c r="D93" s="17">
        <v>44</v>
      </c>
      <c r="E93" s="31">
        <f ca="1">IFERROR(__xludf.DUMMYFUNCTION("COUNT(IMPORTRANGE(""https://docs.google.com/spreadsheets/d/1iuPvivSypupo44l6GtmR-2qZ3za7cTk7KzsOVp_kv2c/edit"",""4!d2:d45""))"),43)</f>
        <v>43</v>
      </c>
      <c r="F93" s="32">
        <f ca="1">IFERROR(__xludf.DUMMYFUNCTION("SUM(IMPORTRANGE(""https://docs.google.com/spreadsheets/d/1iuPvivSypupo44l6GtmR-2qZ3za7cTk7KzsOVp_kv2c/edit"",""4!Q2:Q45""))"),8618.12299999999)</f>
        <v>8618.1229999999905</v>
      </c>
      <c r="G93" s="31">
        <f ca="1">IFERROR(__xludf.DUMMYFUNCTION("IMPORTRANGE(""https://docs.google.com/spreadsheets/d/1iuPvivSypupo44l6GtmR-2qZ3za7cTk7KzsOVp_kv2c/edit"",""4!e53"")"),1253)</f>
        <v>1253</v>
      </c>
      <c r="H93" s="31">
        <f ca="1">IFERROR(__xludf.DUMMYFUNCTION("IMPORTRANGE(""https://docs.google.com/spreadsheets/d/1iuPvivSypupo44l6GtmR-2qZ3za7cTk7KzsOVp_kv2c/edit"",""4!e54"")"),0)</f>
        <v>0</v>
      </c>
      <c r="I93" s="31">
        <f t="shared" ca="1" si="237"/>
        <v>1253</v>
      </c>
      <c r="J93" s="31">
        <f ca="1">IFERROR(__xludf.DUMMYFUNCTION("IMPORTRANGE(""https://docs.google.com/spreadsheets/d/1iuPvivSypupo44l6GtmR-2qZ3za7cTk7KzsOVp_kv2c/edit"",""4!e57"")"),1254)</f>
        <v>1254</v>
      </c>
      <c r="K93" s="31">
        <f ca="1">IFERROR(__xludf.DUMMYFUNCTION("IMPORTRANGE(""https://docs.google.com/spreadsheets/d/1iuPvivSypupo44l6GtmR-2qZ3za7cTk7KzsOVp_kv2c/edit"",""4!e58"")"),43)</f>
        <v>43</v>
      </c>
      <c r="L93" s="18">
        <f t="shared" ca="1" si="238"/>
        <v>1297</v>
      </c>
      <c r="M93" s="18">
        <f t="shared" ca="1" si="239"/>
        <v>2550</v>
      </c>
      <c r="N93" s="19">
        <f t="shared" ca="1" si="240"/>
        <v>200.42146511627885</v>
      </c>
      <c r="O93" s="16">
        <v>1580</v>
      </c>
      <c r="P93" s="33">
        <f t="shared" ca="1" si="241"/>
        <v>1.6139240506329113</v>
      </c>
      <c r="Q93" s="21">
        <v>1.5</v>
      </c>
      <c r="R93" s="20">
        <f t="shared" ca="1" si="242"/>
        <v>0.19725873023627094</v>
      </c>
      <c r="S93" s="22">
        <f t="shared" ca="1" si="243"/>
        <v>0.29588809535440641</v>
      </c>
      <c r="T93" s="21">
        <f ca="1">F93/26.805</f>
        <v>321.51177019212798</v>
      </c>
      <c r="U93" s="21">
        <f t="shared" ca="1" si="244"/>
        <v>7.477017911444837</v>
      </c>
      <c r="V93" s="18">
        <f t="shared" ca="1" si="245"/>
        <v>59.302325581395351</v>
      </c>
      <c r="W93" s="76"/>
      <c r="X93" s="8">
        <v>1</v>
      </c>
      <c r="Y93" s="8" t="s">
        <v>28</v>
      </c>
      <c r="Z93" s="8">
        <f t="shared" ref="Z93:AI93" si="256">SUM(D88)</f>
        <v>33</v>
      </c>
      <c r="AA93" s="9">
        <f t="shared" ca="1" si="256"/>
        <v>33</v>
      </c>
      <c r="AB93" s="11">
        <f t="shared" ca="1" si="256"/>
        <v>6574.0020000000004</v>
      </c>
      <c r="AC93" s="9">
        <f t="shared" ca="1" si="256"/>
        <v>3105</v>
      </c>
      <c r="AD93" s="9">
        <f t="shared" ca="1" si="256"/>
        <v>42</v>
      </c>
      <c r="AE93" s="9">
        <f t="shared" ca="1" si="256"/>
        <v>3147</v>
      </c>
      <c r="AF93" s="9">
        <f t="shared" ca="1" si="256"/>
        <v>2663</v>
      </c>
      <c r="AG93" s="9">
        <f t="shared" ca="1" si="256"/>
        <v>300</v>
      </c>
      <c r="AH93" s="9">
        <f t="shared" ca="1" si="256"/>
        <v>2963</v>
      </c>
      <c r="AI93" s="9">
        <f t="shared" ca="1" si="256"/>
        <v>6110</v>
      </c>
      <c r="AJ93" s="11">
        <f t="shared" ref="AJ93:AJ99" ca="1" si="257">AB93/AA93</f>
        <v>199.21218181818182</v>
      </c>
      <c r="AK93" s="8">
        <f t="shared" ref="AK93:AK94" si="258">SUM(O88)</f>
        <v>7315</v>
      </c>
      <c r="AL93" s="12">
        <f t="shared" ref="AL93:AL99" ca="1" si="259">AI93/AK93</f>
        <v>0.83526999316473005</v>
      </c>
      <c r="AM93" s="13">
        <f t="shared" ref="AM93:AM94" si="260">SUM(Q88)</f>
        <v>1.5</v>
      </c>
      <c r="AN93" s="12">
        <f t="shared" ref="AN93:AN99" ca="1" si="261">AO93/AM93</f>
        <v>0.6196124268494797</v>
      </c>
      <c r="AO93" s="14">
        <f t="shared" ref="AO93:AO99" ca="1" si="262">AI93/AB93</f>
        <v>0.9294186402742195</v>
      </c>
      <c r="AP93" s="13">
        <f t="shared" ref="AP93:AQ93" ca="1" si="263">SUM(T88)</f>
        <v>212.771531216623</v>
      </c>
      <c r="AQ93" s="13">
        <f t="shared" ca="1" si="263"/>
        <v>6.4476221580794846</v>
      </c>
      <c r="AR93" s="9">
        <f t="shared" ref="AR93:AR99" ca="1" si="264">AI93/AA93</f>
        <v>185.15151515151516</v>
      </c>
      <c r="AS93" s="76"/>
      <c r="AT93" s="76"/>
    </row>
    <row r="94" spans="1:46" ht="15.75" customHeight="1" x14ac:dyDescent="0.25">
      <c r="A94" s="70"/>
      <c r="B94" s="16">
        <v>8</v>
      </c>
      <c r="C94" s="16" t="s">
        <v>25</v>
      </c>
      <c r="D94" s="34">
        <v>32</v>
      </c>
      <c r="E94" s="18">
        <f ca="1">IFERROR(__xludf.DUMMYFUNCTION("COUNT(IMPORTRANGE(""https://docs.google.com/spreadsheets/d/1sqWX7UerdR9KR_duBzDNfjwbPG-3hLgV1LiN2ZVZ6Js/edit"",""4!d2:D33""))"),28)</f>
        <v>28</v>
      </c>
      <c r="F94" s="23">
        <f ca="1">IFERROR(__xludf.DUMMYFUNCTION("SUM(IMPORTRANGE(""https://docs.google.com/spreadsheets/d/1sqWX7UerdR9KR_duBzDNfjwbPG-3hLgV1LiN2ZVZ6Js/edit"",""4!Q2:Q33""))"),5077.91999999999)</f>
        <v>5077.9199999999901</v>
      </c>
      <c r="G94" s="18">
        <f ca="1">IFERROR(__xludf.DUMMYFUNCTION("IMPORTRANGE(""https://docs.google.com/spreadsheets/d/1sqWX7UerdR9KR_duBzDNfjwbPG-3hLgV1LiN2ZVZ6Js/edit"",""4!e40"")"),2083)</f>
        <v>2083</v>
      </c>
      <c r="H94" s="18">
        <f ca="1">IFERROR(__xludf.DUMMYFUNCTION("IMPORTRANGE(""https://docs.google.com/spreadsheets/d/1sqWX7UerdR9KR_duBzDNfjwbPG-3hLgV1LiN2ZVZ6Js/edit"",""4!e41"")"),321)</f>
        <v>321</v>
      </c>
      <c r="I94" s="18">
        <f t="shared" ca="1" si="237"/>
        <v>2404</v>
      </c>
      <c r="J94" s="18">
        <f ca="1">IFERROR(__xludf.DUMMYFUNCTION("IMPORTRANGE(""https://docs.google.com/spreadsheets/d/1sqWX7UerdR9KR_duBzDNfjwbPG-3hLgV1LiN2ZVZ6Js/edit"",""4!e44"")"),2795)</f>
        <v>2795</v>
      </c>
      <c r="K94" s="18">
        <f ca="1">IFERROR(__xludf.DUMMYFUNCTION("IMPORTRANGE(""https://docs.google.com/spreadsheets/d/1sqWX7UerdR9KR_duBzDNfjwbPG-3hLgV1LiN2ZVZ6Js/edit"",""4!e45"")"),275)</f>
        <v>275</v>
      </c>
      <c r="L94" s="18">
        <f ca="1">J94+K94</f>
        <v>3070</v>
      </c>
      <c r="M94" s="18">
        <f t="shared" ca="1" si="239"/>
        <v>5474</v>
      </c>
      <c r="N94" s="19">
        <f t="shared" ca="1" si="240"/>
        <v>181.35428571428537</v>
      </c>
      <c r="O94" s="16">
        <v>6622</v>
      </c>
      <c r="P94" s="20">
        <f t="shared" ca="1" si="241"/>
        <v>0.82663847780126853</v>
      </c>
      <c r="Q94" s="21">
        <v>1.5</v>
      </c>
      <c r="R94" s="20">
        <f t="shared" ca="1" si="242"/>
        <v>0.71866696075033498</v>
      </c>
      <c r="S94" s="22">
        <f t="shared" ca="1" si="243"/>
        <v>1.0780004411255024</v>
      </c>
      <c r="T94" s="21">
        <f ca="1">F94/23.84</f>
        <v>212.99999999999957</v>
      </c>
      <c r="U94" s="21">
        <f t="shared" ca="1" si="244"/>
        <v>7.6071428571428417</v>
      </c>
      <c r="V94" s="18">
        <f t="shared" ca="1" si="245"/>
        <v>195.5</v>
      </c>
      <c r="W94" s="76"/>
      <c r="X94" s="8">
        <v>2</v>
      </c>
      <c r="Y94" s="8" t="s">
        <v>30</v>
      </c>
      <c r="Z94" s="8">
        <f t="shared" ref="Z94:AI94" si="265">SUM(D89)</f>
        <v>60</v>
      </c>
      <c r="AA94" s="9">
        <f t="shared" ca="1" si="265"/>
        <v>59</v>
      </c>
      <c r="AB94" s="10">
        <f t="shared" ca="1" si="265"/>
        <v>11650.8829999999</v>
      </c>
      <c r="AC94" s="9">
        <f t="shared" ca="1" si="265"/>
        <v>3449</v>
      </c>
      <c r="AD94" s="9">
        <f t="shared" ca="1" si="265"/>
        <v>0</v>
      </c>
      <c r="AE94" s="9">
        <f t="shared" ca="1" si="265"/>
        <v>3449</v>
      </c>
      <c r="AF94" s="9">
        <f t="shared" ca="1" si="265"/>
        <v>5760</v>
      </c>
      <c r="AG94" s="9">
        <f t="shared" ca="1" si="265"/>
        <v>0</v>
      </c>
      <c r="AH94" s="9">
        <f t="shared" ca="1" si="265"/>
        <v>5760</v>
      </c>
      <c r="AI94" s="9">
        <f t="shared" ca="1" si="265"/>
        <v>9209</v>
      </c>
      <c r="AJ94" s="11">
        <f t="shared" ca="1" si="257"/>
        <v>197.47259322033727</v>
      </c>
      <c r="AK94" s="8">
        <f t="shared" si="258"/>
        <v>11164</v>
      </c>
      <c r="AL94" s="12">
        <f t="shared" ca="1" si="259"/>
        <v>0.82488355428161952</v>
      </c>
      <c r="AM94" s="13">
        <f t="shared" si="260"/>
        <v>1.5</v>
      </c>
      <c r="AN94" s="12">
        <f t="shared" ca="1" si="261"/>
        <v>0.52694146300614175</v>
      </c>
      <c r="AO94" s="14">
        <f t="shared" ca="1" si="262"/>
        <v>0.79041219450921263</v>
      </c>
      <c r="AP94" s="13">
        <f t="shared" ref="AP94:AQ94" ca="1" si="266">SUM(T89)</f>
        <v>393.57102320710396</v>
      </c>
      <c r="AQ94" s="13">
        <f t="shared" ca="1" si="266"/>
        <v>6.6706953085949827</v>
      </c>
      <c r="AR94" s="9">
        <f t="shared" ca="1" si="264"/>
        <v>156.08474576271186</v>
      </c>
      <c r="AS94" s="76"/>
      <c r="AT94" s="76"/>
    </row>
    <row r="95" spans="1:46" ht="15.75" customHeight="1" x14ac:dyDescent="0.25">
      <c r="A95" s="70"/>
      <c r="B95" s="16">
        <v>9</v>
      </c>
      <c r="C95" s="16" t="s">
        <v>36</v>
      </c>
      <c r="D95" s="34">
        <v>30</v>
      </c>
      <c r="E95" s="18">
        <f ca="1">IFERROR(__xludf.DUMMYFUNCTION("COUNT(IMPORTRANGE(""https://docs.google.com/spreadsheets/d/1YNna43iTSqnwwbMJgTIPHSJEoDO8RGPRFg5pJCoQR_Y/edit"",""4!d2:d31""))"),30)</f>
        <v>30</v>
      </c>
      <c r="F95" s="23">
        <f ca="1">IFERROR(__xludf.DUMMYFUNCTION("SUM(IMPORTRANGE(""https://docs.google.com/spreadsheets/d/1YNna43iTSqnwwbMJgTIPHSJEoDO8RGPRFg5pJCoQR_Y/edit"",""4!Q2:Q31""))"),5756.968)</f>
        <v>5756.9679999999998</v>
      </c>
      <c r="G95" s="18">
        <f ca="1">IFERROR(__xludf.DUMMYFUNCTION("IMPORTRANGE(""https://docs.google.com/spreadsheets/d/1YNna43iTSqnwwbMJgTIPHSJEoDO8RGPRFg5pJCoQR_Y/edit"",""4!e38"")"),1567)</f>
        <v>1567</v>
      </c>
      <c r="H95" s="18">
        <f ca="1">IFERROR(__xludf.DUMMYFUNCTION("IMPORTRANGE(""https://docs.google.com/spreadsheets/d/1YNna43iTSqnwwbMJgTIPHSJEoDO8RGPRFg5pJCoQR_Y/edit"",""4!e39"")"),0)</f>
        <v>0</v>
      </c>
      <c r="I95" s="18">
        <f t="shared" ca="1" si="237"/>
        <v>1567</v>
      </c>
      <c r="J95" s="18">
        <f ca="1">IFERROR(__xludf.DUMMYFUNCTION("IMPORTRANGE(""https://docs.google.com/spreadsheets/d/1YNna43iTSqnwwbMJgTIPHSJEoDO8RGPRFg5pJCoQR_Y/edit"",""4!e42"")"),2533)</f>
        <v>2533</v>
      </c>
      <c r="K95" s="18">
        <f ca="1">IFERROR(__xludf.DUMMYFUNCTION("IMPORTRANGE(""https://docs.google.com/spreadsheets/d/1YNna43iTSqnwwbMJgTIPHSJEoDO8RGPRFg5pJCoQR_Y/edit"",""4!e43"")"),0)</f>
        <v>0</v>
      </c>
      <c r="L95" s="18">
        <f t="shared" ref="L95:L104" ca="1" si="267">SUM(J95:K95)</f>
        <v>2533</v>
      </c>
      <c r="M95" s="18">
        <f t="shared" ca="1" si="239"/>
        <v>4100</v>
      </c>
      <c r="N95" s="19">
        <f t="shared" ca="1" si="240"/>
        <v>191.89893333333333</v>
      </c>
      <c r="O95" s="16">
        <v>4796</v>
      </c>
      <c r="P95" s="20">
        <f t="shared" ca="1" si="241"/>
        <v>0.85487906588824025</v>
      </c>
      <c r="Q95" s="21">
        <v>1.5</v>
      </c>
      <c r="R95" s="20">
        <f t="shared" ca="1" si="242"/>
        <v>0.47478695961716882</v>
      </c>
      <c r="S95" s="22">
        <f t="shared" ca="1" si="243"/>
        <v>0.71218043942575326</v>
      </c>
      <c r="T95" s="21">
        <f ca="1">F95/37.414</f>
        <v>153.87202651413909</v>
      </c>
      <c r="U95" s="21">
        <f t="shared" ca="1" si="244"/>
        <v>5.1290675504713032</v>
      </c>
      <c r="V95" s="18">
        <f t="shared" ca="1" si="245"/>
        <v>136.66666666666666</v>
      </c>
      <c r="W95" s="76"/>
      <c r="X95" s="8">
        <v>3</v>
      </c>
      <c r="Y95" s="8" t="s">
        <v>34</v>
      </c>
      <c r="Z95" s="8">
        <f t="shared" ref="Z95:AI95" si="268">SUM(D91)</f>
        <v>40</v>
      </c>
      <c r="AA95" s="9">
        <f t="shared" ca="1" si="268"/>
        <v>38</v>
      </c>
      <c r="AB95" s="10">
        <f t="shared" ca="1" si="268"/>
        <v>7453.8540000000003</v>
      </c>
      <c r="AC95" s="9">
        <f t="shared" ca="1" si="268"/>
        <v>2927</v>
      </c>
      <c r="AD95" s="9">
        <f t="shared" ca="1" si="268"/>
        <v>0</v>
      </c>
      <c r="AE95" s="9">
        <f t="shared" ca="1" si="268"/>
        <v>2927</v>
      </c>
      <c r="AF95" s="9">
        <f t="shared" ca="1" si="268"/>
        <v>3090</v>
      </c>
      <c r="AG95" s="9">
        <f t="shared" ca="1" si="268"/>
        <v>20</v>
      </c>
      <c r="AH95" s="9">
        <f t="shared" ca="1" si="268"/>
        <v>3110</v>
      </c>
      <c r="AI95" s="9">
        <f t="shared" ca="1" si="268"/>
        <v>6037</v>
      </c>
      <c r="AJ95" s="11">
        <f t="shared" ca="1" si="257"/>
        <v>196.15405263157896</v>
      </c>
      <c r="AK95" s="8">
        <f>SUM(O91)</f>
        <v>9354</v>
      </c>
      <c r="AL95" s="12">
        <f t="shared" ca="1" si="259"/>
        <v>0.64539234552063285</v>
      </c>
      <c r="AM95" s="13">
        <f>SUM(Q91)</f>
        <v>1.5</v>
      </c>
      <c r="AN95" s="12">
        <f t="shared" ca="1" si="261"/>
        <v>0.53994439207779854</v>
      </c>
      <c r="AO95" s="14">
        <f t="shared" ca="1" si="262"/>
        <v>0.80991658811669776</v>
      </c>
      <c r="AP95" s="13">
        <f t="shared" ref="AP95:AQ95" ca="1" si="269">SUM(T91)</f>
        <v>242.69377787907402</v>
      </c>
      <c r="AQ95" s="13">
        <f t="shared" ca="1" si="269"/>
        <v>6.3866783652387902</v>
      </c>
      <c r="AR95" s="9">
        <f t="shared" ca="1" si="264"/>
        <v>158.86842105263159</v>
      </c>
      <c r="AS95" s="76"/>
      <c r="AT95" s="76"/>
    </row>
    <row r="96" spans="1:46" ht="15.75" customHeight="1" x14ac:dyDescent="0.25">
      <c r="A96" s="70"/>
      <c r="B96" s="16">
        <v>10</v>
      </c>
      <c r="C96" s="16" t="s">
        <v>37</v>
      </c>
      <c r="D96" s="17">
        <v>30</v>
      </c>
      <c r="E96" s="18">
        <f ca="1">IFERROR(__xludf.DUMMYFUNCTION("COUNT(IMPORTRANGE(""https://docs.google.com/spreadsheets/d/1913Df5BsXS_b-nClL8LOK5w0engQYTl1mPOiyngRtO0/edit"",""4!d2:d31""))"),28)</f>
        <v>28</v>
      </c>
      <c r="F96" s="23">
        <f ca="1">IFERROR(__xludf.DUMMYFUNCTION("SUM(IMPORTRANGE(""https://docs.google.com/spreadsheets/d/1913Df5BsXS_b-nClL8LOK5w0engQYTl1mPOiyngRtO0/edit"",""4!Q2:Q31""))"),5399.86199999999)</f>
        <v>5399.8619999999901</v>
      </c>
      <c r="G96" s="18">
        <f ca="1">IFERROR(__xludf.DUMMYFUNCTION("(IMPORTRANGE(""https://docs.google.com/spreadsheets/d/1913Df5BsXS_b-nClL8LOK5w0engQYTl1mPOiyngRtO0/edit"",""4!e38""))"),1991)</f>
        <v>1991</v>
      </c>
      <c r="H96" s="18">
        <f ca="1">IFERROR(__xludf.DUMMYFUNCTION("(IMPORTRANGE(""https://docs.google.com/spreadsheets/d/1913Df5BsXS_b-nClL8LOK5w0engQYTl1mPOiyngRtO0/edit"",""4!e39""))"),0)</f>
        <v>0</v>
      </c>
      <c r="I96" s="18">
        <f t="shared" ca="1" si="237"/>
        <v>1991</v>
      </c>
      <c r="J96" s="18">
        <f ca="1">IFERROR(__xludf.DUMMYFUNCTION("(IMPORTRANGE(""https://docs.google.com/spreadsheets/d/1913Df5BsXS_b-nClL8LOK5w0engQYTl1mPOiyngRtO0/edit"",""4!e42""))"),3237)</f>
        <v>3237</v>
      </c>
      <c r="K96" s="18">
        <f ca="1">IFERROR(__xludf.DUMMYFUNCTION("(IMPORTRANGE(""https://docs.google.com/spreadsheets/d/1913Df5BsXS_b-nClL8LOK5w0engQYTl1mPOiyngRtO0/edit"",""4!e43""))"),0)</f>
        <v>0</v>
      </c>
      <c r="L96" s="18">
        <f t="shared" ca="1" si="267"/>
        <v>3237</v>
      </c>
      <c r="M96" s="18">
        <f t="shared" ca="1" si="239"/>
        <v>5228</v>
      </c>
      <c r="N96" s="19">
        <f t="shared" ca="1" si="240"/>
        <v>192.85221428571393</v>
      </c>
      <c r="O96" s="16">
        <v>5887</v>
      </c>
      <c r="P96" s="20">
        <f t="shared" ca="1" si="241"/>
        <v>0.88805843383726857</v>
      </c>
      <c r="Q96" s="21">
        <v>1.5</v>
      </c>
      <c r="R96" s="20">
        <f t="shared" ca="1" si="242"/>
        <v>0.64544859356282436</v>
      </c>
      <c r="S96" s="22">
        <f t="shared" ca="1" si="243"/>
        <v>0.96817289034423648</v>
      </c>
      <c r="T96" s="21">
        <f ca="1">F96/24.792</f>
        <v>217.80663117134517</v>
      </c>
      <c r="U96" s="21">
        <f t="shared" ca="1" si="244"/>
        <v>7.7788082561194702</v>
      </c>
      <c r="V96" s="18">
        <f t="shared" ca="1" si="245"/>
        <v>186.71428571428572</v>
      </c>
      <c r="W96" s="76"/>
      <c r="X96" s="8">
        <v>4</v>
      </c>
      <c r="Y96" s="8" t="s">
        <v>38</v>
      </c>
      <c r="Z96" s="8">
        <f t="shared" ref="Z96:AI96" si="270">SUM(D99)</f>
        <v>30</v>
      </c>
      <c r="AA96" s="9">
        <f t="shared" ca="1" si="270"/>
        <v>30</v>
      </c>
      <c r="AB96" s="10">
        <f t="shared" ca="1" si="270"/>
        <v>5913.43299999999</v>
      </c>
      <c r="AC96" s="9">
        <f t="shared" ca="1" si="270"/>
        <v>2151</v>
      </c>
      <c r="AD96" s="9">
        <f t="shared" ca="1" si="270"/>
        <v>0</v>
      </c>
      <c r="AE96" s="9">
        <f t="shared" ca="1" si="270"/>
        <v>2151</v>
      </c>
      <c r="AF96" s="9">
        <f t="shared" ca="1" si="270"/>
        <v>3081</v>
      </c>
      <c r="AG96" s="9">
        <f t="shared" ca="1" si="270"/>
        <v>237</v>
      </c>
      <c r="AH96" s="9">
        <f t="shared" ca="1" si="270"/>
        <v>3318</v>
      </c>
      <c r="AI96" s="9">
        <f t="shared" ca="1" si="270"/>
        <v>5469</v>
      </c>
      <c r="AJ96" s="11">
        <f t="shared" ca="1" si="257"/>
        <v>197.11443333333301</v>
      </c>
      <c r="AK96" s="8">
        <v>7324</v>
      </c>
      <c r="AL96" s="12">
        <f t="shared" ca="1" si="259"/>
        <v>0.74672310212998361</v>
      </c>
      <c r="AM96" s="13">
        <f>SUM(Q99)</f>
        <v>1.5</v>
      </c>
      <c r="AN96" s="12">
        <f t="shared" ca="1" si="261"/>
        <v>0.61656232513330345</v>
      </c>
      <c r="AO96" s="14">
        <f t="shared" ca="1" si="262"/>
        <v>0.92484348769995517</v>
      </c>
      <c r="AP96" s="13">
        <f t="shared" ref="AP96:AQ96" ca="1" si="271">SUM(T99)</f>
        <v>143.51251061764324</v>
      </c>
      <c r="AQ96" s="13">
        <f t="shared" ca="1" si="271"/>
        <v>4.7837503539214419</v>
      </c>
      <c r="AR96" s="9">
        <f t="shared" ca="1" si="264"/>
        <v>182.3</v>
      </c>
      <c r="AS96" s="76"/>
      <c r="AT96" s="76"/>
    </row>
    <row r="97" spans="1:46" ht="15.75" customHeight="1" x14ac:dyDescent="0.25">
      <c r="A97" s="70"/>
      <c r="B97" s="16">
        <v>12</v>
      </c>
      <c r="C97" s="16" t="s">
        <v>39</v>
      </c>
      <c r="D97" s="17">
        <v>28</v>
      </c>
      <c r="E97" s="18">
        <f ca="1">IFERROR(__xludf.DUMMYFUNCTION("COUNT(IMPORTRANGE(""https://docs.google.com/spreadsheets/d/1wMeol_MpSIcocGxt3WZGl46mJ2tc80mANPvP_YzaP18/edit"",""4!d2:d29""))"),27)</f>
        <v>27</v>
      </c>
      <c r="F97" s="23">
        <f ca="1">IFERROR(__xludf.DUMMYFUNCTION("SUM(IMPORTRANGE(""https://docs.google.com/spreadsheets/d/1wMeol_MpSIcocGxt3WZGl46mJ2tc80mANPvP_YzaP18/edit"",""4!Q2:Q29""))"),5201.32199999999)</f>
        <v>5201.3219999999901</v>
      </c>
      <c r="G97" s="18">
        <f ca="1">IFERROR(__xludf.DUMMYFUNCTION("IMPORTRANGE(""https://docs.google.com/spreadsheets/d/1wMeol_MpSIcocGxt3WZGl46mJ2tc80mANPvP_YzaP18/edit"",""4!e36"")"),1031)</f>
        <v>1031</v>
      </c>
      <c r="H97" s="18">
        <f ca="1">IFERROR(__xludf.DUMMYFUNCTION("(IMPORTRANGE(""https://docs.google.com/spreadsheets/d/1wMeol_MpSIcocGxt3WZGl46mJ2tc80mANPvP_YzaP18/edit"",""4!e37""))"),120)</f>
        <v>120</v>
      </c>
      <c r="I97" s="18">
        <f t="shared" ca="1" si="237"/>
        <v>1151</v>
      </c>
      <c r="J97" s="18">
        <f ca="1">IFERROR(__xludf.DUMMYFUNCTION("IMPORTRANGE(""https://docs.google.com/spreadsheets/d/1wMeol_MpSIcocGxt3WZGl46mJ2tc80mANPvP_YzaP18/edit"",""4!e40"")"),1774)</f>
        <v>1774</v>
      </c>
      <c r="K97" s="18">
        <f ca="1">IFERROR(__xludf.DUMMYFUNCTION("IMPORTRANGE(""https://docs.google.com/spreadsheets/d/1wMeol_MpSIcocGxt3WZGl46mJ2tc80mANPvP_YzaP18/edit"",""4!e41"")"),138)</f>
        <v>138</v>
      </c>
      <c r="L97" s="18">
        <f t="shared" ca="1" si="267"/>
        <v>1912</v>
      </c>
      <c r="M97" s="18">
        <f t="shared" ca="1" si="239"/>
        <v>3063</v>
      </c>
      <c r="N97" s="19">
        <f t="shared" ca="1" si="240"/>
        <v>192.64155555555519</v>
      </c>
      <c r="O97" s="16">
        <v>3569</v>
      </c>
      <c r="P97" s="20">
        <f t="shared" ca="1" si="241"/>
        <v>0.85822359204258891</v>
      </c>
      <c r="Q97" s="21">
        <v>1.5</v>
      </c>
      <c r="R97" s="20">
        <f t="shared" ca="1" si="242"/>
        <v>0.39259249859939532</v>
      </c>
      <c r="S97" s="22">
        <f t="shared" ca="1" si="243"/>
        <v>0.58888874789909296</v>
      </c>
      <c r="T97" s="21">
        <f ca="1">F97/21.463</f>
        <v>242.33900200344732</v>
      </c>
      <c r="U97" s="21">
        <f t="shared" ca="1" si="244"/>
        <v>8.9755185927202703</v>
      </c>
      <c r="V97" s="18">
        <f t="shared" ca="1" si="245"/>
        <v>113.44444444444444</v>
      </c>
      <c r="W97" s="76"/>
      <c r="X97" s="8">
        <v>5</v>
      </c>
      <c r="Y97" s="8" t="s">
        <v>40</v>
      </c>
      <c r="Z97" s="8">
        <f t="shared" ref="Z97:AI97" si="272">SUM(D101)</f>
        <v>30</v>
      </c>
      <c r="AA97" s="9">
        <f t="shared" ca="1" si="272"/>
        <v>30</v>
      </c>
      <c r="AB97" s="10">
        <f t="shared" ca="1" si="272"/>
        <v>5446.1679999999997</v>
      </c>
      <c r="AC97" s="9">
        <f t="shared" ca="1" si="272"/>
        <v>3554</v>
      </c>
      <c r="AD97" s="9">
        <f t="shared" ca="1" si="272"/>
        <v>0</v>
      </c>
      <c r="AE97" s="9">
        <f t="shared" ca="1" si="272"/>
        <v>3554</v>
      </c>
      <c r="AF97" s="9">
        <f t="shared" ca="1" si="272"/>
        <v>3718</v>
      </c>
      <c r="AG97" s="9">
        <f t="shared" ca="1" si="272"/>
        <v>0</v>
      </c>
      <c r="AH97" s="9">
        <f t="shared" ca="1" si="272"/>
        <v>3718</v>
      </c>
      <c r="AI97" s="9">
        <f t="shared" ca="1" si="272"/>
        <v>7272</v>
      </c>
      <c r="AJ97" s="11">
        <f t="shared" ca="1" si="257"/>
        <v>181.53893333333332</v>
      </c>
      <c r="AK97" s="8">
        <f t="shared" ref="AK97:AK98" si="273">SUM(O101)</f>
        <v>8239</v>
      </c>
      <c r="AL97" s="12">
        <f t="shared" ca="1" si="259"/>
        <v>0.88263138730428448</v>
      </c>
      <c r="AM97" s="13">
        <f t="shared" ref="AM97:AM98" si="274">SUM(Q101)</f>
        <v>1.5</v>
      </c>
      <c r="AN97" s="12">
        <f t="shared" ca="1" si="261"/>
        <v>0.89016717809659929</v>
      </c>
      <c r="AO97" s="14">
        <f t="shared" ca="1" si="262"/>
        <v>1.335250767144899</v>
      </c>
      <c r="AP97" s="13">
        <f t="shared" ref="AP97:AQ97" ca="1" si="275">SUM(T101)</f>
        <v>191.47656716942654</v>
      </c>
      <c r="AQ97" s="13">
        <f t="shared" ca="1" si="275"/>
        <v>6.3825522389808844</v>
      </c>
      <c r="AR97" s="9">
        <f t="shared" ca="1" si="264"/>
        <v>242.4</v>
      </c>
      <c r="AS97" s="76"/>
      <c r="AT97" s="76"/>
    </row>
    <row r="98" spans="1:46" ht="15.75" customHeight="1" x14ac:dyDescent="0.25">
      <c r="A98" s="70"/>
      <c r="B98" s="16">
        <v>12</v>
      </c>
      <c r="C98" s="16" t="s">
        <v>41</v>
      </c>
      <c r="D98" s="17">
        <v>24</v>
      </c>
      <c r="E98" s="18">
        <f ca="1">IFERROR(__xludf.DUMMYFUNCTION("COUNT(IMPORTRANGE(""https://docs.google.com/spreadsheets/d/1sHk6_yuc4kORC_xnhEeazoemV_hVUQVqRpfoNae-PLk/edit"",""4!d2:d25""))"),24)</f>
        <v>24</v>
      </c>
      <c r="F98" s="23">
        <f ca="1">IFERROR(__xludf.DUMMYFUNCTION("SUM(IMPORTRANGE(""https://docs.google.com/spreadsheets/d/1sHk6_yuc4kORC_xnhEeazoemV_hVUQVqRpfoNae-PLk/edit"",""4!Q2:Q25""))"),4704.268)</f>
        <v>4704.268</v>
      </c>
      <c r="G98" s="18">
        <f ca="1">IFERROR(__xludf.DUMMYFUNCTION("IMPORTRANGE(""https://docs.google.com/spreadsheets/d/1sHk6_yuc4kORC_xnhEeazoemV_hVUQVqRpfoNae-PLk/edit"",""4!e32"")"),1316)</f>
        <v>1316</v>
      </c>
      <c r="H98" s="18">
        <f ca="1">IFERROR(__xludf.DUMMYFUNCTION("IMPORTRANGE(""https://docs.google.com/spreadsheets/d/1sHk6_yuc4kORC_xnhEeazoemV_hVUQVqRpfoNae-PLk/edit"",""4!e33"")"),103)</f>
        <v>103</v>
      </c>
      <c r="I98" s="18">
        <f t="shared" ca="1" si="237"/>
        <v>1419</v>
      </c>
      <c r="J98" s="18">
        <f ca="1">IFERROR(__xludf.DUMMYFUNCTION("IMPORTRANGE(""https://docs.google.com/spreadsheets/d/1sHk6_yuc4kORC_xnhEeazoemV_hVUQVqRpfoNae-PLk/edit"",""4!e36"")"),1735)</f>
        <v>1735</v>
      </c>
      <c r="K98" s="18">
        <f ca="1">IFERROR(__xludf.DUMMYFUNCTION("IMPORTRANGE(""https://docs.google.com/spreadsheets/d/1sHk6_yuc4kORC_xnhEeazoemV_hVUQVqRpfoNae-PLk/edit"",""4!e37"")"),0)</f>
        <v>0</v>
      </c>
      <c r="L98" s="18">
        <f t="shared" ca="1" si="267"/>
        <v>1735</v>
      </c>
      <c r="M98" s="18">
        <f t="shared" ca="1" si="239"/>
        <v>3154</v>
      </c>
      <c r="N98" s="19">
        <f t="shared" ca="1" si="240"/>
        <v>196.01116666666667</v>
      </c>
      <c r="O98" s="16">
        <v>3801</v>
      </c>
      <c r="P98" s="20">
        <f t="shared" ca="1" si="241"/>
        <v>0.82978163641147062</v>
      </c>
      <c r="Q98" s="21">
        <v>1.5</v>
      </c>
      <c r="R98" s="20">
        <f t="shared" ca="1" si="242"/>
        <v>0.4469699997250724</v>
      </c>
      <c r="S98" s="22">
        <f t="shared" ca="1" si="243"/>
        <v>0.67045499958760857</v>
      </c>
      <c r="T98" s="21">
        <f ca="1">F98/29.628</f>
        <v>158.77777777777777</v>
      </c>
      <c r="U98" s="21">
        <f t="shared" ca="1" si="244"/>
        <v>6.6157407407407405</v>
      </c>
      <c r="V98" s="18">
        <f t="shared" ca="1" si="245"/>
        <v>131.41666666666666</v>
      </c>
      <c r="W98" s="76"/>
      <c r="X98" s="8">
        <v>6</v>
      </c>
      <c r="Y98" s="8" t="s">
        <v>42</v>
      </c>
      <c r="Z98" s="8">
        <f t="shared" ref="Z98:AI98" si="276">SUM(D102)</f>
        <v>33</v>
      </c>
      <c r="AA98" s="9">
        <f t="shared" ca="1" si="276"/>
        <v>33</v>
      </c>
      <c r="AB98" s="10">
        <f t="shared" ca="1" si="276"/>
        <v>6344.8959999999897</v>
      </c>
      <c r="AC98" s="9">
        <f t="shared" ca="1" si="276"/>
        <v>3109</v>
      </c>
      <c r="AD98" s="9">
        <f t="shared" ca="1" si="276"/>
        <v>140</v>
      </c>
      <c r="AE98" s="9">
        <f t="shared" ca="1" si="276"/>
        <v>3249</v>
      </c>
      <c r="AF98" s="9">
        <f t="shared" ca="1" si="276"/>
        <v>4076</v>
      </c>
      <c r="AG98" s="9">
        <f t="shared" ca="1" si="276"/>
        <v>179</v>
      </c>
      <c r="AH98" s="9">
        <f t="shared" ca="1" si="276"/>
        <v>4255</v>
      </c>
      <c r="AI98" s="9">
        <f t="shared" ca="1" si="276"/>
        <v>7504</v>
      </c>
      <c r="AJ98" s="11">
        <f t="shared" ca="1" si="257"/>
        <v>192.26957575757544</v>
      </c>
      <c r="AK98" s="8">
        <f t="shared" si="273"/>
        <v>9877</v>
      </c>
      <c r="AL98" s="12">
        <f t="shared" ca="1" si="259"/>
        <v>0.75974486180014178</v>
      </c>
      <c r="AM98" s="13">
        <f t="shared" si="274"/>
        <v>1.5</v>
      </c>
      <c r="AN98" s="12">
        <f t="shared" ca="1" si="261"/>
        <v>0.78845526651133058</v>
      </c>
      <c r="AO98" s="14">
        <f t="shared" ca="1" si="262"/>
        <v>1.1826828997669958</v>
      </c>
      <c r="AP98" s="13">
        <f t="shared" ref="AP98:AQ98" ca="1" si="277">SUM(T102)</f>
        <v>242.58826228254594</v>
      </c>
      <c r="AQ98" s="13">
        <f t="shared" ca="1" si="277"/>
        <v>7.3511594631074528</v>
      </c>
      <c r="AR98" s="9">
        <f t="shared" ca="1" si="264"/>
        <v>227.39393939393941</v>
      </c>
      <c r="AS98" s="76"/>
      <c r="AT98" s="76"/>
    </row>
    <row r="99" spans="1:46" ht="15.75" customHeight="1" x14ac:dyDescent="0.25">
      <c r="A99" s="70"/>
      <c r="B99" s="16">
        <v>13</v>
      </c>
      <c r="C99" s="16" t="s">
        <v>43</v>
      </c>
      <c r="D99" s="17">
        <v>30</v>
      </c>
      <c r="E99" s="18">
        <f ca="1">IFERROR(__xludf.DUMMYFUNCTION("COUNT(IMPORTRANGE(""https://docs.google.com/spreadsheets/d/1uGXvAN2jA6kmcEHUY4KqOHHewllZsujDdA6KVDfBCoA/edit"",""4!d2:d31""))"),30)</f>
        <v>30</v>
      </c>
      <c r="F99" s="23">
        <f ca="1">IFERROR(__xludf.DUMMYFUNCTION("SUM(IMPORTRANGE(""https://docs.google.com/spreadsheets/d/1uGXvAN2jA6kmcEHUY4KqOHHewllZsujDdA6KVDfBCoA/edit"",""4!Q2:Q31""))"),5913.43299999999)</f>
        <v>5913.43299999999</v>
      </c>
      <c r="G99" s="18">
        <f ca="1">IFERROR(__xludf.DUMMYFUNCTION("IMPORTRANGE(""https://docs.google.com/spreadsheets/d/1uGXvAN2jA6kmcEHUY4KqOHHewllZsujDdA6KVDfBCoA/edit"",""4!e38"")"),2151)</f>
        <v>2151</v>
      </c>
      <c r="H99" s="18">
        <f ca="1">IFERROR(__xludf.DUMMYFUNCTION("IMPORTRANGE(""https://docs.google.com/spreadsheets/d/1uGXvAN2jA6kmcEHUY4KqOHHewllZsujDdA6KVDfBCoA/edit"",""4!e39"")"),0)</f>
        <v>0</v>
      </c>
      <c r="I99" s="18">
        <f t="shared" ca="1" si="237"/>
        <v>2151</v>
      </c>
      <c r="J99" s="18">
        <f ca="1">IFERROR(__xludf.DUMMYFUNCTION("IMPORTRANGE(""https://docs.google.com/spreadsheets/d/1uGXvAN2jA6kmcEHUY4KqOHHewllZsujDdA6KVDfBCoA/edit"",""4!e42"")"),3081)</f>
        <v>3081</v>
      </c>
      <c r="K99" s="18">
        <f ca="1">IFERROR(__xludf.DUMMYFUNCTION("IMPORTRANGE(""https://docs.google.com/spreadsheets/d/1uGXvAN2jA6kmcEHUY4KqOHHewllZsujDdA6KVDfBCoA/edit"",""4!e43"")"),237)</f>
        <v>237</v>
      </c>
      <c r="L99" s="18">
        <f t="shared" ca="1" si="267"/>
        <v>3318</v>
      </c>
      <c r="M99" s="18">
        <f t="shared" ca="1" si="239"/>
        <v>5469</v>
      </c>
      <c r="N99" s="19">
        <f t="shared" ca="1" si="240"/>
        <v>197.11443333333301</v>
      </c>
      <c r="O99" s="16">
        <v>8345</v>
      </c>
      <c r="P99" s="20">
        <f t="shared" ca="1" si="241"/>
        <v>0.65536249251048528</v>
      </c>
      <c r="Q99" s="21">
        <v>1.5</v>
      </c>
      <c r="R99" s="20">
        <f t="shared" ca="1" si="242"/>
        <v>0.61656232513330345</v>
      </c>
      <c r="S99" s="22">
        <f t="shared" ca="1" si="243"/>
        <v>0.92484348769995517</v>
      </c>
      <c r="T99" s="21">
        <f ca="1">F99/41.205</f>
        <v>143.51251061764324</v>
      </c>
      <c r="U99" s="21">
        <f t="shared" ca="1" si="244"/>
        <v>4.7837503539214419</v>
      </c>
      <c r="V99" s="18">
        <f t="shared" ca="1" si="245"/>
        <v>182.3</v>
      </c>
      <c r="W99" s="76"/>
      <c r="X99" s="24" t="s">
        <v>33</v>
      </c>
      <c r="Y99" s="24">
        <v>6</v>
      </c>
      <c r="Z99" s="24">
        <f t="shared" ref="Z99:AI99" si="278">SUM(Z93:Z98)</f>
        <v>226</v>
      </c>
      <c r="AA99" s="25">
        <f t="shared" ca="1" si="278"/>
        <v>223</v>
      </c>
      <c r="AB99" s="27">
        <f t="shared" ca="1" si="278"/>
        <v>43383.235999999873</v>
      </c>
      <c r="AC99" s="25">
        <f t="shared" ca="1" si="278"/>
        <v>18295</v>
      </c>
      <c r="AD99" s="25">
        <f t="shared" ca="1" si="278"/>
        <v>182</v>
      </c>
      <c r="AE99" s="25">
        <f t="shared" ca="1" si="278"/>
        <v>18477</v>
      </c>
      <c r="AF99" s="25">
        <f t="shared" ca="1" si="278"/>
        <v>22388</v>
      </c>
      <c r="AG99" s="25">
        <f t="shared" ca="1" si="278"/>
        <v>736</v>
      </c>
      <c r="AH99" s="25">
        <f t="shared" ca="1" si="278"/>
        <v>23124</v>
      </c>
      <c r="AI99" s="25">
        <f t="shared" ca="1" si="278"/>
        <v>41601</v>
      </c>
      <c r="AJ99" s="27">
        <f t="shared" ca="1" si="257"/>
        <v>194.54365919282455</v>
      </c>
      <c r="AK99" s="24">
        <f>SUM(AK93:AK98)</f>
        <v>53273</v>
      </c>
      <c r="AL99" s="28">
        <f t="shared" ca="1" si="259"/>
        <v>0.78090214555215587</v>
      </c>
      <c r="AM99" s="29">
        <v>1.5</v>
      </c>
      <c r="AN99" s="28">
        <f t="shared" ca="1" si="261"/>
        <v>0.63927919069937711</v>
      </c>
      <c r="AO99" s="30">
        <f t="shared" ca="1" si="262"/>
        <v>0.95891878604906566</v>
      </c>
      <c r="AP99" s="29">
        <f ca="1">SUM(AP93:AP98)</f>
        <v>1426.6136723724167</v>
      </c>
      <c r="AQ99" s="29">
        <f ca="1">AP99/AA99</f>
        <v>6.397370728127429</v>
      </c>
      <c r="AR99" s="25">
        <f t="shared" ca="1" si="264"/>
        <v>186.55156950672645</v>
      </c>
      <c r="AS99" s="76"/>
      <c r="AT99" s="76"/>
    </row>
    <row r="100" spans="1:46" ht="15.75" customHeight="1" x14ac:dyDescent="0.25">
      <c r="A100" s="70"/>
      <c r="B100" s="16">
        <v>14</v>
      </c>
      <c r="C100" s="16" t="s">
        <v>27</v>
      </c>
      <c r="D100" s="17">
        <v>30</v>
      </c>
      <c r="E100" s="18">
        <f ca="1">IFERROR(__xludf.DUMMYFUNCTION("COUNT(IMPORTRANGE(""https://docs.google.com/spreadsheets/d/1iYtf3wkjJIgOL8ej0-L89wY8FLXKi6EiRbi9UqA1Bzw/edit"",""4!d2:d31""))"),29)</f>
        <v>29</v>
      </c>
      <c r="F100" s="23">
        <f ca="1">IFERROR(__xludf.DUMMYFUNCTION("SUM(IMPORTRANGE(""https://docs.google.com/spreadsheets/d/1iYtf3wkjJIgOL8ej0-L89wY8FLXKi6EiRbi9UqA1Bzw/edit"",""4!Q2:Q31""))"),5385.82)</f>
        <v>5385.82</v>
      </c>
      <c r="G100" s="18">
        <f ca="1">IFERROR(__xludf.DUMMYFUNCTION("IMPORTRANGE(""https://docs.google.com/spreadsheets/d/1iYtf3wkjJIgOL8ej0-L89wY8FLXKi6EiRbi9UqA1Bzw/edit"",""4!e38"")"),2451)</f>
        <v>2451</v>
      </c>
      <c r="H100" s="18">
        <f ca="1">IFERROR(__xludf.DUMMYFUNCTION("IMPORTRANGE(""https://docs.google.com/spreadsheets/d/1iYtf3wkjJIgOL8ej0-L89wY8FLXKi6EiRbi9UqA1Bzw/edit"",""4!e39"")"),90)</f>
        <v>90</v>
      </c>
      <c r="I100" s="18">
        <f t="shared" ca="1" si="237"/>
        <v>2541</v>
      </c>
      <c r="J100" s="18">
        <f ca="1">IFERROR(__xludf.DUMMYFUNCTION("IMPORTRANGE(""https://docs.google.com/spreadsheets/d/1iYtf3wkjJIgOL8ej0-L89wY8FLXKi6EiRbi9UqA1Bzw/edit"",""4!e42"")"),2614)</f>
        <v>2614</v>
      </c>
      <c r="K100" s="18">
        <f ca="1">IFERROR(__xludf.DUMMYFUNCTION("IMPORTRANGE(""https://docs.google.com/spreadsheets/d/1iYtf3wkjJIgOL8ej0-L89wY8FLXKi6EiRbi9UqA1Bzw/edit"",""4!e43"")"),380)</f>
        <v>380</v>
      </c>
      <c r="L100" s="18">
        <f t="shared" ca="1" si="267"/>
        <v>2994</v>
      </c>
      <c r="M100" s="18">
        <f t="shared" ca="1" si="239"/>
        <v>5535</v>
      </c>
      <c r="N100" s="19">
        <f t="shared" ca="1" si="240"/>
        <v>185.71793103448275</v>
      </c>
      <c r="O100" s="16">
        <v>8101</v>
      </c>
      <c r="P100" s="20">
        <f t="shared" ca="1" si="241"/>
        <v>0.68324898160720904</v>
      </c>
      <c r="Q100" s="21">
        <v>1.5</v>
      </c>
      <c r="R100" s="20">
        <f t="shared" ca="1" si="242"/>
        <v>0.68513244037119703</v>
      </c>
      <c r="S100" s="22">
        <f t="shared" ca="1" si="243"/>
        <v>1.0276986605567955</v>
      </c>
      <c r="T100" s="21">
        <f ca="1">F100/19.985</f>
        <v>269.49311983987991</v>
      </c>
      <c r="U100" s="21">
        <f t="shared" ca="1" si="244"/>
        <v>9.2928662013751691</v>
      </c>
      <c r="V100" s="18">
        <f t="shared" ca="1" si="245"/>
        <v>190.86206896551724</v>
      </c>
      <c r="W100" s="76"/>
      <c r="X100" s="97" t="s">
        <v>44</v>
      </c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9"/>
      <c r="AS100" s="76"/>
      <c r="AT100" s="76"/>
    </row>
    <row r="101" spans="1:46" ht="15.75" customHeight="1" x14ac:dyDescent="0.25">
      <c r="A101" s="70"/>
      <c r="B101" s="16">
        <v>15</v>
      </c>
      <c r="C101" s="16" t="s">
        <v>40</v>
      </c>
      <c r="D101" s="17">
        <v>30</v>
      </c>
      <c r="E101" s="18">
        <f ca="1">IFERROR(__xludf.DUMMYFUNCTION("COUNT(IMPORTRANGE(""https://docs.google.com/spreadsheets/d/1Wdf8MsoDBzMSsrzOXwaGQzbVjVqOWfKSqYmbncevZgA/edit"",""4!d2:d31""))"),30)</f>
        <v>30</v>
      </c>
      <c r="F101" s="23">
        <f ca="1">IFERROR(__xludf.DUMMYFUNCTION("SUM(IMPORTRANGE(""https://docs.google.com/spreadsheets/d/1Wdf8MsoDBzMSsrzOXwaGQzbVjVqOWfKSqYmbncevZgA/edit"",""4!Q2:Q31""))"),5446.168)</f>
        <v>5446.1679999999997</v>
      </c>
      <c r="G101" s="18">
        <f ca="1">IFERROR(__xludf.DUMMYFUNCTION("IMPORTRANGE(""https://docs.google.com/spreadsheets/d/1Wdf8MsoDBzMSsrzOXwaGQzbVjVqOWfKSqYmbncevZgA/edit"",""4!e38"")"),3554)</f>
        <v>3554</v>
      </c>
      <c r="H101" s="18">
        <f ca="1">IFERROR(__xludf.DUMMYFUNCTION("IMPORTRANGE(""https://docs.google.com/spreadsheets/d/1Wdf8MsoDBzMSsrzOXwaGQzbVjVqOWfKSqYmbncevZgA/edit"",""4!e39"")"),0)</f>
        <v>0</v>
      </c>
      <c r="I101" s="18">
        <f t="shared" ca="1" si="237"/>
        <v>3554</v>
      </c>
      <c r="J101" s="18">
        <f ca="1">IFERROR(__xludf.DUMMYFUNCTION("IMPORTRANGE(""https://docs.google.com/spreadsheets/d/1Wdf8MsoDBzMSsrzOXwaGQzbVjVqOWfKSqYmbncevZgA/edit"",""4!e42"")"),3718)</f>
        <v>3718</v>
      </c>
      <c r="K101" s="18">
        <f ca="1">IFERROR(__xludf.DUMMYFUNCTION("IMPORTRANGE(""https://docs.google.com/spreadsheets/d/1Wdf8MsoDBzMSsrzOXwaGQzbVjVqOWfKSqYmbncevZgA/edit"",""4!e43"")"),0)</f>
        <v>0</v>
      </c>
      <c r="L101" s="18">
        <f t="shared" ca="1" si="267"/>
        <v>3718</v>
      </c>
      <c r="M101" s="18">
        <f t="shared" ca="1" si="239"/>
        <v>7272</v>
      </c>
      <c r="N101" s="19">
        <f t="shared" ca="1" si="240"/>
        <v>181.53893333333332</v>
      </c>
      <c r="O101" s="16">
        <v>8239</v>
      </c>
      <c r="P101" s="20">
        <f t="shared" ca="1" si="241"/>
        <v>0.88263138730428448</v>
      </c>
      <c r="Q101" s="21">
        <v>1.5</v>
      </c>
      <c r="R101" s="20">
        <f t="shared" ca="1" si="242"/>
        <v>0.89016717809659929</v>
      </c>
      <c r="S101" s="22">
        <f t="shared" ca="1" si="243"/>
        <v>1.335250767144899</v>
      </c>
      <c r="T101" s="21">
        <f ca="1">F101/28.443</f>
        <v>191.47656716942654</v>
      </c>
      <c r="U101" s="21">
        <f t="shared" ca="1" si="244"/>
        <v>6.3825522389808844</v>
      </c>
      <c r="V101" s="18">
        <f t="shared" ca="1" si="245"/>
        <v>242.4</v>
      </c>
      <c r="W101" s="76"/>
      <c r="X101" s="1" t="s">
        <v>2</v>
      </c>
      <c r="Y101" s="1" t="s">
        <v>3</v>
      </c>
      <c r="Z101" s="1" t="s">
        <v>4</v>
      </c>
      <c r="AA101" s="1" t="s">
        <v>5</v>
      </c>
      <c r="AB101" s="2" t="s">
        <v>6</v>
      </c>
      <c r="AC101" s="1" t="s">
        <v>7</v>
      </c>
      <c r="AD101" s="1" t="s">
        <v>8</v>
      </c>
      <c r="AE101" s="1" t="s">
        <v>9</v>
      </c>
      <c r="AF101" s="1" t="s">
        <v>10</v>
      </c>
      <c r="AG101" s="1" t="s">
        <v>11</v>
      </c>
      <c r="AH101" s="1" t="s">
        <v>12</v>
      </c>
      <c r="AI101" s="1" t="s">
        <v>13</v>
      </c>
      <c r="AJ101" s="2" t="s">
        <v>14</v>
      </c>
      <c r="AK101" s="1" t="s">
        <v>15</v>
      </c>
      <c r="AL101" s="1" t="s">
        <v>16</v>
      </c>
      <c r="AM101" s="3" t="s">
        <v>17</v>
      </c>
      <c r="AN101" s="4" t="s">
        <v>18</v>
      </c>
      <c r="AO101" s="5" t="s">
        <v>19</v>
      </c>
      <c r="AP101" s="6" t="s">
        <v>20</v>
      </c>
      <c r="AQ101" s="6" t="s">
        <v>21</v>
      </c>
      <c r="AR101" s="7" t="s">
        <v>22</v>
      </c>
      <c r="AS101" s="76"/>
      <c r="AT101" s="76"/>
    </row>
    <row r="102" spans="1:46" ht="15.75" customHeight="1" x14ac:dyDescent="0.25">
      <c r="A102" s="70"/>
      <c r="B102" s="16">
        <v>16</v>
      </c>
      <c r="C102" s="16" t="s">
        <v>42</v>
      </c>
      <c r="D102" s="17">
        <v>33</v>
      </c>
      <c r="E102" s="18">
        <f ca="1">IFERROR(__xludf.DUMMYFUNCTION("COUNT(IMPORTRANGE(""https://docs.google.com/spreadsheets/d/1Z5uB5HbeAKcHmG4EOw3rf2J8NpyvDiha6RReERAMvA0/edit"",""4!d2:d34""))"),33)</f>
        <v>33</v>
      </c>
      <c r="F102" s="23">
        <f ca="1">IFERROR(__xludf.DUMMYFUNCTION("SUM(IMPORTRANGE(""https://docs.google.com/spreadsheets/d/1Z5uB5HbeAKcHmG4EOw3rf2J8NpyvDiha6RReERAMvA0/edit"",""4!Q2:Q34""))"),6344.89599999999)</f>
        <v>6344.8959999999897</v>
      </c>
      <c r="G102" s="18">
        <f ca="1">IFERROR(__xludf.DUMMYFUNCTION("IMPORTRANGE(""https://docs.google.com/spreadsheets/d/1Z5uB5HbeAKcHmG4EOw3rf2J8NpyvDiha6RReERAMvA0/edit"",""4!e41"")"),3109)</f>
        <v>3109</v>
      </c>
      <c r="H102" s="18">
        <f ca="1">IFERROR(__xludf.DUMMYFUNCTION("IMPORTRANGE(""https://docs.google.com/spreadsheets/d/1Z5uB5HbeAKcHmG4EOw3rf2J8NpyvDiha6RReERAMvA0/edit"",""4!e42"")"),140)</f>
        <v>140</v>
      </c>
      <c r="I102" s="18">
        <f t="shared" ca="1" si="237"/>
        <v>3249</v>
      </c>
      <c r="J102" s="18">
        <f ca="1">IFERROR(__xludf.DUMMYFUNCTION("IMPORTRANGE(""https://docs.google.com/spreadsheets/d/1Z5uB5HbeAKcHmG4EOw3rf2J8NpyvDiha6RReERAMvA0/edit"",""4!e45"")"),4076)</f>
        <v>4076</v>
      </c>
      <c r="K102" s="18">
        <f ca="1">IFERROR(__xludf.DUMMYFUNCTION("IMPORTRANGE(""https://docs.google.com/spreadsheets/d/1Z5uB5HbeAKcHmG4EOw3rf2J8NpyvDiha6RReERAMvA0/edit"",""4!e46"")"),179)</f>
        <v>179</v>
      </c>
      <c r="L102" s="18">
        <f t="shared" ca="1" si="267"/>
        <v>4255</v>
      </c>
      <c r="M102" s="18">
        <f t="shared" ca="1" si="239"/>
        <v>7504</v>
      </c>
      <c r="N102" s="19">
        <f t="shared" ca="1" si="240"/>
        <v>192.26957575757544</v>
      </c>
      <c r="O102" s="16">
        <v>9877</v>
      </c>
      <c r="P102" s="20">
        <f t="shared" ca="1" si="241"/>
        <v>0.75974486180014178</v>
      </c>
      <c r="Q102" s="21">
        <v>1.5</v>
      </c>
      <c r="R102" s="20">
        <f t="shared" ca="1" si="242"/>
        <v>0.78845526651133058</v>
      </c>
      <c r="S102" s="22">
        <f t="shared" ca="1" si="243"/>
        <v>1.1826828997669958</v>
      </c>
      <c r="T102" s="21">
        <f ca="1">F102/26.155</f>
        <v>242.58826228254594</v>
      </c>
      <c r="U102" s="21">
        <f t="shared" ca="1" si="244"/>
        <v>7.3511594631074528</v>
      </c>
      <c r="V102" s="18">
        <f t="shared" ca="1" si="245"/>
        <v>227.39393939393941</v>
      </c>
      <c r="W102" s="76"/>
      <c r="X102" s="8">
        <v>1</v>
      </c>
      <c r="Y102" s="8" t="s">
        <v>26</v>
      </c>
      <c r="Z102" s="8">
        <f t="shared" ref="Z102:AI102" si="279">SUM(D87)</f>
        <v>20</v>
      </c>
      <c r="AA102" s="9">
        <f t="shared" ca="1" si="279"/>
        <v>19</v>
      </c>
      <c r="AB102" s="11">
        <f t="shared" ca="1" si="279"/>
        <v>3683.5679999999902</v>
      </c>
      <c r="AC102" s="9">
        <f t="shared" ca="1" si="279"/>
        <v>1808</v>
      </c>
      <c r="AD102" s="9">
        <f t="shared" ca="1" si="279"/>
        <v>0</v>
      </c>
      <c r="AE102" s="9">
        <f t="shared" ca="1" si="279"/>
        <v>1808</v>
      </c>
      <c r="AF102" s="9">
        <f t="shared" ca="1" si="279"/>
        <v>3230</v>
      </c>
      <c r="AG102" s="9">
        <f t="shared" ca="1" si="279"/>
        <v>0</v>
      </c>
      <c r="AH102" s="9">
        <f t="shared" ca="1" si="279"/>
        <v>3230</v>
      </c>
      <c r="AI102" s="9">
        <f t="shared" ca="1" si="279"/>
        <v>5038</v>
      </c>
      <c r="AJ102" s="11">
        <f t="shared" ref="AJ102:AJ108" ca="1" si="280">AB102/AA102</f>
        <v>193.87199999999947</v>
      </c>
      <c r="AK102" s="8">
        <f>SUM(O87)</f>
        <v>5161</v>
      </c>
      <c r="AL102" s="12">
        <f t="shared" ref="AL102:AL108" ca="1" si="281">AI102/AK102</f>
        <v>0.97616740941677971</v>
      </c>
      <c r="AM102" s="13">
        <f>SUM(Q87)</f>
        <v>1.5</v>
      </c>
      <c r="AN102" s="12">
        <f t="shared" ref="AN102:AN108" ca="1" si="282">AO102/AM102</f>
        <v>0.91179711265454466</v>
      </c>
      <c r="AO102" s="14">
        <f t="shared" ref="AO102:AO108" ca="1" si="283">AI102/AB102</f>
        <v>1.3676956689818169</v>
      </c>
      <c r="AP102" s="13">
        <f t="shared" ref="AP102:AQ102" ca="1" si="284">SUM(T87)</f>
        <v>255.53714880332919</v>
      </c>
      <c r="AQ102" s="13">
        <f t="shared" ca="1" si="284"/>
        <v>13.449323621227853</v>
      </c>
      <c r="AR102" s="9">
        <f t="shared" ref="AR102:AR108" ca="1" si="285">AI102/AA102</f>
        <v>265.15789473684208</v>
      </c>
      <c r="AS102" s="76"/>
      <c r="AT102" s="76"/>
    </row>
    <row r="103" spans="1:46" ht="15.75" customHeight="1" x14ac:dyDescent="0.25">
      <c r="A103" s="70"/>
      <c r="B103" s="16">
        <v>17</v>
      </c>
      <c r="C103" s="16" t="s">
        <v>29</v>
      </c>
      <c r="D103" s="17">
        <v>30</v>
      </c>
      <c r="E103" s="18">
        <f ca="1">IFERROR(__xludf.DUMMYFUNCTION("COUNT(IMPORTRANGE(""https://docs.google.com/spreadsheets/d/1wfJqI0e9wVPqEQv3N6b8KgINjqI0OBECEyIFeY9j3i8/edit"",""4!d2:d31""))"),29)</f>
        <v>29</v>
      </c>
      <c r="F103" s="23">
        <f ca="1">IFERROR(__xludf.DUMMYFUNCTION("SUM(IMPORTRANGE(""https://docs.google.com/spreadsheets/d/1wfJqI0e9wVPqEQv3N6b8KgINjqI0OBECEyIFeY9j3i8/edit"",""4!Q2:Q31""))"),5960.47499999999)</f>
        <v>5960.4749999999904</v>
      </c>
      <c r="G103" s="18">
        <f ca="1">IFERROR(__xludf.DUMMYFUNCTION("IMPORTRANGE(""https://docs.google.com/spreadsheets/d/1wfJqI0e9wVPqEQv3N6b8KgINjqI0OBECEyIFeY9j3i8/edit"",""4!e38"")"),2825)</f>
        <v>2825</v>
      </c>
      <c r="H103" s="18">
        <f ca="1">IFERROR(__xludf.DUMMYFUNCTION("IMPORTRANGE(""https://docs.google.com/spreadsheets/d/1wfJqI0e9wVPqEQv3N6b8KgINjqI0OBECEyIFeY9j3i8/edit"",""4!e39"")"),0)</f>
        <v>0</v>
      </c>
      <c r="I103" s="18">
        <f t="shared" ca="1" si="237"/>
        <v>2825</v>
      </c>
      <c r="J103" s="18">
        <f ca="1">IFERROR(__xludf.DUMMYFUNCTION("IMPORTRANGE(""https://docs.google.com/spreadsheets/d/1wfJqI0e9wVPqEQv3N6b8KgINjqI0OBECEyIFeY9j3i8/edit"",""4!e42"")"),3014)</f>
        <v>3014</v>
      </c>
      <c r="K103" s="18">
        <f ca="1">IFERROR(__xludf.DUMMYFUNCTION("IMPORTRANGE(""https://docs.google.com/spreadsheets/d/1wfJqI0e9wVPqEQv3N6b8KgINjqI0OBECEyIFeY9j3i8/edit"",""4!e43"")"),0)</f>
        <v>0</v>
      </c>
      <c r="L103" s="18">
        <f t="shared" ca="1" si="267"/>
        <v>3014</v>
      </c>
      <c r="M103" s="18">
        <f t="shared" ca="1" si="239"/>
        <v>5839</v>
      </c>
      <c r="N103" s="19">
        <f t="shared" ca="1" si="240"/>
        <v>205.53362068965484</v>
      </c>
      <c r="O103" s="16">
        <v>9201</v>
      </c>
      <c r="P103" s="20">
        <f t="shared" ca="1" si="241"/>
        <v>0.63460493424627762</v>
      </c>
      <c r="Q103" s="21">
        <v>1.5</v>
      </c>
      <c r="R103" s="20">
        <f t="shared" ca="1" si="242"/>
        <v>0.65307994189501228</v>
      </c>
      <c r="S103" s="22">
        <f t="shared" ca="1" si="243"/>
        <v>0.97961991284251837</v>
      </c>
      <c r="T103" s="21">
        <f ca="1">F103/26.491</f>
        <v>224.99999999999963</v>
      </c>
      <c r="U103" s="21">
        <f t="shared" ca="1" si="244"/>
        <v>7.7586206896551593</v>
      </c>
      <c r="V103" s="18">
        <f t="shared" ca="1" si="245"/>
        <v>201.34482758620689</v>
      </c>
      <c r="W103" s="76"/>
      <c r="X103" s="8">
        <v>2</v>
      </c>
      <c r="Y103" s="8" t="s">
        <v>32</v>
      </c>
      <c r="Z103" s="8">
        <f t="shared" ref="Z103:AI103" si="286">SUM(D90)</f>
        <v>42</v>
      </c>
      <c r="AA103" s="9">
        <f t="shared" ca="1" si="286"/>
        <v>42</v>
      </c>
      <c r="AB103" s="10">
        <f t="shared" ca="1" si="286"/>
        <v>7804.8279999999904</v>
      </c>
      <c r="AC103" s="8">
        <f t="shared" ca="1" si="286"/>
        <v>4858</v>
      </c>
      <c r="AD103" s="8">
        <f t="shared" ca="1" si="286"/>
        <v>0</v>
      </c>
      <c r="AE103" s="9">
        <f t="shared" ca="1" si="286"/>
        <v>4858</v>
      </c>
      <c r="AF103" s="8">
        <f t="shared" ca="1" si="286"/>
        <v>5059</v>
      </c>
      <c r="AG103" s="8">
        <f t="shared" ca="1" si="286"/>
        <v>155</v>
      </c>
      <c r="AH103" s="9">
        <f t="shared" ca="1" si="286"/>
        <v>5214</v>
      </c>
      <c r="AI103" s="9">
        <f t="shared" ca="1" si="286"/>
        <v>10072</v>
      </c>
      <c r="AJ103" s="11">
        <f t="shared" ca="1" si="280"/>
        <v>185.82923809523786</v>
      </c>
      <c r="AK103" s="8">
        <f>SUM(O90)</f>
        <v>13817</v>
      </c>
      <c r="AL103" s="12">
        <f t="shared" ca="1" si="281"/>
        <v>0.72895708185568497</v>
      </c>
      <c r="AM103" s="13">
        <f>SUM(Q90)</f>
        <v>1.5</v>
      </c>
      <c r="AN103" s="12">
        <f t="shared" ca="1" si="282"/>
        <v>0.8603221834826692</v>
      </c>
      <c r="AO103" s="14">
        <f t="shared" ca="1" si="283"/>
        <v>1.2904832752240039</v>
      </c>
      <c r="AP103" s="13">
        <f t="shared" ref="AP103:AQ103" ca="1" si="287">SUM(T90)</f>
        <v>311.0856550679577</v>
      </c>
      <c r="AQ103" s="13">
        <f t="shared" ca="1" si="287"/>
        <v>7.4068013111418498</v>
      </c>
      <c r="AR103" s="9">
        <f t="shared" ca="1" si="285"/>
        <v>239.8095238095238</v>
      </c>
      <c r="AS103" s="76"/>
      <c r="AT103" s="76"/>
    </row>
    <row r="104" spans="1:46" ht="15.75" customHeight="1" x14ac:dyDescent="0.25">
      <c r="A104" s="70"/>
      <c r="B104" s="16">
        <v>18</v>
      </c>
      <c r="C104" s="16" t="s">
        <v>31</v>
      </c>
      <c r="D104" s="17">
        <v>15</v>
      </c>
      <c r="E104" s="18">
        <f ca="1">IFERROR(__xludf.DUMMYFUNCTION("COUNT(IMPORTRANGE(""https://docs.google.com/spreadsheets/d/1-y2KhTAo7d8kowgUuWUDfRQuRMUAFteRYEXorT3_wOs/edit"",""4!d2:d16""))"),14)</f>
        <v>14</v>
      </c>
      <c r="F104" s="19">
        <f ca="1">IFERROR(__xludf.DUMMYFUNCTION("SUM(IMPORTRANGE(""https://docs.google.com/spreadsheets/d/1-y2KhTAo7d8kowgUuWUDfRQuRMUAFteRYEXorT3_wOs/edit"",""4!Q2:Q16""))"),2367.12099999999)</f>
        <v>2367.1209999999901</v>
      </c>
      <c r="G104" s="18">
        <f ca="1">IFERROR(__xludf.DUMMYFUNCTION("IMPORTRANGE(""https://docs.google.com/spreadsheets/d/1-y2KhTAo7d8kowgUuWUDfRQuRMUAFteRYEXorT3_wOs/edit"",""4!e23"")"),729)</f>
        <v>729</v>
      </c>
      <c r="H104" s="18">
        <f ca="1">IFERROR(__xludf.DUMMYFUNCTION("IMPORTRANGE(""https://docs.google.com/spreadsheets/d/1-y2KhTAo7d8kowgUuWUDfRQuRMUAFteRYEXorT3_wOs/edit"",""4!e24"")"),0)</f>
        <v>0</v>
      </c>
      <c r="I104" s="18">
        <f t="shared" ca="1" si="237"/>
        <v>729</v>
      </c>
      <c r="J104" s="18">
        <f ca="1">IFERROR(__xludf.DUMMYFUNCTION("IMPORTRANGE(""https://docs.google.com/spreadsheets/d/1-y2KhTAo7d8kowgUuWUDfRQuRMUAFteRYEXorT3_wOs/edit"",""4!e27"")"),1064)</f>
        <v>1064</v>
      </c>
      <c r="K104" s="18">
        <f ca="1">IFERROR(__xludf.DUMMYFUNCTION("IMPORTRANGE(""https://docs.google.com/spreadsheets/d/1-y2KhTAo7d8kowgUuWUDfRQuRMUAFteRYEXorT3_wOs/edit"",""4!e28"")"),14)</f>
        <v>14</v>
      </c>
      <c r="L104" s="18">
        <f t="shared" ca="1" si="267"/>
        <v>1078</v>
      </c>
      <c r="M104" s="18">
        <f t="shared" ca="1" si="239"/>
        <v>1807</v>
      </c>
      <c r="N104" s="19">
        <f t="shared" ca="1" si="240"/>
        <v>169.08007142857073</v>
      </c>
      <c r="O104" s="16">
        <v>2717</v>
      </c>
      <c r="P104" s="20">
        <f t="shared" ca="1" si="241"/>
        <v>0.66507177033492826</v>
      </c>
      <c r="Q104" s="21">
        <v>1.5</v>
      </c>
      <c r="R104" s="20">
        <f t="shared" ca="1" si="242"/>
        <v>0.50891638689643315</v>
      </c>
      <c r="S104" s="22">
        <f t="shared" ca="1" si="243"/>
        <v>0.76337458034464967</v>
      </c>
      <c r="T104" s="21">
        <f ca="1">F104/43.465</f>
        <v>54.460393419992869</v>
      </c>
      <c r="U104" s="21">
        <f t="shared" ca="1" si="244"/>
        <v>3.890028101428062</v>
      </c>
      <c r="V104" s="18">
        <f t="shared" ca="1" si="245"/>
        <v>129.07142857142858</v>
      </c>
      <c r="W104" s="76"/>
      <c r="X104" s="8">
        <v>3</v>
      </c>
      <c r="Y104" s="8" t="s">
        <v>36</v>
      </c>
      <c r="Z104" s="8">
        <f t="shared" ref="Z104:AI104" si="288">SUM(D95)</f>
        <v>30</v>
      </c>
      <c r="AA104" s="9">
        <f t="shared" ca="1" si="288"/>
        <v>30</v>
      </c>
      <c r="AB104" s="10">
        <f t="shared" ca="1" si="288"/>
        <v>5756.9679999999998</v>
      </c>
      <c r="AC104" s="9">
        <f t="shared" ca="1" si="288"/>
        <v>1567</v>
      </c>
      <c r="AD104" s="9">
        <f t="shared" ca="1" si="288"/>
        <v>0</v>
      </c>
      <c r="AE104" s="9">
        <f t="shared" ca="1" si="288"/>
        <v>1567</v>
      </c>
      <c r="AF104" s="9">
        <f t="shared" ca="1" si="288"/>
        <v>2533</v>
      </c>
      <c r="AG104" s="9">
        <f t="shared" ca="1" si="288"/>
        <v>0</v>
      </c>
      <c r="AH104" s="9">
        <f t="shared" ca="1" si="288"/>
        <v>2533</v>
      </c>
      <c r="AI104" s="9">
        <f t="shared" ca="1" si="288"/>
        <v>4100</v>
      </c>
      <c r="AJ104" s="11">
        <f t="shared" ca="1" si="280"/>
        <v>191.89893333333333</v>
      </c>
      <c r="AK104" s="8">
        <f t="shared" ref="AK104:AK107" si="289">SUM(O95)</f>
        <v>4796</v>
      </c>
      <c r="AL104" s="12">
        <f t="shared" ca="1" si="281"/>
        <v>0.85487906588824025</v>
      </c>
      <c r="AM104" s="13">
        <f t="shared" ref="AM104:AM107" si="290">SUM(Q95)</f>
        <v>1.5</v>
      </c>
      <c r="AN104" s="12">
        <f t="shared" ca="1" si="282"/>
        <v>0.47478695961716882</v>
      </c>
      <c r="AO104" s="14">
        <f t="shared" ca="1" si="283"/>
        <v>0.71218043942575326</v>
      </c>
      <c r="AP104" s="13">
        <f t="shared" ref="AP104:AQ104" ca="1" si="291">SUM(T95)</f>
        <v>153.87202651413909</v>
      </c>
      <c r="AQ104" s="13">
        <f t="shared" ca="1" si="291"/>
        <v>5.1290675504713032</v>
      </c>
      <c r="AR104" s="9">
        <f t="shared" ca="1" si="285"/>
        <v>136.66666666666666</v>
      </c>
      <c r="AS104" s="76"/>
      <c r="AT104" s="76"/>
    </row>
    <row r="105" spans="1:46" ht="15.75" customHeight="1" x14ac:dyDescent="0.2">
      <c r="A105" s="70"/>
      <c r="B105" s="98" t="s">
        <v>33</v>
      </c>
      <c r="C105" s="98">
        <v>18</v>
      </c>
      <c r="D105" s="98">
        <f t="shared" ref="D105:M105" si="292">SUM(D87:D104)</f>
        <v>586</v>
      </c>
      <c r="E105" s="74">
        <f t="shared" ca="1" si="292"/>
        <v>571</v>
      </c>
      <c r="F105" s="99">
        <f t="shared" ca="1" si="292"/>
        <v>110091.51099999979</v>
      </c>
      <c r="G105" s="74">
        <f t="shared" ca="1" si="292"/>
        <v>41748</v>
      </c>
      <c r="H105" s="74">
        <f t="shared" ca="1" si="292"/>
        <v>874</v>
      </c>
      <c r="I105" s="74">
        <f t="shared" ca="1" si="292"/>
        <v>42622</v>
      </c>
      <c r="J105" s="74">
        <f t="shared" ca="1" si="292"/>
        <v>53580</v>
      </c>
      <c r="K105" s="74">
        <f t="shared" ca="1" si="292"/>
        <v>1818</v>
      </c>
      <c r="L105" s="74">
        <f t="shared" ca="1" si="292"/>
        <v>55398</v>
      </c>
      <c r="M105" s="74">
        <f t="shared" ca="1" si="292"/>
        <v>98020</v>
      </c>
      <c r="N105" s="99">
        <f t="shared" ca="1" si="240"/>
        <v>192.80474781085778</v>
      </c>
      <c r="O105" s="98">
        <f>SUM(O87:O104)</f>
        <v>126399</v>
      </c>
      <c r="P105" s="69">
        <f t="shared" ca="1" si="241"/>
        <v>0.77548081867736296</v>
      </c>
      <c r="Q105" s="72">
        <v>1.5</v>
      </c>
      <c r="R105" s="69">
        <f t="shared" ca="1" si="242"/>
        <v>0.59356680704170539</v>
      </c>
      <c r="S105" s="73">
        <f t="shared" ca="1" si="243"/>
        <v>0.89035021056255814</v>
      </c>
      <c r="T105" s="72">
        <f ca="1">SUM(T87:T104)</f>
        <v>4049.4971971624127</v>
      </c>
      <c r="U105" s="72">
        <f t="shared" ca="1" si="244"/>
        <v>7.0919390493212129</v>
      </c>
      <c r="V105" s="74">
        <f t="shared" ca="1" si="245"/>
        <v>171.66374781085815</v>
      </c>
      <c r="W105" s="76"/>
      <c r="X105" s="8">
        <v>4</v>
      </c>
      <c r="Y105" s="8" t="s">
        <v>37</v>
      </c>
      <c r="Z105" s="8">
        <f t="shared" ref="Z105:AI105" si="293">SUM(D96)</f>
        <v>30</v>
      </c>
      <c r="AA105" s="9">
        <f t="shared" ca="1" si="293"/>
        <v>28</v>
      </c>
      <c r="AB105" s="10">
        <f t="shared" ca="1" si="293"/>
        <v>5399.8619999999901</v>
      </c>
      <c r="AC105" s="9">
        <f t="shared" ca="1" si="293"/>
        <v>1991</v>
      </c>
      <c r="AD105" s="9">
        <f t="shared" ca="1" si="293"/>
        <v>0</v>
      </c>
      <c r="AE105" s="9">
        <f t="shared" ca="1" si="293"/>
        <v>1991</v>
      </c>
      <c r="AF105" s="9">
        <f t="shared" ca="1" si="293"/>
        <v>3237</v>
      </c>
      <c r="AG105" s="9">
        <f t="shared" ca="1" si="293"/>
        <v>0</v>
      </c>
      <c r="AH105" s="9">
        <f t="shared" ca="1" si="293"/>
        <v>3237</v>
      </c>
      <c r="AI105" s="9">
        <f t="shared" ca="1" si="293"/>
        <v>5228</v>
      </c>
      <c r="AJ105" s="11">
        <f t="shared" ca="1" si="280"/>
        <v>192.85221428571393</v>
      </c>
      <c r="AK105" s="8">
        <f t="shared" si="289"/>
        <v>5887</v>
      </c>
      <c r="AL105" s="12">
        <f t="shared" ca="1" si="281"/>
        <v>0.88805843383726857</v>
      </c>
      <c r="AM105" s="13">
        <f t="shared" si="290"/>
        <v>1.5</v>
      </c>
      <c r="AN105" s="12">
        <f t="shared" ca="1" si="282"/>
        <v>0.64544859356282436</v>
      </c>
      <c r="AO105" s="14">
        <f t="shared" ca="1" si="283"/>
        <v>0.96817289034423648</v>
      </c>
      <c r="AP105" s="13">
        <f t="shared" ref="AP105:AQ105" ca="1" si="294">SUM(T96)</f>
        <v>217.80663117134517</v>
      </c>
      <c r="AQ105" s="13">
        <f t="shared" ca="1" si="294"/>
        <v>7.7788082561194702</v>
      </c>
      <c r="AR105" s="9">
        <f t="shared" ca="1" si="285"/>
        <v>186.71428571428572</v>
      </c>
      <c r="AS105" s="76"/>
      <c r="AT105" s="76"/>
    </row>
    <row r="106" spans="1:46" ht="15.75" customHeight="1" x14ac:dyDescent="0.2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6"/>
      <c r="X106" s="8">
        <v>5</v>
      </c>
      <c r="Y106" s="8" t="s">
        <v>39</v>
      </c>
      <c r="Z106" s="8">
        <f t="shared" ref="Z106:AI106" si="295">SUM(D97)</f>
        <v>28</v>
      </c>
      <c r="AA106" s="9">
        <f t="shared" ca="1" si="295"/>
        <v>27</v>
      </c>
      <c r="AB106" s="10">
        <f t="shared" ca="1" si="295"/>
        <v>5201.3219999999901</v>
      </c>
      <c r="AC106" s="9">
        <f t="shared" ca="1" si="295"/>
        <v>1031</v>
      </c>
      <c r="AD106" s="9">
        <f t="shared" ca="1" si="295"/>
        <v>120</v>
      </c>
      <c r="AE106" s="9">
        <f t="shared" ca="1" si="295"/>
        <v>1151</v>
      </c>
      <c r="AF106" s="9">
        <f t="shared" ca="1" si="295"/>
        <v>1774</v>
      </c>
      <c r="AG106" s="9">
        <f t="shared" ca="1" si="295"/>
        <v>138</v>
      </c>
      <c r="AH106" s="9">
        <f t="shared" ca="1" si="295"/>
        <v>1912</v>
      </c>
      <c r="AI106" s="9">
        <f t="shared" ca="1" si="295"/>
        <v>3063</v>
      </c>
      <c r="AJ106" s="11">
        <f t="shared" ca="1" si="280"/>
        <v>192.64155555555519</v>
      </c>
      <c r="AK106" s="8">
        <f t="shared" si="289"/>
        <v>3569</v>
      </c>
      <c r="AL106" s="12">
        <f t="shared" ca="1" si="281"/>
        <v>0.85822359204258891</v>
      </c>
      <c r="AM106" s="13">
        <f t="shared" si="290"/>
        <v>1.5</v>
      </c>
      <c r="AN106" s="12">
        <f t="shared" ca="1" si="282"/>
        <v>0.39259249859939532</v>
      </c>
      <c r="AO106" s="14">
        <f t="shared" ca="1" si="283"/>
        <v>0.58888874789909296</v>
      </c>
      <c r="AP106" s="13">
        <f t="shared" ref="AP106:AQ106" ca="1" si="296">SUM(T97)</f>
        <v>242.33900200344732</v>
      </c>
      <c r="AQ106" s="13">
        <f t="shared" ca="1" si="296"/>
        <v>8.9755185927202703</v>
      </c>
      <c r="AR106" s="9">
        <f t="shared" ca="1" si="285"/>
        <v>113.44444444444444</v>
      </c>
      <c r="AS106" s="76"/>
      <c r="AT106" s="76"/>
    </row>
    <row r="107" spans="1:46" ht="15.75" customHeight="1" x14ac:dyDescent="0.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6"/>
      <c r="X107" s="8">
        <v>6</v>
      </c>
      <c r="Y107" s="8" t="s">
        <v>41</v>
      </c>
      <c r="Z107" s="8">
        <f t="shared" ref="Z107:AI107" si="297">SUM(D98)</f>
        <v>24</v>
      </c>
      <c r="AA107" s="9">
        <f t="shared" ca="1" si="297"/>
        <v>24</v>
      </c>
      <c r="AB107" s="10">
        <f t="shared" ca="1" si="297"/>
        <v>4704.268</v>
      </c>
      <c r="AC107" s="9">
        <f t="shared" ca="1" si="297"/>
        <v>1316</v>
      </c>
      <c r="AD107" s="9">
        <f t="shared" ca="1" si="297"/>
        <v>103</v>
      </c>
      <c r="AE107" s="9">
        <f t="shared" ca="1" si="297"/>
        <v>1419</v>
      </c>
      <c r="AF107" s="9">
        <f t="shared" ca="1" si="297"/>
        <v>1735</v>
      </c>
      <c r="AG107" s="9">
        <f t="shared" ca="1" si="297"/>
        <v>0</v>
      </c>
      <c r="AH107" s="9">
        <f t="shared" ca="1" si="297"/>
        <v>1735</v>
      </c>
      <c r="AI107" s="9">
        <f t="shared" ca="1" si="297"/>
        <v>3154</v>
      </c>
      <c r="AJ107" s="11">
        <f t="shared" ca="1" si="280"/>
        <v>196.01116666666667</v>
      </c>
      <c r="AK107" s="8">
        <f t="shared" si="289"/>
        <v>3801</v>
      </c>
      <c r="AL107" s="12">
        <f t="shared" ca="1" si="281"/>
        <v>0.82978163641147062</v>
      </c>
      <c r="AM107" s="13">
        <f t="shared" si="290"/>
        <v>1.5</v>
      </c>
      <c r="AN107" s="12">
        <f t="shared" ca="1" si="282"/>
        <v>0.4469699997250724</v>
      </c>
      <c r="AO107" s="14">
        <f t="shared" ca="1" si="283"/>
        <v>0.67045499958760857</v>
      </c>
      <c r="AP107" s="13">
        <f t="shared" ref="AP107:AQ107" ca="1" si="298">SUM(T98)</f>
        <v>158.77777777777777</v>
      </c>
      <c r="AQ107" s="13">
        <f t="shared" ca="1" si="298"/>
        <v>6.6157407407407405</v>
      </c>
      <c r="AR107" s="9">
        <f t="shared" ca="1" si="285"/>
        <v>131.41666666666666</v>
      </c>
      <c r="AS107" s="76"/>
      <c r="AT107" s="76"/>
    </row>
    <row r="108" spans="1:46" ht="15.75" customHeight="1" x14ac:dyDescent="0.25">
      <c r="A108" s="110" t="s">
        <v>45</v>
      </c>
      <c r="B108" s="76"/>
      <c r="C108" s="76"/>
      <c r="D108" s="75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24" t="s">
        <v>33</v>
      </c>
      <c r="Y108" s="24">
        <v>6</v>
      </c>
      <c r="Z108" s="24">
        <f t="shared" ref="Z108:AI108" si="299">SUM(Z102:Z107)</f>
        <v>174</v>
      </c>
      <c r="AA108" s="25">
        <f t="shared" ca="1" si="299"/>
        <v>170</v>
      </c>
      <c r="AB108" s="27">
        <f t="shared" ca="1" si="299"/>
        <v>32550.815999999959</v>
      </c>
      <c r="AC108" s="25">
        <f t="shared" ca="1" si="299"/>
        <v>12571</v>
      </c>
      <c r="AD108" s="25">
        <f t="shared" ca="1" si="299"/>
        <v>223</v>
      </c>
      <c r="AE108" s="25">
        <f t="shared" ca="1" si="299"/>
        <v>12794</v>
      </c>
      <c r="AF108" s="25">
        <f t="shared" ca="1" si="299"/>
        <v>17568</v>
      </c>
      <c r="AG108" s="25">
        <f t="shared" ca="1" si="299"/>
        <v>293</v>
      </c>
      <c r="AH108" s="25">
        <f t="shared" ca="1" si="299"/>
        <v>17861</v>
      </c>
      <c r="AI108" s="25">
        <f t="shared" ca="1" si="299"/>
        <v>30655</v>
      </c>
      <c r="AJ108" s="27">
        <f t="shared" ca="1" si="280"/>
        <v>191.47538823529388</v>
      </c>
      <c r="AK108" s="24">
        <f>SUM(AK102:AK107)</f>
        <v>37031</v>
      </c>
      <c r="AL108" s="28">
        <f t="shared" ca="1" si="281"/>
        <v>0.82781993464934789</v>
      </c>
      <c r="AM108" s="29">
        <v>1.5</v>
      </c>
      <c r="AN108" s="28">
        <f t="shared" ca="1" si="282"/>
        <v>0.62783884332321171</v>
      </c>
      <c r="AO108" s="30">
        <f t="shared" ca="1" si="283"/>
        <v>0.94175826498481752</v>
      </c>
      <c r="AP108" s="29">
        <f ca="1">SUM(AP102:AP107)</f>
        <v>1339.4182413379963</v>
      </c>
      <c r="AQ108" s="29">
        <f ca="1">AP108/AA108</f>
        <v>7.8789308313999777</v>
      </c>
      <c r="AR108" s="25">
        <f t="shared" ca="1" si="285"/>
        <v>180.3235294117647</v>
      </c>
      <c r="AS108" s="76"/>
      <c r="AT108" s="76"/>
    </row>
    <row r="109" spans="1:46" ht="15.75" customHeight="1" x14ac:dyDescent="0.2">
      <c r="A109" s="110" t="s">
        <v>45</v>
      </c>
      <c r="B109" s="76"/>
      <c r="C109" s="76"/>
      <c r="D109" s="75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7" t="s">
        <v>1</v>
      </c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9"/>
      <c r="AS109" s="76"/>
      <c r="AT109" s="76"/>
    </row>
    <row r="110" spans="1:46" ht="15.75" customHeight="1" x14ac:dyDescent="0.2">
      <c r="A110" s="113">
        <v>46270</v>
      </c>
      <c r="B110" s="80" t="s">
        <v>2</v>
      </c>
      <c r="C110" s="80" t="s">
        <v>3</v>
      </c>
      <c r="D110" s="80" t="s">
        <v>4</v>
      </c>
      <c r="E110" s="80" t="s">
        <v>5</v>
      </c>
      <c r="F110" s="81" t="s">
        <v>6</v>
      </c>
      <c r="G110" s="80" t="s">
        <v>7</v>
      </c>
      <c r="H110" s="80" t="s">
        <v>8</v>
      </c>
      <c r="I110" s="80" t="s">
        <v>9</v>
      </c>
      <c r="J110" s="80" t="s">
        <v>10</v>
      </c>
      <c r="K110" s="80" t="s">
        <v>11</v>
      </c>
      <c r="L110" s="80" t="s">
        <v>12</v>
      </c>
      <c r="M110" s="80" t="s">
        <v>13</v>
      </c>
      <c r="N110" s="81" t="s">
        <v>14</v>
      </c>
      <c r="O110" s="80" t="s">
        <v>15</v>
      </c>
      <c r="P110" s="80" t="s">
        <v>16</v>
      </c>
      <c r="Q110" s="80" t="s">
        <v>17</v>
      </c>
      <c r="R110" s="80" t="s">
        <v>18</v>
      </c>
      <c r="S110" s="106" t="s">
        <v>19</v>
      </c>
      <c r="T110" s="107" t="s">
        <v>20</v>
      </c>
      <c r="U110" s="107" t="s">
        <v>21</v>
      </c>
      <c r="V110" s="105" t="s">
        <v>22</v>
      </c>
      <c r="W110" s="76"/>
      <c r="X110" s="1" t="s">
        <v>2</v>
      </c>
      <c r="Y110" s="1" t="s">
        <v>3</v>
      </c>
      <c r="Z110" s="1" t="s">
        <v>4</v>
      </c>
      <c r="AA110" s="1" t="s">
        <v>5</v>
      </c>
      <c r="AB110" s="2" t="s">
        <v>6</v>
      </c>
      <c r="AC110" s="1" t="s">
        <v>7</v>
      </c>
      <c r="AD110" s="1" t="s">
        <v>8</v>
      </c>
      <c r="AE110" s="1" t="s">
        <v>9</v>
      </c>
      <c r="AF110" s="1" t="s">
        <v>10</v>
      </c>
      <c r="AG110" s="1" t="s">
        <v>11</v>
      </c>
      <c r="AH110" s="1" t="s">
        <v>12</v>
      </c>
      <c r="AI110" s="1" t="s">
        <v>13</v>
      </c>
      <c r="AJ110" s="2" t="s">
        <v>14</v>
      </c>
      <c r="AK110" s="1" t="s">
        <v>15</v>
      </c>
      <c r="AL110" s="1" t="s">
        <v>16</v>
      </c>
      <c r="AM110" s="3" t="s">
        <v>17</v>
      </c>
      <c r="AN110" s="4" t="s">
        <v>18</v>
      </c>
      <c r="AO110" s="5" t="s">
        <v>19</v>
      </c>
      <c r="AP110" s="6" t="s">
        <v>20</v>
      </c>
      <c r="AQ110" s="6" t="s">
        <v>21</v>
      </c>
      <c r="AR110" s="7" t="s">
        <v>22</v>
      </c>
      <c r="AS110" s="76"/>
      <c r="AT110" s="76"/>
    </row>
    <row r="111" spans="1:46" ht="15.75" customHeight="1" x14ac:dyDescent="0.2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6"/>
      <c r="X111" s="8">
        <v>1</v>
      </c>
      <c r="Y111" s="8" t="s">
        <v>23</v>
      </c>
      <c r="Z111" s="8">
        <f t="shared" ref="Z111:AI111" si="300">SUM(D119)</f>
        <v>28</v>
      </c>
      <c r="AA111" s="9">
        <f t="shared" ca="1" si="300"/>
        <v>28</v>
      </c>
      <c r="AB111" s="10">
        <f t="shared" ca="1" si="300"/>
        <v>5567.0999999999904</v>
      </c>
      <c r="AC111" s="9">
        <f t="shared" ca="1" si="300"/>
        <v>1138</v>
      </c>
      <c r="AD111" s="9">
        <f t="shared" ca="1" si="300"/>
        <v>0</v>
      </c>
      <c r="AE111" s="9">
        <f t="shared" ca="1" si="300"/>
        <v>1138</v>
      </c>
      <c r="AF111" s="9">
        <f t="shared" ca="1" si="300"/>
        <v>2824</v>
      </c>
      <c r="AG111" s="9">
        <f t="shared" ca="1" si="300"/>
        <v>0</v>
      </c>
      <c r="AH111" s="9">
        <f t="shared" ca="1" si="300"/>
        <v>2824</v>
      </c>
      <c r="AI111" s="9">
        <f t="shared" ca="1" si="300"/>
        <v>3962</v>
      </c>
      <c r="AJ111" s="11">
        <f t="shared" ref="AJ111:AJ113" ca="1" si="301">AB111/AA111</f>
        <v>198.82499999999965</v>
      </c>
      <c r="AK111" s="8">
        <f>SUM(O119)</f>
        <v>6853</v>
      </c>
      <c r="AL111" s="12">
        <f t="shared" ref="AL111:AL117" ca="1" si="302">AI111/AK111</f>
        <v>0.57814096016343208</v>
      </c>
      <c r="AM111" s="13">
        <f t="shared" ref="AM111:AM113" si="303">SUM(Q119)</f>
        <v>1.5</v>
      </c>
      <c r="AN111" s="12">
        <f t="shared" ref="AN111:AN117" ca="1" si="304">AO111/AM111</f>
        <v>0.47445408441259146</v>
      </c>
      <c r="AO111" s="14">
        <f t="shared" ref="AO111:AO117" ca="1" si="305">AI111/AB111</f>
        <v>0.71168112661888716</v>
      </c>
      <c r="AP111" s="13">
        <f t="shared" ref="AP111:AQ111" ca="1" si="306">SUM(T119)</f>
        <v>164.99999999999972</v>
      </c>
      <c r="AQ111" s="13">
        <f t="shared" ca="1" si="306"/>
        <v>5.8928571428571326</v>
      </c>
      <c r="AR111" s="9">
        <f t="shared" ref="AR111:AR117" ca="1" si="307">AI111/AA111</f>
        <v>141.5</v>
      </c>
      <c r="AS111" s="76"/>
      <c r="AT111" s="76"/>
    </row>
    <row r="112" spans="1:46" ht="15.75" customHeight="1" x14ac:dyDescent="0.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6"/>
      <c r="X112" s="8">
        <v>2</v>
      </c>
      <c r="Y112" s="8" t="s">
        <v>24</v>
      </c>
      <c r="Z112" s="8">
        <f t="shared" ref="Z112:AI112" si="308">SUM(D120)</f>
        <v>37</v>
      </c>
      <c r="AA112" s="9">
        <f t="shared" ca="1" si="308"/>
        <v>36</v>
      </c>
      <c r="AB112" s="10">
        <f t="shared" ca="1" si="308"/>
        <v>7025.7169999999896</v>
      </c>
      <c r="AC112" s="9">
        <f t="shared" ca="1" si="308"/>
        <v>821</v>
      </c>
      <c r="AD112" s="9">
        <f t="shared" ca="1" si="308"/>
        <v>0</v>
      </c>
      <c r="AE112" s="9">
        <f t="shared" ca="1" si="308"/>
        <v>821</v>
      </c>
      <c r="AF112" s="9">
        <f t="shared" ca="1" si="308"/>
        <v>944</v>
      </c>
      <c r="AG112" s="9">
        <f t="shared" ca="1" si="308"/>
        <v>0</v>
      </c>
      <c r="AH112" s="9">
        <f t="shared" ca="1" si="308"/>
        <v>944</v>
      </c>
      <c r="AI112" s="9">
        <f t="shared" ca="1" si="308"/>
        <v>1765</v>
      </c>
      <c r="AJ112" s="11">
        <f t="shared" ca="1" si="301"/>
        <v>195.15880555555526</v>
      </c>
      <c r="AK112" s="8">
        <v>1580</v>
      </c>
      <c r="AL112" s="15">
        <f t="shared" ca="1" si="302"/>
        <v>1.1170886075949367</v>
      </c>
      <c r="AM112" s="13">
        <f t="shared" si="303"/>
        <v>1.5</v>
      </c>
      <c r="AN112" s="12">
        <f t="shared" ca="1" si="304"/>
        <v>0.1674799407187435</v>
      </c>
      <c r="AO112" s="14">
        <f t="shared" ca="1" si="305"/>
        <v>0.25121991107811525</v>
      </c>
      <c r="AP112" s="13">
        <f t="shared" ref="AP112:AQ112" ca="1" si="309">SUM(T120)</f>
        <v>262.10471926879273</v>
      </c>
      <c r="AQ112" s="13">
        <f t="shared" ca="1" si="309"/>
        <v>7.2806866463553535</v>
      </c>
      <c r="AR112" s="9">
        <f t="shared" ca="1" si="307"/>
        <v>49.027777777777779</v>
      </c>
      <c r="AS112" s="76"/>
      <c r="AT112" s="76"/>
    </row>
    <row r="113" spans="1:46" ht="15.75" customHeight="1" x14ac:dyDescent="0.2">
      <c r="A113" s="70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6"/>
      <c r="X113" s="8">
        <v>3</v>
      </c>
      <c r="Y113" s="8" t="s">
        <v>25</v>
      </c>
      <c r="Z113" s="8">
        <f t="shared" ref="Z113:AI113" si="310">SUM(D121)</f>
        <v>27</v>
      </c>
      <c r="AA113" s="9">
        <f t="shared" ca="1" si="310"/>
        <v>27</v>
      </c>
      <c r="AB113" s="10">
        <f t="shared" ca="1" si="310"/>
        <v>5157.8519999999999</v>
      </c>
      <c r="AC113" s="9">
        <f t="shared" ca="1" si="310"/>
        <v>1910</v>
      </c>
      <c r="AD113" s="9">
        <f t="shared" ca="1" si="310"/>
        <v>282</v>
      </c>
      <c r="AE113" s="9">
        <f t="shared" ca="1" si="310"/>
        <v>2192</v>
      </c>
      <c r="AF113" s="9">
        <f t="shared" ca="1" si="310"/>
        <v>2482</v>
      </c>
      <c r="AG113" s="9">
        <f t="shared" ca="1" si="310"/>
        <v>213</v>
      </c>
      <c r="AH113" s="9">
        <f t="shared" ca="1" si="310"/>
        <v>2695</v>
      </c>
      <c r="AI113" s="9">
        <f t="shared" ca="1" si="310"/>
        <v>4887</v>
      </c>
      <c r="AJ113" s="11">
        <f t="shared" ca="1" si="301"/>
        <v>191.03155555555554</v>
      </c>
      <c r="AK113" s="8">
        <f>SUM(O121)</f>
        <v>6622</v>
      </c>
      <c r="AL113" s="12">
        <f t="shared" ca="1" si="302"/>
        <v>0.73799456357595894</v>
      </c>
      <c r="AM113" s="13">
        <f t="shared" si="303"/>
        <v>1.5</v>
      </c>
      <c r="AN113" s="12">
        <f t="shared" ca="1" si="304"/>
        <v>0.63165829496464809</v>
      </c>
      <c r="AO113" s="14">
        <f t="shared" ca="1" si="305"/>
        <v>0.94748744244697214</v>
      </c>
      <c r="AP113" s="13">
        <f t="shared" ref="AP113:AQ113" ca="1" si="311">SUM(T121)</f>
        <v>216.35285234899328</v>
      </c>
      <c r="AQ113" s="13">
        <f t="shared" ca="1" si="311"/>
        <v>8.0130686055182689</v>
      </c>
      <c r="AR113" s="9">
        <f t="shared" ca="1" si="307"/>
        <v>181</v>
      </c>
      <c r="AS113" s="76"/>
      <c r="AT113" s="76"/>
    </row>
    <row r="114" spans="1:46" ht="15.75" customHeight="1" x14ac:dyDescent="0.25">
      <c r="A114" s="70"/>
      <c r="B114" s="16">
        <v>1</v>
      </c>
      <c r="C114" s="16" t="s">
        <v>26</v>
      </c>
      <c r="D114" s="17">
        <v>16</v>
      </c>
      <c r="E114" s="18">
        <f ca="1">IFERROR(__xludf.DUMMYFUNCTION("COUNT(IMPORTRANGE(""https://docs.google.com/spreadsheets/d/1F0NpMx7WhcgPgxTWpryY3Z1CGg56FL6aiL4mHs43w4E/edit"",""5!d2:d21""))"),16)</f>
        <v>16</v>
      </c>
      <c r="F114" s="19">
        <f ca="1">IFERROR(__xludf.DUMMYFUNCTION("SUM(IMPORTRANGE(""https://docs.google.com/spreadsheets/d/1F0NpMx7WhcgPgxTWpryY3Z1CGg56FL6aiL4mHs43w4E/edit"",""5!Q2:Q21""))"),3078.13799999999)</f>
        <v>3078.1379999999899</v>
      </c>
      <c r="G114" s="18">
        <f ca="1">IFERROR(__xludf.DUMMYFUNCTION("IMPORTRANGE(""https://docs.google.com/spreadsheets/d/1F0NpMx7WhcgPgxTWpryY3Z1CGg56FL6aiL4mHs43w4E/edit"",""5!e28"")"),1745)</f>
        <v>1745</v>
      </c>
      <c r="H114" s="18">
        <f ca="1">IFERROR(__xludf.DUMMYFUNCTION("IMPORTRANGE(""https://docs.google.com/spreadsheets/d/1F0NpMx7WhcgPgxTWpryY3Z1CGg56FL6aiL4mHs43w4E/edit"",""5!e29"")"),0)</f>
        <v>0</v>
      </c>
      <c r="I114" s="18">
        <f t="shared" ref="I114:I131" ca="1" si="312">SUM(G114:H114)</f>
        <v>1745</v>
      </c>
      <c r="J114" s="18">
        <f ca="1">IFERROR(__xludf.DUMMYFUNCTION("IMPORTRANGE(""https://docs.google.com/spreadsheets/d/1F0NpMx7WhcgPgxTWpryY3Z1CGg56FL6aiL4mHs43w4E/edit"",""5!e32"")"),1782)</f>
        <v>1782</v>
      </c>
      <c r="K114" s="18">
        <f ca="1">IFERROR(__xludf.DUMMYFUNCTION("IMPORTRANGE(""https://docs.google.com/spreadsheets/d/1F0NpMx7WhcgPgxTWpryY3Z1CGg56FL6aiL4mHs43w4E/edit"",""5!e33"")"),205)</f>
        <v>205</v>
      </c>
      <c r="L114" s="18">
        <f t="shared" ref="L114:L120" ca="1" si="313">SUM(J114:K114)</f>
        <v>1987</v>
      </c>
      <c r="M114" s="18">
        <f t="shared" ref="M114:M131" ca="1" si="314">SUM(I114+L114)</f>
        <v>3732</v>
      </c>
      <c r="N114" s="19">
        <f t="shared" ref="N114:N132" ca="1" si="315">F114/E114</f>
        <v>192.38362499999937</v>
      </c>
      <c r="O114" s="16">
        <v>5161</v>
      </c>
      <c r="P114" s="20">
        <f t="shared" ref="P114:P132" ca="1" si="316">M114/O114</f>
        <v>0.72311567525673315</v>
      </c>
      <c r="Q114" s="21">
        <v>1.5</v>
      </c>
      <c r="R114" s="20">
        <f t="shared" ref="R114:R132" ca="1" si="317">S114/Q114</f>
        <v>0.80828085030625918</v>
      </c>
      <c r="S114" s="22">
        <f t="shared" ref="S114:S132" ca="1" si="318">M114/F114</f>
        <v>1.2124212754593888</v>
      </c>
      <c r="T114" s="21">
        <f ca="1">F114/14.415</f>
        <v>213.53714880332919</v>
      </c>
      <c r="U114" s="21">
        <f t="shared" ref="U114:U132" ca="1" si="319">T114/E114</f>
        <v>13.346071800208074</v>
      </c>
      <c r="V114" s="18">
        <f t="shared" ref="V114:V132" ca="1" si="320">M114/E114</f>
        <v>233.25</v>
      </c>
      <c r="W114" s="76"/>
      <c r="X114" s="8">
        <v>4</v>
      </c>
      <c r="Y114" s="8" t="s">
        <v>27</v>
      </c>
      <c r="Z114" s="8">
        <f t="shared" ref="Z114:AK114" si="321">SUM(D127)</f>
        <v>24</v>
      </c>
      <c r="AA114" s="9">
        <f t="shared" ca="1" si="321"/>
        <v>24</v>
      </c>
      <c r="AB114" s="10">
        <f t="shared" ca="1" si="321"/>
        <v>4766.2849999999899</v>
      </c>
      <c r="AC114" s="9">
        <f t="shared" ca="1" si="321"/>
        <v>1649</v>
      </c>
      <c r="AD114" s="9">
        <f t="shared" ca="1" si="321"/>
        <v>150</v>
      </c>
      <c r="AE114" s="9">
        <f t="shared" ca="1" si="321"/>
        <v>1799</v>
      </c>
      <c r="AF114" s="9">
        <f t="shared" ca="1" si="321"/>
        <v>2264</v>
      </c>
      <c r="AG114" s="9">
        <f t="shared" ca="1" si="321"/>
        <v>170</v>
      </c>
      <c r="AH114" s="9">
        <f t="shared" ca="1" si="321"/>
        <v>2434</v>
      </c>
      <c r="AI114" s="9">
        <f t="shared" ca="1" si="321"/>
        <v>4233</v>
      </c>
      <c r="AJ114" s="11">
        <f t="shared" ca="1" si="321"/>
        <v>198.59520833333292</v>
      </c>
      <c r="AK114" s="8">
        <f t="shared" si="321"/>
        <v>8101</v>
      </c>
      <c r="AL114" s="12">
        <f t="shared" ca="1" si="302"/>
        <v>0.52252808295272191</v>
      </c>
      <c r="AM114" s="13">
        <f>SUM(Q127)</f>
        <v>1.5</v>
      </c>
      <c r="AN114" s="12">
        <f t="shared" ca="1" si="304"/>
        <v>0.59207537946220301</v>
      </c>
      <c r="AO114" s="14">
        <f t="shared" ca="1" si="305"/>
        <v>0.88811306919330446</v>
      </c>
      <c r="AP114" s="13">
        <f t="shared" ref="AP114:AQ114" ca="1" si="322">SUM(T127)</f>
        <v>238.4931198398794</v>
      </c>
      <c r="AQ114" s="13">
        <f t="shared" ca="1" si="322"/>
        <v>9.9372133266616416</v>
      </c>
      <c r="AR114" s="9">
        <f t="shared" ca="1" si="307"/>
        <v>176.375</v>
      </c>
      <c r="AS114" s="76"/>
      <c r="AT114" s="76"/>
    </row>
    <row r="115" spans="1:46" ht="15.75" customHeight="1" x14ac:dyDescent="0.25">
      <c r="A115" s="70"/>
      <c r="B115" s="16">
        <v>2</v>
      </c>
      <c r="C115" s="16" t="s">
        <v>28</v>
      </c>
      <c r="D115" s="17">
        <v>26</v>
      </c>
      <c r="E115" s="18">
        <f ca="1">IFERROR(__xludf.DUMMYFUNCTION("COUNT(IMPORTRANGE(""https://docs.google.com/spreadsheets/d/1H9vAqftAHb0OdeSGXHTnJFzoWUgpoH31sc0sHNN8y1o/edit"",""5!d2:d34""))"),26)</f>
        <v>26</v>
      </c>
      <c r="F115" s="19">
        <f ca="1">IFERROR(__xludf.DUMMYFUNCTION("SUM(IMPORTRANGE(""https://docs.google.com/spreadsheets/d/1H9vAqftAHb0OdeSGXHTnJFzoWUgpoH31sc0sHNN8y1o/edit"",""5!Q2:Q34""))"),5185.99)</f>
        <v>5185.99</v>
      </c>
      <c r="G115" s="18">
        <f ca="1">IFERROR(__xludf.DUMMYFUNCTION("IMPORTRANGE(""https://docs.google.com/spreadsheets/d/1H9vAqftAHb0OdeSGXHTnJFzoWUgpoH31sc0sHNN8y1o/edit"",""5!e41"")"),1916)</f>
        <v>1916</v>
      </c>
      <c r="H115" s="18">
        <f ca="1">IFERROR(__xludf.DUMMYFUNCTION("IMPORTRANGE(""https://docs.google.com/spreadsheets/d/1H9vAqftAHb0OdeSGXHTnJFzoWUgpoH31sc0sHNN8y1o/edit"",""5!e42"")"),125)</f>
        <v>125</v>
      </c>
      <c r="I115" s="18">
        <f t="shared" ca="1" si="312"/>
        <v>2041</v>
      </c>
      <c r="J115" s="18">
        <f ca="1">IFERROR(__xludf.DUMMYFUNCTION("IMPORTRANGE(""https://docs.google.com/spreadsheets/d/1H9vAqftAHb0OdeSGXHTnJFzoWUgpoH31sc0sHNN8y1o/edit"",""5!e45"")"),2117)</f>
        <v>2117</v>
      </c>
      <c r="K115" s="18">
        <f ca="1">IFERROR(__xludf.DUMMYFUNCTION("IMPORTRANGE(""https://docs.google.com/spreadsheets/d/1H9vAqftAHb0OdeSGXHTnJFzoWUgpoH31sc0sHNN8y1o/edit"",""5!e46"")"),95)</f>
        <v>95</v>
      </c>
      <c r="L115" s="18">
        <f t="shared" ca="1" si="313"/>
        <v>2212</v>
      </c>
      <c r="M115" s="18">
        <f t="shared" ca="1" si="314"/>
        <v>4253</v>
      </c>
      <c r="N115" s="19">
        <f t="shared" ca="1" si="315"/>
        <v>199.46115384615385</v>
      </c>
      <c r="O115" s="16">
        <v>7315</v>
      </c>
      <c r="P115" s="20">
        <f t="shared" ca="1" si="316"/>
        <v>0.58140806561859193</v>
      </c>
      <c r="Q115" s="21">
        <v>1.5</v>
      </c>
      <c r="R115" s="20">
        <f t="shared" ca="1" si="317"/>
        <v>0.54672942549702819</v>
      </c>
      <c r="S115" s="22">
        <f t="shared" ca="1" si="318"/>
        <v>0.82009413824554234</v>
      </c>
      <c r="T115" s="21">
        <f ca="1">F115/30.897</f>
        <v>167.84768747774865</v>
      </c>
      <c r="U115" s="21">
        <f t="shared" ca="1" si="319"/>
        <v>6.4556802876057171</v>
      </c>
      <c r="V115" s="18">
        <f t="shared" ca="1" si="320"/>
        <v>163.57692307692307</v>
      </c>
      <c r="W115" s="76"/>
      <c r="X115" s="8">
        <v>5</v>
      </c>
      <c r="Y115" s="8" t="s">
        <v>29</v>
      </c>
      <c r="Z115" s="8">
        <f t="shared" ref="Z115:AI115" si="323">SUM(D130)</f>
        <v>24</v>
      </c>
      <c r="AA115" s="9">
        <f t="shared" ca="1" si="323"/>
        <v>22</v>
      </c>
      <c r="AB115" s="10">
        <f t="shared" ca="1" si="323"/>
        <v>4291.5419999999904</v>
      </c>
      <c r="AC115" s="9">
        <f t="shared" ca="1" si="323"/>
        <v>2030</v>
      </c>
      <c r="AD115" s="9">
        <f t="shared" ca="1" si="323"/>
        <v>0</v>
      </c>
      <c r="AE115" s="9">
        <f t="shared" ca="1" si="323"/>
        <v>2030</v>
      </c>
      <c r="AF115" s="9">
        <f t="shared" ca="1" si="323"/>
        <v>3226</v>
      </c>
      <c r="AG115" s="9">
        <f t="shared" ca="1" si="323"/>
        <v>0</v>
      </c>
      <c r="AH115" s="9">
        <f t="shared" ca="1" si="323"/>
        <v>3226</v>
      </c>
      <c r="AI115" s="9">
        <f t="shared" ca="1" si="323"/>
        <v>5256</v>
      </c>
      <c r="AJ115" s="11">
        <f t="shared" ref="AJ115:AJ117" ca="1" si="324">AB115/AA115</f>
        <v>195.07009090909048</v>
      </c>
      <c r="AK115" s="8">
        <f t="shared" ref="AK115:AK116" si="325">SUM(O130)</f>
        <v>9201</v>
      </c>
      <c r="AL115" s="12">
        <f t="shared" ca="1" si="302"/>
        <v>0.57124225627649172</v>
      </c>
      <c r="AM115" s="13">
        <f t="shared" ref="AM115:AM116" si="326">SUM(Q130)</f>
        <v>1.5</v>
      </c>
      <c r="AN115" s="12">
        <f t="shared" ca="1" si="304"/>
        <v>0.81648973725528207</v>
      </c>
      <c r="AO115" s="14">
        <f t="shared" ca="1" si="305"/>
        <v>1.2247346058829232</v>
      </c>
      <c r="AP115" s="13">
        <f t="shared" ref="AP115:AQ115" ca="1" si="327">SUM(T130)</f>
        <v>161.99999999999963</v>
      </c>
      <c r="AQ115" s="13">
        <f t="shared" ca="1" si="327"/>
        <v>7.3636363636363464</v>
      </c>
      <c r="AR115" s="9">
        <f t="shared" ca="1" si="307"/>
        <v>238.90909090909091</v>
      </c>
      <c r="AS115" s="76"/>
      <c r="AT115" s="76"/>
    </row>
    <row r="116" spans="1:46" ht="15.75" customHeight="1" x14ac:dyDescent="0.25">
      <c r="A116" s="70"/>
      <c r="B116" s="16">
        <v>3</v>
      </c>
      <c r="C116" s="16" t="s">
        <v>30</v>
      </c>
      <c r="D116" s="17">
        <v>48</v>
      </c>
      <c r="E116" s="18">
        <f ca="1">IFERROR(__xludf.DUMMYFUNCTION("COUNT(IMPORTRANGE(""https://docs.google.com/spreadsheets/d/1EWN6nfpuVxbUE_9opjYCWaI7MTm5xsF6ssjklSbMZnA/edit"",""5!d2:d61""))"),46)</f>
        <v>46</v>
      </c>
      <c r="F116" s="23">
        <f ca="1">IFERROR(__xludf.DUMMYFUNCTION("SUM(IMPORTRANGE(""https://docs.google.com/spreadsheets/d/1EWN6nfpuVxbUE_9opjYCWaI7MTm5xsF6ssjklSbMZnA/edit"",""5!Q2:Q61""))"),9185.33999999999)</f>
        <v>9185.3399999999892</v>
      </c>
      <c r="G116" s="18">
        <f ca="1">IFERROR(__xludf.DUMMYFUNCTION("IMPORTRANGE(""https://docs.google.com/spreadsheets/d/1EWN6nfpuVxbUE_9opjYCWaI7MTm5xsF6ssjklSbMZnA/edit"",""5!e68"")"),2875)</f>
        <v>2875</v>
      </c>
      <c r="H116" s="18">
        <f ca="1">IFERROR(__xludf.DUMMYFUNCTION("IMPORTRANGE(""https://docs.google.com/spreadsheets/d/1EWN6nfpuVxbUE_9opjYCWaI7MTm5xsF6ssjklSbMZnA/edit"",""5!e69"")"),0)</f>
        <v>0</v>
      </c>
      <c r="I116" s="18">
        <f t="shared" ca="1" si="312"/>
        <v>2875</v>
      </c>
      <c r="J116" s="18">
        <f ca="1">IFERROR(__xludf.DUMMYFUNCTION("IMPORTRANGE(""https://docs.google.com/spreadsheets/d/1EWN6nfpuVxbUE_9opjYCWaI7MTm5xsF6ssjklSbMZnA/edit"",""5!e72"")"),4170)</f>
        <v>4170</v>
      </c>
      <c r="K116" s="18">
        <f ca="1">IFERROR(__xludf.DUMMYFUNCTION("IMPORTRANGE(""https://docs.google.com/spreadsheets/d/1EWN6nfpuVxbUE_9opjYCWaI7MTm5xsF6ssjklSbMZnA/edit"",""5!e73"")"),0)</f>
        <v>0</v>
      </c>
      <c r="L116" s="18">
        <f t="shared" ca="1" si="313"/>
        <v>4170</v>
      </c>
      <c r="M116" s="18">
        <f t="shared" ca="1" si="314"/>
        <v>7045</v>
      </c>
      <c r="N116" s="19">
        <f t="shared" ca="1" si="315"/>
        <v>199.68130434782586</v>
      </c>
      <c r="O116" s="16">
        <v>11164</v>
      </c>
      <c r="P116" s="20">
        <f t="shared" ca="1" si="316"/>
        <v>0.63104621999283406</v>
      </c>
      <c r="Q116" s="21">
        <v>1.5</v>
      </c>
      <c r="R116" s="20">
        <f t="shared" ca="1" si="317"/>
        <v>0.51132202691099859</v>
      </c>
      <c r="S116" s="22">
        <f t="shared" ca="1" si="318"/>
        <v>0.76698304036649789</v>
      </c>
      <c r="T116" s="21">
        <f ca="1">F116/29.603</f>
        <v>310.28409282842915</v>
      </c>
      <c r="U116" s="21">
        <f t="shared" ca="1" si="319"/>
        <v>6.7453063658354164</v>
      </c>
      <c r="V116" s="18">
        <f t="shared" ca="1" si="320"/>
        <v>153.15217391304347</v>
      </c>
      <c r="W116" s="76"/>
      <c r="X116" s="8">
        <v>6</v>
      </c>
      <c r="Y116" s="8" t="s">
        <v>31</v>
      </c>
      <c r="Z116" s="8">
        <f t="shared" ref="Z116:AI116" si="328">SUM(D131)</f>
        <v>12</v>
      </c>
      <c r="AA116" s="9">
        <f t="shared" ca="1" si="328"/>
        <v>12</v>
      </c>
      <c r="AB116" s="11">
        <f t="shared" ca="1" si="328"/>
        <v>2390.5749999999998</v>
      </c>
      <c r="AC116" s="9">
        <f t="shared" ca="1" si="328"/>
        <v>625</v>
      </c>
      <c r="AD116" s="9">
        <f t="shared" ca="1" si="328"/>
        <v>25</v>
      </c>
      <c r="AE116" s="9">
        <f t="shared" ca="1" si="328"/>
        <v>650</v>
      </c>
      <c r="AF116" s="9">
        <f t="shared" ca="1" si="328"/>
        <v>832</v>
      </c>
      <c r="AG116" s="9">
        <f t="shared" ca="1" si="328"/>
        <v>0</v>
      </c>
      <c r="AH116" s="9">
        <f t="shared" ca="1" si="328"/>
        <v>832</v>
      </c>
      <c r="AI116" s="9">
        <f t="shared" ca="1" si="328"/>
        <v>1482</v>
      </c>
      <c r="AJ116" s="11">
        <f t="shared" ca="1" si="324"/>
        <v>199.21458333333331</v>
      </c>
      <c r="AK116" s="8">
        <f t="shared" si="325"/>
        <v>2717</v>
      </c>
      <c r="AL116" s="12">
        <f t="shared" ca="1" si="302"/>
        <v>0.54545454545454541</v>
      </c>
      <c r="AM116" s="13">
        <f t="shared" si="326"/>
        <v>1.5</v>
      </c>
      <c r="AN116" s="12">
        <f t="shared" ca="1" si="304"/>
        <v>0.41328968971900065</v>
      </c>
      <c r="AO116" s="14">
        <f t="shared" ca="1" si="305"/>
        <v>0.61993453457850101</v>
      </c>
      <c r="AP116" s="13">
        <f t="shared" ref="AP116:AQ116" ca="1" si="329">SUM(T131)</f>
        <v>54.999999999999993</v>
      </c>
      <c r="AQ116" s="13">
        <f t="shared" ca="1" si="329"/>
        <v>4.583333333333333</v>
      </c>
      <c r="AR116" s="9">
        <f t="shared" ca="1" si="307"/>
        <v>123.5</v>
      </c>
      <c r="AS116" s="76"/>
      <c r="AT116" s="76"/>
    </row>
    <row r="117" spans="1:46" ht="15.75" customHeight="1" x14ac:dyDescent="0.25">
      <c r="A117" s="70"/>
      <c r="B117" s="16">
        <v>4</v>
      </c>
      <c r="C117" s="16" t="s">
        <v>32</v>
      </c>
      <c r="D117" s="17">
        <v>33</v>
      </c>
      <c r="E117" s="18">
        <f ca="1">IFERROR(__xludf.DUMMYFUNCTION("COUNT(IMPORTRANGE(""https://docs.google.com/spreadsheets/d/1Rmar8QqWK4XOJ-eY6xMzkAfDSw0srEXcAw89ilArun8/edit"",""5!d2:d43""))"),33)</f>
        <v>33</v>
      </c>
      <c r="F117" s="23">
        <f ca="1">IFERROR(__xludf.DUMMYFUNCTION("SUM(IMPORTRANGE(""https://docs.google.com/spreadsheets/d/1Rmar8QqWK4XOJ-eY6xMzkAfDSw0srEXcAw89ilArun8/edit"",""5!Q2:Q43""))"),6274.39899999999)</f>
        <v>6274.3989999999903</v>
      </c>
      <c r="G117" s="16">
        <f ca="1">IFERROR(__xludf.DUMMYFUNCTION("IMPORTRANGE(""https://docs.google.com/spreadsheets/d/1Rmar8QqWK4XOJ-eY6xMzkAfDSw0srEXcAw89ilArun8/edit"",""5!e50"")"),3614)</f>
        <v>3614</v>
      </c>
      <c r="H117" s="16">
        <f ca="1">IFERROR(__xludf.DUMMYFUNCTION("IMPORTRANGE(""https://docs.google.com/spreadsheets/d/1Rmar8QqWK4XOJ-eY6xMzkAfDSw0srEXcAw89ilArun8/edit"",""5!e51"")"),28)</f>
        <v>28</v>
      </c>
      <c r="I117" s="18">
        <f t="shared" ca="1" si="312"/>
        <v>3642</v>
      </c>
      <c r="J117" s="16">
        <f ca="1">IFERROR(__xludf.DUMMYFUNCTION("IMPORTRANGE(""https://docs.google.com/spreadsheets/d/1Rmar8QqWK4XOJ-eY6xMzkAfDSw0srEXcAw89ilArun8/edit"",""5!e54"")"),4401)</f>
        <v>4401</v>
      </c>
      <c r="K117" s="16">
        <f ca="1">IFERROR(__xludf.DUMMYFUNCTION("IMPORTRANGE(""https://docs.google.com/spreadsheets/d/1Rmar8QqWK4XOJ-eY6xMzkAfDSw0srEXcAw89ilArun8/edit"",""5!e55"")"),0)</f>
        <v>0</v>
      </c>
      <c r="L117" s="18">
        <f t="shared" ca="1" si="313"/>
        <v>4401</v>
      </c>
      <c r="M117" s="18">
        <f t="shared" ca="1" si="314"/>
        <v>8043</v>
      </c>
      <c r="N117" s="19">
        <f t="shared" ca="1" si="315"/>
        <v>190.13330303030273</v>
      </c>
      <c r="O117" s="16">
        <v>13817</v>
      </c>
      <c r="P117" s="20">
        <f t="shared" ca="1" si="316"/>
        <v>0.58210899616414558</v>
      </c>
      <c r="Q117" s="21">
        <v>1.5</v>
      </c>
      <c r="R117" s="20">
        <f t="shared" ca="1" si="317"/>
        <v>0.85458384141652577</v>
      </c>
      <c r="S117" s="22">
        <f t="shared" ca="1" si="318"/>
        <v>1.2818757621247887</v>
      </c>
      <c r="T117" s="21">
        <f ca="1">F117/25.089</f>
        <v>250.0856550679577</v>
      </c>
      <c r="U117" s="21">
        <f t="shared" ca="1" si="319"/>
        <v>7.578353183877506</v>
      </c>
      <c r="V117" s="18">
        <f t="shared" ca="1" si="320"/>
        <v>243.72727272727272</v>
      </c>
      <c r="W117" s="76"/>
      <c r="X117" s="24" t="s">
        <v>33</v>
      </c>
      <c r="Y117" s="24">
        <v>6</v>
      </c>
      <c r="Z117" s="24">
        <f t="shared" ref="Z117:AI117" si="330">SUM(Z111:Z116)</f>
        <v>152</v>
      </c>
      <c r="AA117" s="25">
        <f t="shared" ca="1" si="330"/>
        <v>149</v>
      </c>
      <c r="AB117" s="26">
        <f t="shared" ca="1" si="330"/>
        <v>29199.07099999996</v>
      </c>
      <c r="AC117" s="25">
        <f t="shared" ca="1" si="330"/>
        <v>8173</v>
      </c>
      <c r="AD117" s="25">
        <f t="shared" ca="1" si="330"/>
        <v>457</v>
      </c>
      <c r="AE117" s="25">
        <f t="shared" ca="1" si="330"/>
        <v>8630</v>
      </c>
      <c r="AF117" s="25">
        <f t="shared" ca="1" si="330"/>
        <v>12572</v>
      </c>
      <c r="AG117" s="25">
        <f t="shared" ca="1" si="330"/>
        <v>383</v>
      </c>
      <c r="AH117" s="25">
        <f t="shared" ca="1" si="330"/>
        <v>12955</v>
      </c>
      <c r="AI117" s="25">
        <f t="shared" ca="1" si="330"/>
        <v>21585</v>
      </c>
      <c r="AJ117" s="27">
        <f t="shared" ca="1" si="324"/>
        <v>195.96691946308698</v>
      </c>
      <c r="AK117" s="24">
        <f>SUM(AK111:AK116)</f>
        <v>35074</v>
      </c>
      <c r="AL117" s="28">
        <f t="shared" ca="1" si="302"/>
        <v>0.61541312653247415</v>
      </c>
      <c r="AM117" s="29">
        <v>1.5</v>
      </c>
      <c r="AN117" s="28">
        <f t="shared" ca="1" si="304"/>
        <v>0.49282389840416568</v>
      </c>
      <c r="AO117" s="30">
        <f t="shared" ca="1" si="305"/>
        <v>0.7392358476062485</v>
      </c>
      <c r="AP117" s="29">
        <f ca="1">SUM(AP111:AP116)</f>
        <v>1098.9506914576648</v>
      </c>
      <c r="AQ117" s="29">
        <f ca="1">AP117/AA117</f>
        <v>7.3755079963601666</v>
      </c>
      <c r="AR117" s="25">
        <f t="shared" ca="1" si="307"/>
        <v>144.86577181208054</v>
      </c>
      <c r="AS117" s="76"/>
      <c r="AT117" s="76"/>
    </row>
    <row r="118" spans="1:46" ht="15.75" customHeight="1" x14ac:dyDescent="0.25">
      <c r="A118" s="70"/>
      <c r="B118" s="16">
        <v>5</v>
      </c>
      <c r="C118" s="16" t="s">
        <v>34</v>
      </c>
      <c r="D118" s="17">
        <v>32</v>
      </c>
      <c r="E118" s="18">
        <f ca="1">IFERROR(__xludf.DUMMYFUNCTION("COUNT(IMPORTRANGE(""https://docs.google.com/spreadsheets/d/1u99JxAoytGQQ8GcjxXl38CGdyEWy5uIbuJJHnsotyvk/edit"",""5!d2:d41""))"),31)</f>
        <v>31</v>
      </c>
      <c r="F118" s="23">
        <f ca="1">IFERROR(__xludf.DUMMYFUNCTION("SUM(IMPORTRANGE(""https://docs.google.com/spreadsheets/d/1u99JxAoytGQQ8GcjxXl38CGdyEWy5uIbuJJHnsotyvk/edit"",""5!Q2:Q41""))"),6093.198)</f>
        <v>6093.1980000000003</v>
      </c>
      <c r="G118" s="18">
        <f ca="1">IFERROR(__xludf.DUMMYFUNCTION("IMPORTRANGE(""https://docs.google.com/spreadsheets/d/1u99JxAoytGQQ8GcjxXl38CGdyEWy5uIbuJJHnsotyvk/edit"",""5!e48"")"),2113)</f>
        <v>2113</v>
      </c>
      <c r="H118" s="18">
        <f ca="1">IFERROR(__xludf.DUMMYFUNCTION("IMPORTRANGE(""https://docs.google.com/spreadsheets/d/1u99JxAoytGQQ8GcjxXl38CGdyEWy5uIbuJJHnsotyvk/edit"",""5!e49"")"),90)</f>
        <v>90</v>
      </c>
      <c r="I118" s="18">
        <f t="shared" ca="1" si="312"/>
        <v>2203</v>
      </c>
      <c r="J118" s="18">
        <f ca="1">IFERROR(__xludf.DUMMYFUNCTION("IMPORTRANGE(""https://docs.google.com/spreadsheets/d/1u99JxAoytGQQ8GcjxXl38CGdyEWy5uIbuJJHnsotyvk/edit"",""5!e52"")"),2916)</f>
        <v>2916</v>
      </c>
      <c r="K118" s="18">
        <f ca="1">IFERROR(__xludf.DUMMYFUNCTION("IMPORTRANGE(""https://docs.google.com/spreadsheets/d/1u99JxAoytGQQ8GcjxXl38CGdyEWy5uIbuJJHnsotyvk/edit"",""5!e53"")"),100)</f>
        <v>100</v>
      </c>
      <c r="L118" s="18">
        <f t="shared" ca="1" si="313"/>
        <v>3016</v>
      </c>
      <c r="M118" s="18">
        <f t="shared" ca="1" si="314"/>
        <v>5219</v>
      </c>
      <c r="N118" s="19">
        <f t="shared" ca="1" si="315"/>
        <v>196.55477419354841</v>
      </c>
      <c r="O118" s="16">
        <v>9354</v>
      </c>
      <c r="P118" s="20">
        <f t="shared" ca="1" si="316"/>
        <v>0.55794312593542872</v>
      </c>
      <c r="Q118" s="21">
        <v>1.5</v>
      </c>
      <c r="R118" s="20">
        <f t="shared" ca="1" si="317"/>
        <v>0.5710192469263814</v>
      </c>
      <c r="S118" s="22">
        <f t="shared" ca="1" si="318"/>
        <v>0.85652887038957204</v>
      </c>
      <c r="T118" s="21">
        <f ca="1">F118/30.713</f>
        <v>198.39149545794942</v>
      </c>
      <c r="U118" s="21">
        <f t="shared" ca="1" si="319"/>
        <v>6.3997256599338526</v>
      </c>
      <c r="V118" s="18">
        <f t="shared" ca="1" si="320"/>
        <v>168.35483870967741</v>
      </c>
      <c r="W118" s="76"/>
      <c r="X118" s="100" t="s">
        <v>35</v>
      </c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9"/>
      <c r="AS118" s="76"/>
      <c r="AT118" s="76"/>
    </row>
    <row r="119" spans="1:46" ht="15.75" customHeight="1" x14ac:dyDescent="0.25">
      <c r="A119" s="70"/>
      <c r="B119" s="16">
        <v>6</v>
      </c>
      <c r="C119" s="16" t="s">
        <v>23</v>
      </c>
      <c r="D119" s="17">
        <v>28</v>
      </c>
      <c r="E119" s="18">
        <f ca="1">IFERROR(__xludf.DUMMYFUNCTION("COUNT(IMPORTRANGE(""https://docs.google.com/spreadsheets/d/1uVc-vnTn57HE53lwrUYNZP4sGKTXisrqOoZ-6EyvLzY/edit"",""5!d2:d36""))"),28)</f>
        <v>28</v>
      </c>
      <c r="F119" s="23">
        <f ca="1">IFERROR(__xludf.DUMMYFUNCTION("SUM(IMPORTRANGE(""https://docs.google.com/spreadsheets/d/1uVc-vnTn57HE53lwrUYNZP4sGKTXisrqOoZ-6EyvLzY/edit"",""5!Q2:Q36""))"),5567.09999999999)</f>
        <v>5567.0999999999904</v>
      </c>
      <c r="G119" s="18">
        <f ca="1">IFERROR(__xludf.DUMMYFUNCTION("IMPORTRANGE(""https://docs.google.com/spreadsheets/d/1uVc-vnTn57HE53lwrUYNZP4sGKTXisrqOoZ-6EyvLzY/edit"",""5!e43"")"),1138)</f>
        <v>1138</v>
      </c>
      <c r="H119" s="18">
        <f ca="1">IFERROR(__xludf.DUMMYFUNCTION("IMPORTRANGE(""https://docs.google.com/spreadsheets/d/1uVc-vnTn57HE53lwrUYNZP4sGKTXisrqOoZ-6EyvLzY/edit"",""5!e44"")"),0)</f>
        <v>0</v>
      </c>
      <c r="I119" s="18">
        <f t="shared" ca="1" si="312"/>
        <v>1138</v>
      </c>
      <c r="J119" s="18">
        <f ca="1">IFERROR(__xludf.DUMMYFUNCTION("IMPORTRANGE(""https://docs.google.com/spreadsheets/d/1uVc-vnTn57HE53lwrUYNZP4sGKTXisrqOoZ-6EyvLzY/edit"",""5!e47"")"),2824)</f>
        <v>2824</v>
      </c>
      <c r="K119" s="18">
        <f ca="1">IFERROR(__xludf.DUMMYFUNCTION("IMPORTRANGE(""https://docs.google.com/spreadsheets/d/1uVc-vnTn57HE53lwrUYNZP4sGKTXisrqOoZ-6EyvLzY/edit"",""5!e48"")"),0)</f>
        <v>0</v>
      </c>
      <c r="L119" s="18">
        <f t="shared" ca="1" si="313"/>
        <v>2824</v>
      </c>
      <c r="M119" s="18">
        <f t="shared" ca="1" si="314"/>
        <v>3962</v>
      </c>
      <c r="N119" s="19">
        <f t="shared" ca="1" si="315"/>
        <v>198.82499999999965</v>
      </c>
      <c r="O119" s="16">
        <v>6853</v>
      </c>
      <c r="P119" s="20">
        <f t="shared" ca="1" si="316"/>
        <v>0.57814096016343208</v>
      </c>
      <c r="Q119" s="21">
        <v>1.5</v>
      </c>
      <c r="R119" s="20">
        <f t="shared" ca="1" si="317"/>
        <v>0.47445408441259146</v>
      </c>
      <c r="S119" s="22">
        <f t="shared" ca="1" si="318"/>
        <v>0.71168112661888716</v>
      </c>
      <c r="T119" s="21">
        <f ca="1">F119/33.74</f>
        <v>164.99999999999972</v>
      </c>
      <c r="U119" s="21">
        <f t="shared" ca="1" si="319"/>
        <v>5.8928571428571326</v>
      </c>
      <c r="V119" s="18">
        <f t="shared" ca="1" si="320"/>
        <v>141.5</v>
      </c>
      <c r="W119" s="76"/>
      <c r="X119" s="1" t="s">
        <v>2</v>
      </c>
      <c r="Y119" s="1" t="s">
        <v>3</v>
      </c>
      <c r="Z119" s="1" t="s">
        <v>4</v>
      </c>
      <c r="AA119" s="1" t="s">
        <v>5</v>
      </c>
      <c r="AB119" s="2" t="s">
        <v>6</v>
      </c>
      <c r="AC119" s="1" t="s">
        <v>7</v>
      </c>
      <c r="AD119" s="1" t="s">
        <v>8</v>
      </c>
      <c r="AE119" s="1" t="s">
        <v>9</v>
      </c>
      <c r="AF119" s="1" t="s">
        <v>10</v>
      </c>
      <c r="AG119" s="1" t="s">
        <v>11</v>
      </c>
      <c r="AH119" s="1" t="s">
        <v>12</v>
      </c>
      <c r="AI119" s="1" t="s">
        <v>13</v>
      </c>
      <c r="AJ119" s="2" t="s">
        <v>14</v>
      </c>
      <c r="AK119" s="1" t="s">
        <v>15</v>
      </c>
      <c r="AL119" s="1" t="s">
        <v>16</v>
      </c>
      <c r="AM119" s="3" t="s">
        <v>17</v>
      </c>
      <c r="AN119" s="4" t="s">
        <v>18</v>
      </c>
      <c r="AO119" s="5" t="s">
        <v>19</v>
      </c>
      <c r="AP119" s="6" t="s">
        <v>20</v>
      </c>
      <c r="AQ119" s="6" t="s">
        <v>21</v>
      </c>
      <c r="AR119" s="7" t="s">
        <v>22</v>
      </c>
      <c r="AS119" s="76"/>
      <c r="AT119" s="76"/>
    </row>
    <row r="120" spans="1:46" ht="15.75" customHeight="1" x14ac:dyDescent="0.25">
      <c r="A120" s="70"/>
      <c r="B120" s="16">
        <v>7</v>
      </c>
      <c r="C120" s="16" t="s">
        <v>24</v>
      </c>
      <c r="D120" s="17">
        <v>37</v>
      </c>
      <c r="E120" s="31">
        <f ca="1">IFERROR(__xludf.DUMMYFUNCTION("COUNT(IMPORTRANGE(""https://docs.google.com/spreadsheets/d/1iuPvivSypupo44l6GtmR-2qZ3za7cTk7KzsOVp_kv2c/edit"",""5!d2:d45""))"),36)</f>
        <v>36</v>
      </c>
      <c r="F120" s="32">
        <f ca="1">IFERROR(__xludf.DUMMYFUNCTION("SUM(IMPORTRANGE(""https://docs.google.com/spreadsheets/d/1iuPvivSypupo44l6GtmR-2qZ3za7cTk7KzsOVp_kv2c/edit"",""5!Q2:Q45""))"),7025.71699999999)</f>
        <v>7025.7169999999896</v>
      </c>
      <c r="G120" s="31">
        <f ca="1">IFERROR(__xludf.DUMMYFUNCTION("IMPORTRANGE(""https://docs.google.com/spreadsheets/d/1iuPvivSypupo44l6GtmR-2qZ3za7cTk7KzsOVp_kv2c/edit"",""5!e53"")"),821)</f>
        <v>821</v>
      </c>
      <c r="H120" s="31">
        <f ca="1">IFERROR(__xludf.DUMMYFUNCTION("IMPORTRANGE(""https://docs.google.com/spreadsheets/d/1iuPvivSypupo44l6GtmR-2qZ3za7cTk7KzsOVp_kv2c/edit"",""5!e54"")"),0)</f>
        <v>0</v>
      </c>
      <c r="I120" s="31">
        <f t="shared" ca="1" si="312"/>
        <v>821</v>
      </c>
      <c r="J120" s="31">
        <f ca="1">IFERROR(__xludf.DUMMYFUNCTION("IMPORTRANGE(""https://docs.google.com/spreadsheets/d/1iuPvivSypupo44l6GtmR-2qZ3za7cTk7KzsOVp_kv2c/edit"",""5!e57"")"),944)</f>
        <v>944</v>
      </c>
      <c r="K120" s="31">
        <f ca="1">IFERROR(__xludf.DUMMYFUNCTION("IMPORTRANGE(""https://docs.google.com/spreadsheets/d/1iuPvivSypupo44l6GtmR-2qZ3za7cTk7KzsOVp_kv2c/edit"",""5!e58"")"),0)</f>
        <v>0</v>
      </c>
      <c r="L120" s="18">
        <f t="shared" ca="1" si="313"/>
        <v>944</v>
      </c>
      <c r="M120" s="18">
        <f t="shared" ca="1" si="314"/>
        <v>1765</v>
      </c>
      <c r="N120" s="19">
        <f t="shared" ca="1" si="315"/>
        <v>195.15880555555526</v>
      </c>
      <c r="O120" s="16">
        <v>1580</v>
      </c>
      <c r="P120" s="33">
        <f t="shared" ca="1" si="316"/>
        <v>1.1170886075949367</v>
      </c>
      <c r="Q120" s="21">
        <v>1.5</v>
      </c>
      <c r="R120" s="20">
        <f t="shared" ca="1" si="317"/>
        <v>0.1674799407187435</v>
      </c>
      <c r="S120" s="22">
        <f t="shared" ca="1" si="318"/>
        <v>0.25121991107811525</v>
      </c>
      <c r="T120" s="21">
        <f ca="1">F120/26.805</f>
        <v>262.10471926879273</v>
      </c>
      <c r="U120" s="21">
        <f t="shared" ca="1" si="319"/>
        <v>7.2806866463553535</v>
      </c>
      <c r="V120" s="18">
        <f t="shared" ca="1" si="320"/>
        <v>49.027777777777779</v>
      </c>
      <c r="W120" s="76"/>
      <c r="X120" s="8">
        <v>1</v>
      </c>
      <c r="Y120" s="8" t="s">
        <v>28</v>
      </c>
      <c r="Z120" s="8">
        <f t="shared" ref="Z120:AI120" si="331">SUM(D115)</f>
        <v>26</v>
      </c>
      <c r="AA120" s="9">
        <f t="shared" ca="1" si="331"/>
        <v>26</v>
      </c>
      <c r="AB120" s="11">
        <f t="shared" ca="1" si="331"/>
        <v>5185.99</v>
      </c>
      <c r="AC120" s="9">
        <f t="shared" ca="1" si="331"/>
        <v>1916</v>
      </c>
      <c r="AD120" s="9">
        <f t="shared" ca="1" si="331"/>
        <v>125</v>
      </c>
      <c r="AE120" s="9">
        <f t="shared" ca="1" si="331"/>
        <v>2041</v>
      </c>
      <c r="AF120" s="9">
        <f t="shared" ca="1" si="331"/>
        <v>2117</v>
      </c>
      <c r="AG120" s="9">
        <f t="shared" ca="1" si="331"/>
        <v>95</v>
      </c>
      <c r="AH120" s="9">
        <f t="shared" ca="1" si="331"/>
        <v>2212</v>
      </c>
      <c r="AI120" s="9">
        <f t="shared" ca="1" si="331"/>
        <v>4253</v>
      </c>
      <c r="AJ120" s="11">
        <f t="shared" ref="AJ120:AJ126" ca="1" si="332">AB120/AA120</f>
        <v>199.46115384615385</v>
      </c>
      <c r="AK120" s="8">
        <f t="shared" ref="AK120:AK121" si="333">SUM(O115)</f>
        <v>7315</v>
      </c>
      <c r="AL120" s="12">
        <f t="shared" ref="AL120:AL126" ca="1" si="334">AI120/AK120</f>
        <v>0.58140806561859193</v>
      </c>
      <c r="AM120" s="13">
        <f t="shared" ref="AM120:AM121" si="335">SUM(Q115)</f>
        <v>1.5</v>
      </c>
      <c r="AN120" s="12">
        <f t="shared" ref="AN120:AN126" ca="1" si="336">AO120/AM120</f>
        <v>0.54672942549702819</v>
      </c>
      <c r="AO120" s="14">
        <f t="shared" ref="AO120:AO126" ca="1" si="337">AI120/AB120</f>
        <v>0.82009413824554234</v>
      </c>
      <c r="AP120" s="13">
        <f t="shared" ref="AP120:AQ120" ca="1" si="338">SUM(T115)</f>
        <v>167.84768747774865</v>
      </c>
      <c r="AQ120" s="13">
        <f t="shared" ca="1" si="338"/>
        <v>6.4556802876057171</v>
      </c>
      <c r="AR120" s="9">
        <f t="shared" ref="AR120:AR126" ca="1" si="339">AI120/AA120</f>
        <v>163.57692307692307</v>
      </c>
      <c r="AS120" s="76"/>
      <c r="AT120" s="76"/>
    </row>
    <row r="121" spans="1:46" ht="15.75" customHeight="1" x14ac:dyDescent="0.25">
      <c r="A121" s="70"/>
      <c r="B121" s="16">
        <v>8</v>
      </c>
      <c r="C121" s="16" t="s">
        <v>25</v>
      </c>
      <c r="D121" s="34">
        <v>27</v>
      </c>
      <c r="E121" s="18">
        <f ca="1">IFERROR(__xludf.DUMMYFUNCTION("COUNT(IMPORTRANGE(""https://docs.google.com/spreadsheets/d/1sqWX7UerdR9KR_duBzDNfjwbPG-3hLgV1LiN2ZVZ6Js/edit"",""5!d2:D33""))"),27)</f>
        <v>27</v>
      </c>
      <c r="F121" s="23">
        <f ca="1">IFERROR(__xludf.DUMMYFUNCTION("SUM(IMPORTRANGE(""https://docs.google.com/spreadsheets/d/1sqWX7UerdR9KR_duBzDNfjwbPG-3hLgV1LiN2ZVZ6Js/edit"",""5!Q2:Q33""))"),5157.852)</f>
        <v>5157.8519999999999</v>
      </c>
      <c r="G121" s="18">
        <f ca="1">IFERROR(__xludf.DUMMYFUNCTION("IMPORTRANGE(""https://docs.google.com/spreadsheets/d/1sqWX7UerdR9KR_duBzDNfjwbPG-3hLgV1LiN2ZVZ6Js/edit"",""5!e40"")"),1910)</f>
        <v>1910</v>
      </c>
      <c r="H121" s="18">
        <f ca="1">IFERROR(__xludf.DUMMYFUNCTION("IMPORTRANGE(""https://docs.google.com/spreadsheets/d/1sqWX7UerdR9KR_duBzDNfjwbPG-3hLgV1LiN2ZVZ6Js/edit"",""5!e41"")"),282)</f>
        <v>282</v>
      </c>
      <c r="I121" s="18">
        <f t="shared" ca="1" si="312"/>
        <v>2192</v>
      </c>
      <c r="J121" s="18">
        <f ca="1">IFERROR(__xludf.DUMMYFUNCTION("IMPORTRANGE(""https://docs.google.com/spreadsheets/d/1sqWX7UerdR9KR_duBzDNfjwbPG-3hLgV1LiN2ZVZ6Js/edit"",""5!e44"")"),2482)</f>
        <v>2482</v>
      </c>
      <c r="K121" s="18">
        <f ca="1">IFERROR(__xludf.DUMMYFUNCTION("IMPORTRANGE(""https://docs.google.com/spreadsheets/d/1sqWX7UerdR9KR_duBzDNfjwbPG-3hLgV1LiN2ZVZ6Js/edit"",""5!e45"")"),213)</f>
        <v>213</v>
      </c>
      <c r="L121" s="18">
        <f ca="1">J121+K121</f>
        <v>2695</v>
      </c>
      <c r="M121" s="18">
        <f t="shared" ca="1" si="314"/>
        <v>4887</v>
      </c>
      <c r="N121" s="19">
        <f t="shared" ca="1" si="315"/>
        <v>191.03155555555554</v>
      </c>
      <c r="O121" s="16">
        <v>6622</v>
      </c>
      <c r="P121" s="20">
        <f t="shared" ca="1" si="316"/>
        <v>0.73799456357595894</v>
      </c>
      <c r="Q121" s="21">
        <v>1.5</v>
      </c>
      <c r="R121" s="20">
        <f t="shared" ca="1" si="317"/>
        <v>0.63165829496464809</v>
      </c>
      <c r="S121" s="22">
        <f t="shared" ca="1" si="318"/>
        <v>0.94748744244697214</v>
      </c>
      <c r="T121" s="21">
        <f ca="1">F121/23.84</f>
        <v>216.35285234899328</v>
      </c>
      <c r="U121" s="21">
        <f t="shared" ca="1" si="319"/>
        <v>8.0130686055182689</v>
      </c>
      <c r="V121" s="18">
        <f t="shared" ca="1" si="320"/>
        <v>181</v>
      </c>
      <c r="W121" s="76"/>
      <c r="X121" s="8">
        <v>2</v>
      </c>
      <c r="Y121" s="8" t="s">
        <v>30</v>
      </c>
      <c r="Z121" s="8">
        <f t="shared" ref="Z121:AI121" si="340">SUM(D116)</f>
        <v>48</v>
      </c>
      <c r="AA121" s="9">
        <f t="shared" ca="1" si="340"/>
        <v>46</v>
      </c>
      <c r="AB121" s="10">
        <f t="shared" ca="1" si="340"/>
        <v>9185.3399999999892</v>
      </c>
      <c r="AC121" s="9">
        <f t="shared" ca="1" si="340"/>
        <v>2875</v>
      </c>
      <c r="AD121" s="9">
        <f t="shared" ca="1" si="340"/>
        <v>0</v>
      </c>
      <c r="AE121" s="9">
        <f t="shared" ca="1" si="340"/>
        <v>2875</v>
      </c>
      <c r="AF121" s="9">
        <f t="shared" ca="1" si="340"/>
        <v>4170</v>
      </c>
      <c r="AG121" s="9">
        <f t="shared" ca="1" si="340"/>
        <v>0</v>
      </c>
      <c r="AH121" s="9">
        <f t="shared" ca="1" si="340"/>
        <v>4170</v>
      </c>
      <c r="AI121" s="9">
        <f t="shared" ca="1" si="340"/>
        <v>7045</v>
      </c>
      <c r="AJ121" s="11">
        <f t="shared" ca="1" si="332"/>
        <v>199.68130434782586</v>
      </c>
      <c r="AK121" s="8">
        <f t="shared" si="333"/>
        <v>11164</v>
      </c>
      <c r="AL121" s="12">
        <f t="shared" ca="1" si="334"/>
        <v>0.63104621999283406</v>
      </c>
      <c r="AM121" s="13">
        <f t="shared" si="335"/>
        <v>1.5</v>
      </c>
      <c r="AN121" s="12">
        <f t="shared" ca="1" si="336"/>
        <v>0.51132202691099859</v>
      </c>
      <c r="AO121" s="14">
        <f t="shared" ca="1" si="337"/>
        <v>0.76698304036649789</v>
      </c>
      <c r="AP121" s="13">
        <f t="shared" ref="AP121:AQ121" ca="1" si="341">SUM(T116)</f>
        <v>310.28409282842915</v>
      </c>
      <c r="AQ121" s="13">
        <f t="shared" ca="1" si="341"/>
        <v>6.7453063658354164</v>
      </c>
      <c r="AR121" s="9">
        <f t="shared" ca="1" si="339"/>
        <v>153.15217391304347</v>
      </c>
      <c r="AS121" s="76"/>
      <c r="AT121" s="76"/>
    </row>
    <row r="122" spans="1:46" ht="15.75" customHeight="1" x14ac:dyDescent="0.25">
      <c r="A122" s="70"/>
      <c r="B122" s="16">
        <v>9</v>
      </c>
      <c r="C122" s="16" t="s">
        <v>36</v>
      </c>
      <c r="D122" s="34">
        <v>24</v>
      </c>
      <c r="E122" s="18">
        <f ca="1">IFERROR(__xludf.DUMMYFUNCTION("COUNT(IMPORTRANGE(""https://docs.google.com/spreadsheets/d/1YNna43iTSqnwwbMJgTIPHSJEoDO8RGPRFg5pJCoQR_Y/edit"",""5!d2:d31""))"),24)</f>
        <v>24</v>
      </c>
      <c r="F122" s="23">
        <f ca="1">IFERROR(__xludf.DUMMYFUNCTION("SUM(IMPORTRANGE(""https://docs.google.com/spreadsheets/d/1YNna43iTSqnwwbMJgTIPHSJEoDO8RGPRFg5pJCoQR_Y/edit"",""5!Q2:Q31""))"),4727.28499999999)</f>
        <v>4727.2849999999899</v>
      </c>
      <c r="G122" s="18">
        <f ca="1">IFERROR(__xludf.DUMMYFUNCTION("IMPORTRANGE(""https://docs.google.com/spreadsheets/d/1YNna43iTSqnwwbMJgTIPHSJEoDO8RGPRFg5pJCoQR_Y/edit"",""5!e38"")"),1293)</f>
        <v>1293</v>
      </c>
      <c r="H122" s="18">
        <f ca="1">IFERROR(__xludf.DUMMYFUNCTION("IMPORTRANGE(""https://docs.google.com/spreadsheets/d/1YNna43iTSqnwwbMJgTIPHSJEoDO8RGPRFg5pJCoQR_Y/edit"",""5!e39"")"),0)</f>
        <v>0</v>
      </c>
      <c r="I122" s="18">
        <f t="shared" ca="1" si="312"/>
        <v>1293</v>
      </c>
      <c r="J122" s="18">
        <f ca="1">IFERROR(__xludf.DUMMYFUNCTION("IMPORTRANGE(""https://docs.google.com/spreadsheets/d/1YNna43iTSqnwwbMJgTIPHSJEoDO8RGPRFg5pJCoQR_Y/edit"",""5!e42"")"),1614)</f>
        <v>1614</v>
      </c>
      <c r="K122" s="18">
        <f ca="1">IFERROR(__xludf.DUMMYFUNCTION("IMPORTRANGE(""https://docs.google.com/spreadsheets/d/1YNna43iTSqnwwbMJgTIPHSJEoDO8RGPRFg5pJCoQR_Y/edit"",""5!e43"")"),0)</f>
        <v>0</v>
      </c>
      <c r="L122" s="18">
        <f t="shared" ref="L122:L131" ca="1" si="342">SUM(J122:K122)</f>
        <v>1614</v>
      </c>
      <c r="M122" s="18">
        <f t="shared" ca="1" si="314"/>
        <v>2907</v>
      </c>
      <c r="N122" s="19">
        <f t="shared" ca="1" si="315"/>
        <v>196.97020833333292</v>
      </c>
      <c r="O122" s="16">
        <v>4796</v>
      </c>
      <c r="P122" s="20">
        <f t="shared" ca="1" si="316"/>
        <v>0.60613010842368642</v>
      </c>
      <c r="Q122" s="21">
        <v>1.5</v>
      </c>
      <c r="R122" s="20">
        <f t="shared" ca="1" si="317"/>
        <v>0.40996047414107761</v>
      </c>
      <c r="S122" s="22">
        <f t="shared" ca="1" si="318"/>
        <v>0.61494071121161642</v>
      </c>
      <c r="T122" s="21">
        <f ca="1">F122/37.414</f>
        <v>126.35069759982866</v>
      </c>
      <c r="U122" s="21">
        <f t="shared" ca="1" si="319"/>
        <v>5.2646123999928607</v>
      </c>
      <c r="V122" s="18">
        <f t="shared" ca="1" si="320"/>
        <v>121.125</v>
      </c>
      <c r="W122" s="76"/>
      <c r="X122" s="8">
        <v>3</v>
      </c>
      <c r="Y122" s="8" t="s">
        <v>34</v>
      </c>
      <c r="Z122" s="8">
        <f t="shared" ref="Z122:AI122" si="343">SUM(D118)</f>
        <v>32</v>
      </c>
      <c r="AA122" s="9">
        <f t="shared" ca="1" si="343"/>
        <v>31</v>
      </c>
      <c r="AB122" s="10">
        <f t="shared" ca="1" si="343"/>
        <v>6093.1980000000003</v>
      </c>
      <c r="AC122" s="9">
        <f t="shared" ca="1" si="343"/>
        <v>2113</v>
      </c>
      <c r="AD122" s="9">
        <f t="shared" ca="1" si="343"/>
        <v>90</v>
      </c>
      <c r="AE122" s="9">
        <f t="shared" ca="1" si="343"/>
        <v>2203</v>
      </c>
      <c r="AF122" s="9">
        <f t="shared" ca="1" si="343"/>
        <v>2916</v>
      </c>
      <c r="AG122" s="9">
        <f t="shared" ca="1" si="343"/>
        <v>100</v>
      </c>
      <c r="AH122" s="9">
        <f t="shared" ca="1" si="343"/>
        <v>3016</v>
      </c>
      <c r="AI122" s="9">
        <f t="shared" ca="1" si="343"/>
        <v>5219</v>
      </c>
      <c r="AJ122" s="11">
        <f t="shared" ca="1" si="332"/>
        <v>196.55477419354841</v>
      </c>
      <c r="AK122" s="8">
        <f>SUM(O118)</f>
        <v>9354</v>
      </c>
      <c r="AL122" s="12">
        <f t="shared" ca="1" si="334"/>
        <v>0.55794312593542872</v>
      </c>
      <c r="AM122" s="13">
        <f>SUM(Q118)</f>
        <v>1.5</v>
      </c>
      <c r="AN122" s="12">
        <f t="shared" ca="1" si="336"/>
        <v>0.5710192469263814</v>
      </c>
      <c r="AO122" s="14">
        <f t="shared" ca="1" si="337"/>
        <v>0.85652887038957204</v>
      </c>
      <c r="AP122" s="13">
        <f t="shared" ref="AP122:AQ122" ca="1" si="344">SUM(T118)</f>
        <v>198.39149545794942</v>
      </c>
      <c r="AQ122" s="13">
        <f t="shared" ca="1" si="344"/>
        <v>6.3997256599338526</v>
      </c>
      <c r="AR122" s="9">
        <f t="shared" ca="1" si="339"/>
        <v>168.35483870967741</v>
      </c>
      <c r="AS122" s="76"/>
      <c r="AT122" s="76"/>
    </row>
    <row r="123" spans="1:46" ht="15.75" customHeight="1" x14ac:dyDescent="0.25">
      <c r="A123" s="70"/>
      <c r="B123" s="16">
        <v>10</v>
      </c>
      <c r="C123" s="16" t="s">
        <v>37</v>
      </c>
      <c r="D123" s="17">
        <v>24</v>
      </c>
      <c r="E123" s="18">
        <f ca="1">IFERROR(__xludf.DUMMYFUNCTION("COUNT(IMPORTRANGE(""https://docs.google.com/spreadsheets/d/1913Df5BsXS_b-nClL8LOK5w0engQYTl1mPOiyngRtO0/edit"",""5!d2:d31""))"),23)</f>
        <v>23</v>
      </c>
      <c r="F123" s="23">
        <f ca="1">IFERROR(__xludf.DUMMYFUNCTION("SUM(IMPORTRANGE(""https://docs.google.com/spreadsheets/d/1913Df5BsXS_b-nClL8LOK5w0engQYTl1mPOiyngRtO0/edit"",""5!Q2:Q31""))"),4435.146)</f>
        <v>4435.1459999999997</v>
      </c>
      <c r="G123" s="18">
        <f ca="1">IFERROR(__xludf.DUMMYFUNCTION("(IMPORTRANGE(""https://docs.google.com/spreadsheets/d/1913Df5BsXS_b-nClL8LOK5w0engQYTl1mPOiyngRtO0/edit"",""5!e38""))"),1403)</f>
        <v>1403</v>
      </c>
      <c r="H123" s="18">
        <f ca="1">IFERROR(__xludf.DUMMYFUNCTION("(IMPORTRANGE(""https://docs.google.com/spreadsheets/d/1913Df5BsXS_b-nClL8LOK5w0engQYTl1mPOiyngRtO0/edit"",""5!e39""))"),0)</f>
        <v>0</v>
      </c>
      <c r="I123" s="18">
        <f t="shared" ca="1" si="312"/>
        <v>1403</v>
      </c>
      <c r="J123" s="18">
        <f ca="1">IFERROR(__xludf.DUMMYFUNCTION("(IMPORTRANGE(""https://docs.google.com/spreadsheets/d/1913Df5BsXS_b-nClL8LOK5w0engQYTl1mPOiyngRtO0/edit"",""5!e42""))"),2367)</f>
        <v>2367</v>
      </c>
      <c r="K123" s="18">
        <f ca="1">IFERROR(__xludf.DUMMYFUNCTION("(IMPORTRANGE(""https://docs.google.com/spreadsheets/d/1913Df5BsXS_b-nClL8LOK5w0engQYTl1mPOiyngRtO0/edit"",""5!e43""))"),0)</f>
        <v>0</v>
      </c>
      <c r="L123" s="18">
        <f t="shared" ca="1" si="342"/>
        <v>2367</v>
      </c>
      <c r="M123" s="18">
        <f t="shared" ca="1" si="314"/>
        <v>3770</v>
      </c>
      <c r="N123" s="19">
        <f t="shared" ca="1" si="315"/>
        <v>192.83243478260869</v>
      </c>
      <c r="O123" s="16">
        <v>5887</v>
      </c>
      <c r="P123" s="20">
        <f t="shared" ca="1" si="316"/>
        <v>0.64039408866995073</v>
      </c>
      <c r="Q123" s="21">
        <v>1.5</v>
      </c>
      <c r="R123" s="20">
        <f t="shared" ca="1" si="317"/>
        <v>0.56668559125975415</v>
      </c>
      <c r="S123" s="22">
        <f t="shared" ca="1" si="318"/>
        <v>0.85002838688963123</v>
      </c>
      <c r="T123" s="21">
        <f ca="1">F123/24.792</f>
        <v>178.89424007744432</v>
      </c>
      <c r="U123" s="21">
        <f t="shared" ca="1" si="319"/>
        <v>7.778010438149753</v>
      </c>
      <c r="V123" s="18">
        <f t="shared" ca="1" si="320"/>
        <v>163.91304347826087</v>
      </c>
      <c r="W123" s="76"/>
      <c r="X123" s="8">
        <v>4</v>
      </c>
      <c r="Y123" s="8" t="s">
        <v>38</v>
      </c>
      <c r="Z123" s="8">
        <f t="shared" ref="Z123:AI123" si="345">SUM(D126)</f>
        <v>24</v>
      </c>
      <c r="AA123" s="9">
        <f t="shared" ca="1" si="345"/>
        <v>24</v>
      </c>
      <c r="AB123" s="10">
        <f t="shared" ca="1" si="345"/>
        <v>4471.2579999999998</v>
      </c>
      <c r="AC123" s="9">
        <f t="shared" ca="1" si="345"/>
        <v>1489</v>
      </c>
      <c r="AD123" s="9">
        <f t="shared" ca="1" si="345"/>
        <v>0</v>
      </c>
      <c r="AE123" s="9">
        <f t="shared" ca="1" si="345"/>
        <v>1489</v>
      </c>
      <c r="AF123" s="9">
        <f t="shared" ca="1" si="345"/>
        <v>2493</v>
      </c>
      <c r="AG123" s="9">
        <f t="shared" ca="1" si="345"/>
        <v>176</v>
      </c>
      <c r="AH123" s="9">
        <f t="shared" ca="1" si="345"/>
        <v>2669</v>
      </c>
      <c r="AI123" s="9">
        <f t="shared" ca="1" si="345"/>
        <v>4158</v>
      </c>
      <c r="AJ123" s="11">
        <f t="shared" ca="1" si="332"/>
        <v>186.30241666666666</v>
      </c>
      <c r="AK123" s="8">
        <v>7324</v>
      </c>
      <c r="AL123" s="12">
        <f t="shared" ca="1" si="334"/>
        <v>0.56772255598033861</v>
      </c>
      <c r="AM123" s="13">
        <f>SUM(Q126)</f>
        <v>1.5</v>
      </c>
      <c r="AN123" s="12">
        <f t="shared" ca="1" si="336"/>
        <v>0.61995975181928664</v>
      </c>
      <c r="AO123" s="14">
        <f t="shared" ca="1" si="337"/>
        <v>0.92993962772893002</v>
      </c>
      <c r="AP123" s="13">
        <f t="shared" ref="AP123:AQ123" ca="1" si="346">SUM(T126)</f>
        <v>108.51251061764349</v>
      </c>
      <c r="AQ123" s="13">
        <f t="shared" ca="1" si="346"/>
        <v>4.5213546090684789</v>
      </c>
      <c r="AR123" s="9">
        <f t="shared" ca="1" si="339"/>
        <v>173.25</v>
      </c>
      <c r="AS123" s="76"/>
      <c r="AT123" s="76"/>
    </row>
    <row r="124" spans="1:46" ht="15.75" customHeight="1" x14ac:dyDescent="0.25">
      <c r="A124" s="70"/>
      <c r="B124" s="16">
        <v>12</v>
      </c>
      <c r="C124" s="16" t="s">
        <v>39</v>
      </c>
      <c r="D124" s="17">
        <v>22</v>
      </c>
      <c r="E124" s="18">
        <f ca="1">IFERROR(__xludf.DUMMYFUNCTION("COUNT(IMPORTRANGE(""https://docs.google.com/spreadsheets/d/1wMeol_MpSIcocGxt3WZGl46mJ2tc80mANPvP_YzaP18/edit"",""5!d2:d29""))"),22)</f>
        <v>22</v>
      </c>
      <c r="F124" s="23">
        <f ca="1">IFERROR(__xludf.DUMMYFUNCTION("SUM(IMPORTRANGE(""https://docs.google.com/spreadsheets/d/1wMeol_MpSIcocGxt3WZGl46mJ2tc80mANPvP_YzaP18/edit"",""5!Q2:Q29""))"),4340.98299999999)</f>
        <v>4340.9829999999902</v>
      </c>
      <c r="G124" s="18">
        <f ca="1">IFERROR(__xludf.DUMMYFUNCTION("IMPORTRANGE(""https://docs.google.com/spreadsheets/d/1wMeol_MpSIcocGxt3WZGl46mJ2tc80mANPvP_YzaP18/edit"",""5!e36"")"),1018)</f>
        <v>1018</v>
      </c>
      <c r="H124" s="18">
        <f ca="1">IFERROR(__xludf.DUMMYFUNCTION("(IMPORTRANGE(""https://docs.google.com/spreadsheets/d/1wMeol_MpSIcocGxt3WZGl46mJ2tc80mANPvP_YzaP18/edit"",""5!e37""))"),0)</f>
        <v>0</v>
      </c>
      <c r="I124" s="18">
        <f t="shared" ca="1" si="312"/>
        <v>1018</v>
      </c>
      <c r="J124" s="18">
        <f ca="1">IFERROR(__xludf.DUMMYFUNCTION("IMPORTRANGE(""https://docs.google.com/spreadsheets/d/1wMeol_MpSIcocGxt3WZGl46mJ2tc80mANPvP_YzaP18/edit"",""5!e40"")"),1817)</f>
        <v>1817</v>
      </c>
      <c r="K124" s="18">
        <f ca="1">IFERROR(__xludf.DUMMYFUNCTION("IMPORTRANGE(""https://docs.google.com/spreadsheets/d/1wMeol_MpSIcocGxt3WZGl46mJ2tc80mANPvP_YzaP18/edit"",""5!e41"")"),0)</f>
        <v>0</v>
      </c>
      <c r="L124" s="18">
        <f t="shared" ca="1" si="342"/>
        <v>1817</v>
      </c>
      <c r="M124" s="18">
        <f t="shared" ca="1" si="314"/>
        <v>2835</v>
      </c>
      <c r="N124" s="19">
        <f t="shared" ca="1" si="315"/>
        <v>197.31740909090865</v>
      </c>
      <c r="O124" s="16">
        <v>3569</v>
      </c>
      <c r="P124" s="20">
        <f t="shared" ca="1" si="316"/>
        <v>0.79434015130288593</v>
      </c>
      <c r="Q124" s="21">
        <v>1.5</v>
      </c>
      <c r="R124" s="20">
        <f t="shared" ca="1" si="317"/>
        <v>0.43538525721017662</v>
      </c>
      <c r="S124" s="22">
        <f t="shared" ca="1" si="318"/>
        <v>0.65307788581526494</v>
      </c>
      <c r="T124" s="21">
        <f ca="1">F124/21.463</f>
        <v>202.25425150258539</v>
      </c>
      <c r="U124" s="21">
        <f t="shared" ca="1" si="319"/>
        <v>9.1933750682993356</v>
      </c>
      <c r="V124" s="18">
        <f t="shared" ca="1" si="320"/>
        <v>128.86363636363637</v>
      </c>
      <c r="W124" s="76"/>
      <c r="X124" s="8">
        <v>5</v>
      </c>
      <c r="Y124" s="8" t="s">
        <v>40</v>
      </c>
      <c r="Z124" s="8">
        <f t="shared" ref="Z124:AI124" si="347">SUM(D128)</f>
        <v>24</v>
      </c>
      <c r="AA124" s="9">
        <f t="shared" ca="1" si="347"/>
        <v>24</v>
      </c>
      <c r="AB124" s="10">
        <f t="shared" ca="1" si="347"/>
        <v>4365.3339999999998</v>
      </c>
      <c r="AC124" s="9">
        <f t="shared" ca="1" si="347"/>
        <v>2551</v>
      </c>
      <c r="AD124" s="9">
        <f t="shared" ca="1" si="347"/>
        <v>0</v>
      </c>
      <c r="AE124" s="9">
        <f t="shared" ca="1" si="347"/>
        <v>2551</v>
      </c>
      <c r="AF124" s="9">
        <f t="shared" ca="1" si="347"/>
        <v>2808</v>
      </c>
      <c r="AG124" s="9">
        <f t="shared" ca="1" si="347"/>
        <v>0</v>
      </c>
      <c r="AH124" s="9">
        <f t="shared" ca="1" si="347"/>
        <v>2808</v>
      </c>
      <c r="AI124" s="9">
        <f t="shared" ca="1" si="347"/>
        <v>5359</v>
      </c>
      <c r="AJ124" s="11">
        <f t="shared" ca="1" si="332"/>
        <v>181.88891666666666</v>
      </c>
      <c r="AK124" s="8">
        <f t="shared" ref="AK124:AK125" si="348">SUM(O128)</f>
        <v>8239</v>
      </c>
      <c r="AL124" s="12">
        <f t="shared" ca="1" si="334"/>
        <v>0.65044301492899625</v>
      </c>
      <c r="AM124" s="13">
        <f t="shared" ref="AM124:AM125" si="349">SUM(Q128)</f>
        <v>1.5</v>
      </c>
      <c r="AN124" s="12">
        <f t="shared" ca="1" si="336"/>
        <v>0.81841771252020268</v>
      </c>
      <c r="AO124" s="14">
        <f t="shared" ca="1" si="337"/>
        <v>1.2276265687803041</v>
      </c>
      <c r="AP124" s="13">
        <f t="shared" ref="AP124:AQ124" ca="1" si="350">SUM(T128)</f>
        <v>153.47656716942654</v>
      </c>
      <c r="AQ124" s="13">
        <f t="shared" ca="1" si="350"/>
        <v>6.3948569653927727</v>
      </c>
      <c r="AR124" s="9">
        <f t="shared" ca="1" si="339"/>
        <v>223.29166666666666</v>
      </c>
      <c r="AS124" s="76"/>
      <c r="AT124" s="76"/>
    </row>
    <row r="125" spans="1:46" ht="15.75" customHeight="1" x14ac:dyDescent="0.25">
      <c r="A125" s="70"/>
      <c r="B125" s="16">
        <v>12</v>
      </c>
      <c r="C125" s="16" t="s">
        <v>41</v>
      </c>
      <c r="D125" s="17">
        <v>20</v>
      </c>
      <c r="E125" s="18">
        <f ca="1">IFERROR(__xludf.DUMMYFUNCTION("COUNT(IMPORTRANGE(""https://docs.google.com/spreadsheets/d/1sHk6_yuc4kORC_xnhEeazoemV_hVUQVqRpfoNae-PLk/edit"",""5!d2:d25""))"),20)</f>
        <v>20</v>
      </c>
      <c r="F125" s="23">
        <f ca="1">IFERROR(__xludf.DUMMYFUNCTION("SUM(IMPORTRANGE(""https://docs.google.com/spreadsheets/d/1sHk6_yuc4kORC_xnhEeazoemV_hVUQVqRpfoNae-PLk/edit"",""5!Q2:Q25""))"),3891.144)</f>
        <v>3891.1439999999998</v>
      </c>
      <c r="G125" s="18">
        <f ca="1">IFERROR(__xludf.DUMMYFUNCTION("IMPORTRANGE(""https://docs.google.com/spreadsheets/d/1sHk6_yuc4kORC_xnhEeazoemV_hVUQVqRpfoNae-PLk/edit"",""5!e32"")"),935)</f>
        <v>935</v>
      </c>
      <c r="H125" s="18">
        <f ca="1">IFERROR(__xludf.DUMMYFUNCTION("IMPORTRANGE(""https://docs.google.com/spreadsheets/d/1sHk6_yuc4kORC_xnhEeazoemV_hVUQVqRpfoNae-PLk/edit"",""5!e33"")"),0)</f>
        <v>0</v>
      </c>
      <c r="I125" s="18">
        <f t="shared" ca="1" si="312"/>
        <v>935</v>
      </c>
      <c r="J125" s="18">
        <f ca="1">IFERROR(__xludf.DUMMYFUNCTION("IMPORTRANGE(""https://docs.google.com/spreadsheets/d/1sHk6_yuc4kORC_xnhEeazoemV_hVUQVqRpfoNae-PLk/edit"",""5!e36"")"),1309)</f>
        <v>1309</v>
      </c>
      <c r="K125" s="18">
        <f ca="1">IFERROR(__xludf.DUMMYFUNCTION("IMPORTRANGE(""https://docs.google.com/spreadsheets/d/1sHk6_yuc4kORC_xnhEeazoemV_hVUQVqRpfoNae-PLk/edit"",""5!e37"")"),0)</f>
        <v>0</v>
      </c>
      <c r="L125" s="18">
        <f t="shared" ca="1" si="342"/>
        <v>1309</v>
      </c>
      <c r="M125" s="18">
        <f t="shared" ca="1" si="314"/>
        <v>2244</v>
      </c>
      <c r="N125" s="19">
        <f t="shared" ca="1" si="315"/>
        <v>194.55719999999999</v>
      </c>
      <c r="O125" s="16">
        <v>3801</v>
      </c>
      <c r="P125" s="20">
        <f t="shared" ca="1" si="316"/>
        <v>0.590370955011839</v>
      </c>
      <c r="Q125" s="21">
        <v>1.5</v>
      </c>
      <c r="R125" s="20">
        <f t="shared" ca="1" si="317"/>
        <v>0.38446276981782224</v>
      </c>
      <c r="S125" s="22">
        <f t="shared" ca="1" si="318"/>
        <v>0.57669415472673335</v>
      </c>
      <c r="T125" s="21">
        <f ca="1">F125/29.628</f>
        <v>131.33333333333331</v>
      </c>
      <c r="U125" s="21">
        <f t="shared" ca="1" si="319"/>
        <v>6.5666666666666655</v>
      </c>
      <c r="V125" s="18">
        <f t="shared" ca="1" si="320"/>
        <v>112.2</v>
      </c>
      <c r="W125" s="76"/>
      <c r="X125" s="8">
        <v>6</v>
      </c>
      <c r="Y125" s="8" t="s">
        <v>42</v>
      </c>
      <c r="Z125" s="8">
        <f t="shared" ref="Z125:AI125" si="351">SUM(D129)</f>
        <v>26</v>
      </c>
      <c r="AA125" s="9">
        <f t="shared" ca="1" si="351"/>
        <v>26</v>
      </c>
      <c r="AB125" s="10">
        <f t="shared" ca="1" si="351"/>
        <v>5021.7599999999902</v>
      </c>
      <c r="AC125" s="9">
        <f t="shared" ca="1" si="351"/>
        <v>2255</v>
      </c>
      <c r="AD125" s="9">
        <f t="shared" ca="1" si="351"/>
        <v>0</v>
      </c>
      <c r="AE125" s="9">
        <f t="shared" ca="1" si="351"/>
        <v>2255</v>
      </c>
      <c r="AF125" s="9">
        <f t="shared" ca="1" si="351"/>
        <v>2990</v>
      </c>
      <c r="AG125" s="9">
        <f t="shared" ca="1" si="351"/>
        <v>32</v>
      </c>
      <c r="AH125" s="9">
        <f t="shared" ca="1" si="351"/>
        <v>3022</v>
      </c>
      <c r="AI125" s="9">
        <f t="shared" ca="1" si="351"/>
        <v>5277</v>
      </c>
      <c r="AJ125" s="11">
        <f t="shared" ca="1" si="332"/>
        <v>193.14461538461501</v>
      </c>
      <c r="AK125" s="8">
        <f t="shared" si="348"/>
        <v>9877</v>
      </c>
      <c r="AL125" s="12">
        <f t="shared" ca="1" si="334"/>
        <v>0.53427153994127774</v>
      </c>
      <c r="AM125" s="13">
        <f t="shared" si="349"/>
        <v>1.5</v>
      </c>
      <c r="AN125" s="12">
        <f t="shared" ca="1" si="336"/>
        <v>0.70055120117249858</v>
      </c>
      <c r="AO125" s="14">
        <f t="shared" ca="1" si="337"/>
        <v>1.0508268017587479</v>
      </c>
      <c r="AP125" s="13">
        <f t="shared" ref="AP125:AQ125" ca="1" si="352">SUM(T129)</f>
        <v>191.99999999999963</v>
      </c>
      <c r="AQ125" s="13">
        <f t="shared" ca="1" si="352"/>
        <v>7.3846153846153708</v>
      </c>
      <c r="AR125" s="9">
        <f t="shared" ca="1" si="339"/>
        <v>202.96153846153845</v>
      </c>
      <c r="AS125" s="76"/>
      <c r="AT125" s="76"/>
    </row>
    <row r="126" spans="1:46" ht="15.75" customHeight="1" x14ac:dyDescent="0.25">
      <c r="A126" s="70"/>
      <c r="B126" s="16">
        <v>13</v>
      </c>
      <c r="C126" s="16" t="s">
        <v>43</v>
      </c>
      <c r="D126" s="17">
        <v>24</v>
      </c>
      <c r="E126" s="18">
        <f ca="1">IFERROR(__xludf.DUMMYFUNCTION("COUNT(IMPORTRANGE(""https://docs.google.com/spreadsheets/d/1uGXvAN2jA6kmcEHUY4KqOHHewllZsujDdA6KVDfBCoA/edit"",""5!d2:d31""))"),24)</f>
        <v>24</v>
      </c>
      <c r="F126" s="23">
        <f ca="1">IFERROR(__xludf.DUMMYFUNCTION("SUM(IMPORTRANGE(""https://docs.google.com/spreadsheets/d/1uGXvAN2jA6kmcEHUY4KqOHHewllZsujDdA6KVDfBCoA/edit"",""5!Q2:Q31""))"),4471.258)</f>
        <v>4471.2579999999998</v>
      </c>
      <c r="G126" s="18">
        <f ca="1">IFERROR(__xludf.DUMMYFUNCTION("IMPORTRANGE(""https://docs.google.com/spreadsheets/d/1uGXvAN2jA6kmcEHUY4KqOHHewllZsujDdA6KVDfBCoA/edit"",""5!e38"")"),1489)</f>
        <v>1489</v>
      </c>
      <c r="H126" s="18">
        <f ca="1">IFERROR(__xludf.DUMMYFUNCTION("IMPORTRANGE(""https://docs.google.com/spreadsheets/d/1uGXvAN2jA6kmcEHUY4KqOHHewllZsujDdA6KVDfBCoA/edit"",""5!e39"")"),0)</f>
        <v>0</v>
      </c>
      <c r="I126" s="18">
        <f t="shared" ca="1" si="312"/>
        <v>1489</v>
      </c>
      <c r="J126" s="18">
        <f ca="1">IFERROR(__xludf.DUMMYFUNCTION("IMPORTRANGE(""https://docs.google.com/spreadsheets/d/1uGXvAN2jA6kmcEHUY4KqOHHewllZsujDdA6KVDfBCoA/edit"",""5!e42"")"),2493)</f>
        <v>2493</v>
      </c>
      <c r="K126" s="18">
        <f ca="1">IFERROR(__xludf.DUMMYFUNCTION("IMPORTRANGE(""https://docs.google.com/spreadsheets/d/1uGXvAN2jA6kmcEHUY4KqOHHewllZsujDdA6KVDfBCoA/edit"",""5!e43"")"),176)</f>
        <v>176</v>
      </c>
      <c r="L126" s="18">
        <f t="shared" ca="1" si="342"/>
        <v>2669</v>
      </c>
      <c r="M126" s="18">
        <f t="shared" ca="1" si="314"/>
        <v>4158</v>
      </c>
      <c r="N126" s="19">
        <f t="shared" ca="1" si="315"/>
        <v>186.30241666666666</v>
      </c>
      <c r="O126" s="16">
        <v>8345</v>
      </c>
      <c r="P126" s="20">
        <f t="shared" ca="1" si="316"/>
        <v>0.49826243259436787</v>
      </c>
      <c r="Q126" s="21">
        <v>1.5</v>
      </c>
      <c r="R126" s="20">
        <f t="shared" ca="1" si="317"/>
        <v>0.61995975181928664</v>
      </c>
      <c r="S126" s="22">
        <f t="shared" ca="1" si="318"/>
        <v>0.92993962772893002</v>
      </c>
      <c r="T126" s="21">
        <f ca="1">F126/41.205</f>
        <v>108.51251061764349</v>
      </c>
      <c r="U126" s="21">
        <f t="shared" ca="1" si="319"/>
        <v>4.5213546090684789</v>
      </c>
      <c r="V126" s="18">
        <f t="shared" ca="1" si="320"/>
        <v>173.25</v>
      </c>
      <c r="W126" s="76"/>
      <c r="X126" s="24" t="s">
        <v>33</v>
      </c>
      <c r="Y126" s="24">
        <v>6</v>
      </c>
      <c r="Z126" s="24">
        <f t="shared" ref="Z126:AI126" si="353">SUM(Z120:Z125)</f>
        <v>180</v>
      </c>
      <c r="AA126" s="25">
        <f t="shared" ca="1" si="353"/>
        <v>177</v>
      </c>
      <c r="AB126" s="27">
        <f t="shared" ca="1" si="353"/>
        <v>34322.879999999983</v>
      </c>
      <c r="AC126" s="25">
        <f t="shared" ca="1" si="353"/>
        <v>13199</v>
      </c>
      <c r="AD126" s="25">
        <f t="shared" ca="1" si="353"/>
        <v>215</v>
      </c>
      <c r="AE126" s="25">
        <f t="shared" ca="1" si="353"/>
        <v>13414</v>
      </c>
      <c r="AF126" s="25">
        <f t="shared" ca="1" si="353"/>
        <v>17494</v>
      </c>
      <c r="AG126" s="25">
        <f t="shared" ca="1" si="353"/>
        <v>403</v>
      </c>
      <c r="AH126" s="25">
        <f t="shared" ca="1" si="353"/>
        <v>17897</v>
      </c>
      <c r="AI126" s="25">
        <f t="shared" ca="1" si="353"/>
        <v>31311</v>
      </c>
      <c r="AJ126" s="27">
        <f t="shared" ca="1" si="332"/>
        <v>193.91457627118635</v>
      </c>
      <c r="AK126" s="24">
        <f>SUM(AK120:AK125)</f>
        <v>53273</v>
      </c>
      <c r="AL126" s="28">
        <f t="shared" ca="1" si="334"/>
        <v>0.58774613781840712</v>
      </c>
      <c r="AM126" s="29">
        <v>1.5</v>
      </c>
      <c r="AN126" s="28">
        <f t="shared" ca="1" si="336"/>
        <v>0.60816574832881187</v>
      </c>
      <c r="AO126" s="30">
        <f t="shared" ca="1" si="337"/>
        <v>0.91224862249321781</v>
      </c>
      <c r="AP126" s="29">
        <f ca="1">SUM(AP120:AP125)</f>
        <v>1130.5123535511968</v>
      </c>
      <c r="AQ126" s="29">
        <f ca="1">AP126/AA126</f>
        <v>6.3870754437920727</v>
      </c>
      <c r="AR126" s="25">
        <f t="shared" ca="1" si="339"/>
        <v>176.89830508474577</v>
      </c>
      <c r="AS126" s="76"/>
      <c r="AT126" s="76"/>
    </row>
    <row r="127" spans="1:46" ht="15.75" customHeight="1" x14ac:dyDescent="0.25">
      <c r="A127" s="70"/>
      <c r="B127" s="16">
        <v>14</v>
      </c>
      <c r="C127" s="16" t="s">
        <v>27</v>
      </c>
      <c r="D127" s="17">
        <v>24</v>
      </c>
      <c r="E127" s="18">
        <f ca="1">IFERROR(__xludf.DUMMYFUNCTION("COUNT(IMPORTRANGE(""https://docs.google.com/spreadsheets/d/1iYtf3wkjJIgOL8ej0-L89wY8FLXKi6EiRbi9UqA1Bzw/edit"",""5!d2:d31""))"),24)</f>
        <v>24</v>
      </c>
      <c r="F127" s="23">
        <f ca="1">IFERROR(__xludf.DUMMYFUNCTION("SUM(IMPORTRANGE(""https://docs.google.com/spreadsheets/d/1iYtf3wkjJIgOL8ej0-L89wY8FLXKi6EiRbi9UqA1Bzw/edit"",""5!Q2:Q31""))"),4766.28499999999)</f>
        <v>4766.2849999999899</v>
      </c>
      <c r="G127" s="18">
        <f ca="1">IFERROR(__xludf.DUMMYFUNCTION("IMPORTRANGE(""https://docs.google.com/spreadsheets/d/1iYtf3wkjJIgOL8ej0-L89wY8FLXKi6EiRbi9UqA1Bzw/edit"",""5!e38"")"),1649)</f>
        <v>1649</v>
      </c>
      <c r="H127" s="18">
        <f ca="1">IFERROR(__xludf.DUMMYFUNCTION("IMPORTRANGE(""https://docs.google.com/spreadsheets/d/1iYtf3wkjJIgOL8ej0-L89wY8FLXKi6EiRbi9UqA1Bzw/edit"",""5!e39"")"),150)</f>
        <v>150</v>
      </c>
      <c r="I127" s="18">
        <f t="shared" ca="1" si="312"/>
        <v>1799</v>
      </c>
      <c r="J127" s="18">
        <f ca="1">IFERROR(__xludf.DUMMYFUNCTION("IMPORTRANGE(""https://docs.google.com/spreadsheets/d/1iYtf3wkjJIgOL8ej0-L89wY8FLXKi6EiRbi9UqA1Bzw/edit"",""5!e42"")"),2264)</f>
        <v>2264</v>
      </c>
      <c r="K127" s="18">
        <f ca="1">IFERROR(__xludf.DUMMYFUNCTION("IMPORTRANGE(""https://docs.google.com/spreadsheets/d/1iYtf3wkjJIgOL8ej0-L89wY8FLXKi6EiRbi9UqA1Bzw/edit"",""5!e43"")"),170)</f>
        <v>170</v>
      </c>
      <c r="L127" s="18">
        <f t="shared" ca="1" si="342"/>
        <v>2434</v>
      </c>
      <c r="M127" s="18">
        <f t="shared" ca="1" si="314"/>
        <v>4233</v>
      </c>
      <c r="N127" s="19">
        <f t="shared" ca="1" si="315"/>
        <v>198.59520833333292</v>
      </c>
      <c r="O127" s="16">
        <v>8101</v>
      </c>
      <c r="P127" s="20">
        <f t="shared" ca="1" si="316"/>
        <v>0.52252808295272191</v>
      </c>
      <c r="Q127" s="21">
        <v>1.5</v>
      </c>
      <c r="R127" s="20">
        <f t="shared" ca="1" si="317"/>
        <v>0.59207537946220301</v>
      </c>
      <c r="S127" s="22">
        <f t="shared" ca="1" si="318"/>
        <v>0.88811306919330446</v>
      </c>
      <c r="T127" s="21">
        <f ca="1">F127/19.985</f>
        <v>238.4931198398794</v>
      </c>
      <c r="U127" s="21">
        <f t="shared" ca="1" si="319"/>
        <v>9.9372133266616416</v>
      </c>
      <c r="V127" s="18">
        <f t="shared" ca="1" si="320"/>
        <v>176.375</v>
      </c>
      <c r="W127" s="76"/>
      <c r="X127" s="97" t="s">
        <v>44</v>
      </c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9"/>
      <c r="AS127" s="76"/>
      <c r="AT127" s="76"/>
    </row>
    <row r="128" spans="1:46" ht="15.75" customHeight="1" x14ac:dyDescent="0.25">
      <c r="A128" s="70"/>
      <c r="B128" s="16">
        <v>15</v>
      </c>
      <c r="C128" s="16" t="s">
        <v>40</v>
      </c>
      <c r="D128" s="17">
        <v>24</v>
      </c>
      <c r="E128" s="18">
        <f ca="1">IFERROR(__xludf.DUMMYFUNCTION("COUNT(IMPORTRANGE(""https://docs.google.com/spreadsheets/d/1Wdf8MsoDBzMSsrzOXwaGQzbVjVqOWfKSqYmbncevZgA/edit"",""5!d2:d31""))"),24)</f>
        <v>24</v>
      </c>
      <c r="F128" s="23">
        <f ca="1">IFERROR(__xludf.DUMMYFUNCTION("SUM(IMPORTRANGE(""https://docs.google.com/spreadsheets/d/1Wdf8MsoDBzMSsrzOXwaGQzbVjVqOWfKSqYmbncevZgA/edit"",""5!Q2:Q31""))"),4365.334)</f>
        <v>4365.3339999999998</v>
      </c>
      <c r="G128" s="18">
        <f ca="1">IFERROR(__xludf.DUMMYFUNCTION("IMPORTRANGE(""https://docs.google.com/spreadsheets/d/1Wdf8MsoDBzMSsrzOXwaGQzbVjVqOWfKSqYmbncevZgA/edit"",""5!e38"")"),2551)</f>
        <v>2551</v>
      </c>
      <c r="H128" s="18">
        <f ca="1">IFERROR(__xludf.DUMMYFUNCTION("IMPORTRANGE(""https://docs.google.com/spreadsheets/d/1Wdf8MsoDBzMSsrzOXwaGQzbVjVqOWfKSqYmbncevZgA/edit"",""5!e39"")"),0)</f>
        <v>0</v>
      </c>
      <c r="I128" s="18">
        <f t="shared" ca="1" si="312"/>
        <v>2551</v>
      </c>
      <c r="J128" s="18">
        <f ca="1">IFERROR(__xludf.DUMMYFUNCTION("IMPORTRANGE(""https://docs.google.com/spreadsheets/d/1Wdf8MsoDBzMSsrzOXwaGQzbVjVqOWfKSqYmbncevZgA/edit"",""5!e42"")"),2808)</f>
        <v>2808</v>
      </c>
      <c r="K128" s="18">
        <f ca="1">IFERROR(__xludf.DUMMYFUNCTION("IMPORTRANGE(""https://docs.google.com/spreadsheets/d/1Wdf8MsoDBzMSsrzOXwaGQzbVjVqOWfKSqYmbncevZgA/edit"",""5!e43"")"),0)</f>
        <v>0</v>
      </c>
      <c r="L128" s="18">
        <f t="shared" ca="1" si="342"/>
        <v>2808</v>
      </c>
      <c r="M128" s="18">
        <f t="shared" ca="1" si="314"/>
        <v>5359</v>
      </c>
      <c r="N128" s="19">
        <f t="shared" ca="1" si="315"/>
        <v>181.88891666666666</v>
      </c>
      <c r="O128" s="16">
        <v>8239</v>
      </c>
      <c r="P128" s="20">
        <f t="shared" ca="1" si="316"/>
        <v>0.65044301492899625</v>
      </c>
      <c r="Q128" s="21">
        <v>1.5</v>
      </c>
      <c r="R128" s="20">
        <f t="shared" ca="1" si="317"/>
        <v>0.81841771252020268</v>
      </c>
      <c r="S128" s="22">
        <f t="shared" ca="1" si="318"/>
        <v>1.2276265687803041</v>
      </c>
      <c r="T128" s="21">
        <f ca="1">F128/28.443</f>
        <v>153.47656716942654</v>
      </c>
      <c r="U128" s="21">
        <f t="shared" ca="1" si="319"/>
        <v>6.3948569653927727</v>
      </c>
      <c r="V128" s="18">
        <f t="shared" ca="1" si="320"/>
        <v>223.29166666666666</v>
      </c>
      <c r="W128" s="76"/>
      <c r="X128" s="1" t="s">
        <v>2</v>
      </c>
      <c r="Y128" s="1" t="s">
        <v>3</v>
      </c>
      <c r="Z128" s="1" t="s">
        <v>4</v>
      </c>
      <c r="AA128" s="1" t="s">
        <v>5</v>
      </c>
      <c r="AB128" s="2" t="s">
        <v>6</v>
      </c>
      <c r="AC128" s="1" t="s">
        <v>7</v>
      </c>
      <c r="AD128" s="1" t="s">
        <v>8</v>
      </c>
      <c r="AE128" s="1" t="s">
        <v>9</v>
      </c>
      <c r="AF128" s="1" t="s">
        <v>10</v>
      </c>
      <c r="AG128" s="1" t="s">
        <v>11</v>
      </c>
      <c r="AH128" s="1" t="s">
        <v>12</v>
      </c>
      <c r="AI128" s="1" t="s">
        <v>13</v>
      </c>
      <c r="AJ128" s="2" t="s">
        <v>14</v>
      </c>
      <c r="AK128" s="1" t="s">
        <v>15</v>
      </c>
      <c r="AL128" s="1" t="s">
        <v>16</v>
      </c>
      <c r="AM128" s="3" t="s">
        <v>17</v>
      </c>
      <c r="AN128" s="4" t="s">
        <v>18</v>
      </c>
      <c r="AO128" s="5" t="s">
        <v>19</v>
      </c>
      <c r="AP128" s="6" t="s">
        <v>20</v>
      </c>
      <c r="AQ128" s="6" t="s">
        <v>21</v>
      </c>
      <c r="AR128" s="7" t="s">
        <v>22</v>
      </c>
      <c r="AS128" s="76"/>
      <c r="AT128" s="76"/>
    </row>
    <row r="129" spans="1:46" ht="15.75" customHeight="1" x14ac:dyDescent="0.25">
      <c r="A129" s="70"/>
      <c r="B129" s="16">
        <v>16</v>
      </c>
      <c r="C129" s="16" t="s">
        <v>42</v>
      </c>
      <c r="D129" s="17">
        <v>26</v>
      </c>
      <c r="E129" s="18">
        <f ca="1">IFERROR(__xludf.DUMMYFUNCTION("COUNT(IMPORTRANGE(""https://docs.google.com/spreadsheets/d/1Z5uB5HbeAKcHmG4EOw3rf2J8NpyvDiha6RReERAMvA0/edit"",""5!d2:d34""))"),26)</f>
        <v>26</v>
      </c>
      <c r="F129" s="23">
        <f ca="1">IFERROR(__xludf.DUMMYFUNCTION("SUM(IMPORTRANGE(""https://docs.google.com/spreadsheets/d/1Z5uB5HbeAKcHmG4EOw3rf2J8NpyvDiha6RReERAMvA0/edit"",""5!Q2:Q34""))"),5021.75999999999)</f>
        <v>5021.7599999999902</v>
      </c>
      <c r="G129" s="18">
        <f ca="1">IFERROR(__xludf.DUMMYFUNCTION("IMPORTRANGE(""https://docs.google.com/spreadsheets/d/1Z5uB5HbeAKcHmG4EOw3rf2J8NpyvDiha6RReERAMvA0/edit"",""5!e41"")"),2255)</f>
        <v>2255</v>
      </c>
      <c r="H129" s="18">
        <f ca="1">IFERROR(__xludf.DUMMYFUNCTION("IMPORTRANGE(""https://docs.google.com/spreadsheets/d/1Z5uB5HbeAKcHmG4EOw3rf2J8NpyvDiha6RReERAMvA0/edit"",""5!e42"")"),0)</f>
        <v>0</v>
      </c>
      <c r="I129" s="18">
        <f t="shared" ca="1" si="312"/>
        <v>2255</v>
      </c>
      <c r="J129" s="18">
        <f ca="1">IFERROR(__xludf.DUMMYFUNCTION("IMPORTRANGE(""https://docs.google.com/spreadsheets/d/1Z5uB5HbeAKcHmG4EOw3rf2J8NpyvDiha6RReERAMvA0/edit"",""5!e45"")"),2990)</f>
        <v>2990</v>
      </c>
      <c r="K129" s="18">
        <f ca="1">IFERROR(__xludf.DUMMYFUNCTION("IMPORTRANGE(""https://docs.google.com/spreadsheets/d/1Z5uB5HbeAKcHmG4EOw3rf2J8NpyvDiha6RReERAMvA0/edit"",""5!e46"")"),32)</f>
        <v>32</v>
      </c>
      <c r="L129" s="18">
        <f t="shared" ca="1" si="342"/>
        <v>3022</v>
      </c>
      <c r="M129" s="18">
        <f t="shared" ca="1" si="314"/>
        <v>5277</v>
      </c>
      <c r="N129" s="19">
        <f t="shared" ca="1" si="315"/>
        <v>193.14461538461501</v>
      </c>
      <c r="O129" s="16">
        <v>9877</v>
      </c>
      <c r="P129" s="20">
        <f t="shared" ca="1" si="316"/>
        <v>0.53427153994127774</v>
      </c>
      <c r="Q129" s="21">
        <v>1.5</v>
      </c>
      <c r="R129" s="20">
        <f t="shared" ca="1" si="317"/>
        <v>0.70055120117249858</v>
      </c>
      <c r="S129" s="22">
        <f t="shared" ca="1" si="318"/>
        <v>1.0508268017587479</v>
      </c>
      <c r="T129" s="21">
        <f ca="1">F129/26.155</f>
        <v>191.99999999999963</v>
      </c>
      <c r="U129" s="21">
        <f t="shared" ca="1" si="319"/>
        <v>7.3846153846153708</v>
      </c>
      <c r="V129" s="18">
        <f t="shared" ca="1" si="320"/>
        <v>202.96153846153845</v>
      </c>
      <c r="W129" s="76"/>
      <c r="X129" s="8">
        <v>1</v>
      </c>
      <c r="Y129" s="8" t="s">
        <v>26</v>
      </c>
      <c r="Z129" s="8">
        <f t="shared" ref="Z129:AI129" si="354">SUM(D114)</f>
        <v>16</v>
      </c>
      <c r="AA129" s="9">
        <f t="shared" ca="1" si="354"/>
        <v>16</v>
      </c>
      <c r="AB129" s="11">
        <f t="shared" ca="1" si="354"/>
        <v>3078.1379999999899</v>
      </c>
      <c r="AC129" s="9">
        <f t="shared" ca="1" si="354"/>
        <v>1745</v>
      </c>
      <c r="AD129" s="9">
        <f t="shared" ca="1" si="354"/>
        <v>0</v>
      </c>
      <c r="AE129" s="9">
        <f t="shared" ca="1" si="354"/>
        <v>1745</v>
      </c>
      <c r="AF129" s="9">
        <f t="shared" ca="1" si="354"/>
        <v>1782</v>
      </c>
      <c r="AG129" s="9">
        <f t="shared" ca="1" si="354"/>
        <v>205</v>
      </c>
      <c r="AH129" s="9">
        <f t="shared" ca="1" si="354"/>
        <v>1987</v>
      </c>
      <c r="AI129" s="9">
        <f t="shared" ca="1" si="354"/>
        <v>3732</v>
      </c>
      <c r="AJ129" s="11">
        <f t="shared" ref="AJ129:AJ135" ca="1" si="355">AB129/AA129</f>
        <v>192.38362499999937</v>
      </c>
      <c r="AK129" s="8">
        <f>SUM(O114)</f>
        <v>5161</v>
      </c>
      <c r="AL129" s="12">
        <f t="shared" ref="AL129:AL135" ca="1" si="356">AI129/AK129</f>
        <v>0.72311567525673315</v>
      </c>
      <c r="AM129" s="13">
        <f>SUM(Q114)</f>
        <v>1.5</v>
      </c>
      <c r="AN129" s="12">
        <f t="shared" ref="AN129:AN135" ca="1" si="357">AO129/AM129</f>
        <v>0.80828085030625918</v>
      </c>
      <c r="AO129" s="14">
        <f t="shared" ref="AO129:AO135" ca="1" si="358">AI129/AB129</f>
        <v>1.2124212754593888</v>
      </c>
      <c r="AP129" s="13">
        <f t="shared" ref="AP129:AQ129" ca="1" si="359">SUM(T114)</f>
        <v>213.53714880332919</v>
      </c>
      <c r="AQ129" s="13">
        <f t="shared" ca="1" si="359"/>
        <v>13.346071800208074</v>
      </c>
      <c r="AR129" s="9">
        <f t="shared" ref="AR129:AR135" ca="1" si="360">AI129/AA129</f>
        <v>233.25</v>
      </c>
      <c r="AS129" s="76"/>
      <c r="AT129" s="76"/>
    </row>
    <row r="130" spans="1:46" ht="15.75" customHeight="1" x14ac:dyDescent="0.25">
      <c r="A130" s="70"/>
      <c r="B130" s="16">
        <v>17</v>
      </c>
      <c r="C130" s="16" t="s">
        <v>29</v>
      </c>
      <c r="D130" s="17">
        <v>24</v>
      </c>
      <c r="E130" s="18">
        <f ca="1">IFERROR(__xludf.DUMMYFUNCTION("COUNT(IMPORTRANGE(""https://docs.google.com/spreadsheets/d/1wfJqI0e9wVPqEQv3N6b8KgINjqI0OBECEyIFeY9j3i8/edit"",""5!d2:d31""))"),22)</f>
        <v>22</v>
      </c>
      <c r="F130" s="23">
        <f ca="1">IFERROR(__xludf.DUMMYFUNCTION("SUM(IMPORTRANGE(""https://docs.google.com/spreadsheets/d/1wfJqI0e9wVPqEQv3N6b8KgINjqI0OBECEyIFeY9j3i8/edit"",""5!Q2:Q31""))"),4291.54199999999)</f>
        <v>4291.5419999999904</v>
      </c>
      <c r="G130" s="18">
        <f ca="1">IFERROR(__xludf.DUMMYFUNCTION("IMPORTRANGE(""https://docs.google.com/spreadsheets/d/1wfJqI0e9wVPqEQv3N6b8KgINjqI0OBECEyIFeY9j3i8/edit"",""5!e38"")"),2030)</f>
        <v>2030</v>
      </c>
      <c r="H130" s="18">
        <f ca="1">IFERROR(__xludf.DUMMYFUNCTION("IMPORTRANGE(""https://docs.google.com/spreadsheets/d/1wfJqI0e9wVPqEQv3N6b8KgINjqI0OBECEyIFeY9j3i8/edit"",""5!e39"")"),0)</f>
        <v>0</v>
      </c>
      <c r="I130" s="18">
        <f t="shared" ca="1" si="312"/>
        <v>2030</v>
      </c>
      <c r="J130" s="18">
        <f ca="1">IFERROR(__xludf.DUMMYFUNCTION("IMPORTRANGE(""https://docs.google.com/spreadsheets/d/1wfJqI0e9wVPqEQv3N6b8KgINjqI0OBECEyIFeY9j3i8/edit"",""5!e42"")"),3226)</f>
        <v>3226</v>
      </c>
      <c r="K130" s="18">
        <f ca="1">IFERROR(__xludf.DUMMYFUNCTION("IMPORTRANGE(""https://docs.google.com/spreadsheets/d/1wfJqI0e9wVPqEQv3N6b8KgINjqI0OBECEyIFeY9j3i8/edit"",""5!e43"")"),0)</f>
        <v>0</v>
      </c>
      <c r="L130" s="18">
        <f t="shared" ca="1" si="342"/>
        <v>3226</v>
      </c>
      <c r="M130" s="18">
        <f t="shared" ca="1" si="314"/>
        <v>5256</v>
      </c>
      <c r="N130" s="19">
        <f t="shared" ca="1" si="315"/>
        <v>195.07009090909048</v>
      </c>
      <c r="O130" s="16">
        <v>9201</v>
      </c>
      <c r="P130" s="20">
        <f t="shared" ca="1" si="316"/>
        <v>0.57124225627649172</v>
      </c>
      <c r="Q130" s="21">
        <v>1.5</v>
      </c>
      <c r="R130" s="20">
        <f t="shared" ca="1" si="317"/>
        <v>0.81648973725528207</v>
      </c>
      <c r="S130" s="22">
        <f t="shared" ca="1" si="318"/>
        <v>1.2247346058829232</v>
      </c>
      <c r="T130" s="21">
        <f ca="1">F130/26.491</f>
        <v>161.99999999999963</v>
      </c>
      <c r="U130" s="21">
        <f t="shared" ca="1" si="319"/>
        <v>7.3636363636363464</v>
      </c>
      <c r="V130" s="18">
        <f t="shared" ca="1" si="320"/>
        <v>238.90909090909091</v>
      </c>
      <c r="W130" s="76"/>
      <c r="X130" s="8">
        <v>2</v>
      </c>
      <c r="Y130" s="8" t="s">
        <v>32</v>
      </c>
      <c r="Z130" s="8">
        <f t="shared" ref="Z130:AI130" si="361">SUM(D117)</f>
        <v>33</v>
      </c>
      <c r="AA130" s="9">
        <f t="shared" ca="1" si="361"/>
        <v>33</v>
      </c>
      <c r="AB130" s="10">
        <f t="shared" ca="1" si="361"/>
        <v>6274.3989999999903</v>
      </c>
      <c r="AC130" s="8">
        <f t="shared" ca="1" si="361"/>
        <v>3614</v>
      </c>
      <c r="AD130" s="8">
        <f t="shared" ca="1" si="361"/>
        <v>28</v>
      </c>
      <c r="AE130" s="9">
        <f t="shared" ca="1" si="361"/>
        <v>3642</v>
      </c>
      <c r="AF130" s="8">
        <f t="shared" ca="1" si="361"/>
        <v>4401</v>
      </c>
      <c r="AG130" s="8">
        <f t="shared" ca="1" si="361"/>
        <v>0</v>
      </c>
      <c r="AH130" s="9">
        <f t="shared" ca="1" si="361"/>
        <v>4401</v>
      </c>
      <c r="AI130" s="9">
        <f t="shared" ca="1" si="361"/>
        <v>8043</v>
      </c>
      <c r="AJ130" s="11">
        <f t="shared" ca="1" si="355"/>
        <v>190.13330303030273</v>
      </c>
      <c r="AK130" s="8">
        <f>SUM(O117)</f>
        <v>13817</v>
      </c>
      <c r="AL130" s="12">
        <f t="shared" ca="1" si="356"/>
        <v>0.58210899616414558</v>
      </c>
      <c r="AM130" s="13">
        <f>SUM(Q117)</f>
        <v>1.5</v>
      </c>
      <c r="AN130" s="12">
        <f t="shared" ca="1" si="357"/>
        <v>0.85458384141652577</v>
      </c>
      <c r="AO130" s="14">
        <f t="shared" ca="1" si="358"/>
        <v>1.2818757621247887</v>
      </c>
      <c r="AP130" s="13">
        <f t="shared" ref="AP130:AQ130" ca="1" si="362">SUM(T117)</f>
        <v>250.0856550679577</v>
      </c>
      <c r="AQ130" s="13">
        <f t="shared" ca="1" si="362"/>
        <v>7.578353183877506</v>
      </c>
      <c r="AR130" s="9">
        <f t="shared" ca="1" si="360"/>
        <v>243.72727272727272</v>
      </c>
      <c r="AS130" s="76"/>
      <c r="AT130" s="76"/>
    </row>
    <row r="131" spans="1:46" ht="15.75" customHeight="1" x14ac:dyDescent="0.25">
      <c r="A131" s="70"/>
      <c r="B131" s="16">
        <v>18</v>
      </c>
      <c r="C131" s="16" t="s">
        <v>31</v>
      </c>
      <c r="D131" s="17">
        <v>12</v>
      </c>
      <c r="E131" s="18">
        <f ca="1">IFERROR(__xludf.DUMMYFUNCTION("COUNT(IMPORTRANGE(""https://docs.google.com/spreadsheets/d/1-y2KhTAo7d8kowgUuWUDfRQuRMUAFteRYEXorT3_wOs/edit"",""5!d2:d16""))"),12)</f>
        <v>12</v>
      </c>
      <c r="F131" s="19">
        <f ca="1">IFERROR(__xludf.DUMMYFUNCTION("SUM(IMPORTRANGE(""https://docs.google.com/spreadsheets/d/1-y2KhTAo7d8kowgUuWUDfRQuRMUAFteRYEXorT3_wOs/edit"",""5!Q2:Q16""))"),2390.575)</f>
        <v>2390.5749999999998</v>
      </c>
      <c r="G131" s="18">
        <f ca="1">IFERROR(__xludf.DUMMYFUNCTION("IMPORTRANGE(""https://docs.google.com/spreadsheets/d/1-y2KhTAo7d8kowgUuWUDfRQuRMUAFteRYEXorT3_wOs/edit"",""5!e23"")"),625)</f>
        <v>625</v>
      </c>
      <c r="H131" s="18">
        <f ca="1">IFERROR(__xludf.DUMMYFUNCTION("IMPORTRANGE(""https://docs.google.com/spreadsheets/d/1-y2KhTAo7d8kowgUuWUDfRQuRMUAFteRYEXorT3_wOs/edit"",""5!e24"")"),25)</f>
        <v>25</v>
      </c>
      <c r="I131" s="18">
        <f t="shared" ca="1" si="312"/>
        <v>650</v>
      </c>
      <c r="J131" s="18">
        <f ca="1">IFERROR(__xludf.DUMMYFUNCTION("IMPORTRANGE(""https://docs.google.com/spreadsheets/d/1-y2KhTAo7d8kowgUuWUDfRQuRMUAFteRYEXorT3_wOs/edit"",""5!e27"")"),832)</f>
        <v>832</v>
      </c>
      <c r="K131" s="18">
        <f ca="1">IFERROR(__xludf.DUMMYFUNCTION("IMPORTRANGE(""https://docs.google.com/spreadsheets/d/1-y2KhTAo7d8kowgUuWUDfRQuRMUAFteRYEXorT3_wOs/edit"",""5!e28"")"),0)</f>
        <v>0</v>
      </c>
      <c r="L131" s="18">
        <f t="shared" ca="1" si="342"/>
        <v>832</v>
      </c>
      <c r="M131" s="18">
        <f t="shared" ca="1" si="314"/>
        <v>1482</v>
      </c>
      <c r="N131" s="19">
        <f t="shared" ca="1" si="315"/>
        <v>199.21458333333331</v>
      </c>
      <c r="O131" s="16">
        <v>2717</v>
      </c>
      <c r="P131" s="20">
        <f t="shared" ca="1" si="316"/>
        <v>0.54545454545454541</v>
      </c>
      <c r="Q131" s="21">
        <v>1.5</v>
      </c>
      <c r="R131" s="20">
        <f t="shared" ca="1" si="317"/>
        <v>0.41328968971900065</v>
      </c>
      <c r="S131" s="22">
        <f t="shared" ca="1" si="318"/>
        <v>0.61993453457850101</v>
      </c>
      <c r="T131" s="21">
        <f ca="1">F131/43.465</f>
        <v>54.999999999999993</v>
      </c>
      <c r="U131" s="21">
        <f t="shared" ca="1" si="319"/>
        <v>4.583333333333333</v>
      </c>
      <c r="V131" s="18">
        <f t="shared" ca="1" si="320"/>
        <v>123.5</v>
      </c>
      <c r="W131" s="76"/>
      <c r="X131" s="8">
        <v>3</v>
      </c>
      <c r="Y131" s="8" t="s">
        <v>36</v>
      </c>
      <c r="Z131" s="8">
        <f t="shared" ref="Z131:AI131" si="363">SUM(D122)</f>
        <v>24</v>
      </c>
      <c r="AA131" s="9">
        <f t="shared" ca="1" si="363"/>
        <v>24</v>
      </c>
      <c r="AB131" s="10">
        <f t="shared" ca="1" si="363"/>
        <v>4727.2849999999899</v>
      </c>
      <c r="AC131" s="9">
        <f t="shared" ca="1" si="363"/>
        <v>1293</v>
      </c>
      <c r="AD131" s="9">
        <f t="shared" ca="1" si="363"/>
        <v>0</v>
      </c>
      <c r="AE131" s="9">
        <f t="shared" ca="1" si="363"/>
        <v>1293</v>
      </c>
      <c r="AF131" s="9">
        <f t="shared" ca="1" si="363"/>
        <v>1614</v>
      </c>
      <c r="AG131" s="9">
        <f t="shared" ca="1" si="363"/>
        <v>0</v>
      </c>
      <c r="AH131" s="9">
        <f t="shared" ca="1" si="363"/>
        <v>1614</v>
      </c>
      <c r="AI131" s="9">
        <f t="shared" ca="1" si="363"/>
        <v>2907</v>
      </c>
      <c r="AJ131" s="11">
        <f t="shared" ca="1" si="355"/>
        <v>196.97020833333292</v>
      </c>
      <c r="AK131" s="8">
        <f t="shared" ref="AK131:AK134" si="364">SUM(O122)</f>
        <v>4796</v>
      </c>
      <c r="AL131" s="12">
        <f t="shared" ca="1" si="356"/>
        <v>0.60613010842368642</v>
      </c>
      <c r="AM131" s="13">
        <f t="shared" ref="AM131:AM134" si="365">SUM(Q122)</f>
        <v>1.5</v>
      </c>
      <c r="AN131" s="12">
        <f t="shared" ca="1" si="357"/>
        <v>0.40996047414107761</v>
      </c>
      <c r="AO131" s="14">
        <f t="shared" ca="1" si="358"/>
        <v>0.61494071121161642</v>
      </c>
      <c r="AP131" s="13">
        <f t="shared" ref="AP131:AQ131" ca="1" si="366">SUM(T122)</f>
        <v>126.35069759982866</v>
      </c>
      <c r="AQ131" s="13">
        <f t="shared" ca="1" si="366"/>
        <v>5.2646123999928607</v>
      </c>
      <c r="AR131" s="9">
        <f t="shared" ca="1" si="360"/>
        <v>121.125</v>
      </c>
      <c r="AS131" s="76"/>
      <c r="AT131" s="76"/>
    </row>
    <row r="132" spans="1:46" ht="15.75" customHeight="1" x14ac:dyDescent="0.2">
      <c r="A132" s="70"/>
      <c r="B132" s="98" t="s">
        <v>33</v>
      </c>
      <c r="C132" s="98">
        <v>18</v>
      </c>
      <c r="D132" s="98">
        <f t="shared" ref="D132:M132" si="367">SUM(D114:D131)</f>
        <v>471</v>
      </c>
      <c r="E132" s="74">
        <f t="shared" ca="1" si="367"/>
        <v>464</v>
      </c>
      <c r="F132" s="99">
        <f t="shared" ca="1" si="367"/>
        <v>90269.0459999999</v>
      </c>
      <c r="G132" s="74">
        <f t="shared" ca="1" si="367"/>
        <v>31380</v>
      </c>
      <c r="H132" s="74">
        <f t="shared" ca="1" si="367"/>
        <v>700</v>
      </c>
      <c r="I132" s="74">
        <f t="shared" ca="1" si="367"/>
        <v>32080</v>
      </c>
      <c r="J132" s="74">
        <f t="shared" ca="1" si="367"/>
        <v>43356</v>
      </c>
      <c r="K132" s="74">
        <f t="shared" ca="1" si="367"/>
        <v>991</v>
      </c>
      <c r="L132" s="74">
        <f t="shared" ca="1" si="367"/>
        <v>44347</v>
      </c>
      <c r="M132" s="74">
        <f t="shared" ca="1" si="367"/>
        <v>76427</v>
      </c>
      <c r="N132" s="99">
        <f t="shared" ca="1" si="315"/>
        <v>194.54535775862047</v>
      </c>
      <c r="O132" s="98">
        <f>SUM(O114:O131)</f>
        <v>126399</v>
      </c>
      <c r="P132" s="69">
        <f t="shared" ca="1" si="316"/>
        <v>0.60464877095546643</v>
      </c>
      <c r="Q132" s="72">
        <v>1.5</v>
      </c>
      <c r="R132" s="69">
        <f t="shared" ca="1" si="317"/>
        <v>0.56443859319542811</v>
      </c>
      <c r="S132" s="73">
        <f t="shared" ca="1" si="318"/>
        <v>0.84665788979314216</v>
      </c>
      <c r="T132" s="72">
        <f ca="1">SUM(T114:T131)</f>
        <v>3331.9183713933403</v>
      </c>
      <c r="U132" s="72">
        <f t="shared" ca="1" si="319"/>
        <v>7.1808585590373717</v>
      </c>
      <c r="V132" s="74">
        <f t="shared" ca="1" si="320"/>
        <v>164.71336206896552</v>
      </c>
      <c r="W132" s="76"/>
      <c r="X132" s="8">
        <v>4</v>
      </c>
      <c r="Y132" s="8" t="s">
        <v>37</v>
      </c>
      <c r="Z132" s="8">
        <f t="shared" ref="Z132:AI132" si="368">SUM(D123)</f>
        <v>24</v>
      </c>
      <c r="AA132" s="9">
        <f t="shared" ca="1" si="368"/>
        <v>23</v>
      </c>
      <c r="AB132" s="10">
        <f t="shared" ca="1" si="368"/>
        <v>4435.1459999999997</v>
      </c>
      <c r="AC132" s="9">
        <f t="shared" ca="1" si="368"/>
        <v>1403</v>
      </c>
      <c r="AD132" s="9">
        <f t="shared" ca="1" si="368"/>
        <v>0</v>
      </c>
      <c r="AE132" s="9">
        <f t="shared" ca="1" si="368"/>
        <v>1403</v>
      </c>
      <c r="AF132" s="9">
        <f t="shared" ca="1" si="368"/>
        <v>2367</v>
      </c>
      <c r="AG132" s="9">
        <f t="shared" ca="1" si="368"/>
        <v>0</v>
      </c>
      <c r="AH132" s="9">
        <f t="shared" ca="1" si="368"/>
        <v>2367</v>
      </c>
      <c r="AI132" s="9">
        <f t="shared" ca="1" si="368"/>
        <v>3770</v>
      </c>
      <c r="AJ132" s="11">
        <f t="shared" ca="1" si="355"/>
        <v>192.83243478260869</v>
      </c>
      <c r="AK132" s="8">
        <f t="shared" si="364"/>
        <v>5887</v>
      </c>
      <c r="AL132" s="12">
        <f t="shared" ca="1" si="356"/>
        <v>0.64039408866995073</v>
      </c>
      <c r="AM132" s="13">
        <f t="shared" si="365"/>
        <v>1.5</v>
      </c>
      <c r="AN132" s="12">
        <f t="shared" ca="1" si="357"/>
        <v>0.56668559125975415</v>
      </c>
      <c r="AO132" s="14">
        <f t="shared" ca="1" si="358"/>
        <v>0.85002838688963123</v>
      </c>
      <c r="AP132" s="13">
        <f t="shared" ref="AP132:AQ132" ca="1" si="369">SUM(T123)</f>
        <v>178.89424007744432</v>
      </c>
      <c r="AQ132" s="13">
        <f t="shared" ca="1" si="369"/>
        <v>7.778010438149753</v>
      </c>
      <c r="AR132" s="9">
        <f t="shared" ca="1" si="360"/>
        <v>163.91304347826087</v>
      </c>
      <c r="AS132" s="76"/>
      <c r="AT132" s="76"/>
    </row>
    <row r="133" spans="1:46" ht="15.75" customHeight="1" x14ac:dyDescent="0.2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6"/>
      <c r="X133" s="8">
        <v>5</v>
      </c>
      <c r="Y133" s="8" t="s">
        <v>39</v>
      </c>
      <c r="Z133" s="8">
        <f t="shared" ref="Z133:AI133" si="370">SUM(D124)</f>
        <v>22</v>
      </c>
      <c r="AA133" s="9">
        <f t="shared" ca="1" si="370"/>
        <v>22</v>
      </c>
      <c r="AB133" s="10">
        <f t="shared" ca="1" si="370"/>
        <v>4340.9829999999902</v>
      </c>
      <c r="AC133" s="9">
        <f t="shared" ca="1" si="370"/>
        <v>1018</v>
      </c>
      <c r="AD133" s="9">
        <f t="shared" ca="1" si="370"/>
        <v>0</v>
      </c>
      <c r="AE133" s="9">
        <f t="shared" ca="1" si="370"/>
        <v>1018</v>
      </c>
      <c r="AF133" s="9">
        <f t="shared" ca="1" si="370"/>
        <v>1817</v>
      </c>
      <c r="AG133" s="9">
        <f t="shared" ca="1" si="370"/>
        <v>0</v>
      </c>
      <c r="AH133" s="9">
        <f t="shared" ca="1" si="370"/>
        <v>1817</v>
      </c>
      <c r="AI133" s="9">
        <f t="shared" ca="1" si="370"/>
        <v>2835</v>
      </c>
      <c r="AJ133" s="11">
        <f t="shared" ca="1" si="355"/>
        <v>197.31740909090865</v>
      </c>
      <c r="AK133" s="8">
        <f t="shared" si="364"/>
        <v>3569</v>
      </c>
      <c r="AL133" s="12">
        <f t="shared" ca="1" si="356"/>
        <v>0.79434015130288593</v>
      </c>
      <c r="AM133" s="13">
        <f t="shared" si="365"/>
        <v>1.5</v>
      </c>
      <c r="AN133" s="12">
        <f t="shared" ca="1" si="357"/>
        <v>0.43538525721017662</v>
      </c>
      <c r="AO133" s="14">
        <f t="shared" ca="1" si="358"/>
        <v>0.65307788581526494</v>
      </c>
      <c r="AP133" s="13">
        <f t="shared" ref="AP133:AQ133" ca="1" si="371">SUM(T124)</f>
        <v>202.25425150258539</v>
      </c>
      <c r="AQ133" s="13">
        <f t="shared" ca="1" si="371"/>
        <v>9.1933750682993356</v>
      </c>
      <c r="AR133" s="9">
        <f t="shared" ca="1" si="360"/>
        <v>128.86363636363637</v>
      </c>
      <c r="AS133" s="76"/>
      <c r="AT133" s="76"/>
    </row>
    <row r="134" spans="1:46" ht="15.75" customHeight="1" x14ac:dyDescent="0.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6"/>
      <c r="X134" s="8">
        <v>6</v>
      </c>
      <c r="Y134" s="8" t="s">
        <v>41</v>
      </c>
      <c r="Z134" s="8">
        <f t="shared" ref="Z134:AI134" si="372">SUM(D125)</f>
        <v>20</v>
      </c>
      <c r="AA134" s="9">
        <f t="shared" ca="1" si="372"/>
        <v>20</v>
      </c>
      <c r="AB134" s="10">
        <f t="shared" ca="1" si="372"/>
        <v>3891.1439999999998</v>
      </c>
      <c r="AC134" s="9">
        <f t="shared" ca="1" si="372"/>
        <v>935</v>
      </c>
      <c r="AD134" s="9">
        <f t="shared" ca="1" si="372"/>
        <v>0</v>
      </c>
      <c r="AE134" s="9">
        <f t="shared" ca="1" si="372"/>
        <v>935</v>
      </c>
      <c r="AF134" s="9">
        <f t="shared" ca="1" si="372"/>
        <v>1309</v>
      </c>
      <c r="AG134" s="9">
        <f t="shared" ca="1" si="372"/>
        <v>0</v>
      </c>
      <c r="AH134" s="9">
        <f t="shared" ca="1" si="372"/>
        <v>1309</v>
      </c>
      <c r="AI134" s="9">
        <f t="shared" ca="1" si="372"/>
        <v>2244</v>
      </c>
      <c r="AJ134" s="11">
        <f t="shared" ca="1" si="355"/>
        <v>194.55719999999999</v>
      </c>
      <c r="AK134" s="8">
        <f t="shared" si="364"/>
        <v>3801</v>
      </c>
      <c r="AL134" s="12">
        <f t="shared" ca="1" si="356"/>
        <v>0.590370955011839</v>
      </c>
      <c r="AM134" s="13">
        <f t="shared" si="365"/>
        <v>1.5</v>
      </c>
      <c r="AN134" s="12">
        <f t="shared" ca="1" si="357"/>
        <v>0.38446276981782224</v>
      </c>
      <c r="AO134" s="14">
        <f t="shared" ca="1" si="358"/>
        <v>0.57669415472673335</v>
      </c>
      <c r="AP134" s="13">
        <f t="shared" ref="AP134:AQ134" ca="1" si="373">SUM(T125)</f>
        <v>131.33333333333331</v>
      </c>
      <c r="AQ134" s="13">
        <f t="shared" ca="1" si="373"/>
        <v>6.5666666666666655</v>
      </c>
      <c r="AR134" s="9">
        <f t="shared" ca="1" si="360"/>
        <v>112.2</v>
      </c>
      <c r="AS134" s="76"/>
      <c r="AT134" s="76"/>
    </row>
    <row r="135" spans="1:46" ht="15.75" customHeight="1" x14ac:dyDescent="0.25">
      <c r="A135" s="110" t="s">
        <v>45</v>
      </c>
      <c r="B135" s="76"/>
      <c r="C135" s="76"/>
      <c r="D135" s="75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24" t="s">
        <v>33</v>
      </c>
      <c r="Y135" s="24">
        <v>6</v>
      </c>
      <c r="Z135" s="24">
        <f t="shared" ref="Z135:AI135" si="374">SUM(Z129:Z134)</f>
        <v>139</v>
      </c>
      <c r="AA135" s="25">
        <f t="shared" ca="1" si="374"/>
        <v>138</v>
      </c>
      <c r="AB135" s="27">
        <f t="shared" ca="1" si="374"/>
        <v>26747.094999999961</v>
      </c>
      <c r="AC135" s="25">
        <f t="shared" ca="1" si="374"/>
        <v>10008</v>
      </c>
      <c r="AD135" s="25">
        <f t="shared" ca="1" si="374"/>
        <v>28</v>
      </c>
      <c r="AE135" s="25">
        <f t="shared" ca="1" si="374"/>
        <v>10036</v>
      </c>
      <c r="AF135" s="25">
        <f t="shared" ca="1" si="374"/>
        <v>13290</v>
      </c>
      <c r="AG135" s="25">
        <f t="shared" ca="1" si="374"/>
        <v>205</v>
      </c>
      <c r="AH135" s="25">
        <f t="shared" ca="1" si="374"/>
        <v>13495</v>
      </c>
      <c r="AI135" s="25">
        <f t="shared" ca="1" si="374"/>
        <v>23531</v>
      </c>
      <c r="AJ135" s="27">
        <f t="shared" ca="1" si="355"/>
        <v>193.81952898550696</v>
      </c>
      <c r="AK135" s="24">
        <f>SUM(AK129:AK134)</f>
        <v>37031</v>
      </c>
      <c r="AL135" s="28">
        <f t="shared" ca="1" si="356"/>
        <v>0.63544057681402066</v>
      </c>
      <c r="AM135" s="29">
        <v>1.5</v>
      </c>
      <c r="AN135" s="28">
        <f t="shared" ca="1" si="357"/>
        <v>0.58650606106320546</v>
      </c>
      <c r="AO135" s="30">
        <f t="shared" ca="1" si="358"/>
        <v>0.87975909159480814</v>
      </c>
      <c r="AP135" s="29">
        <f ca="1">SUM(AP129:AP134)</f>
        <v>1102.4553263844787</v>
      </c>
      <c r="AQ135" s="29">
        <f ca="1">AP135/AA135</f>
        <v>7.9888067129310052</v>
      </c>
      <c r="AR135" s="25">
        <f t="shared" ca="1" si="360"/>
        <v>170.51449275362319</v>
      </c>
      <c r="AS135" s="76"/>
      <c r="AT135" s="76"/>
    </row>
    <row r="136" spans="1:46" ht="15.75" customHeight="1" x14ac:dyDescent="0.2">
      <c r="A136" s="110" t="s">
        <v>45</v>
      </c>
      <c r="B136" s="76"/>
      <c r="C136" s="76"/>
      <c r="D136" s="75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7" t="s">
        <v>1</v>
      </c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9"/>
      <c r="AS136" s="76"/>
      <c r="AT136" s="76"/>
    </row>
    <row r="137" spans="1:46" ht="15.75" customHeight="1" x14ac:dyDescent="0.2">
      <c r="A137" s="113">
        <v>46271</v>
      </c>
      <c r="B137" s="80" t="s">
        <v>2</v>
      </c>
      <c r="C137" s="80" t="s">
        <v>3</v>
      </c>
      <c r="D137" s="80" t="s">
        <v>4</v>
      </c>
      <c r="E137" s="80" t="s">
        <v>5</v>
      </c>
      <c r="F137" s="81" t="s">
        <v>6</v>
      </c>
      <c r="G137" s="80" t="s">
        <v>7</v>
      </c>
      <c r="H137" s="80" t="s">
        <v>8</v>
      </c>
      <c r="I137" s="80" t="s">
        <v>9</v>
      </c>
      <c r="J137" s="80" t="s">
        <v>10</v>
      </c>
      <c r="K137" s="80" t="s">
        <v>11</v>
      </c>
      <c r="L137" s="80" t="s">
        <v>12</v>
      </c>
      <c r="M137" s="80" t="s">
        <v>13</v>
      </c>
      <c r="N137" s="81" t="s">
        <v>14</v>
      </c>
      <c r="O137" s="80" t="s">
        <v>15</v>
      </c>
      <c r="P137" s="80" t="s">
        <v>16</v>
      </c>
      <c r="Q137" s="80" t="s">
        <v>17</v>
      </c>
      <c r="R137" s="80" t="s">
        <v>18</v>
      </c>
      <c r="S137" s="106" t="s">
        <v>19</v>
      </c>
      <c r="T137" s="107" t="s">
        <v>20</v>
      </c>
      <c r="U137" s="107" t="s">
        <v>21</v>
      </c>
      <c r="V137" s="105" t="s">
        <v>22</v>
      </c>
      <c r="W137" s="76"/>
      <c r="X137" s="1" t="s">
        <v>2</v>
      </c>
      <c r="Y137" s="1" t="s">
        <v>3</v>
      </c>
      <c r="Z137" s="1" t="s">
        <v>4</v>
      </c>
      <c r="AA137" s="1" t="s">
        <v>5</v>
      </c>
      <c r="AB137" s="2" t="s">
        <v>6</v>
      </c>
      <c r="AC137" s="1" t="s">
        <v>7</v>
      </c>
      <c r="AD137" s="1" t="s">
        <v>8</v>
      </c>
      <c r="AE137" s="1" t="s">
        <v>9</v>
      </c>
      <c r="AF137" s="1" t="s">
        <v>10</v>
      </c>
      <c r="AG137" s="1" t="s">
        <v>11</v>
      </c>
      <c r="AH137" s="1" t="s">
        <v>12</v>
      </c>
      <c r="AI137" s="1" t="s">
        <v>13</v>
      </c>
      <c r="AJ137" s="2" t="s">
        <v>14</v>
      </c>
      <c r="AK137" s="1" t="s">
        <v>15</v>
      </c>
      <c r="AL137" s="1" t="s">
        <v>16</v>
      </c>
      <c r="AM137" s="3" t="s">
        <v>17</v>
      </c>
      <c r="AN137" s="4" t="s">
        <v>18</v>
      </c>
      <c r="AO137" s="5" t="s">
        <v>19</v>
      </c>
      <c r="AP137" s="6" t="s">
        <v>20</v>
      </c>
      <c r="AQ137" s="6" t="s">
        <v>21</v>
      </c>
      <c r="AR137" s="7" t="s">
        <v>22</v>
      </c>
      <c r="AS137" s="76"/>
      <c r="AT137" s="76"/>
    </row>
    <row r="138" spans="1:46" ht="15.75" customHeight="1" x14ac:dyDescent="0.2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6"/>
      <c r="X138" s="8">
        <v>1</v>
      </c>
      <c r="Y138" s="8" t="s">
        <v>23</v>
      </c>
      <c r="Z138" s="8">
        <f t="shared" ref="Z138:AI138" si="375">SUM(D146)</f>
        <v>26</v>
      </c>
      <c r="AA138" s="9">
        <f t="shared" ca="1" si="375"/>
        <v>26</v>
      </c>
      <c r="AB138" s="10">
        <f t="shared" ca="1" si="375"/>
        <v>5195.95999999999</v>
      </c>
      <c r="AC138" s="9">
        <f t="shared" ca="1" si="375"/>
        <v>921</v>
      </c>
      <c r="AD138" s="9">
        <f t="shared" ca="1" si="375"/>
        <v>0</v>
      </c>
      <c r="AE138" s="9">
        <f t="shared" ca="1" si="375"/>
        <v>921</v>
      </c>
      <c r="AF138" s="9">
        <f t="shared" ca="1" si="375"/>
        <v>2283</v>
      </c>
      <c r="AG138" s="9">
        <f t="shared" ca="1" si="375"/>
        <v>73</v>
      </c>
      <c r="AH138" s="9">
        <f t="shared" ca="1" si="375"/>
        <v>2356</v>
      </c>
      <c r="AI138" s="9">
        <f t="shared" ca="1" si="375"/>
        <v>3277</v>
      </c>
      <c r="AJ138" s="11">
        <f t="shared" ref="AJ138:AJ140" ca="1" si="376">AB138/AA138</f>
        <v>199.844615384615</v>
      </c>
      <c r="AK138" s="8">
        <f>SUM(O146)</f>
        <v>6853</v>
      </c>
      <c r="AL138" s="12">
        <f t="shared" ref="AL138:AL144" ca="1" si="377">AI138/AK138</f>
        <v>0.47818473661170291</v>
      </c>
      <c r="AM138" s="13">
        <f t="shared" ref="AM138:AM140" si="378">SUM(Q146)</f>
        <v>1.5</v>
      </c>
      <c r="AN138" s="12">
        <f t="shared" ref="AN138:AN144" ca="1" si="379">AO138/AM138</f>
        <v>0.42045486621657419</v>
      </c>
      <c r="AO138" s="14">
        <f t="shared" ref="AO138:AO144" ca="1" si="380">AI138/AB138</f>
        <v>0.63068229932486131</v>
      </c>
      <c r="AP138" s="13">
        <f t="shared" ref="AP138:AQ138" ca="1" si="381">SUM(T146)</f>
        <v>153.99999999999969</v>
      </c>
      <c r="AQ138" s="13">
        <f t="shared" ca="1" si="381"/>
        <v>5.9230769230769109</v>
      </c>
      <c r="AR138" s="9">
        <f t="shared" ref="AR138:AR144" ca="1" si="382">AI138/AA138</f>
        <v>126.03846153846153</v>
      </c>
      <c r="AS138" s="76"/>
      <c r="AT138" s="76"/>
    </row>
    <row r="139" spans="1:46" ht="15.75" customHeight="1" x14ac:dyDescent="0.2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6"/>
      <c r="X139" s="8">
        <v>2</v>
      </c>
      <c r="Y139" s="8" t="s">
        <v>24</v>
      </c>
      <c r="Z139" s="8">
        <f t="shared" ref="Z139:AI139" si="383">SUM(D147)</f>
        <v>35</v>
      </c>
      <c r="AA139" s="9">
        <f t="shared" ca="1" si="383"/>
        <v>35</v>
      </c>
      <c r="AB139" s="10">
        <f t="shared" ca="1" si="383"/>
        <v>6722.93299999999</v>
      </c>
      <c r="AC139" s="9">
        <f t="shared" ca="1" si="383"/>
        <v>569</v>
      </c>
      <c r="AD139" s="9">
        <f t="shared" ca="1" si="383"/>
        <v>0</v>
      </c>
      <c r="AE139" s="9">
        <f t="shared" ca="1" si="383"/>
        <v>569</v>
      </c>
      <c r="AF139" s="9">
        <f t="shared" ca="1" si="383"/>
        <v>863</v>
      </c>
      <c r="AG139" s="9">
        <f t="shared" ca="1" si="383"/>
        <v>0</v>
      </c>
      <c r="AH139" s="9">
        <f t="shared" ca="1" si="383"/>
        <v>863</v>
      </c>
      <c r="AI139" s="9">
        <f t="shared" ca="1" si="383"/>
        <v>1432</v>
      </c>
      <c r="AJ139" s="11">
        <f t="shared" ca="1" si="376"/>
        <v>192.08379999999971</v>
      </c>
      <c r="AK139" s="8">
        <v>1580</v>
      </c>
      <c r="AL139" s="12">
        <f t="shared" ca="1" si="377"/>
        <v>0.90632911392405058</v>
      </c>
      <c r="AM139" s="13">
        <f t="shared" si="378"/>
        <v>1.5</v>
      </c>
      <c r="AN139" s="12">
        <f t="shared" ca="1" si="379"/>
        <v>0.1420015143192217</v>
      </c>
      <c r="AO139" s="14">
        <f t="shared" ca="1" si="380"/>
        <v>0.21300227147883255</v>
      </c>
      <c r="AP139" s="13">
        <f t="shared" ref="AP139:AQ139" ca="1" si="384">SUM(T147)</f>
        <v>250.80891624696847</v>
      </c>
      <c r="AQ139" s="13">
        <f t="shared" ca="1" si="384"/>
        <v>7.1659690356276702</v>
      </c>
      <c r="AR139" s="9">
        <f t="shared" ca="1" si="382"/>
        <v>40.914285714285711</v>
      </c>
      <c r="AS139" s="76"/>
      <c r="AT139" s="76"/>
    </row>
    <row r="140" spans="1:46" ht="15.75" customHeight="1" x14ac:dyDescent="0.2">
      <c r="A140" s="70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6"/>
      <c r="X140" s="8">
        <v>3</v>
      </c>
      <c r="Y140" s="8" t="s">
        <v>25</v>
      </c>
      <c r="Z140" s="8">
        <f t="shared" ref="Z140:AI140" si="385">SUM(D148)</f>
        <v>26</v>
      </c>
      <c r="AA140" s="9">
        <f t="shared" ca="1" si="385"/>
        <v>26</v>
      </c>
      <c r="AB140" s="10">
        <f t="shared" ca="1" si="385"/>
        <v>4800.2520000000004</v>
      </c>
      <c r="AC140" s="9">
        <f t="shared" ca="1" si="385"/>
        <v>1358</v>
      </c>
      <c r="AD140" s="9">
        <f t="shared" ca="1" si="385"/>
        <v>311</v>
      </c>
      <c r="AE140" s="9">
        <f t="shared" ca="1" si="385"/>
        <v>1669</v>
      </c>
      <c r="AF140" s="9">
        <f t="shared" ca="1" si="385"/>
        <v>1798</v>
      </c>
      <c r="AG140" s="9">
        <f t="shared" ca="1" si="385"/>
        <v>324</v>
      </c>
      <c r="AH140" s="9">
        <f t="shared" ca="1" si="385"/>
        <v>2122</v>
      </c>
      <c r="AI140" s="9">
        <f t="shared" ca="1" si="385"/>
        <v>3791</v>
      </c>
      <c r="AJ140" s="11">
        <f t="shared" ca="1" si="376"/>
        <v>184.62507692307693</v>
      </c>
      <c r="AK140" s="8">
        <f>SUM(O148)</f>
        <v>6622</v>
      </c>
      <c r="AL140" s="12">
        <f t="shared" ca="1" si="377"/>
        <v>0.5724856538810027</v>
      </c>
      <c r="AM140" s="13">
        <f t="shared" si="378"/>
        <v>1.5</v>
      </c>
      <c r="AN140" s="12">
        <f t="shared" ca="1" si="379"/>
        <v>0.52650013652061045</v>
      </c>
      <c r="AO140" s="14">
        <f t="shared" ca="1" si="380"/>
        <v>0.78975020478091562</v>
      </c>
      <c r="AP140" s="13">
        <f t="shared" ref="AP140:AQ140" ca="1" si="386">SUM(T148)</f>
        <v>201.35285234899331</v>
      </c>
      <c r="AQ140" s="13">
        <f t="shared" ca="1" si="386"/>
        <v>7.7443404749612812</v>
      </c>
      <c r="AR140" s="9">
        <f t="shared" ca="1" si="382"/>
        <v>145.80769230769232</v>
      </c>
      <c r="AS140" s="76"/>
      <c r="AT140" s="76"/>
    </row>
    <row r="141" spans="1:46" ht="15.75" customHeight="1" x14ac:dyDescent="0.25">
      <c r="A141" s="70"/>
      <c r="B141" s="16">
        <v>1</v>
      </c>
      <c r="C141" s="16" t="s">
        <v>26</v>
      </c>
      <c r="D141" s="17">
        <v>15</v>
      </c>
      <c r="E141" s="18">
        <f ca="1">IFERROR(__xludf.DUMMYFUNCTION("COUNT(IMPORTRANGE(""https://docs.google.com/spreadsheets/d/1F0NpMx7WhcgPgxTWpryY3Z1CGg56FL6aiL4mHs43w4E/edit"",""6!d2:d21""))"),15)</f>
        <v>15</v>
      </c>
      <c r="F141" s="19">
        <f ca="1">IFERROR(__xludf.DUMMYFUNCTION("SUM(IMPORTRANGE(""https://docs.google.com/spreadsheets/d/1F0NpMx7WhcgPgxTWpryY3Z1CGg56FL6aiL4mHs43w4E/edit"",""6!Q2:Q21""))"),2984.364)</f>
        <v>2984.364</v>
      </c>
      <c r="G141" s="18">
        <f ca="1">IFERROR(__xludf.DUMMYFUNCTION("IMPORTRANGE(""https://docs.google.com/spreadsheets/d/1F0NpMx7WhcgPgxTWpryY3Z1CGg56FL6aiL4mHs43w4E/edit"",""6!e28"")"),1358)</f>
        <v>1358</v>
      </c>
      <c r="H141" s="18">
        <f ca="1">IFERROR(__xludf.DUMMYFUNCTION("IMPORTRANGE(""https://docs.google.com/spreadsheets/d/1F0NpMx7WhcgPgxTWpryY3Z1CGg56FL6aiL4mHs43w4E/edit"",""6!e29"")"),0)</f>
        <v>0</v>
      </c>
      <c r="I141" s="18">
        <f t="shared" ref="I141:I158" ca="1" si="387">SUM(G141:H141)</f>
        <v>1358</v>
      </c>
      <c r="J141" s="18">
        <f ca="1">IFERROR(__xludf.DUMMYFUNCTION("IMPORTRANGE(""https://docs.google.com/spreadsheets/d/1F0NpMx7WhcgPgxTWpryY3Z1CGg56FL6aiL4mHs43w4E/edit"",""6!e32"")"),2019)</f>
        <v>2019</v>
      </c>
      <c r="K141" s="18">
        <f ca="1">IFERROR(__xludf.DUMMYFUNCTION("IMPORTRANGE(""https://docs.google.com/spreadsheets/d/1F0NpMx7WhcgPgxTWpryY3Z1CGg56FL6aiL4mHs43w4E/edit"",""6!e33"")"),0)</f>
        <v>0</v>
      </c>
      <c r="L141" s="18">
        <f t="shared" ref="L141:L147" ca="1" si="388">SUM(J141:K141)</f>
        <v>2019</v>
      </c>
      <c r="M141" s="18">
        <f t="shared" ref="M141:M158" ca="1" si="389">SUM(I141+L141)</f>
        <v>3377</v>
      </c>
      <c r="N141" s="19">
        <f t="shared" ref="N141:N159" ca="1" si="390">F141/E141</f>
        <v>198.95760000000001</v>
      </c>
      <c r="O141" s="16">
        <v>5161</v>
      </c>
      <c r="P141" s="20">
        <f t="shared" ref="P141:P159" ca="1" si="391">M141/O141</f>
        <v>0.65433055609378032</v>
      </c>
      <c r="Q141" s="21">
        <v>1.5</v>
      </c>
      <c r="R141" s="20">
        <f t="shared" ref="R141:R159" ca="1" si="392">S141/Q141</f>
        <v>0.75437625347756943</v>
      </c>
      <c r="S141" s="22">
        <f t="shared" ref="S141:S159" ca="1" si="393">M141/F141</f>
        <v>1.1315643802163542</v>
      </c>
      <c r="T141" s="21">
        <f ca="1">F141/14.415</f>
        <v>207.03184183142562</v>
      </c>
      <c r="U141" s="21">
        <f t="shared" ref="U141:U159" ca="1" si="394">T141/E141</f>
        <v>13.802122788761709</v>
      </c>
      <c r="V141" s="18">
        <f t="shared" ref="V141:V159" ca="1" si="395">M141/E141</f>
        <v>225.13333333333333</v>
      </c>
      <c r="W141" s="76"/>
      <c r="X141" s="8">
        <v>4</v>
      </c>
      <c r="Y141" s="8" t="s">
        <v>27</v>
      </c>
      <c r="Z141" s="8">
        <f t="shared" ref="Z141:AK141" si="396">SUM(D154)</f>
        <v>23</v>
      </c>
      <c r="AA141" s="9">
        <f t="shared" ca="1" si="396"/>
        <v>22</v>
      </c>
      <c r="AB141" s="10">
        <f t="shared" ca="1" si="396"/>
        <v>4226.6899999999996</v>
      </c>
      <c r="AC141" s="9">
        <f t="shared" ca="1" si="396"/>
        <v>1353</v>
      </c>
      <c r="AD141" s="9">
        <f t="shared" ca="1" si="396"/>
        <v>151</v>
      </c>
      <c r="AE141" s="9">
        <f t="shared" ca="1" si="396"/>
        <v>1504</v>
      </c>
      <c r="AF141" s="9">
        <f t="shared" ca="1" si="396"/>
        <v>1912</v>
      </c>
      <c r="AG141" s="9">
        <f t="shared" ca="1" si="396"/>
        <v>191</v>
      </c>
      <c r="AH141" s="9">
        <f t="shared" ca="1" si="396"/>
        <v>2103</v>
      </c>
      <c r="AI141" s="9">
        <f t="shared" ca="1" si="396"/>
        <v>3607</v>
      </c>
      <c r="AJ141" s="11">
        <f t="shared" ca="1" si="396"/>
        <v>192.1222727272727</v>
      </c>
      <c r="AK141" s="8">
        <f t="shared" si="396"/>
        <v>8101</v>
      </c>
      <c r="AL141" s="12">
        <f t="shared" ca="1" si="377"/>
        <v>0.44525367238612518</v>
      </c>
      <c r="AM141" s="13">
        <f>SUM(Q154)</f>
        <v>1.5</v>
      </c>
      <c r="AN141" s="12">
        <f t="shared" ca="1" si="379"/>
        <v>0.56892430404564021</v>
      </c>
      <c r="AO141" s="14">
        <f t="shared" ca="1" si="380"/>
        <v>0.85338645606846031</v>
      </c>
      <c r="AP141" s="13">
        <f t="shared" ref="AP141:AQ141" ca="1" si="397">SUM(T154)</f>
        <v>211.49311983987991</v>
      </c>
      <c r="AQ141" s="13">
        <f t="shared" ca="1" si="397"/>
        <v>9.6133236290854498</v>
      </c>
      <c r="AR141" s="9">
        <f t="shared" ca="1" si="382"/>
        <v>163.95454545454547</v>
      </c>
      <c r="AS141" s="76"/>
      <c r="AT141" s="76"/>
    </row>
    <row r="142" spans="1:46" ht="15.75" customHeight="1" x14ac:dyDescent="0.25">
      <c r="A142" s="70"/>
      <c r="B142" s="16">
        <v>2</v>
      </c>
      <c r="C142" s="16" t="s">
        <v>28</v>
      </c>
      <c r="D142" s="17">
        <v>24</v>
      </c>
      <c r="E142" s="18">
        <f ca="1">IFERROR(__xludf.DUMMYFUNCTION("COUNT(IMPORTRANGE(""https://docs.google.com/spreadsheets/d/1H9vAqftAHb0OdeSGXHTnJFzoWUgpoH31sc0sHNN8y1o/edit"",""6!d2:d34""))"),24)</f>
        <v>24</v>
      </c>
      <c r="F142" s="19">
        <f ca="1">IFERROR(__xludf.DUMMYFUNCTION("SUM(IMPORTRANGE(""https://docs.google.com/spreadsheets/d/1H9vAqftAHb0OdeSGXHTnJFzoWUgpoH31sc0sHNN8y1o/edit"",""6!Q2:Q34""))"),4767.704)</f>
        <v>4767.7039999999997</v>
      </c>
      <c r="G142" s="18">
        <f ca="1">IFERROR(__xludf.DUMMYFUNCTION("IMPORTRANGE(""https://docs.google.com/spreadsheets/d/1H9vAqftAHb0OdeSGXHTnJFzoWUgpoH31sc0sHNN8y1o/edit"",""6!e41"")"),1674)</f>
        <v>1674</v>
      </c>
      <c r="H142" s="18">
        <f ca="1">IFERROR(__xludf.DUMMYFUNCTION("IMPORTRANGE(""https://docs.google.com/spreadsheets/d/1H9vAqftAHb0OdeSGXHTnJFzoWUgpoH31sc0sHNN8y1o/edit"",""6!e42"")"),122)</f>
        <v>122</v>
      </c>
      <c r="I142" s="18">
        <f t="shared" ca="1" si="387"/>
        <v>1796</v>
      </c>
      <c r="J142" s="18">
        <f ca="1">IFERROR(__xludf.DUMMYFUNCTION("IMPORTRANGE(""https://docs.google.com/spreadsheets/d/1H9vAqftAHb0OdeSGXHTnJFzoWUgpoH31sc0sHNN8y1o/edit"",""6!e45"")"),1645)</f>
        <v>1645</v>
      </c>
      <c r="K142" s="18">
        <f ca="1">IFERROR(__xludf.DUMMYFUNCTION("IMPORTRANGE(""https://docs.google.com/spreadsheets/d/1H9vAqftAHb0OdeSGXHTnJFzoWUgpoH31sc0sHNN8y1o/edit"",""6!e46"")"),180)</f>
        <v>180</v>
      </c>
      <c r="L142" s="18">
        <f t="shared" ca="1" si="388"/>
        <v>1825</v>
      </c>
      <c r="M142" s="18">
        <f t="shared" ca="1" si="389"/>
        <v>3621</v>
      </c>
      <c r="N142" s="19">
        <f t="shared" ca="1" si="390"/>
        <v>198.65433333333331</v>
      </c>
      <c r="O142" s="16">
        <v>7315</v>
      </c>
      <c r="P142" s="20">
        <f t="shared" ca="1" si="391"/>
        <v>0.49501025290498973</v>
      </c>
      <c r="Q142" s="21">
        <v>1.5</v>
      </c>
      <c r="R142" s="20">
        <f t="shared" ca="1" si="392"/>
        <v>0.50632337913595304</v>
      </c>
      <c r="S142" s="22">
        <f t="shared" ca="1" si="393"/>
        <v>0.75948506870392962</v>
      </c>
      <c r="T142" s="21">
        <f ca="1">F142/30.897</f>
        <v>154.30960934718581</v>
      </c>
      <c r="U142" s="21">
        <f t="shared" ca="1" si="394"/>
        <v>6.4295670561327425</v>
      </c>
      <c r="V142" s="18">
        <f t="shared" ca="1" si="395"/>
        <v>150.875</v>
      </c>
      <c r="W142" s="76"/>
      <c r="X142" s="8">
        <v>5</v>
      </c>
      <c r="Y142" s="8" t="s">
        <v>29</v>
      </c>
      <c r="Z142" s="8">
        <f t="shared" ref="Z142:AI142" si="398">SUM(D157)</f>
        <v>23</v>
      </c>
      <c r="AA142" s="9">
        <f t="shared" ca="1" si="398"/>
        <v>23</v>
      </c>
      <c r="AB142" s="10">
        <f t="shared" ca="1" si="398"/>
        <v>5722.0559999999896</v>
      </c>
      <c r="AC142" s="9">
        <f t="shared" ca="1" si="398"/>
        <v>1687</v>
      </c>
      <c r="AD142" s="9">
        <f t="shared" ca="1" si="398"/>
        <v>0</v>
      </c>
      <c r="AE142" s="9">
        <f t="shared" ca="1" si="398"/>
        <v>1687</v>
      </c>
      <c r="AF142" s="9">
        <f t="shared" ca="1" si="398"/>
        <v>2557</v>
      </c>
      <c r="AG142" s="9">
        <f t="shared" ca="1" si="398"/>
        <v>0</v>
      </c>
      <c r="AH142" s="9">
        <f t="shared" ca="1" si="398"/>
        <v>2557</v>
      </c>
      <c r="AI142" s="9">
        <f t="shared" ca="1" si="398"/>
        <v>4244</v>
      </c>
      <c r="AJ142" s="11">
        <f t="shared" ref="AJ142:AJ144" ca="1" si="399">AB142/AA142</f>
        <v>248.78504347826041</v>
      </c>
      <c r="AK142" s="8">
        <f t="shared" ref="AK142:AK143" si="400">SUM(O157)</f>
        <v>9201</v>
      </c>
      <c r="AL142" s="12">
        <f t="shared" ca="1" si="377"/>
        <v>0.46125421149875012</v>
      </c>
      <c r="AM142" s="13">
        <f t="shared" ref="AM142:AM143" si="401">SUM(Q157)</f>
        <v>1.5</v>
      </c>
      <c r="AN142" s="12">
        <f t="shared" ca="1" si="379"/>
        <v>0.49446096531270206</v>
      </c>
      <c r="AO142" s="14">
        <f t="shared" ca="1" si="380"/>
        <v>0.74169144796905306</v>
      </c>
      <c r="AP142" s="13">
        <f t="shared" ref="AP142:AQ142" ca="1" si="402">SUM(T157)</f>
        <v>215.9999999999996</v>
      </c>
      <c r="AQ142" s="13">
        <f t="shared" ca="1" si="402"/>
        <v>9.39130434782607</v>
      </c>
      <c r="AR142" s="9">
        <f t="shared" ca="1" si="382"/>
        <v>184.52173913043478</v>
      </c>
      <c r="AS142" s="76"/>
      <c r="AT142" s="76"/>
    </row>
    <row r="143" spans="1:46" ht="15.75" customHeight="1" x14ac:dyDescent="0.25">
      <c r="A143" s="70"/>
      <c r="B143" s="16">
        <v>3</v>
      </c>
      <c r="C143" s="16" t="s">
        <v>30</v>
      </c>
      <c r="D143" s="17">
        <v>45</v>
      </c>
      <c r="E143" s="18">
        <f ca="1">IFERROR(__xludf.DUMMYFUNCTION("COUNT(IMPORTRANGE(""https://docs.google.com/spreadsheets/d/1EWN6nfpuVxbUE_9opjYCWaI7MTm5xsF6ssjklSbMZnA/edit"",""6!d2:d61""))"),45)</f>
        <v>45</v>
      </c>
      <c r="F143" s="23">
        <f ca="1">IFERROR(__xludf.DUMMYFUNCTION("SUM(IMPORTRANGE(""https://docs.google.com/spreadsheets/d/1EWN6nfpuVxbUE_9opjYCWaI7MTm5xsF6ssjklSbMZnA/edit"",""6!Q2:Q61""))"),8889.30999999999)</f>
        <v>8889.3099999999904</v>
      </c>
      <c r="G143" s="18">
        <f ca="1">IFERROR(__xludf.DUMMYFUNCTION("IMPORTRANGE(""https://docs.google.com/spreadsheets/d/1EWN6nfpuVxbUE_9opjYCWaI7MTm5xsF6ssjklSbMZnA/edit"",""6!e68"")"),2101)</f>
        <v>2101</v>
      </c>
      <c r="H143" s="18">
        <f ca="1">IFERROR(__xludf.DUMMYFUNCTION("IMPORTRANGE(""https://docs.google.com/spreadsheets/d/1EWN6nfpuVxbUE_9opjYCWaI7MTm5xsF6ssjklSbMZnA/edit"",""6!e69"")"),0)</f>
        <v>0</v>
      </c>
      <c r="I143" s="18">
        <f t="shared" ca="1" si="387"/>
        <v>2101</v>
      </c>
      <c r="J143" s="18">
        <f ca="1">IFERROR(__xludf.DUMMYFUNCTION("IMPORTRANGE(""https://docs.google.com/spreadsheets/d/1EWN6nfpuVxbUE_9opjYCWaI7MTm5xsF6ssjklSbMZnA/edit"",""6!e72"")"),3723)</f>
        <v>3723</v>
      </c>
      <c r="K143" s="18">
        <f ca="1">IFERROR(__xludf.DUMMYFUNCTION("IMPORTRANGE(""https://docs.google.com/spreadsheets/d/1EWN6nfpuVxbUE_9opjYCWaI7MTm5xsF6ssjklSbMZnA/edit"",""6!e73"")"),0)</f>
        <v>0</v>
      </c>
      <c r="L143" s="18">
        <f t="shared" ca="1" si="388"/>
        <v>3723</v>
      </c>
      <c r="M143" s="18">
        <f t="shared" ca="1" si="389"/>
        <v>5824</v>
      </c>
      <c r="N143" s="19">
        <f t="shared" ca="1" si="390"/>
        <v>197.54022222222201</v>
      </c>
      <c r="O143" s="16">
        <v>11164</v>
      </c>
      <c r="P143" s="20">
        <f t="shared" ca="1" si="391"/>
        <v>0.52167681834467927</v>
      </c>
      <c r="Q143" s="21">
        <v>1.5</v>
      </c>
      <c r="R143" s="20">
        <f t="shared" ca="1" si="392"/>
        <v>0.43677930758030387</v>
      </c>
      <c r="S143" s="22">
        <f t="shared" ca="1" si="393"/>
        <v>0.65516896137045577</v>
      </c>
      <c r="T143" s="21">
        <f ca="1">F143/29.603</f>
        <v>300.28409282842921</v>
      </c>
      <c r="U143" s="21">
        <f t="shared" ca="1" si="394"/>
        <v>6.6729798406317604</v>
      </c>
      <c r="V143" s="18">
        <f t="shared" ca="1" si="395"/>
        <v>129.42222222222222</v>
      </c>
      <c r="W143" s="76"/>
      <c r="X143" s="8">
        <v>6</v>
      </c>
      <c r="Y143" s="8" t="s">
        <v>31</v>
      </c>
      <c r="Z143" s="8">
        <f t="shared" ref="Z143:AI143" si="403">SUM(D158)</f>
        <v>11</v>
      </c>
      <c r="AA143" s="9">
        <f t="shared" ca="1" si="403"/>
        <v>11</v>
      </c>
      <c r="AB143" s="11">
        <f t="shared" ca="1" si="403"/>
        <v>2042.855</v>
      </c>
      <c r="AC143" s="9">
        <f t="shared" ca="1" si="403"/>
        <v>463</v>
      </c>
      <c r="AD143" s="9">
        <f t="shared" ca="1" si="403"/>
        <v>14</v>
      </c>
      <c r="AE143" s="9">
        <f t="shared" ca="1" si="403"/>
        <v>477</v>
      </c>
      <c r="AF143" s="9">
        <f t="shared" ca="1" si="403"/>
        <v>606</v>
      </c>
      <c r="AG143" s="9">
        <f t="shared" ca="1" si="403"/>
        <v>0</v>
      </c>
      <c r="AH143" s="9">
        <f t="shared" ca="1" si="403"/>
        <v>606</v>
      </c>
      <c r="AI143" s="9">
        <f t="shared" ca="1" si="403"/>
        <v>1083</v>
      </c>
      <c r="AJ143" s="11">
        <f t="shared" ca="1" si="399"/>
        <v>185.71409090909091</v>
      </c>
      <c r="AK143" s="8">
        <f t="shared" si="400"/>
        <v>2717</v>
      </c>
      <c r="AL143" s="12">
        <f t="shared" ca="1" si="377"/>
        <v>0.39860139860139859</v>
      </c>
      <c r="AM143" s="13">
        <f t="shared" si="401"/>
        <v>1.5</v>
      </c>
      <c r="AN143" s="12">
        <f t="shared" ca="1" si="379"/>
        <v>0.35342694415413717</v>
      </c>
      <c r="AO143" s="14">
        <f t="shared" ca="1" si="380"/>
        <v>0.53014041623120578</v>
      </c>
      <c r="AP143" s="13">
        <f t="shared" ref="AP143:AQ143" ca="1" si="404">SUM(T158)</f>
        <v>47</v>
      </c>
      <c r="AQ143" s="13">
        <f t="shared" ca="1" si="404"/>
        <v>4.2727272727272725</v>
      </c>
      <c r="AR143" s="9">
        <f t="shared" ca="1" si="382"/>
        <v>98.454545454545453</v>
      </c>
      <c r="AS143" s="76"/>
      <c r="AT143" s="76"/>
    </row>
    <row r="144" spans="1:46" ht="15.75" customHeight="1" x14ac:dyDescent="0.25">
      <c r="A144" s="70"/>
      <c r="B144" s="16">
        <v>4</v>
      </c>
      <c r="C144" s="16" t="s">
        <v>32</v>
      </c>
      <c r="D144" s="17">
        <v>32</v>
      </c>
      <c r="E144" s="18">
        <f ca="1">IFERROR(__xludf.DUMMYFUNCTION("COUNT(IMPORTRANGE(""https://docs.google.com/spreadsheets/d/1Rmar8QqWK4XOJ-eY6xMzkAfDSw0srEXcAw89ilArun8/edit"",""6!d2:d43""))"),31)</f>
        <v>31</v>
      </c>
      <c r="F144" s="23">
        <f ca="1">IFERROR(__xludf.DUMMYFUNCTION("SUM(IMPORTRANGE(""https://docs.google.com/spreadsheets/d/1Rmar8QqWK4XOJ-eY6xMzkAfDSw0srEXcAw89ilArun8/edit"",""6!Q2:Q43""))"),6096.62699999999)</f>
        <v>6096.6269999999904</v>
      </c>
      <c r="G144" s="16">
        <f ca="1">IFERROR(__xludf.DUMMYFUNCTION("IMPORTRANGE(""https://docs.google.com/spreadsheets/d/1Rmar8QqWK4XOJ-eY6xMzkAfDSw0srEXcAw89ilArun8/edit"",""6!e50"")"),2862)</f>
        <v>2862</v>
      </c>
      <c r="H144" s="16">
        <f ca="1">IFERROR(__xludf.DUMMYFUNCTION("IMPORTRANGE(""https://docs.google.com/spreadsheets/d/1Rmar8QqWK4XOJ-eY6xMzkAfDSw0srEXcAw89ilArun8/edit"",""6!e51"")"),0)</f>
        <v>0</v>
      </c>
      <c r="I144" s="18">
        <f t="shared" ca="1" si="387"/>
        <v>2862</v>
      </c>
      <c r="J144" s="16">
        <f ca="1">IFERROR(__xludf.DUMMYFUNCTION("IMPORTRANGE(""https://docs.google.com/spreadsheets/d/1Rmar8QqWK4XOJ-eY6xMzkAfDSw0srEXcAw89ilArun8/edit"",""6!e54"")"),4080)</f>
        <v>4080</v>
      </c>
      <c r="K144" s="16">
        <f ca="1">IFERROR(__xludf.DUMMYFUNCTION("IMPORTRANGE(""https://docs.google.com/spreadsheets/d/1Rmar8QqWK4XOJ-eY6xMzkAfDSw0srEXcAw89ilArun8/edit"",""6!e55"")"),0)</f>
        <v>0</v>
      </c>
      <c r="L144" s="18">
        <f t="shared" ca="1" si="388"/>
        <v>4080</v>
      </c>
      <c r="M144" s="18">
        <f t="shared" ca="1" si="389"/>
        <v>6942</v>
      </c>
      <c r="N144" s="19">
        <f t="shared" ca="1" si="390"/>
        <v>196.66538709677388</v>
      </c>
      <c r="O144" s="16">
        <v>13817</v>
      </c>
      <c r="P144" s="20">
        <f t="shared" ca="1" si="391"/>
        <v>0.5024245494680466</v>
      </c>
      <c r="Q144" s="21">
        <v>1.5</v>
      </c>
      <c r="R144" s="20">
        <f t="shared" ca="1" si="392"/>
        <v>0.75910827413256665</v>
      </c>
      <c r="S144" s="22">
        <f t="shared" ca="1" si="393"/>
        <v>1.1386624111988499</v>
      </c>
      <c r="T144" s="21">
        <f ca="1">F144/25.089</f>
        <v>242.99999999999963</v>
      </c>
      <c r="U144" s="21">
        <f t="shared" ca="1" si="394"/>
        <v>7.8387096774193425</v>
      </c>
      <c r="V144" s="18">
        <f t="shared" ca="1" si="395"/>
        <v>223.93548387096774</v>
      </c>
      <c r="W144" s="76"/>
      <c r="X144" s="24" t="s">
        <v>33</v>
      </c>
      <c r="Y144" s="24">
        <v>6</v>
      </c>
      <c r="Z144" s="24">
        <f t="shared" ref="Z144:AI144" si="405">SUM(Z138:Z143)</f>
        <v>144</v>
      </c>
      <c r="AA144" s="25">
        <f t="shared" ca="1" si="405"/>
        <v>143</v>
      </c>
      <c r="AB144" s="26">
        <f t="shared" ca="1" si="405"/>
        <v>28710.74599999997</v>
      </c>
      <c r="AC144" s="25">
        <f t="shared" ca="1" si="405"/>
        <v>6351</v>
      </c>
      <c r="AD144" s="25">
        <f t="shared" ca="1" si="405"/>
        <v>476</v>
      </c>
      <c r="AE144" s="25">
        <f t="shared" ca="1" si="405"/>
        <v>6827</v>
      </c>
      <c r="AF144" s="25">
        <f t="shared" ca="1" si="405"/>
        <v>10019</v>
      </c>
      <c r="AG144" s="25">
        <f t="shared" ca="1" si="405"/>
        <v>588</v>
      </c>
      <c r="AH144" s="25">
        <f t="shared" ca="1" si="405"/>
        <v>10607</v>
      </c>
      <c r="AI144" s="25">
        <f t="shared" ca="1" si="405"/>
        <v>17434</v>
      </c>
      <c r="AJ144" s="27">
        <f t="shared" ca="1" si="399"/>
        <v>200.77444755244736</v>
      </c>
      <c r="AK144" s="24">
        <f>SUM(AK138:AK143)</f>
        <v>35074</v>
      </c>
      <c r="AL144" s="28">
        <f t="shared" ca="1" si="377"/>
        <v>0.49706335177054228</v>
      </c>
      <c r="AM144" s="29">
        <v>1.5</v>
      </c>
      <c r="AN144" s="28">
        <f t="shared" ca="1" si="379"/>
        <v>0.40481938946019302</v>
      </c>
      <c r="AO144" s="30">
        <f t="shared" ca="1" si="380"/>
        <v>0.60722908419028954</v>
      </c>
      <c r="AP144" s="29">
        <f ca="1">SUM(AP138:AP143)</f>
        <v>1080.654888435841</v>
      </c>
      <c r="AQ144" s="29">
        <f ca="1">AP144/AA144</f>
        <v>7.5570271918590279</v>
      </c>
      <c r="AR144" s="25">
        <f t="shared" ca="1" si="382"/>
        <v>121.91608391608392</v>
      </c>
      <c r="AS144" s="76"/>
      <c r="AT144" s="76"/>
    </row>
    <row r="145" spans="1:46" ht="15.75" customHeight="1" x14ac:dyDescent="0.25">
      <c r="A145" s="70"/>
      <c r="B145" s="16">
        <v>5</v>
      </c>
      <c r="C145" s="16" t="s">
        <v>34</v>
      </c>
      <c r="D145" s="17">
        <v>30</v>
      </c>
      <c r="E145" s="18">
        <f ca="1">IFERROR(__xludf.DUMMYFUNCTION("COUNT(IMPORTRANGE(""https://docs.google.com/spreadsheets/d/1u99JxAoytGQQ8GcjxXl38CGdyEWy5uIbuJJHnsotyvk/edit"",""6!d2:d41""))"),30)</f>
        <v>30</v>
      </c>
      <c r="F145" s="23">
        <f ca="1">IFERROR(__xludf.DUMMYFUNCTION("SUM(IMPORTRANGE(""https://docs.google.com/spreadsheets/d/1u99JxAoytGQQ8GcjxXl38CGdyEWy5uIbuJJHnsotyvk/edit"",""6!Q2:Q41""))"),5882.706)</f>
        <v>5882.7060000000001</v>
      </c>
      <c r="G145" s="18">
        <f ca="1">IFERROR(__xludf.DUMMYFUNCTION("IMPORTRANGE(""https://docs.google.com/spreadsheets/d/1u99JxAoytGQQ8GcjxXl38CGdyEWy5uIbuJJHnsotyvk/edit"",""6!e48"")"),2007)</f>
        <v>2007</v>
      </c>
      <c r="H145" s="18">
        <f ca="1">IFERROR(__xludf.DUMMYFUNCTION("IMPORTRANGE(""https://docs.google.com/spreadsheets/d/1u99JxAoytGQQ8GcjxXl38CGdyEWy5uIbuJJHnsotyvk/edit"",""6!e49"")"),0)</f>
        <v>0</v>
      </c>
      <c r="I145" s="18">
        <f t="shared" ca="1" si="387"/>
        <v>2007</v>
      </c>
      <c r="J145" s="18">
        <f ca="1">IFERROR(__xludf.DUMMYFUNCTION("IMPORTRANGE(""https://docs.google.com/spreadsheets/d/1u99JxAoytGQQ8GcjxXl38CGdyEWy5uIbuJJHnsotyvk/edit"",""6!e52"")"),2362)</f>
        <v>2362</v>
      </c>
      <c r="K145" s="18">
        <f ca="1">IFERROR(__xludf.DUMMYFUNCTION("IMPORTRANGE(""https://docs.google.com/spreadsheets/d/1u99JxAoytGQQ8GcjxXl38CGdyEWy5uIbuJJHnsotyvk/edit"",""6!e53"")"),82)</f>
        <v>82</v>
      </c>
      <c r="L145" s="18">
        <f t="shared" ca="1" si="388"/>
        <v>2444</v>
      </c>
      <c r="M145" s="18">
        <f t="shared" ca="1" si="389"/>
        <v>4451</v>
      </c>
      <c r="N145" s="19">
        <f t="shared" ca="1" si="390"/>
        <v>196.09020000000001</v>
      </c>
      <c r="O145" s="16">
        <v>9354</v>
      </c>
      <c r="P145" s="20">
        <f t="shared" ca="1" si="391"/>
        <v>0.475839213170836</v>
      </c>
      <c r="Q145" s="21">
        <v>1.5</v>
      </c>
      <c r="R145" s="20">
        <f t="shared" ca="1" si="392"/>
        <v>0.50441639159484308</v>
      </c>
      <c r="S145" s="22">
        <f t="shared" ca="1" si="393"/>
        <v>0.75662458739226468</v>
      </c>
      <c r="T145" s="21">
        <f ca="1">F145/30.713</f>
        <v>191.53798065965552</v>
      </c>
      <c r="U145" s="21">
        <f t="shared" ca="1" si="394"/>
        <v>6.3845993553218507</v>
      </c>
      <c r="V145" s="18">
        <f t="shared" ca="1" si="395"/>
        <v>148.36666666666667</v>
      </c>
      <c r="W145" s="76"/>
      <c r="X145" s="100" t="s">
        <v>35</v>
      </c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9"/>
      <c r="AS145" s="76"/>
      <c r="AT145" s="76"/>
    </row>
    <row r="146" spans="1:46" ht="15.75" customHeight="1" x14ac:dyDescent="0.25">
      <c r="A146" s="70"/>
      <c r="B146" s="16">
        <v>6</v>
      </c>
      <c r="C146" s="16" t="s">
        <v>23</v>
      </c>
      <c r="D146" s="17">
        <v>26</v>
      </c>
      <c r="E146" s="18">
        <f ca="1">IFERROR(__xludf.DUMMYFUNCTION("COUNT(IMPORTRANGE(""https://docs.google.com/spreadsheets/d/1uVc-vnTn57HE53lwrUYNZP4sGKTXisrqOoZ-6EyvLzY/edit"",""6!d2:d36""))"),26)</f>
        <v>26</v>
      </c>
      <c r="F146" s="23">
        <f ca="1">IFERROR(__xludf.DUMMYFUNCTION("SUM(IMPORTRANGE(""https://docs.google.com/spreadsheets/d/1uVc-vnTn57HE53lwrUYNZP4sGKTXisrqOoZ-6EyvLzY/edit"",""6!Q2:Q36""))"),5195.95999999999)</f>
        <v>5195.95999999999</v>
      </c>
      <c r="G146" s="18">
        <f ca="1">IFERROR(__xludf.DUMMYFUNCTION("IMPORTRANGE(""https://docs.google.com/spreadsheets/d/1uVc-vnTn57HE53lwrUYNZP4sGKTXisrqOoZ-6EyvLzY/edit"",""6!e43"")"),921)</f>
        <v>921</v>
      </c>
      <c r="H146" s="18">
        <f ca="1">IFERROR(__xludf.DUMMYFUNCTION("IMPORTRANGE(""https://docs.google.com/spreadsheets/d/1uVc-vnTn57HE53lwrUYNZP4sGKTXisrqOoZ-6EyvLzY/edit"",""6!e44"")"),0)</f>
        <v>0</v>
      </c>
      <c r="I146" s="18">
        <f t="shared" ca="1" si="387"/>
        <v>921</v>
      </c>
      <c r="J146" s="18">
        <f ca="1">IFERROR(__xludf.DUMMYFUNCTION("IMPORTRANGE(""https://docs.google.com/spreadsheets/d/1uVc-vnTn57HE53lwrUYNZP4sGKTXisrqOoZ-6EyvLzY/edit"",""6!e47"")"),2283)</f>
        <v>2283</v>
      </c>
      <c r="K146" s="18">
        <f ca="1">IFERROR(__xludf.DUMMYFUNCTION("IMPORTRANGE(""https://docs.google.com/spreadsheets/d/1uVc-vnTn57HE53lwrUYNZP4sGKTXisrqOoZ-6EyvLzY/edit"",""6!e48"")"),73)</f>
        <v>73</v>
      </c>
      <c r="L146" s="18">
        <f t="shared" ca="1" si="388"/>
        <v>2356</v>
      </c>
      <c r="M146" s="18">
        <f t="shared" ca="1" si="389"/>
        <v>3277</v>
      </c>
      <c r="N146" s="19">
        <f t="shared" ca="1" si="390"/>
        <v>199.844615384615</v>
      </c>
      <c r="O146" s="16">
        <v>6853</v>
      </c>
      <c r="P146" s="20">
        <f t="shared" ca="1" si="391"/>
        <v>0.47818473661170291</v>
      </c>
      <c r="Q146" s="21">
        <v>1.5</v>
      </c>
      <c r="R146" s="20">
        <f t="shared" ca="1" si="392"/>
        <v>0.42045486621657419</v>
      </c>
      <c r="S146" s="22">
        <f t="shared" ca="1" si="393"/>
        <v>0.63068229932486131</v>
      </c>
      <c r="T146" s="21">
        <f ca="1">F146/33.74</f>
        <v>153.99999999999969</v>
      </c>
      <c r="U146" s="21">
        <f t="shared" ca="1" si="394"/>
        <v>5.9230769230769109</v>
      </c>
      <c r="V146" s="18">
        <f t="shared" ca="1" si="395"/>
        <v>126.03846153846153</v>
      </c>
      <c r="W146" s="76"/>
      <c r="X146" s="1" t="s">
        <v>2</v>
      </c>
      <c r="Y146" s="1" t="s">
        <v>3</v>
      </c>
      <c r="Z146" s="1" t="s">
        <v>4</v>
      </c>
      <c r="AA146" s="1" t="s">
        <v>5</v>
      </c>
      <c r="AB146" s="2" t="s">
        <v>6</v>
      </c>
      <c r="AC146" s="1" t="s">
        <v>7</v>
      </c>
      <c r="AD146" s="1" t="s">
        <v>8</v>
      </c>
      <c r="AE146" s="1" t="s">
        <v>9</v>
      </c>
      <c r="AF146" s="1" t="s">
        <v>10</v>
      </c>
      <c r="AG146" s="1" t="s">
        <v>11</v>
      </c>
      <c r="AH146" s="1" t="s">
        <v>12</v>
      </c>
      <c r="AI146" s="1" t="s">
        <v>13</v>
      </c>
      <c r="AJ146" s="2" t="s">
        <v>14</v>
      </c>
      <c r="AK146" s="1" t="s">
        <v>15</v>
      </c>
      <c r="AL146" s="1" t="s">
        <v>16</v>
      </c>
      <c r="AM146" s="3" t="s">
        <v>17</v>
      </c>
      <c r="AN146" s="4" t="s">
        <v>18</v>
      </c>
      <c r="AO146" s="5" t="s">
        <v>19</v>
      </c>
      <c r="AP146" s="6" t="s">
        <v>20</v>
      </c>
      <c r="AQ146" s="6" t="s">
        <v>21</v>
      </c>
      <c r="AR146" s="7" t="s">
        <v>22</v>
      </c>
      <c r="AS146" s="76"/>
      <c r="AT146" s="76"/>
    </row>
    <row r="147" spans="1:46" ht="15.75" customHeight="1" x14ac:dyDescent="0.25">
      <c r="A147" s="70"/>
      <c r="B147" s="16">
        <v>7</v>
      </c>
      <c r="C147" s="16" t="s">
        <v>24</v>
      </c>
      <c r="D147" s="17">
        <v>35</v>
      </c>
      <c r="E147" s="31">
        <f ca="1">IFERROR(__xludf.DUMMYFUNCTION("COUNT(IMPORTRANGE(""https://docs.google.com/spreadsheets/d/1iuPvivSypupo44l6GtmR-2qZ3za7cTk7KzsOVp_kv2c/edit"",""6!d2:d45""))"),35)</f>
        <v>35</v>
      </c>
      <c r="F147" s="32">
        <f ca="1">IFERROR(__xludf.DUMMYFUNCTION("SUM(IMPORTRANGE(""https://docs.google.com/spreadsheets/d/1iuPvivSypupo44l6GtmR-2qZ3za7cTk7KzsOVp_kv2c/edit"",""6!Q2:Q45""))"),6722.93299999999)</f>
        <v>6722.93299999999</v>
      </c>
      <c r="G147" s="31">
        <f ca="1">IFERROR(__xludf.DUMMYFUNCTION("IMPORTRANGE(""https://docs.google.com/spreadsheets/d/1iuPvivSypupo44l6GtmR-2qZ3za7cTk7KzsOVp_kv2c/edit"",""6!e53"")"),569)</f>
        <v>569</v>
      </c>
      <c r="H147" s="31">
        <f ca="1">IFERROR(__xludf.DUMMYFUNCTION("IMPORTRANGE(""https://docs.google.com/spreadsheets/d/1iuPvivSypupo44l6GtmR-2qZ3za7cTk7KzsOVp_kv2c/edit"",""6!e54"")"),0)</f>
        <v>0</v>
      </c>
      <c r="I147" s="31">
        <f t="shared" ca="1" si="387"/>
        <v>569</v>
      </c>
      <c r="J147" s="31">
        <f ca="1">IFERROR(__xludf.DUMMYFUNCTION("IMPORTRANGE(""https://docs.google.com/spreadsheets/d/1iuPvivSypupo44l6GtmR-2qZ3za7cTk7KzsOVp_kv2c/edit"",""6!e57"")"),863)</f>
        <v>863</v>
      </c>
      <c r="K147" s="31">
        <f ca="1">IFERROR(__xludf.DUMMYFUNCTION("IMPORTRANGE(""https://docs.google.com/spreadsheets/d/1iuPvivSypupo44l6GtmR-2qZ3za7cTk7KzsOVp_kv2c/edit"",""6!e58"")"),0)</f>
        <v>0</v>
      </c>
      <c r="L147" s="18">
        <f t="shared" ca="1" si="388"/>
        <v>863</v>
      </c>
      <c r="M147" s="18">
        <f t="shared" ca="1" si="389"/>
        <v>1432</v>
      </c>
      <c r="N147" s="19">
        <f t="shared" ca="1" si="390"/>
        <v>192.08379999999971</v>
      </c>
      <c r="O147" s="16">
        <v>1580</v>
      </c>
      <c r="P147" s="20">
        <f t="shared" ca="1" si="391"/>
        <v>0.90632911392405058</v>
      </c>
      <c r="Q147" s="21">
        <v>1.5</v>
      </c>
      <c r="R147" s="20">
        <f t="shared" ca="1" si="392"/>
        <v>0.1420015143192217</v>
      </c>
      <c r="S147" s="22">
        <f t="shared" ca="1" si="393"/>
        <v>0.21300227147883255</v>
      </c>
      <c r="T147" s="21">
        <f ca="1">F147/26.805</f>
        <v>250.80891624696847</v>
      </c>
      <c r="U147" s="21">
        <f t="shared" ca="1" si="394"/>
        <v>7.1659690356276702</v>
      </c>
      <c r="V147" s="18">
        <f t="shared" ca="1" si="395"/>
        <v>40.914285714285711</v>
      </c>
      <c r="W147" s="76"/>
      <c r="X147" s="8">
        <v>1</v>
      </c>
      <c r="Y147" s="8" t="s">
        <v>28</v>
      </c>
      <c r="Z147" s="8">
        <f t="shared" ref="Z147:AI147" si="406">SUM(D142)</f>
        <v>24</v>
      </c>
      <c r="AA147" s="9">
        <f t="shared" ca="1" si="406"/>
        <v>24</v>
      </c>
      <c r="AB147" s="11">
        <f t="shared" ca="1" si="406"/>
        <v>4767.7039999999997</v>
      </c>
      <c r="AC147" s="9">
        <f t="shared" ca="1" si="406"/>
        <v>1674</v>
      </c>
      <c r="AD147" s="9">
        <f t="shared" ca="1" si="406"/>
        <v>122</v>
      </c>
      <c r="AE147" s="9">
        <f t="shared" ca="1" si="406"/>
        <v>1796</v>
      </c>
      <c r="AF147" s="9">
        <f t="shared" ca="1" si="406"/>
        <v>1645</v>
      </c>
      <c r="AG147" s="9">
        <f t="shared" ca="1" si="406"/>
        <v>180</v>
      </c>
      <c r="AH147" s="9">
        <f t="shared" ca="1" si="406"/>
        <v>1825</v>
      </c>
      <c r="AI147" s="9">
        <f t="shared" ca="1" si="406"/>
        <v>3621</v>
      </c>
      <c r="AJ147" s="11">
        <f t="shared" ref="AJ147:AJ153" ca="1" si="407">AB147/AA147</f>
        <v>198.65433333333331</v>
      </c>
      <c r="AK147" s="8">
        <f t="shared" ref="AK147:AK148" si="408">SUM(O142)</f>
        <v>7315</v>
      </c>
      <c r="AL147" s="12">
        <f t="shared" ref="AL147:AL153" ca="1" si="409">AI147/AK147</f>
        <v>0.49501025290498973</v>
      </c>
      <c r="AM147" s="13">
        <f t="shared" ref="AM147:AM148" si="410">SUM(Q142)</f>
        <v>1.5</v>
      </c>
      <c r="AN147" s="12">
        <f t="shared" ref="AN147:AN153" ca="1" si="411">AO147/AM147</f>
        <v>0.50632337913595304</v>
      </c>
      <c r="AO147" s="14">
        <f t="shared" ref="AO147:AO153" ca="1" si="412">AI147/AB147</f>
        <v>0.75948506870392962</v>
      </c>
      <c r="AP147" s="13">
        <f t="shared" ref="AP147:AQ147" ca="1" si="413">SUM(T142)</f>
        <v>154.30960934718581</v>
      </c>
      <c r="AQ147" s="13">
        <f t="shared" ca="1" si="413"/>
        <v>6.4295670561327425</v>
      </c>
      <c r="AR147" s="9">
        <f t="shared" ref="AR147:AR153" ca="1" si="414">AI147/AA147</f>
        <v>150.875</v>
      </c>
      <c r="AS147" s="76"/>
      <c r="AT147" s="76"/>
    </row>
    <row r="148" spans="1:46" ht="15.75" customHeight="1" x14ac:dyDescent="0.25">
      <c r="A148" s="70"/>
      <c r="B148" s="16">
        <v>8</v>
      </c>
      <c r="C148" s="16" t="s">
        <v>25</v>
      </c>
      <c r="D148" s="34">
        <v>26</v>
      </c>
      <c r="E148" s="18">
        <f ca="1">IFERROR(__xludf.DUMMYFUNCTION("COUNT(IMPORTRANGE(""https://docs.google.com/spreadsheets/d/1sqWX7UerdR9KR_duBzDNfjwbPG-3hLgV1LiN2ZVZ6Js/edit"",""6!d2:D33""))"),26)</f>
        <v>26</v>
      </c>
      <c r="F148" s="23">
        <f ca="1">IFERROR(__xludf.DUMMYFUNCTION("SUM(IMPORTRANGE(""https://docs.google.com/spreadsheets/d/1sqWX7UerdR9KR_duBzDNfjwbPG-3hLgV1LiN2ZVZ6Js/edit"",""6!Q2:Q33""))"),4800.252)</f>
        <v>4800.2520000000004</v>
      </c>
      <c r="G148" s="18">
        <f ca="1">IFERROR(__xludf.DUMMYFUNCTION("IMPORTRANGE(""https://docs.google.com/spreadsheets/d/1sqWX7UerdR9KR_duBzDNfjwbPG-3hLgV1LiN2ZVZ6Js/edit"",""6!e40"")"),1358)</f>
        <v>1358</v>
      </c>
      <c r="H148" s="18">
        <f ca="1">IFERROR(__xludf.DUMMYFUNCTION("IMPORTRANGE(""https://docs.google.com/spreadsheets/d/1sqWX7UerdR9KR_duBzDNfjwbPG-3hLgV1LiN2ZVZ6Js/edit"",""6!e41"")"),311)</f>
        <v>311</v>
      </c>
      <c r="I148" s="18">
        <f t="shared" ca="1" si="387"/>
        <v>1669</v>
      </c>
      <c r="J148" s="18">
        <f ca="1">IFERROR(__xludf.DUMMYFUNCTION("IMPORTRANGE(""https://docs.google.com/spreadsheets/d/1sqWX7UerdR9KR_duBzDNfjwbPG-3hLgV1LiN2ZVZ6Js/edit"",""6!e44"")"),1798)</f>
        <v>1798</v>
      </c>
      <c r="K148" s="18">
        <f ca="1">IFERROR(__xludf.DUMMYFUNCTION("IMPORTRANGE(""https://docs.google.com/spreadsheets/d/1sqWX7UerdR9KR_duBzDNfjwbPG-3hLgV1LiN2ZVZ6Js/edit"",""6!e45"")"),324)</f>
        <v>324</v>
      </c>
      <c r="L148" s="18">
        <f ca="1">J148+K148</f>
        <v>2122</v>
      </c>
      <c r="M148" s="18">
        <f t="shared" ca="1" si="389"/>
        <v>3791</v>
      </c>
      <c r="N148" s="19">
        <f t="shared" ca="1" si="390"/>
        <v>184.62507692307693</v>
      </c>
      <c r="O148" s="16">
        <v>6622</v>
      </c>
      <c r="P148" s="20">
        <f t="shared" ca="1" si="391"/>
        <v>0.5724856538810027</v>
      </c>
      <c r="Q148" s="21">
        <v>1.5</v>
      </c>
      <c r="R148" s="20">
        <f t="shared" ca="1" si="392"/>
        <v>0.52650013652061045</v>
      </c>
      <c r="S148" s="22">
        <f t="shared" ca="1" si="393"/>
        <v>0.78975020478091562</v>
      </c>
      <c r="T148" s="21">
        <f ca="1">F148/23.84</f>
        <v>201.35285234899331</v>
      </c>
      <c r="U148" s="21">
        <f t="shared" ca="1" si="394"/>
        <v>7.7443404749612812</v>
      </c>
      <c r="V148" s="18">
        <f t="shared" ca="1" si="395"/>
        <v>145.80769230769232</v>
      </c>
      <c r="W148" s="76"/>
      <c r="X148" s="8">
        <v>2</v>
      </c>
      <c r="Y148" s="8" t="s">
        <v>30</v>
      </c>
      <c r="Z148" s="8">
        <f t="shared" ref="Z148:AI148" si="415">SUM(D143)</f>
        <v>45</v>
      </c>
      <c r="AA148" s="9">
        <f t="shared" ca="1" si="415"/>
        <v>45</v>
      </c>
      <c r="AB148" s="10">
        <f t="shared" ca="1" si="415"/>
        <v>8889.3099999999904</v>
      </c>
      <c r="AC148" s="9">
        <f t="shared" ca="1" si="415"/>
        <v>2101</v>
      </c>
      <c r="AD148" s="9">
        <f t="shared" ca="1" si="415"/>
        <v>0</v>
      </c>
      <c r="AE148" s="9">
        <f t="shared" ca="1" si="415"/>
        <v>2101</v>
      </c>
      <c r="AF148" s="9">
        <f t="shared" ca="1" si="415"/>
        <v>3723</v>
      </c>
      <c r="AG148" s="9">
        <f t="shared" ca="1" si="415"/>
        <v>0</v>
      </c>
      <c r="AH148" s="9">
        <f t="shared" ca="1" si="415"/>
        <v>3723</v>
      </c>
      <c r="AI148" s="9">
        <f t="shared" ca="1" si="415"/>
        <v>5824</v>
      </c>
      <c r="AJ148" s="11">
        <f t="shared" ca="1" si="407"/>
        <v>197.54022222222201</v>
      </c>
      <c r="AK148" s="8">
        <f t="shared" si="408"/>
        <v>11164</v>
      </c>
      <c r="AL148" s="12">
        <f t="shared" ca="1" si="409"/>
        <v>0.52167681834467927</v>
      </c>
      <c r="AM148" s="13">
        <f t="shared" si="410"/>
        <v>1.5</v>
      </c>
      <c r="AN148" s="12">
        <f t="shared" ca="1" si="411"/>
        <v>0.43677930758030387</v>
      </c>
      <c r="AO148" s="14">
        <f t="shared" ca="1" si="412"/>
        <v>0.65516896137045577</v>
      </c>
      <c r="AP148" s="13">
        <f t="shared" ref="AP148:AQ148" ca="1" si="416">SUM(T143)</f>
        <v>300.28409282842921</v>
      </c>
      <c r="AQ148" s="13">
        <f t="shared" ca="1" si="416"/>
        <v>6.6729798406317604</v>
      </c>
      <c r="AR148" s="9">
        <f t="shared" ca="1" si="414"/>
        <v>129.42222222222222</v>
      </c>
      <c r="AS148" s="76"/>
      <c r="AT148" s="76"/>
    </row>
    <row r="149" spans="1:46" ht="15.75" customHeight="1" x14ac:dyDescent="0.25">
      <c r="A149" s="70"/>
      <c r="B149" s="16">
        <v>9</v>
      </c>
      <c r="C149" s="16" t="s">
        <v>36</v>
      </c>
      <c r="D149" s="34">
        <v>23</v>
      </c>
      <c r="E149" s="18">
        <f ca="1">IFERROR(__xludf.DUMMYFUNCTION("COUNT(IMPORTRANGE(""https://docs.google.com/spreadsheets/d/1YNna43iTSqnwwbMJgTIPHSJEoDO8RGPRFg5pJCoQR_Y/edit"",""6!d2:d31""))"),23)</f>
        <v>23</v>
      </c>
      <c r="F149" s="23">
        <f ca="1">IFERROR(__xludf.DUMMYFUNCTION("SUM(IMPORTRANGE(""https://docs.google.com/spreadsheets/d/1YNna43iTSqnwwbMJgTIPHSJEoDO8RGPRFg5pJCoQR_Y/edit"",""6!Q2:Q31""))"),4540.21499999999)</f>
        <v>4540.2149999999901</v>
      </c>
      <c r="G149" s="18">
        <f ca="1">IFERROR(__xludf.DUMMYFUNCTION("IMPORTRANGE(""https://docs.google.com/spreadsheets/d/1YNna43iTSqnwwbMJgTIPHSJEoDO8RGPRFg5pJCoQR_Y/edit"",""6!e38"")"),895)</f>
        <v>895</v>
      </c>
      <c r="H149" s="18">
        <f ca="1">IFERROR(__xludf.DUMMYFUNCTION("IMPORTRANGE(""https://docs.google.com/spreadsheets/d/1YNna43iTSqnwwbMJgTIPHSJEoDO8RGPRFg5pJCoQR_Y/edit"",""6!e39"")"),0)</f>
        <v>0</v>
      </c>
      <c r="I149" s="18">
        <f t="shared" ca="1" si="387"/>
        <v>895</v>
      </c>
      <c r="J149" s="18">
        <f ca="1">IFERROR(__xludf.DUMMYFUNCTION("IMPORTRANGE(""https://docs.google.com/spreadsheets/d/1YNna43iTSqnwwbMJgTIPHSJEoDO8RGPRFg5pJCoQR_Y/edit"",""6!e42"")"),1499)</f>
        <v>1499</v>
      </c>
      <c r="K149" s="18">
        <f ca="1">IFERROR(__xludf.DUMMYFUNCTION("IMPORTRANGE(""https://docs.google.com/spreadsheets/d/1YNna43iTSqnwwbMJgTIPHSJEoDO8RGPRFg5pJCoQR_Y/edit"",""6!e43"")"),0)</f>
        <v>0</v>
      </c>
      <c r="L149" s="18">
        <f t="shared" ref="L149:L158" ca="1" si="417">SUM(J149:K149)</f>
        <v>1499</v>
      </c>
      <c r="M149" s="18">
        <f t="shared" ca="1" si="389"/>
        <v>2394</v>
      </c>
      <c r="N149" s="19">
        <f t="shared" ca="1" si="390"/>
        <v>197.40065217391262</v>
      </c>
      <c r="O149" s="16">
        <v>4796</v>
      </c>
      <c r="P149" s="20">
        <f t="shared" ca="1" si="391"/>
        <v>0.49916597164303589</v>
      </c>
      <c r="Q149" s="21">
        <v>1.5</v>
      </c>
      <c r="R149" s="20">
        <f t="shared" ca="1" si="392"/>
        <v>0.351525203101616</v>
      </c>
      <c r="S149" s="22">
        <f t="shared" ca="1" si="393"/>
        <v>0.52728780465242397</v>
      </c>
      <c r="T149" s="21">
        <f ca="1">F149/37.414</f>
        <v>121.35069759982868</v>
      </c>
      <c r="U149" s="21">
        <f t="shared" ca="1" si="394"/>
        <v>5.2761172869490727</v>
      </c>
      <c r="V149" s="18">
        <f t="shared" ca="1" si="395"/>
        <v>104.08695652173913</v>
      </c>
      <c r="W149" s="76"/>
      <c r="X149" s="8">
        <v>3</v>
      </c>
      <c r="Y149" s="8" t="s">
        <v>34</v>
      </c>
      <c r="Z149" s="8">
        <f t="shared" ref="Z149:AI149" si="418">SUM(D145)</f>
        <v>30</v>
      </c>
      <c r="AA149" s="9">
        <f t="shared" ca="1" si="418"/>
        <v>30</v>
      </c>
      <c r="AB149" s="10">
        <f t="shared" ca="1" si="418"/>
        <v>5882.7060000000001</v>
      </c>
      <c r="AC149" s="9">
        <f t="shared" ca="1" si="418"/>
        <v>2007</v>
      </c>
      <c r="AD149" s="9">
        <f t="shared" ca="1" si="418"/>
        <v>0</v>
      </c>
      <c r="AE149" s="9">
        <f t="shared" ca="1" si="418"/>
        <v>2007</v>
      </c>
      <c r="AF149" s="9">
        <f t="shared" ca="1" si="418"/>
        <v>2362</v>
      </c>
      <c r="AG149" s="9">
        <f t="shared" ca="1" si="418"/>
        <v>82</v>
      </c>
      <c r="AH149" s="9">
        <f t="shared" ca="1" si="418"/>
        <v>2444</v>
      </c>
      <c r="AI149" s="9">
        <f t="shared" ca="1" si="418"/>
        <v>4451</v>
      </c>
      <c r="AJ149" s="11">
        <f t="shared" ca="1" si="407"/>
        <v>196.09020000000001</v>
      </c>
      <c r="AK149" s="8">
        <f>SUM(O145)</f>
        <v>9354</v>
      </c>
      <c r="AL149" s="12">
        <f t="shared" ca="1" si="409"/>
        <v>0.475839213170836</v>
      </c>
      <c r="AM149" s="13">
        <f>SUM(Q145)</f>
        <v>1.5</v>
      </c>
      <c r="AN149" s="12">
        <f t="shared" ca="1" si="411"/>
        <v>0.50441639159484308</v>
      </c>
      <c r="AO149" s="14">
        <f t="shared" ca="1" si="412"/>
        <v>0.75662458739226468</v>
      </c>
      <c r="AP149" s="13">
        <f t="shared" ref="AP149:AQ149" ca="1" si="419">SUM(T145)</f>
        <v>191.53798065965552</v>
      </c>
      <c r="AQ149" s="13">
        <f t="shared" ca="1" si="419"/>
        <v>6.3845993553218507</v>
      </c>
      <c r="AR149" s="9">
        <f t="shared" ca="1" si="414"/>
        <v>148.36666666666667</v>
      </c>
      <c r="AS149" s="76"/>
      <c r="AT149" s="76"/>
    </row>
    <row r="150" spans="1:46" ht="15.75" customHeight="1" x14ac:dyDescent="0.25">
      <c r="A150" s="70"/>
      <c r="B150" s="16">
        <v>10</v>
      </c>
      <c r="C150" s="16" t="s">
        <v>37</v>
      </c>
      <c r="D150" s="17">
        <v>23</v>
      </c>
      <c r="E150" s="18">
        <f ca="1">IFERROR(__xludf.DUMMYFUNCTION("COUNT(IMPORTRANGE(""https://docs.google.com/spreadsheets/d/1913Df5BsXS_b-nClL8LOK5w0engQYTl1mPOiyngRtO0/edit"",""6!d2:d31""))"),22)</f>
        <v>22</v>
      </c>
      <c r="F150" s="23">
        <f ca="1">IFERROR(__xludf.DUMMYFUNCTION("SUM(IMPORTRANGE(""https://docs.google.com/spreadsheets/d/1913Df5BsXS_b-nClL8LOK5w0engQYTl1mPOiyngRtO0/edit"",""6!Q2:Q31""))"),4410.354)</f>
        <v>4410.3540000000003</v>
      </c>
      <c r="G150" s="18">
        <f ca="1">IFERROR(__xludf.DUMMYFUNCTION("(IMPORTRANGE(""https://docs.google.com/spreadsheets/d/1913Df5BsXS_b-nClL8LOK5w0engQYTl1mPOiyngRtO0/edit"",""6!e38""))"),1097)</f>
        <v>1097</v>
      </c>
      <c r="H150" s="18">
        <f ca="1">IFERROR(__xludf.DUMMYFUNCTION("(IMPORTRANGE(""https://docs.google.com/spreadsheets/d/1913Df5BsXS_b-nClL8LOK5w0engQYTl1mPOiyngRtO0/edit"",""6!e39""))"),0)</f>
        <v>0</v>
      </c>
      <c r="I150" s="18">
        <f t="shared" ca="1" si="387"/>
        <v>1097</v>
      </c>
      <c r="J150" s="18">
        <f ca="1">IFERROR(__xludf.DUMMYFUNCTION("(IMPORTRANGE(""https://docs.google.com/spreadsheets/d/1913Df5BsXS_b-nClL8LOK5w0engQYTl1mPOiyngRtO0/edit"",""6!e42""))"),1779)</f>
        <v>1779</v>
      </c>
      <c r="K150" s="18">
        <f ca="1">IFERROR(__xludf.DUMMYFUNCTION("(IMPORTRANGE(""https://docs.google.com/spreadsheets/d/1913Df5BsXS_b-nClL8LOK5w0engQYTl1mPOiyngRtO0/edit"",""6!e43""))"),0)</f>
        <v>0</v>
      </c>
      <c r="L150" s="18">
        <f t="shared" ca="1" si="417"/>
        <v>1779</v>
      </c>
      <c r="M150" s="18">
        <f t="shared" ca="1" si="389"/>
        <v>2876</v>
      </c>
      <c r="N150" s="19">
        <f t="shared" ca="1" si="390"/>
        <v>200.47063636363637</v>
      </c>
      <c r="O150" s="16">
        <v>5887</v>
      </c>
      <c r="P150" s="20">
        <f t="shared" ca="1" si="391"/>
        <v>0.48853405809410566</v>
      </c>
      <c r="Q150" s="21">
        <v>1.5</v>
      </c>
      <c r="R150" s="20">
        <f t="shared" ca="1" si="392"/>
        <v>0.43473456628046936</v>
      </c>
      <c r="S150" s="22">
        <f t="shared" ca="1" si="393"/>
        <v>0.65210184942070404</v>
      </c>
      <c r="T150" s="21">
        <f ca="1">F150/24.792</f>
        <v>177.89424007744432</v>
      </c>
      <c r="U150" s="21">
        <f t="shared" ca="1" si="394"/>
        <v>8.0861018217020142</v>
      </c>
      <c r="V150" s="18">
        <f t="shared" ca="1" si="395"/>
        <v>130.72727272727272</v>
      </c>
      <c r="W150" s="76"/>
      <c r="X150" s="8">
        <v>4</v>
      </c>
      <c r="Y150" s="8" t="s">
        <v>38</v>
      </c>
      <c r="Z150" s="8">
        <f t="shared" ref="Z150:AI150" si="420">SUM(D153)</f>
        <v>23</v>
      </c>
      <c r="AA150" s="9">
        <f t="shared" ca="1" si="420"/>
        <v>23</v>
      </c>
      <c r="AB150" s="10">
        <f t="shared" ca="1" si="420"/>
        <v>4573.7550000000001</v>
      </c>
      <c r="AC150" s="9">
        <f t="shared" ca="1" si="420"/>
        <v>1092</v>
      </c>
      <c r="AD150" s="9">
        <f t="shared" ca="1" si="420"/>
        <v>0</v>
      </c>
      <c r="AE150" s="9">
        <f t="shared" ca="1" si="420"/>
        <v>1092</v>
      </c>
      <c r="AF150" s="9">
        <f t="shared" ca="1" si="420"/>
        <v>2029</v>
      </c>
      <c r="AG150" s="9">
        <f t="shared" ca="1" si="420"/>
        <v>276</v>
      </c>
      <c r="AH150" s="9">
        <f t="shared" ca="1" si="420"/>
        <v>2305</v>
      </c>
      <c r="AI150" s="9">
        <f t="shared" ca="1" si="420"/>
        <v>3397</v>
      </c>
      <c r="AJ150" s="11">
        <f t="shared" ca="1" si="407"/>
        <v>198.85891304347825</v>
      </c>
      <c r="AK150" s="8">
        <v>7324</v>
      </c>
      <c r="AL150" s="12">
        <f t="shared" ca="1" si="409"/>
        <v>0.46381758601856909</v>
      </c>
      <c r="AM150" s="13">
        <f>SUM(Q153)</f>
        <v>1.5</v>
      </c>
      <c r="AN150" s="12">
        <f t="shared" ca="1" si="411"/>
        <v>0.49514385153263923</v>
      </c>
      <c r="AO150" s="14">
        <f t="shared" ca="1" si="412"/>
        <v>0.74271577729895888</v>
      </c>
      <c r="AP150" s="13">
        <f t="shared" ref="AP150:AQ150" ca="1" si="421">SUM(T153)</f>
        <v>111.00000000000001</v>
      </c>
      <c r="AQ150" s="13">
        <f t="shared" ca="1" si="421"/>
        <v>4.8260869565217401</v>
      </c>
      <c r="AR150" s="9">
        <f t="shared" ca="1" si="414"/>
        <v>147.69565217391303</v>
      </c>
      <c r="AS150" s="76"/>
      <c r="AT150" s="76"/>
    </row>
    <row r="151" spans="1:46" ht="15.75" customHeight="1" x14ac:dyDescent="0.25">
      <c r="A151" s="70"/>
      <c r="B151" s="16">
        <v>12</v>
      </c>
      <c r="C151" s="16" t="s">
        <v>39</v>
      </c>
      <c r="D151" s="17">
        <v>21</v>
      </c>
      <c r="E151" s="18">
        <f ca="1">IFERROR(__xludf.DUMMYFUNCTION("COUNT(IMPORTRANGE(""https://docs.google.com/spreadsheets/d/1wMeol_MpSIcocGxt3WZGl46mJ2tc80mANPvP_YzaP18/edit"",""6!d2:d29""))"),21)</f>
        <v>21</v>
      </c>
      <c r="F151" s="23">
        <f ca="1">IFERROR(__xludf.DUMMYFUNCTION("SUM(IMPORTRANGE(""https://docs.google.com/spreadsheets/d/1wMeol_MpSIcocGxt3WZGl46mJ2tc80mANPvP_YzaP18/edit"",""6!Q2:Q29""))"),4104.88999999999)</f>
        <v>4104.8899999999903</v>
      </c>
      <c r="G151" s="18">
        <f ca="1">IFERROR(__xludf.DUMMYFUNCTION("IMPORTRANGE(""https://docs.google.com/spreadsheets/d/1wMeol_MpSIcocGxt3WZGl46mJ2tc80mANPvP_YzaP18/edit"",""6!e36"")"),640)</f>
        <v>640</v>
      </c>
      <c r="H151" s="18">
        <f ca="1">IFERROR(__xludf.DUMMYFUNCTION("(IMPORTRANGE(""https://docs.google.com/spreadsheets/d/1wMeol_MpSIcocGxt3WZGl46mJ2tc80mANPvP_YzaP18/edit"",""6!e37""))"),27)</f>
        <v>27</v>
      </c>
      <c r="I151" s="18">
        <f t="shared" ca="1" si="387"/>
        <v>667</v>
      </c>
      <c r="J151" s="18">
        <f ca="1">IFERROR(__xludf.DUMMYFUNCTION("IMPORTRANGE(""https://docs.google.com/spreadsheets/d/1wMeol_MpSIcocGxt3WZGl46mJ2tc80mANPvP_YzaP18/edit"",""6!e40"")"),1386)</f>
        <v>1386</v>
      </c>
      <c r="K151" s="18">
        <f ca="1">IFERROR(__xludf.DUMMYFUNCTION("IMPORTRANGE(""https://docs.google.com/spreadsheets/d/1wMeol_MpSIcocGxt3WZGl46mJ2tc80mANPvP_YzaP18/edit"",""6!e41"")"),36)</f>
        <v>36</v>
      </c>
      <c r="L151" s="18">
        <f t="shared" ca="1" si="417"/>
        <v>1422</v>
      </c>
      <c r="M151" s="18">
        <f t="shared" ca="1" si="389"/>
        <v>2089</v>
      </c>
      <c r="N151" s="19">
        <f t="shared" ca="1" si="390"/>
        <v>195.47095238095193</v>
      </c>
      <c r="O151" s="16">
        <v>3569</v>
      </c>
      <c r="P151" s="20">
        <f t="shared" ca="1" si="391"/>
        <v>0.58531801625105073</v>
      </c>
      <c r="Q151" s="21">
        <v>1.5</v>
      </c>
      <c r="R151" s="20">
        <f t="shared" ca="1" si="392"/>
        <v>0.33927015502648544</v>
      </c>
      <c r="S151" s="22">
        <f t="shared" ca="1" si="393"/>
        <v>0.50890523253972819</v>
      </c>
      <c r="T151" s="21">
        <f ca="1">F151/21.463</f>
        <v>191.25425150258539</v>
      </c>
      <c r="U151" s="21">
        <f t="shared" ca="1" si="394"/>
        <v>9.1073453096469237</v>
      </c>
      <c r="V151" s="18">
        <f t="shared" ca="1" si="395"/>
        <v>99.476190476190482</v>
      </c>
      <c r="W151" s="76"/>
      <c r="X151" s="8">
        <v>5</v>
      </c>
      <c r="Y151" s="8" t="s">
        <v>40</v>
      </c>
      <c r="Z151" s="8">
        <f t="shared" ref="Z151:AI151" si="422">SUM(D155)</f>
        <v>23</v>
      </c>
      <c r="AA151" s="9">
        <f t="shared" ca="1" si="422"/>
        <v>23</v>
      </c>
      <c r="AB151" s="10">
        <f t="shared" ca="1" si="422"/>
        <v>4238.0069999999996</v>
      </c>
      <c r="AC151" s="9">
        <f t="shared" ca="1" si="422"/>
        <v>2120</v>
      </c>
      <c r="AD151" s="9">
        <f t="shared" ca="1" si="422"/>
        <v>0</v>
      </c>
      <c r="AE151" s="9">
        <f t="shared" ca="1" si="422"/>
        <v>2120</v>
      </c>
      <c r="AF151" s="9">
        <f t="shared" ca="1" si="422"/>
        <v>2641</v>
      </c>
      <c r="AG151" s="9">
        <f t="shared" ca="1" si="422"/>
        <v>0</v>
      </c>
      <c r="AH151" s="9">
        <f t="shared" ca="1" si="422"/>
        <v>2641</v>
      </c>
      <c r="AI151" s="9">
        <f t="shared" ca="1" si="422"/>
        <v>4761</v>
      </c>
      <c r="AJ151" s="11">
        <f t="shared" ca="1" si="407"/>
        <v>184.26117391304345</v>
      </c>
      <c r="AK151" s="8">
        <f t="shared" ref="AK151:AK152" si="423">SUM(O155)</f>
        <v>8239</v>
      </c>
      <c r="AL151" s="12">
        <f t="shared" ca="1" si="409"/>
        <v>0.57786139094550304</v>
      </c>
      <c r="AM151" s="13">
        <f t="shared" ref="AM151:AM152" si="424">SUM(Q155)</f>
        <v>1.5</v>
      </c>
      <c r="AN151" s="12">
        <f t="shared" ca="1" si="411"/>
        <v>0.74893694135002609</v>
      </c>
      <c r="AO151" s="14">
        <f t="shared" ca="1" si="412"/>
        <v>1.1234054120250392</v>
      </c>
      <c r="AP151" s="13">
        <f t="shared" ref="AP151:AQ151" ca="1" si="425">SUM(T155)</f>
        <v>148.99999999999997</v>
      </c>
      <c r="AQ151" s="13">
        <f t="shared" ca="1" si="425"/>
        <v>6.478260869565216</v>
      </c>
      <c r="AR151" s="9">
        <f t="shared" ca="1" si="414"/>
        <v>207</v>
      </c>
      <c r="AS151" s="76"/>
      <c r="AT151" s="76"/>
    </row>
    <row r="152" spans="1:46" ht="15.75" customHeight="1" x14ac:dyDescent="0.25">
      <c r="A152" s="70"/>
      <c r="B152" s="16">
        <v>12</v>
      </c>
      <c r="C152" s="16" t="s">
        <v>41</v>
      </c>
      <c r="D152" s="17">
        <v>19</v>
      </c>
      <c r="E152" s="18">
        <f ca="1">IFERROR(__xludf.DUMMYFUNCTION("COUNT(IMPORTRANGE(""https://docs.google.com/spreadsheets/d/1sHk6_yuc4kORC_xnhEeazoemV_hVUQVqRpfoNae-PLk/edit"",""6!d2:d25""))"),19)</f>
        <v>19</v>
      </c>
      <c r="F152" s="23">
        <f ca="1">IFERROR(__xludf.DUMMYFUNCTION("SUM(IMPORTRANGE(""https://docs.google.com/spreadsheets/d/1sHk6_yuc4kORC_xnhEeazoemV_hVUQVqRpfoNae-PLk/edit"",""6!Q2:Q25""))"),3802.26)</f>
        <v>3802.26</v>
      </c>
      <c r="G152" s="18">
        <f ca="1">IFERROR(__xludf.DUMMYFUNCTION("IMPORTRANGE(""https://docs.google.com/spreadsheets/d/1sHk6_yuc4kORC_xnhEeazoemV_hVUQVqRpfoNae-PLk/edit"",""6!e32"")"),702)</f>
        <v>702</v>
      </c>
      <c r="H152" s="18">
        <f ca="1">IFERROR(__xludf.DUMMYFUNCTION("IMPORTRANGE(""https://docs.google.com/spreadsheets/d/1sHk6_yuc4kORC_xnhEeazoemV_hVUQVqRpfoNae-PLk/edit"",""6!e33"")"),0)</f>
        <v>0</v>
      </c>
      <c r="I152" s="18">
        <f t="shared" ca="1" si="387"/>
        <v>702</v>
      </c>
      <c r="J152" s="18">
        <f ca="1">IFERROR(__xludf.DUMMYFUNCTION("IMPORTRANGE(""https://docs.google.com/spreadsheets/d/1sHk6_yuc4kORC_xnhEeazoemV_hVUQVqRpfoNae-PLk/edit"",""6!e36"")"),1103)</f>
        <v>1103</v>
      </c>
      <c r="K152" s="18">
        <f ca="1">IFERROR(__xludf.DUMMYFUNCTION("IMPORTRANGE(""https://docs.google.com/spreadsheets/d/1sHk6_yuc4kORC_xnhEeazoemV_hVUQVqRpfoNae-PLk/edit"",""6!e37"")"),0)</f>
        <v>0</v>
      </c>
      <c r="L152" s="18">
        <f t="shared" ca="1" si="417"/>
        <v>1103</v>
      </c>
      <c r="M152" s="18">
        <f t="shared" ca="1" si="389"/>
        <v>1805</v>
      </c>
      <c r="N152" s="19">
        <f t="shared" ca="1" si="390"/>
        <v>200.11894736842106</v>
      </c>
      <c r="O152" s="16">
        <v>3801</v>
      </c>
      <c r="P152" s="20">
        <f t="shared" ca="1" si="391"/>
        <v>0.47487503288608263</v>
      </c>
      <c r="Q152" s="21">
        <v>1.5</v>
      </c>
      <c r="R152" s="20">
        <f t="shared" ca="1" si="392"/>
        <v>0.3164784452755291</v>
      </c>
      <c r="S152" s="22">
        <f t="shared" ca="1" si="393"/>
        <v>0.47471766791329367</v>
      </c>
      <c r="T152" s="21">
        <f ca="1">F152/29.628</f>
        <v>128.33333333333334</v>
      </c>
      <c r="U152" s="21">
        <f t="shared" ca="1" si="394"/>
        <v>6.7543859649122808</v>
      </c>
      <c r="V152" s="18">
        <f t="shared" ca="1" si="395"/>
        <v>95</v>
      </c>
      <c r="W152" s="76"/>
      <c r="X152" s="8">
        <v>6</v>
      </c>
      <c r="Y152" s="8" t="s">
        <v>42</v>
      </c>
      <c r="Z152" s="8">
        <f t="shared" ref="Z152:AI152" si="426">SUM(D156)</f>
        <v>24</v>
      </c>
      <c r="AA152" s="9">
        <f t="shared" ca="1" si="426"/>
        <v>23</v>
      </c>
      <c r="AB152" s="10">
        <f t="shared" ca="1" si="426"/>
        <v>4446.3499999999904</v>
      </c>
      <c r="AC152" s="9">
        <f t="shared" ca="1" si="426"/>
        <v>2260</v>
      </c>
      <c r="AD152" s="9">
        <f t="shared" ca="1" si="426"/>
        <v>0</v>
      </c>
      <c r="AE152" s="9">
        <f t="shared" ca="1" si="426"/>
        <v>2260</v>
      </c>
      <c r="AF152" s="9">
        <f t="shared" ca="1" si="426"/>
        <v>2705</v>
      </c>
      <c r="AG152" s="9">
        <f t="shared" ca="1" si="426"/>
        <v>0</v>
      </c>
      <c r="AH152" s="9">
        <f t="shared" ca="1" si="426"/>
        <v>2705</v>
      </c>
      <c r="AI152" s="9">
        <f t="shared" ca="1" si="426"/>
        <v>4965</v>
      </c>
      <c r="AJ152" s="11">
        <f t="shared" ca="1" si="407"/>
        <v>193.31956521739087</v>
      </c>
      <c r="AK152" s="8">
        <f t="shared" si="423"/>
        <v>9877</v>
      </c>
      <c r="AL152" s="12">
        <f t="shared" ca="1" si="409"/>
        <v>0.50268300091120788</v>
      </c>
      <c r="AM152" s="13">
        <f t="shared" si="424"/>
        <v>1.5</v>
      </c>
      <c r="AN152" s="12">
        <f t="shared" ca="1" si="411"/>
        <v>0.74443082528366122</v>
      </c>
      <c r="AO152" s="14">
        <f t="shared" ca="1" si="412"/>
        <v>1.1166462379254918</v>
      </c>
      <c r="AP152" s="13">
        <f t="shared" ref="AP152:AQ152" ca="1" si="427">SUM(T156)</f>
        <v>169.99999999999963</v>
      </c>
      <c r="AQ152" s="13">
        <f t="shared" ca="1" si="427"/>
        <v>7.3913043478260709</v>
      </c>
      <c r="AR152" s="9">
        <f t="shared" ca="1" si="414"/>
        <v>215.86956521739131</v>
      </c>
      <c r="AS152" s="76"/>
      <c r="AT152" s="76"/>
    </row>
    <row r="153" spans="1:46" ht="15.75" customHeight="1" x14ac:dyDescent="0.25">
      <c r="A153" s="70"/>
      <c r="B153" s="16">
        <v>13</v>
      </c>
      <c r="C153" s="16" t="s">
        <v>43</v>
      </c>
      <c r="D153" s="17">
        <v>23</v>
      </c>
      <c r="E153" s="18">
        <f ca="1">IFERROR(__xludf.DUMMYFUNCTION("COUNT(IMPORTRANGE(""https://docs.google.com/spreadsheets/d/1uGXvAN2jA6kmcEHUY4KqOHHewllZsujDdA6KVDfBCoA/edit"",""6!d2:d31""))"),23)</f>
        <v>23</v>
      </c>
      <c r="F153" s="23">
        <f ca="1">IFERROR(__xludf.DUMMYFUNCTION("SUM(IMPORTRANGE(""https://docs.google.com/spreadsheets/d/1uGXvAN2jA6kmcEHUY4KqOHHewllZsujDdA6KVDfBCoA/edit"",""6!Q2:Q31""))"),4573.755)</f>
        <v>4573.7550000000001</v>
      </c>
      <c r="G153" s="18">
        <f ca="1">IFERROR(__xludf.DUMMYFUNCTION("IMPORTRANGE(""https://docs.google.com/spreadsheets/d/1uGXvAN2jA6kmcEHUY4KqOHHewllZsujDdA6KVDfBCoA/edit"",""6!e38"")"),1092)</f>
        <v>1092</v>
      </c>
      <c r="H153" s="18">
        <f ca="1">IFERROR(__xludf.DUMMYFUNCTION("IMPORTRANGE(""https://docs.google.com/spreadsheets/d/1uGXvAN2jA6kmcEHUY4KqOHHewllZsujDdA6KVDfBCoA/edit"",""6!e39"")"),0)</f>
        <v>0</v>
      </c>
      <c r="I153" s="18">
        <f t="shared" ca="1" si="387"/>
        <v>1092</v>
      </c>
      <c r="J153" s="18">
        <f ca="1">IFERROR(__xludf.DUMMYFUNCTION("IMPORTRANGE(""https://docs.google.com/spreadsheets/d/1uGXvAN2jA6kmcEHUY4KqOHHewllZsujDdA6KVDfBCoA/edit"",""6!e42"")"),2029)</f>
        <v>2029</v>
      </c>
      <c r="K153" s="18">
        <f ca="1">IFERROR(__xludf.DUMMYFUNCTION("IMPORTRANGE(""https://docs.google.com/spreadsheets/d/1uGXvAN2jA6kmcEHUY4KqOHHewllZsujDdA6KVDfBCoA/edit"",""6!e43"")"),276)</f>
        <v>276</v>
      </c>
      <c r="L153" s="18">
        <f t="shared" ca="1" si="417"/>
        <v>2305</v>
      </c>
      <c r="M153" s="18">
        <f t="shared" ca="1" si="389"/>
        <v>3397</v>
      </c>
      <c r="N153" s="19">
        <f t="shared" ca="1" si="390"/>
        <v>198.85891304347825</v>
      </c>
      <c r="O153" s="16">
        <v>8345</v>
      </c>
      <c r="P153" s="20">
        <f t="shared" ca="1" si="391"/>
        <v>0.40707010185739961</v>
      </c>
      <c r="Q153" s="21">
        <v>1.5</v>
      </c>
      <c r="R153" s="20">
        <f t="shared" ca="1" si="392"/>
        <v>0.49514385153263923</v>
      </c>
      <c r="S153" s="22">
        <f t="shared" ca="1" si="393"/>
        <v>0.74271577729895888</v>
      </c>
      <c r="T153" s="21">
        <f ca="1">F153/41.205</f>
        <v>111.00000000000001</v>
      </c>
      <c r="U153" s="21">
        <f t="shared" ca="1" si="394"/>
        <v>4.8260869565217401</v>
      </c>
      <c r="V153" s="18">
        <f t="shared" ca="1" si="395"/>
        <v>147.69565217391303</v>
      </c>
      <c r="W153" s="76"/>
      <c r="X153" s="24" t="s">
        <v>33</v>
      </c>
      <c r="Y153" s="24">
        <v>6</v>
      </c>
      <c r="Z153" s="24">
        <f t="shared" ref="Z153:AI153" si="428">SUM(Z147:Z152)</f>
        <v>169</v>
      </c>
      <c r="AA153" s="25">
        <f t="shared" ca="1" si="428"/>
        <v>168</v>
      </c>
      <c r="AB153" s="27">
        <f t="shared" ca="1" si="428"/>
        <v>32797.83199999998</v>
      </c>
      <c r="AC153" s="25">
        <f t="shared" ca="1" si="428"/>
        <v>11254</v>
      </c>
      <c r="AD153" s="25">
        <f t="shared" ca="1" si="428"/>
        <v>122</v>
      </c>
      <c r="AE153" s="25">
        <f t="shared" ca="1" si="428"/>
        <v>11376</v>
      </c>
      <c r="AF153" s="25">
        <f t="shared" ca="1" si="428"/>
        <v>15105</v>
      </c>
      <c r="AG153" s="25">
        <f t="shared" ca="1" si="428"/>
        <v>538</v>
      </c>
      <c r="AH153" s="25">
        <f t="shared" ca="1" si="428"/>
        <v>15643</v>
      </c>
      <c r="AI153" s="25">
        <f t="shared" ca="1" si="428"/>
        <v>27019</v>
      </c>
      <c r="AJ153" s="27">
        <f t="shared" ca="1" si="407"/>
        <v>195.22519047619036</v>
      </c>
      <c r="AK153" s="24">
        <f>SUM(AK147:AK152)</f>
        <v>53273</v>
      </c>
      <c r="AL153" s="28">
        <f t="shared" ca="1" si="409"/>
        <v>0.50717999737202712</v>
      </c>
      <c r="AM153" s="29">
        <v>1.5</v>
      </c>
      <c r="AN153" s="28">
        <f t="shared" ca="1" si="411"/>
        <v>0.54920296764330878</v>
      </c>
      <c r="AO153" s="30">
        <f t="shared" ca="1" si="412"/>
        <v>0.82380445146496317</v>
      </c>
      <c r="AP153" s="29">
        <f ca="1">SUM(AP147:AP152)</f>
        <v>1076.1316828352701</v>
      </c>
      <c r="AQ153" s="29">
        <f ca="1">AP153/AA153</f>
        <v>6.4055457311623218</v>
      </c>
      <c r="AR153" s="25">
        <f t="shared" ca="1" si="414"/>
        <v>160.82738095238096</v>
      </c>
      <c r="AS153" s="76"/>
      <c r="AT153" s="76"/>
    </row>
    <row r="154" spans="1:46" ht="15.75" customHeight="1" x14ac:dyDescent="0.25">
      <c r="A154" s="70"/>
      <c r="B154" s="16">
        <v>14</v>
      </c>
      <c r="C154" s="16" t="s">
        <v>27</v>
      </c>
      <c r="D154" s="17">
        <v>23</v>
      </c>
      <c r="E154" s="18">
        <f ca="1">IFERROR(__xludf.DUMMYFUNCTION("COUNT(IMPORTRANGE(""https://docs.google.com/spreadsheets/d/1iYtf3wkjJIgOL8ej0-L89wY8FLXKi6EiRbi9UqA1Bzw/edit"",""6!d2:d31""))"),22)</f>
        <v>22</v>
      </c>
      <c r="F154" s="23">
        <f ca="1">IFERROR(__xludf.DUMMYFUNCTION("SUM(IMPORTRANGE(""https://docs.google.com/spreadsheets/d/1iYtf3wkjJIgOL8ej0-L89wY8FLXKi6EiRbi9UqA1Bzw/edit"",""6!Q2:Q31""))"),4226.69)</f>
        <v>4226.6899999999996</v>
      </c>
      <c r="G154" s="18">
        <f ca="1">IFERROR(__xludf.DUMMYFUNCTION("IMPORTRANGE(""https://docs.google.com/spreadsheets/d/1iYtf3wkjJIgOL8ej0-L89wY8FLXKi6EiRbi9UqA1Bzw/edit"",""6!e38"")"),1353)</f>
        <v>1353</v>
      </c>
      <c r="H154" s="18">
        <f ca="1">IFERROR(__xludf.DUMMYFUNCTION("IMPORTRANGE(""https://docs.google.com/spreadsheets/d/1iYtf3wkjJIgOL8ej0-L89wY8FLXKi6EiRbi9UqA1Bzw/edit"",""6!e39"")"),151)</f>
        <v>151</v>
      </c>
      <c r="I154" s="18">
        <f t="shared" ca="1" si="387"/>
        <v>1504</v>
      </c>
      <c r="J154" s="18">
        <f ca="1">IFERROR(__xludf.DUMMYFUNCTION("IMPORTRANGE(""https://docs.google.com/spreadsheets/d/1iYtf3wkjJIgOL8ej0-L89wY8FLXKi6EiRbi9UqA1Bzw/edit"",""6!e42"")"),1912)</f>
        <v>1912</v>
      </c>
      <c r="K154" s="18">
        <f ca="1">IFERROR(__xludf.DUMMYFUNCTION("IMPORTRANGE(""https://docs.google.com/spreadsheets/d/1iYtf3wkjJIgOL8ej0-L89wY8FLXKi6EiRbi9UqA1Bzw/edit"",""6!e43"")"),191)</f>
        <v>191</v>
      </c>
      <c r="L154" s="18">
        <f t="shared" ca="1" si="417"/>
        <v>2103</v>
      </c>
      <c r="M154" s="18">
        <f t="shared" ca="1" si="389"/>
        <v>3607</v>
      </c>
      <c r="N154" s="19">
        <f t="shared" ca="1" si="390"/>
        <v>192.1222727272727</v>
      </c>
      <c r="O154" s="16">
        <v>8101</v>
      </c>
      <c r="P154" s="20">
        <f t="shared" ca="1" si="391"/>
        <v>0.44525367238612518</v>
      </c>
      <c r="Q154" s="21">
        <v>1.5</v>
      </c>
      <c r="R154" s="20">
        <f t="shared" ca="1" si="392"/>
        <v>0.56892430404564021</v>
      </c>
      <c r="S154" s="22">
        <f t="shared" ca="1" si="393"/>
        <v>0.85338645606846031</v>
      </c>
      <c r="T154" s="21">
        <f ca="1">F154/19.985</f>
        <v>211.49311983987991</v>
      </c>
      <c r="U154" s="21">
        <f t="shared" ca="1" si="394"/>
        <v>9.6133236290854498</v>
      </c>
      <c r="V154" s="18">
        <f t="shared" ca="1" si="395"/>
        <v>163.95454545454547</v>
      </c>
      <c r="W154" s="76"/>
      <c r="X154" s="97" t="s">
        <v>44</v>
      </c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9"/>
      <c r="AS154" s="76"/>
      <c r="AT154" s="76"/>
    </row>
    <row r="155" spans="1:46" ht="15.75" customHeight="1" x14ac:dyDescent="0.25">
      <c r="A155" s="70"/>
      <c r="B155" s="16">
        <v>15</v>
      </c>
      <c r="C155" s="16" t="s">
        <v>40</v>
      </c>
      <c r="D155" s="17">
        <v>23</v>
      </c>
      <c r="E155" s="18">
        <f ca="1">IFERROR(__xludf.DUMMYFUNCTION("COUNT(IMPORTRANGE(""https://docs.google.com/spreadsheets/d/1Wdf8MsoDBzMSsrzOXwaGQzbVjVqOWfKSqYmbncevZgA/edit"",""6!d2:d31""))"),23)</f>
        <v>23</v>
      </c>
      <c r="F155" s="23">
        <f ca="1">IFERROR(__xludf.DUMMYFUNCTION("SUM(IMPORTRANGE(""https://docs.google.com/spreadsheets/d/1Wdf8MsoDBzMSsrzOXwaGQzbVjVqOWfKSqYmbncevZgA/edit"",""6!Q2:Q31""))"),4238.007)</f>
        <v>4238.0069999999996</v>
      </c>
      <c r="G155" s="18">
        <f ca="1">IFERROR(__xludf.DUMMYFUNCTION("IMPORTRANGE(""https://docs.google.com/spreadsheets/d/1Wdf8MsoDBzMSsrzOXwaGQzbVjVqOWfKSqYmbncevZgA/edit"",""6!e38"")"),2120)</f>
        <v>2120</v>
      </c>
      <c r="H155" s="18">
        <f ca="1">IFERROR(__xludf.DUMMYFUNCTION("IMPORTRANGE(""https://docs.google.com/spreadsheets/d/1Wdf8MsoDBzMSsrzOXwaGQzbVjVqOWfKSqYmbncevZgA/edit"",""6!e39"")"),0)</f>
        <v>0</v>
      </c>
      <c r="I155" s="18">
        <f t="shared" ca="1" si="387"/>
        <v>2120</v>
      </c>
      <c r="J155" s="18">
        <f ca="1">IFERROR(__xludf.DUMMYFUNCTION("IMPORTRANGE(""https://docs.google.com/spreadsheets/d/1Wdf8MsoDBzMSsrzOXwaGQzbVjVqOWfKSqYmbncevZgA/edit"",""6!e42"")"),2641)</f>
        <v>2641</v>
      </c>
      <c r="K155" s="18">
        <f ca="1">IFERROR(__xludf.DUMMYFUNCTION("IMPORTRANGE(""https://docs.google.com/spreadsheets/d/1Wdf8MsoDBzMSsrzOXwaGQzbVjVqOWfKSqYmbncevZgA/edit"",""6!e43"")"),0)</f>
        <v>0</v>
      </c>
      <c r="L155" s="18">
        <f t="shared" ca="1" si="417"/>
        <v>2641</v>
      </c>
      <c r="M155" s="18">
        <f t="shared" ca="1" si="389"/>
        <v>4761</v>
      </c>
      <c r="N155" s="19">
        <f t="shared" ca="1" si="390"/>
        <v>184.26117391304345</v>
      </c>
      <c r="O155" s="16">
        <v>8239</v>
      </c>
      <c r="P155" s="20">
        <f t="shared" ca="1" si="391"/>
        <v>0.57786139094550304</v>
      </c>
      <c r="Q155" s="21">
        <v>1.5</v>
      </c>
      <c r="R155" s="20">
        <f t="shared" ca="1" si="392"/>
        <v>0.74893694135002609</v>
      </c>
      <c r="S155" s="22">
        <f t="shared" ca="1" si="393"/>
        <v>1.1234054120250392</v>
      </c>
      <c r="T155" s="21">
        <f ca="1">F155/28.443</f>
        <v>148.99999999999997</v>
      </c>
      <c r="U155" s="21">
        <f t="shared" ca="1" si="394"/>
        <v>6.478260869565216</v>
      </c>
      <c r="V155" s="18">
        <f t="shared" ca="1" si="395"/>
        <v>207</v>
      </c>
      <c r="W155" s="76"/>
      <c r="X155" s="1" t="s">
        <v>2</v>
      </c>
      <c r="Y155" s="1" t="s">
        <v>3</v>
      </c>
      <c r="Z155" s="1" t="s">
        <v>4</v>
      </c>
      <c r="AA155" s="1" t="s">
        <v>5</v>
      </c>
      <c r="AB155" s="2" t="s">
        <v>6</v>
      </c>
      <c r="AC155" s="1" t="s">
        <v>7</v>
      </c>
      <c r="AD155" s="1" t="s">
        <v>8</v>
      </c>
      <c r="AE155" s="1" t="s">
        <v>9</v>
      </c>
      <c r="AF155" s="1" t="s">
        <v>10</v>
      </c>
      <c r="AG155" s="1" t="s">
        <v>11</v>
      </c>
      <c r="AH155" s="1" t="s">
        <v>12</v>
      </c>
      <c r="AI155" s="1" t="s">
        <v>13</v>
      </c>
      <c r="AJ155" s="2" t="s">
        <v>14</v>
      </c>
      <c r="AK155" s="1" t="s">
        <v>15</v>
      </c>
      <c r="AL155" s="1" t="s">
        <v>16</v>
      </c>
      <c r="AM155" s="3" t="s">
        <v>17</v>
      </c>
      <c r="AN155" s="4" t="s">
        <v>18</v>
      </c>
      <c r="AO155" s="5" t="s">
        <v>19</v>
      </c>
      <c r="AP155" s="6" t="s">
        <v>20</v>
      </c>
      <c r="AQ155" s="6" t="s">
        <v>21</v>
      </c>
      <c r="AR155" s="7" t="s">
        <v>22</v>
      </c>
      <c r="AS155" s="76"/>
      <c r="AT155" s="76"/>
    </row>
    <row r="156" spans="1:46" ht="15.75" customHeight="1" x14ac:dyDescent="0.25">
      <c r="A156" s="70"/>
      <c r="B156" s="16">
        <v>16</v>
      </c>
      <c r="C156" s="16" t="s">
        <v>42</v>
      </c>
      <c r="D156" s="17">
        <v>24</v>
      </c>
      <c r="E156" s="18">
        <f ca="1">IFERROR(__xludf.DUMMYFUNCTION("COUNT(IMPORTRANGE(""https://docs.google.com/spreadsheets/d/1Z5uB5HbeAKcHmG4EOw3rf2J8NpyvDiha6RReERAMvA0/edit"",""6!d2:d34""))"),23)</f>
        <v>23</v>
      </c>
      <c r="F156" s="23">
        <f ca="1">IFERROR(__xludf.DUMMYFUNCTION("SUM(IMPORTRANGE(""https://docs.google.com/spreadsheets/d/1Z5uB5HbeAKcHmG4EOw3rf2J8NpyvDiha6RReERAMvA0/edit"",""6!Q2:Q34""))"),4446.34999999999)</f>
        <v>4446.3499999999904</v>
      </c>
      <c r="G156" s="18">
        <f ca="1">IFERROR(__xludf.DUMMYFUNCTION("IMPORTRANGE(""https://docs.google.com/spreadsheets/d/1Z5uB5HbeAKcHmG4EOw3rf2J8NpyvDiha6RReERAMvA0/edit"",""6!e41"")"),2260)</f>
        <v>2260</v>
      </c>
      <c r="H156" s="18">
        <f ca="1">IFERROR(__xludf.DUMMYFUNCTION("IMPORTRANGE(""https://docs.google.com/spreadsheets/d/1Z5uB5HbeAKcHmG4EOw3rf2J8NpyvDiha6RReERAMvA0/edit"",""6!e42"")"),0)</f>
        <v>0</v>
      </c>
      <c r="I156" s="18">
        <f t="shared" ca="1" si="387"/>
        <v>2260</v>
      </c>
      <c r="J156" s="18">
        <f ca="1">IFERROR(__xludf.DUMMYFUNCTION("IMPORTRANGE(""https://docs.google.com/spreadsheets/d/1Z5uB5HbeAKcHmG4EOw3rf2J8NpyvDiha6RReERAMvA0/edit"",""6!e45"")"),2705)</f>
        <v>2705</v>
      </c>
      <c r="K156" s="18">
        <f ca="1">IFERROR(__xludf.DUMMYFUNCTION("IMPORTRANGE(""https://docs.google.com/spreadsheets/d/1Z5uB5HbeAKcHmG4EOw3rf2J8NpyvDiha6RReERAMvA0/edit"",""6!e46"")"),0)</f>
        <v>0</v>
      </c>
      <c r="L156" s="18">
        <f t="shared" ca="1" si="417"/>
        <v>2705</v>
      </c>
      <c r="M156" s="18">
        <f t="shared" ca="1" si="389"/>
        <v>4965</v>
      </c>
      <c r="N156" s="19">
        <f t="shared" ca="1" si="390"/>
        <v>193.31956521739087</v>
      </c>
      <c r="O156" s="16">
        <v>9877</v>
      </c>
      <c r="P156" s="20">
        <f t="shared" ca="1" si="391"/>
        <v>0.50268300091120788</v>
      </c>
      <c r="Q156" s="21">
        <v>1.5</v>
      </c>
      <c r="R156" s="20">
        <f t="shared" ca="1" si="392"/>
        <v>0.74443082528366122</v>
      </c>
      <c r="S156" s="22">
        <f t="shared" ca="1" si="393"/>
        <v>1.1166462379254918</v>
      </c>
      <c r="T156" s="21">
        <f ca="1">F156/26.155</f>
        <v>169.99999999999963</v>
      </c>
      <c r="U156" s="21">
        <f t="shared" ca="1" si="394"/>
        <v>7.3913043478260709</v>
      </c>
      <c r="V156" s="18">
        <f t="shared" ca="1" si="395"/>
        <v>215.86956521739131</v>
      </c>
      <c r="W156" s="76"/>
      <c r="X156" s="8">
        <v>1</v>
      </c>
      <c r="Y156" s="8" t="s">
        <v>26</v>
      </c>
      <c r="Z156" s="8">
        <f t="shared" ref="Z156:AI156" si="429">SUM(D141)</f>
        <v>15</v>
      </c>
      <c r="AA156" s="9">
        <f t="shared" ca="1" si="429"/>
        <v>15</v>
      </c>
      <c r="AB156" s="11">
        <f t="shared" ca="1" si="429"/>
        <v>2984.364</v>
      </c>
      <c r="AC156" s="9">
        <f t="shared" ca="1" si="429"/>
        <v>1358</v>
      </c>
      <c r="AD156" s="9">
        <f t="shared" ca="1" si="429"/>
        <v>0</v>
      </c>
      <c r="AE156" s="9">
        <f t="shared" ca="1" si="429"/>
        <v>1358</v>
      </c>
      <c r="AF156" s="9">
        <f t="shared" ca="1" si="429"/>
        <v>2019</v>
      </c>
      <c r="AG156" s="9">
        <f t="shared" ca="1" si="429"/>
        <v>0</v>
      </c>
      <c r="AH156" s="9">
        <f t="shared" ca="1" si="429"/>
        <v>2019</v>
      </c>
      <c r="AI156" s="9">
        <f t="shared" ca="1" si="429"/>
        <v>3377</v>
      </c>
      <c r="AJ156" s="11">
        <f t="shared" ref="AJ156:AJ162" ca="1" si="430">AB156/AA156</f>
        <v>198.95760000000001</v>
      </c>
      <c r="AK156" s="8">
        <f>SUM(O141)</f>
        <v>5161</v>
      </c>
      <c r="AL156" s="12">
        <f t="shared" ref="AL156:AL162" ca="1" si="431">AI156/AK156</f>
        <v>0.65433055609378032</v>
      </c>
      <c r="AM156" s="13">
        <f>SUM(Q141)</f>
        <v>1.5</v>
      </c>
      <c r="AN156" s="12">
        <f t="shared" ref="AN156:AN162" ca="1" si="432">AO156/AM156</f>
        <v>0.75437625347756943</v>
      </c>
      <c r="AO156" s="14">
        <f t="shared" ref="AO156:AO162" ca="1" si="433">AI156/AB156</f>
        <v>1.1315643802163542</v>
      </c>
      <c r="AP156" s="13">
        <f t="shared" ref="AP156:AQ156" ca="1" si="434">SUM(T141)</f>
        <v>207.03184183142562</v>
      </c>
      <c r="AQ156" s="13">
        <f t="shared" ca="1" si="434"/>
        <v>13.802122788761709</v>
      </c>
      <c r="AR156" s="9">
        <f t="shared" ref="AR156:AR162" ca="1" si="435">AI156/AA156</f>
        <v>225.13333333333333</v>
      </c>
      <c r="AS156" s="76"/>
      <c r="AT156" s="76"/>
    </row>
    <row r="157" spans="1:46" ht="15.75" customHeight="1" x14ac:dyDescent="0.25">
      <c r="A157" s="70"/>
      <c r="B157" s="16">
        <v>17</v>
      </c>
      <c r="C157" s="16" t="s">
        <v>29</v>
      </c>
      <c r="D157" s="17">
        <v>23</v>
      </c>
      <c r="E157" s="18">
        <f ca="1">IFERROR(__xludf.DUMMYFUNCTION("COUNT(IMPORTRANGE(""https://docs.google.com/spreadsheets/d/1wfJqI0e9wVPqEQv3N6b8KgINjqI0OBECEyIFeY9j3i8/edit"",""6!d2:d31""))"),23)</f>
        <v>23</v>
      </c>
      <c r="F157" s="23">
        <f ca="1">IFERROR(__xludf.DUMMYFUNCTION("SUM(IMPORTRANGE(""https://docs.google.com/spreadsheets/d/1wfJqI0e9wVPqEQv3N6b8KgINjqI0OBECEyIFeY9j3i8/edit"",""!Q2:Q31""))"),5722.05599999999)</f>
        <v>5722.0559999999896</v>
      </c>
      <c r="G157" s="18">
        <f ca="1">IFERROR(__xludf.DUMMYFUNCTION("IMPORTRANGE(""https://docs.google.com/spreadsheets/d/1wfJqI0e9wVPqEQv3N6b8KgINjqI0OBECEyIFeY9j3i8/edit"",""6!e38"")"),1687)</f>
        <v>1687</v>
      </c>
      <c r="H157" s="18">
        <f ca="1">IFERROR(__xludf.DUMMYFUNCTION("IMPORTRANGE(""https://docs.google.com/spreadsheets/d/1wfJqI0e9wVPqEQv3N6b8KgINjqI0OBECEyIFeY9j3i8/edit"",""6!e39"")"),0)</f>
        <v>0</v>
      </c>
      <c r="I157" s="18">
        <f t="shared" ca="1" si="387"/>
        <v>1687</v>
      </c>
      <c r="J157" s="18">
        <f ca="1">IFERROR(__xludf.DUMMYFUNCTION("IMPORTRANGE(""https://docs.google.com/spreadsheets/d/1wfJqI0e9wVPqEQv3N6b8KgINjqI0OBECEyIFeY9j3i8/edit"",""6!e42"")"),2557)</f>
        <v>2557</v>
      </c>
      <c r="K157" s="18">
        <f ca="1">IFERROR(__xludf.DUMMYFUNCTION("IMPORTRANGE(""https://docs.google.com/spreadsheets/d/1wfJqI0e9wVPqEQv3N6b8KgINjqI0OBECEyIFeY9j3i8/edit"",""6!e43"")"),0)</f>
        <v>0</v>
      </c>
      <c r="L157" s="18">
        <f t="shared" ca="1" si="417"/>
        <v>2557</v>
      </c>
      <c r="M157" s="18">
        <f t="shared" ca="1" si="389"/>
        <v>4244</v>
      </c>
      <c r="N157" s="19">
        <f t="shared" ca="1" si="390"/>
        <v>248.78504347826041</v>
      </c>
      <c r="O157" s="16">
        <v>9201</v>
      </c>
      <c r="P157" s="20">
        <f t="shared" ca="1" si="391"/>
        <v>0.46125421149875012</v>
      </c>
      <c r="Q157" s="21">
        <v>1.5</v>
      </c>
      <c r="R157" s="20">
        <f t="shared" ca="1" si="392"/>
        <v>0.49446096531270206</v>
      </c>
      <c r="S157" s="22">
        <f t="shared" ca="1" si="393"/>
        <v>0.74169144796905306</v>
      </c>
      <c r="T157" s="21">
        <f ca="1">F157/26.491</f>
        <v>215.9999999999996</v>
      </c>
      <c r="U157" s="21">
        <f t="shared" ca="1" si="394"/>
        <v>9.39130434782607</v>
      </c>
      <c r="V157" s="18">
        <f t="shared" ca="1" si="395"/>
        <v>184.52173913043478</v>
      </c>
      <c r="W157" s="76"/>
      <c r="X157" s="8">
        <v>2</v>
      </c>
      <c r="Y157" s="8" t="s">
        <v>32</v>
      </c>
      <c r="Z157" s="8">
        <f t="shared" ref="Z157:AI157" si="436">SUM(D144)</f>
        <v>32</v>
      </c>
      <c r="AA157" s="9">
        <f t="shared" ca="1" si="436"/>
        <v>31</v>
      </c>
      <c r="AB157" s="10">
        <f t="shared" ca="1" si="436"/>
        <v>6096.6269999999904</v>
      </c>
      <c r="AC157" s="8">
        <f t="shared" ca="1" si="436"/>
        <v>2862</v>
      </c>
      <c r="AD157" s="8">
        <f t="shared" ca="1" si="436"/>
        <v>0</v>
      </c>
      <c r="AE157" s="9">
        <f t="shared" ca="1" si="436"/>
        <v>2862</v>
      </c>
      <c r="AF157" s="8">
        <f t="shared" ca="1" si="436"/>
        <v>4080</v>
      </c>
      <c r="AG157" s="8">
        <f t="shared" ca="1" si="436"/>
        <v>0</v>
      </c>
      <c r="AH157" s="9">
        <f t="shared" ca="1" si="436"/>
        <v>4080</v>
      </c>
      <c r="AI157" s="9">
        <f t="shared" ca="1" si="436"/>
        <v>6942</v>
      </c>
      <c r="AJ157" s="11">
        <f t="shared" ca="1" si="430"/>
        <v>196.66538709677388</v>
      </c>
      <c r="AK157" s="8">
        <f>SUM(O144)</f>
        <v>13817</v>
      </c>
      <c r="AL157" s="12">
        <f t="shared" ca="1" si="431"/>
        <v>0.5024245494680466</v>
      </c>
      <c r="AM157" s="13">
        <f>SUM(Q144)</f>
        <v>1.5</v>
      </c>
      <c r="AN157" s="12">
        <f t="shared" ca="1" si="432"/>
        <v>0.75910827413256665</v>
      </c>
      <c r="AO157" s="14">
        <f t="shared" ca="1" si="433"/>
        <v>1.1386624111988499</v>
      </c>
      <c r="AP157" s="13">
        <f t="shared" ref="AP157:AQ157" ca="1" si="437">SUM(T144)</f>
        <v>242.99999999999963</v>
      </c>
      <c r="AQ157" s="13">
        <f t="shared" ca="1" si="437"/>
        <v>7.8387096774193425</v>
      </c>
      <c r="AR157" s="9">
        <f t="shared" ca="1" si="435"/>
        <v>223.93548387096774</v>
      </c>
      <c r="AS157" s="76"/>
      <c r="AT157" s="76"/>
    </row>
    <row r="158" spans="1:46" ht="15.75" customHeight="1" x14ac:dyDescent="0.25">
      <c r="A158" s="70"/>
      <c r="B158" s="16">
        <v>18</v>
      </c>
      <c r="C158" s="16" t="s">
        <v>31</v>
      </c>
      <c r="D158" s="17">
        <v>11</v>
      </c>
      <c r="E158" s="18">
        <f ca="1">IFERROR(__xludf.DUMMYFUNCTION("COUNT(IMPORTRANGE(""https://docs.google.com/spreadsheets/d/1-y2KhTAo7d8kowgUuWUDfRQuRMUAFteRYEXorT3_wOs/edit"",""6!d2:d16""))"),11)</f>
        <v>11</v>
      </c>
      <c r="F158" s="19">
        <f ca="1">IFERROR(__xludf.DUMMYFUNCTION("SUM(IMPORTRANGE(""https://docs.google.com/spreadsheets/d/1-y2KhTAo7d8kowgUuWUDfRQuRMUAFteRYEXorT3_wOs/edit"",""6!Q2:Q16""))"),2042.855)</f>
        <v>2042.855</v>
      </c>
      <c r="G158" s="18">
        <f ca="1">IFERROR(__xludf.DUMMYFUNCTION("IMPORTRANGE(""https://docs.google.com/spreadsheets/d/1-y2KhTAo7d8kowgUuWUDfRQuRMUAFteRYEXorT3_wOs/edit"",""6!e23"")"),463)</f>
        <v>463</v>
      </c>
      <c r="H158" s="18">
        <f ca="1">IFERROR(__xludf.DUMMYFUNCTION("IMPORTRANGE(""https://docs.google.com/spreadsheets/d/1-y2KhTAo7d8kowgUuWUDfRQuRMUAFteRYEXorT3_wOs/edit"",""6!e24"")"),14)</f>
        <v>14</v>
      </c>
      <c r="I158" s="18">
        <f t="shared" ca="1" si="387"/>
        <v>477</v>
      </c>
      <c r="J158" s="18">
        <f ca="1">IFERROR(__xludf.DUMMYFUNCTION("IMPORTRANGE(""https://docs.google.com/spreadsheets/d/1-y2KhTAo7d8kowgUuWUDfRQuRMUAFteRYEXorT3_wOs/edit"",""6!e27"")"),606)</f>
        <v>606</v>
      </c>
      <c r="K158" s="18">
        <f ca="1">IFERROR(__xludf.DUMMYFUNCTION("IMPORTRANGE(""https://docs.google.com/spreadsheets/d/1-y2KhTAo7d8kowgUuWUDfRQuRMUAFteRYEXorT3_wOs/edit"",""6!e28"")"),0)</f>
        <v>0</v>
      </c>
      <c r="L158" s="18">
        <f t="shared" ca="1" si="417"/>
        <v>606</v>
      </c>
      <c r="M158" s="18">
        <f t="shared" ca="1" si="389"/>
        <v>1083</v>
      </c>
      <c r="N158" s="19">
        <f t="shared" ca="1" si="390"/>
        <v>185.71409090909091</v>
      </c>
      <c r="O158" s="16">
        <v>2717</v>
      </c>
      <c r="P158" s="20">
        <f t="shared" ca="1" si="391"/>
        <v>0.39860139860139859</v>
      </c>
      <c r="Q158" s="21">
        <v>1.5</v>
      </c>
      <c r="R158" s="20">
        <f t="shared" ca="1" si="392"/>
        <v>0.35342694415413717</v>
      </c>
      <c r="S158" s="22">
        <f t="shared" ca="1" si="393"/>
        <v>0.53014041623120578</v>
      </c>
      <c r="T158" s="21">
        <f ca="1">F158/43.465</f>
        <v>47</v>
      </c>
      <c r="U158" s="21">
        <f t="shared" ca="1" si="394"/>
        <v>4.2727272727272725</v>
      </c>
      <c r="V158" s="18">
        <f t="shared" ca="1" si="395"/>
        <v>98.454545454545453</v>
      </c>
      <c r="W158" s="76"/>
      <c r="X158" s="8">
        <v>3</v>
      </c>
      <c r="Y158" s="8" t="s">
        <v>36</v>
      </c>
      <c r="Z158" s="8">
        <f t="shared" ref="Z158:AI158" si="438">SUM(D149)</f>
        <v>23</v>
      </c>
      <c r="AA158" s="9">
        <f t="shared" ca="1" si="438"/>
        <v>23</v>
      </c>
      <c r="AB158" s="10">
        <f t="shared" ca="1" si="438"/>
        <v>4540.2149999999901</v>
      </c>
      <c r="AC158" s="9">
        <f t="shared" ca="1" si="438"/>
        <v>895</v>
      </c>
      <c r="AD158" s="9">
        <f t="shared" ca="1" si="438"/>
        <v>0</v>
      </c>
      <c r="AE158" s="9">
        <f t="shared" ca="1" si="438"/>
        <v>895</v>
      </c>
      <c r="AF158" s="9">
        <f t="shared" ca="1" si="438"/>
        <v>1499</v>
      </c>
      <c r="AG158" s="9">
        <f t="shared" ca="1" si="438"/>
        <v>0</v>
      </c>
      <c r="AH158" s="9">
        <f t="shared" ca="1" si="438"/>
        <v>1499</v>
      </c>
      <c r="AI158" s="9">
        <f t="shared" ca="1" si="438"/>
        <v>2394</v>
      </c>
      <c r="AJ158" s="11">
        <f t="shared" ca="1" si="430"/>
        <v>197.40065217391262</v>
      </c>
      <c r="AK158" s="8">
        <f t="shared" ref="AK158:AK161" si="439">SUM(O149)</f>
        <v>4796</v>
      </c>
      <c r="AL158" s="12">
        <f t="shared" ca="1" si="431"/>
        <v>0.49916597164303589</v>
      </c>
      <c r="AM158" s="13">
        <f t="shared" ref="AM158:AM161" si="440">SUM(Q149)</f>
        <v>1.5</v>
      </c>
      <c r="AN158" s="12">
        <f t="shared" ca="1" si="432"/>
        <v>0.351525203101616</v>
      </c>
      <c r="AO158" s="14">
        <f t="shared" ca="1" si="433"/>
        <v>0.52728780465242397</v>
      </c>
      <c r="AP158" s="13">
        <f t="shared" ref="AP158:AQ158" ca="1" si="441">SUM(T149)</f>
        <v>121.35069759982868</v>
      </c>
      <c r="AQ158" s="13">
        <f t="shared" ca="1" si="441"/>
        <v>5.2761172869490727</v>
      </c>
      <c r="AR158" s="9">
        <f t="shared" ca="1" si="435"/>
        <v>104.08695652173913</v>
      </c>
      <c r="AS158" s="76"/>
      <c r="AT158" s="76"/>
    </row>
    <row r="159" spans="1:46" ht="15.75" customHeight="1" x14ac:dyDescent="0.2">
      <c r="A159" s="70"/>
      <c r="B159" s="98" t="s">
        <v>33</v>
      </c>
      <c r="C159" s="98">
        <v>18</v>
      </c>
      <c r="D159" s="98">
        <f t="shared" ref="D159:M159" si="442">SUM(D141:D158)</f>
        <v>446</v>
      </c>
      <c r="E159" s="74">
        <f t="shared" ca="1" si="442"/>
        <v>442</v>
      </c>
      <c r="F159" s="99">
        <f t="shared" ca="1" si="442"/>
        <v>87447.287999999928</v>
      </c>
      <c r="G159" s="74">
        <f t="shared" ca="1" si="442"/>
        <v>25159</v>
      </c>
      <c r="H159" s="74">
        <f t="shared" ca="1" si="442"/>
        <v>625</v>
      </c>
      <c r="I159" s="74">
        <f t="shared" ca="1" si="442"/>
        <v>25784</v>
      </c>
      <c r="J159" s="74">
        <f t="shared" ca="1" si="442"/>
        <v>36990</v>
      </c>
      <c r="K159" s="74">
        <f t="shared" ca="1" si="442"/>
        <v>1162</v>
      </c>
      <c r="L159" s="74">
        <f t="shared" ca="1" si="442"/>
        <v>38152</v>
      </c>
      <c r="M159" s="74">
        <f t="shared" ca="1" si="442"/>
        <v>63936</v>
      </c>
      <c r="N159" s="99">
        <f t="shared" ca="1" si="390"/>
        <v>197.84454298642518</v>
      </c>
      <c r="O159" s="98">
        <f>SUM(O141:O158)</f>
        <v>126399</v>
      </c>
      <c r="P159" s="69">
        <f t="shared" ca="1" si="391"/>
        <v>0.50582678660432445</v>
      </c>
      <c r="Q159" s="72">
        <v>1.5</v>
      </c>
      <c r="R159" s="69">
        <f t="shared" ca="1" si="392"/>
        <v>0.48742506457147111</v>
      </c>
      <c r="S159" s="73">
        <f t="shared" ca="1" si="393"/>
        <v>0.7311375968572067</v>
      </c>
      <c r="T159" s="72">
        <f ca="1">SUM(T141:T158)</f>
        <v>3225.650935615728</v>
      </c>
      <c r="U159" s="72">
        <f t="shared" ca="1" si="394"/>
        <v>7.2978527955106971</v>
      </c>
      <c r="V159" s="74">
        <f t="shared" ca="1" si="395"/>
        <v>144.65158371040724</v>
      </c>
      <c r="W159" s="76"/>
      <c r="X159" s="8">
        <v>4</v>
      </c>
      <c r="Y159" s="8" t="s">
        <v>37</v>
      </c>
      <c r="Z159" s="8">
        <f t="shared" ref="Z159:AI159" si="443">SUM(D150)</f>
        <v>23</v>
      </c>
      <c r="AA159" s="9">
        <f t="shared" ca="1" si="443"/>
        <v>22</v>
      </c>
      <c r="AB159" s="10">
        <f t="shared" ca="1" si="443"/>
        <v>4410.3540000000003</v>
      </c>
      <c r="AC159" s="9">
        <f t="shared" ca="1" si="443"/>
        <v>1097</v>
      </c>
      <c r="AD159" s="9">
        <f t="shared" ca="1" si="443"/>
        <v>0</v>
      </c>
      <c r="AE159" s="9">
        <f t="shared" ca="1" si="443"/>
        <v>1097</v>
      </c>
      <c r="AF159" s="9">
        <f t="shared" ca="1" si="443"/>
        <v>1779</v>
      </c>
      <c r="AG159" s="9">
        <f t="shared" ca="1" si="443"/>
        <v>0</v>
      </c>
      <c r="AH159" s="9">
        <f t="shared" ca="1" si="443"/>
        <v>1779</v>
      </c>
      <c r="AI159" s="9">
        <f t="shared" ca="1" si="443"/>
        <v>2876</v>
      </c>
      <c r="AJ159" s="11">
        <f t="shared" ca="1" si="430"/>
        <v>200.47063636363637</v>
      </c>
      <c r="AK159" s="8">
        <f t="shared" si="439"/>
        <v>5887</v>
      </c>
      <c r="AL159" s="12">
        <f t="shared" ca="1" si="431"/>
        <v>0.48853405809410566</v>
      </c>
      <c r="AM159" s="13">
        <f t="shared" si="440"/>
        <v>1.5</v>
      </c>
      <c r="AN159" s="12">
        <f t="shared" ca="1" si="432"/>
        <v>0.43473456628046936</v>
      </c>
      <c r="AO159" s="14">
        <f t="shared" ca="1" si="433"/>
        <v>0.65210184942070404</v>
      </c>
      <c r="AP159" s="13">
        <f t="shared" ref="AP159:AQ159" ca="1" si="444">SUM(T150)</f>
        <v>177.89424007744432</v>
      </c>
      <c r="AQ159" s="13">
        <f t="shared" ca="1" si="444"/>
        <v>8.0861018217020142</v>
      </c>
      <c r="AR159" s="9">
        <f t="shared" ca="1" si="435"/>
        <v>130.72727272727272</v>
      </c>
      <c r="AS159" s="76"/>
      <c r="AT159" s="76"/>
    </row>
    <row r="160" spans="1:46" ht="15.75" customHeight="1" x14ac:dyDescent="0.2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6"/>
      <c r="X160" s="8">
        <v>5</v>
      </c>
      <c r="Y160" s="8" t="s">
        <v>39</v>
      </c>
      <c r="Z160" s="8">
        <f t="shared" ref="Z160:AI160" si="445">SUM(D151)</f>
        <v>21</v>
      </c>
      <c r="AA160" s="9">
        <f t="shared" ca="1" si="445"/>
        <v>21</v>
      </c>
      <c r="AB160" s="10">
        <f t="shared" ca="1" si="445"/>
        <v>4104.8899999999903</v>
      </c>
      <c r="AC160" s="9">
        <f t="shared" ca="1" si="445"/>
        <v>640</v>
      </c>
      <c r="AD160" s="9">
        <f t="shared" ca="1" si="445"/>
        <v>27</v>
      </c>
      <c r="AE160" s="9">
        <f t="shared" ca="1" si="445"/>
        <v>667</v>
      </c>
      <c r="AF160" s="9">
        <f t="shared" ca="1" si="445"/>
        <v>1386</v>
      </c>
      <c r="AG160" s="9">
        <f t="shared" ca="1" si="445"/>
        <v>36</v>
      </c>
      <c r="AH160" s="9">
        <f t="shared" ca="1" si="445"/>
        <v>1422</v>
      </c>
      <c r="AI160" s="9">
        <f t="shared" ca="1" si="445"/>
        <v>2089</v>
      </c>
      <c r="AJ160" s="11">
        <f t="shared" ca="1" si="430"/>
        <v>195.47095238095193</v>
      </c>
      <c r="AK160" s="8">
        <f t="shared" si="439"/>
        <v>3569</v>
      </c>
      <c r="AL160" s="12">
        <f t="shared" ca="1" si="431"/>
        <v>0.58531801625105073</v>
      </c>
      <c r="AM160" s="13">
        <f t="shared" si="440"/>
        <v>1.5</v>
      </c>
      <c r="AN160" s="12">
        <f t="shared" ca="1" si="432"/>
        <v>0.33927015502648544</v>
      </c>
      <c r="AO160" s="14">
        <f t="shared" ca="1" si="433"/>
        <v>0.50890523253972819</v>
      </c>
      <c r="AP160" s="13">
        <f t="shared" ref="AP160:AQ160" ca="1" si="446">SUM(T151)</f>
        <v>191.25425150258539</v>
      </c>
      <c r="AQ160" s="13">
        <f t="shared" ca="1" si="446"/>
        <v>9.1073453096469237</v>
      </c>
      <c r="AR160" s="9">
        <f t="shared" ca="1" si="435"/>
        <v>99.476190476190482</v>
      </c>
      <c r="AS160" s="76"/>
      <c r="AT160" s="76"/>
    </row>
    <row r="161" spans="1:46" ht="15.75" customHeight="1" x14ac:dyDescent="0.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6"/>
      <c r="X161" s="8">
        <v>6</v>
      </c>
      <c r="Y161" s="8" t="s">
        <v>41</v>
      </c>
      <c r="Z161" s="8">
        <f t="shared" ref="Z161:AI161" si="447">SUM(D152)</f>
        <v>19</v>
      </c>
      <c r="AA161" s="9">
        <f t="shared" ca="1" si="447"/>
        <v>19</v>
      </c>
      <c r="AB161" s="10">
        <f t="shared" ca="1" si="447"/>
        <v>3802.26</v>
      </c>
      <c r="AC161" s="9">
        <f t="shared" ca="1" si="447"/>
        <v>702</v>
      </c>
      <c r="AD161" s="9">
        <f t="shared" ca="1" si="447"/>
        <v>0</v>
      </c>
      <c r="AE161" s="9">
        <f t="shared" ca="1" si="447"/>
        <v>702</v>
      </c>
      <c r="AF161" s="9">
        <f t="shared" ca="1" si="447"/>
        <v>1103</v>
      </c>
      <c r="AG161" s="9">
        <f t="shared" ca="1" si="447"/>
        <v>0</v>
      </c>
      <c r="AH161" s="9">
        <f t="shared" ca="1" si="447"/>
        <v>1103</v>
      </c>
      <c r="AI161" s="9">
        <f t="shared" ca="1" si="447"/>
        <v>1805</v>
      </c>
      <c r="AJ161" s="11">
        <f t="shared" ca="1" si="430"/>
        <v>200.11894736842106</v>
      </c>
      <c r="AK161" s="8">
        <f t="shared" si="439"/>
        <v>3801</v>
      </c>
      <c r="AL161" s="12">
        <f t="shared" ca="1" si="431"/>
        <v>0.47487503288608263</v>
      </c>
      <c r="AM161" s="13">
        <f t="shared" si="440"/>
        <v>1.5</v>
      </c>
      <c r="AN161" s="12">
        <f t="shared" ca="1" si="432"/>
        <v>0.3164784452755291</v>
      </c>
      <c r="AO161" s="14">
        <f t="shared" ca="1" si="433"/>
        <v>0.47471766791329367</v>
      </c>
      <c r="AP161" s="13">
        <f t="shared" ref="AP161:AQ161" ca="1" si="448">SUM(T152)</f>
        <v>128.33333333333334</v>
      </c>
      <c r="AQ161" s="13">
        <f t="shared" ca="1" si="448"/>
        <v>6.7543859649122808</v>
      </c>
      <c r="AR161" s="9">
        <f t="shared" ca="1" si="435"/>
        <v>95</v>
      </c>
      <c r="AS161" s="76"/>
      <c r="AT161" s="76"/>
    </row>
    <row r="162" spans="1:46" ht="15.75" customHeight="1" x14ac:dyDescent="0.25">
      <c r="A162" s="110" t="s">
        <v>45</v>
      </c>
      <c r="B162" s="76"/>
      <c r="C162" s="76"/>
      <c r="D162" s="75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24" t="s">
        <v>33</v>
      </c>
      <c r="Y162" s="24">
        <v>6</v>
      </c>
      <c r="Z162" s="24">
        <f t="shared" ref="Z162:AI162" si="449">SUM(Z156:Z161)</f>
        <v>133</v>
      </c>
      <c r="AA162" s="25">
        <f t="shared" ca="1" si="449"/>
        <v>131</v>
      </c>
      <c r="AB162" s="27">
        <f t="shared" ca="1" si="449"/>
        <v>25938.70999999997</v>
      </c>
      <c r="AC162" s="25">
        <f t="shared" ca="1" si="449"/>
        <v>7554</v>
      </c>
      <c r="AD162" s="25">
        <f t="shared" ca="1" si="449"/>
        <v>27</v>
      </c>
      <c r="AE162" s="25">
        <f t="shared" ca="1" si="449"/>
        <v>7581</v>
      </c>
      <c r="AF162" s="25">
        <f t="shared" ca="1" si="449"/>
        <v>11866</v>
      </c>
      <c r="AG162" s="25">
        <f t="shared" ca="1" si="449"/>
        <v>36</v>
      </c>
      <c r="AH162" s="25">
        <f t="shared" ca="1" si="449"/>
        <v>11902</v>
      </c>
      <c r="AI162" s="25">
        <f t="shared" ca="1" si="449"/>
        <v>19483</v>
      </c>
      <c r="AJ162" s="27">
        <f t="shared" ca="1" si="430"/>
        <v>198.00541984732803</v>
      </c>
      <c r="AK162" s="24">
        <f>SUM(AK156:AK161)</f>
        <v>37031</v>
      </c>
      <c r="AL162" s="28">
        <f t="shared" ca="1" si="431"/>
        <v>0.52612675866166181</v>
      </c>
      <c r="AM162" s="29">
        <v>1.5</v>
      </c>
      <c r="AN162" s="28">
        <f t="shared" ca="1" si="432"/>
        <v>0.50074451145283183</v>
      </c>
      <c r="AO162" s="30">
        <f t="shared" ca="1" si="433"/>
        <v>0.75111676717924769</v>
      </c>
      <c r="AP162" s="29">
        <f ca="1">SUM(AP156:AP161)</f>
        <v>1068.8643643446169</v>
      </c>
      <c r="AQ162" s="29">
        <f ca="1">AP162/AA162</f>
        <v>8.1592699568291369</v>
      </c>
      <c r="AR162" s="25">
        <f t="shared" ca="1" si="435"/>
        <v>148.72519083969465</v>
      </c>
      <c r="AS162" s="76"/>
      <c r="AT162" s="76"/>
    </row>
    <row r="163" spans="1:46" ht="15.75" customHeight="1" x14ac:dyDescent="0.2">
      <c r="A163" s="110" t="s">
        <v>45</v>
      </c>
      <c r="B163" s="76"/>
      <c r="C163" s="76"/>
      <c r="D163" s="75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7" t="s">
        <v>1</v>
      </c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9"/>
      <c r="AS163" s="76"/>
      <c r="AT163" s="76"/>
    </row>
    <row r="164" spans="1:46" ht="15.75" customHeight="1" x14ac:dyDescent="0.2">
      <c r="A164" s="109">
        <v>46272</v>
      </c>
      <c r="B164" s="80" t="s">
        <v>2</v>
      </c>
      <c r="C164" s="80" t="s">
        <v>3</v>
      </c>
      <c r="D164" s="80" t="s">
        <v>4</v>
      </c>
      <c r="E164" s="80" t="s">
        <v>5</v>
      </c>
      <c r="F164" s="81" t="s">
        <v>6</v>
      </c>
      <c r="G164" s="80" t="s">
        <v>7</v>
      </c>
      <c r="H164" s="80" t="s">
        <v>8</v>
      </c>
      <c r="I164" s="80" t="s">
        <v>9</v>
      </c>
      <c r="J164" s="80" t="s">
        <v>10</v>
      </c>
      <c r="K164" s="80" t="s">
        <v>11</v>
      </c>
      <c r="L164" s="80" t="s">
        <v>12</v>
      </c>
      <c r="M164" s="80" t="s">
        <v>13</v>
      </c>
      <c r="N164" s="81" t="s">
        <v>14</v>
      </c>
      <c r="O164" s="80" t="s">
        <v>15</v>
      </c>
      <c r="P164" s="80" t="s">
        <v>16</v>
      </c>
      <c r="Q164" s="80" t="s">
        <v>17</v>
      </c>
      <c r="R164" s="80" t="s">
        <v>18</v>
      </c>
      <c r="S164" s="106" t="s">
        <v>19</v>
      </c>
      <c r="T164" s="107" t="s">
        <v>20</v>
      </c>
      <c r="U164" s="107" t="s">
        <v>21</v>
      </c>
      <c r="V164" s="105" t="s">
        <v>22</v>
      </c>
      <c r="W164" s="76"/>
      <c r="X164" s="1" t="s">
        <v>2</v>
      </c>
      <c r="Y164" s="1" t="s">
        <v>3</v>
      </c>
      <c r="Z164" s="1" t="s">
        <v>4</v>
      </c>
      <c r="AA164" s="1" t="s">
        <v>5</v>
      </c>
      <c r="AB164" s="2" t="s">
        <v>6</v>
      </c>
      <c r="AC164" s="1" t="s">
        <v>7</v>
      </c>
      <c r="AD164" s="1" t="s">
        <v>8</v>
      </c>
      <c r="AE164" s="1" t="s">
        <v>9</v>
      </c>
      <c r="AF164" s="1" t="s">
        <v>10</v>
      </c>
      <c r="AG164" s="1" t="s">
        <v>11</v>
      </c>
      <c r="AH164" s="1" t="s">
        <v>12</v>
      </c>
      <c r="AI164" s="1" t="s">
        <v>13</v>
      </c>
      <c r="AJ164" s="2" t="s">
        <v>14</v>
      </c>
      <c r="AK164" s="1" t="s">
        <v>15</v>
      </c>
      <c r="AL164" s="1" t="s">
        <v>16</v>
      </c>
      <c r="AM164" s="3" t="s">
        <v>17</v>
      </c>
      <c r="AN164" s="4" t="s">
        <v>18</v>
      </c>
      <c r="AO164" s="5" t="s">
        <v>19</v>
      </c>
      <c r="AP164" s="6" t="s">
        <v>20</v>
      </c>
      <c r="AQ164" s="6" t="s">
        <v>21</v>
      </c>
      <c r="AR164" s="7" t="s">
        <v>22</v>
      </c>
      <c r="AS164" s="76"/>
      <c r="AT164" s="76"/>
    </row>
    <row r="165" spans="1:46" ht="15.75" customHeight="1" x14ac:dyDescent="0.2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6"/>
      <c r="X165" s="8">
        <v>1</v>
      </c>
      <c r="Y165" s="8" t="s">
        <v>23</v>
      </c>
      <c r="Z165" s="8">
        <f t="shared" ref="Z165:AI165" si="450">SUM(D173)</f>
        <v>35</v>
      </c>
      <c r="AA165" s="9">
        <f t="shared" ca="1" si="450"/>
        <v>33</v>
      </c>
      <c r="AB165" s="10">
        <f t="shared" ca="1" si="450"/>
        <v>6579.2999999999902</v>
      </c>
      <c r="AC165" s="9">
        <f t="shared" ca="1" si="450"/>
        <v>1520</v>
      </c>
      <c r="AD165" s="9">
        <f t="shared" ca="1" si="450"/>
        <v>0</v>
      </c>
      <c r="AE165" s="9">
        <f t="shared" ca="1" si="450"/>
        <v>1520</v>
      </c>
      <c r="AF165" s="9">
        <f t="shared" ca="1" si="450"/>
        <v>3110</v>
      </c>
      <c r="AG165" s="9">
        <f t="shared" ca="1" si="450"/>
        <v>0</v>
      </c>
      <c r="AH165" s="9">
        <f t="shared" ca="1" si="450"/>
        <v>3110</v>
      </c>
      <c r="AI165" s="9">
        <f t="shared" ca="1" si="450"/>
        <v>4630</v>
      </c>
      <c r="AJ165" s="11">
        <f t="shared" ref="AJ165:AJ167" ca="1" si="451">AB165/AA165</f>
        <v>199.37272727272696</v>
      </c>
      <c r="AK165" s="8">
        <f>SUM(O173)</f>
        <v>6853</v>
      </c>
      <c r="AL165" s="12">
        <f t="shared" ref="AL165:AL171" ca="1" si="452">AI165/AK165</f>
        <v>0.67561651831314751</v>
      </c>
      <c r="AM165" s="13">
        <f t="shared" ref="AM165:AM167" si="453">SUM(Q173)</f>
        <v>1.5</v>
      </c>
      <c r="AN165" s="12">
        <f t="shared" ref="AN165:AN171" ca="1" si="454">AO165/AM165</f>
        <v>0.46914818699051136</v>
      </c>
      <c r="AO165" s="14">
        <f t="shared" ref="AO165:AO171" ca="1" si="455">AI165/AB165</f>
        <v>0.70372228048576702</v>
      </c>
      <c r="AP165" s="13">
        <f t="shared" ref="AP165:AQ165" ca="1" si="456">SUM(T173)</f>
        <v>194.99999999999969</v>
      </c>
      <c r="AQ165" s="13">
        <f t="shared" ca="1" si="456"/>
        <v>5.9090909090908994</v>
      </c>
      <c r="AR165" s="9">
        <f t="shared" ref="AR165:AR171" ca="1" si="457">AI165/AA165</f>
        <v>140.30303030303031</v>
      </c>
      <c r="AS165" s="76"/>
      <c r="AT165" s="76"/>
    </row>
    <row r="166" spans="1:46" ht="15.75" customHeight="1" x14ac:dyDescent="0.2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6"/>
      <c r="X166" s="8">
        <v>2</v>
      </c>
      <c r="Y166" s="8" t="s">
        <v>24</v>
      </c>
      <c r="Z166" s="8">
        <f t="shared" ref="Z166:AI166" si="458">SUM(D174)</f>
        <v>44</v>
      </c>
      <c r="AA166" s="9">
        <f t="shared" ca="1" si="458"/>
        <v>43</v>
      </c>
      <c r="AB166" s="10">
        <f t="shared" ca="1" si="458"/>
        <v>8211.6209999999901</v>
      </c>
      <c r="AC166" s="9">
        <f t="shared" ca="1" si="458"/>
        <v>1202</v>
      </c>
      <c r="AD166" s="9">
        <f t="shared" ca="1" si="458"/>
        <v>0</v>
      </c>
      <c r="AE166" s="9">
        <f t="shared" ca="1" si="458"/>
        <v>1202</v>
      </c>
      <c r="AF166" s="9">
        <f t="shared" ca="1" si="458"/>
        <v>1208</v>
      </c>
      <c r="AG166" s="9">
        <f t="shared" ca="1" si="458"/>
        <v>143</v>
      </c>
      <c r="AH166" s="9">
        <f t="shared" ca="1" si="458"/>
        <v>1351</v>
      </c>
      <c r="AI166" s="9">
        <f t="shared" ca="1" si="458"/>
        <v>2553</v>
      </c>
      <c r="AJ166" s="11">
        <f t="shared" ca="1" si="451"/>
        <v>190.9679302325579</v>
      </c>
      <c r="AK166" s="8">
        <v>1580</v>
      </c>
      <c r="AL166" s="15">
        <f t="shared" ca="1" si="452"/>
        <v>1.6158227848101265</v>
      </c>
      <c r="AM166" s="13">
        <f t="shared" si="453"/>
        <v>1.5</v>
      </c>
      <c r="AN166" s="12">
        <f t="shared" ca="1" si="454"/>
        <v>0.20726723749184262</v>
      </c>
      <c r="AO166" s="14">
        <f t="shared" ca="1" si="455"/>
        <v>0.31090085623776392</v>
      </c>
      <c r="AP166" s="13">
        <f t="shared" ref="AP166:AQ166" ca="1" si="459">SUM(T174)</f>
        <v>306.34661443760456</v>
      </c>
      <c r="AQ166" s="13">
        <f t="shared" ca="1" si="459"/>
        <v>7.1243398706419665</v>
      </c>
      <c r="AR166" s="9">
        <f t="shared" ca="1" si="457"/>
        <v>59.372093023255815</v>
      </c>
      <c r="AS166" s="76"/>
      <c r="AT166" s="76"/>
    </row>
    <row r="167" spans="1:46" ht="15.75" customHeight="1" x14ac:dyDescent="0.2">
      <c r="A167" s="70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6"/>
      <c r="X167" s="8">
        <v>3</v>
      </c>
      <c r="Y167" s="8" t="s">
        <v>25</v>
      </c>
      <c r="Z167" s="8">
        <f t="shared" ref="Z167:AI167" si="460">SUM(D175)</f>
        <v>32</v>
      </c>
      <c r="AA167" s="9">
        <f t="shared" ca="1" si="460"/>
        <v>32</v>
      </c>
      <c r="AB167" s="10">
        <f t="shared" ca="1" si="460"/>
        <v>6020.4840000000004</v>
      </c>
      <c r="AC167" s="9">
        <f t="shared" ca="1" si="460"/>
        <v>1973</v>
      </c>
      <c r="AD167" s="9">
        <f t="shared" ca="1" si="460"/>
        <v>318</v>
      </c>
      <c r="AE167" s="9">
        <f t="shared" ca="1" si="460"/>
        <v>2291</v>
      </c>
      <c r="AF167" s="9">
        <f t="shared" ca="1" si="460"/>
        <v>2447</v>
      </c>
      <c r="AG167" s="9">
        <f t="shared" ca="1" si="460"/>
        <v>332</v>
      </c>
      <c r="AH167" s="9">
        <f t="shared" ca="1" si="460"/>
        <v>2779</v>
      </c>
      <c r="AI167" s="9">
        <f t="shared" ca="1" si="460"/>
        <v>5070</v>
      </c>
      <c r="AJ167" s="11">
        <f t="shared" ca="1" si="451"/>
        <v>188.14012500000001</v>
      </c>
      <c r="AK167" s="8">
        <f>SUM(O175)</f>
        <v>6622</v>
      </c>
      <c r="AL167" s="12">
        <f t="shared" ca="1" si="452"/>
        <v>0.76562971911809119</v>
      </c>
      <c r="AM167" s="13">
        <f t="shared" si="453"/>
        <v>1.5</v>
      </c>
      <c r="AN167" s="12">
        <f t="shared" ca="1" si="454"/>
        <v>0.5614166568667901</v>
      </c>
      <c r="AO167" s="14">
        <f t="shared" ca="1" si="455"/>
        <v>0.84212498530018509</v>
      </c>
      <c r="AP167" s="13">
        <f t="shared" ref="AP167:AQ167" ca="1" si="461">SUM(T175)</f>
        <v>252.53708053691278</v>
      </c>
      <c r="AQ167" s="13">
        <f t="shared" ca="1" si="461"/>
        <v>7.8917837667785244</v>
      </c>
      <c r="AR167" s="9">
        <f t="shared" ca="1" si="457"/>
        <v>158.4375</v>
      </c>
      <c r="AS167" s="76"/>
      <c r="AT167" s="76"/>
    </row>
    <row r="168" spans="1:46" ht="15.75" customHeight="1" x14ac:dyDescent="0.25">
      <c r="A168" s="70"/>
      <c r="B168" s="16">
        <v>1</v>
      </c>
      <c r="C168" s="16" t="s">
        <v>26</v>
      </c>
      <c r="D168" s="17">
        <v>20</v>
      </c>
      <c r="E168" s="18">
        <f ca="1">IFERROR(__xludf.DUMMYFUNCTION("COUNT(IMPORTRANGE(""https://docs.google.com/spreadsheets/d/1F0NpMx7WhcgPgxTWpryY3Z1CGg56FL6aiL4mHs43w4E/edit"",""7!d2:d21""))"),20)</f>
        <v>20</v>
      </c>
      <c r="F168" s="19">
        <f ca="1">IFERROR(__xludf.DUMMYFUNCTION("SUM(IMPORTRANGE(""https://docs.google.com/spreadsheets/d/1F0NpMx7WhcgPgxTWpryY3Z1CGg56FL6aiL4mHs43w4E/edit"",""7!Q2:Q21""))"),3849.417)</f>
        <v>3849.4169999999999</v>
      </c>
      <c r="G168" s="18">
        <f ca="1">IFERROR(__xludf.DUMMYFUNCTION("IMPORTRANGE(""https://docs.google.com/spreadsheets/d/1F0NpMx7WhcgPgxTWpryY3Z1CGg56FL6aiL4mHs43w4E/edit"",""7!e28"")"),1851)</f>
        <v>1851</v>
      </c>
      <c r="H168" s="18">
        <f ca="1">IFERROR(__xludf.DUMMYFUNCTION("IMPORTRANGE(""https://docs.google.com/spreadsheets/d/1F0NpMx7WhcgPgxTWpryY3Z1CGg56FL6aiL4mHs43w4E/edit"",""7!e29"")"),0)</f>
        <v>0</v>
      </c>
      <c r="I168" s="18">
        <f t="shared" ref="I168:I185" ca="1" si="462">SUM(G168:H168)</f>
        <v>1851</v>
      </c>
      <c r="J168" s="18">
        <f ca="1">IFERROR(__xludf.DUMMYFUNCTION("IMPORTRANGE(""https://docs.google.com/spreadsheets/d/1F0NpMx7WhcgPgxTWpryY3Z1CGg56FL6aiL4mHs43w4E/edit"",""7!e32"")"),1888)</f>
        <v>1888</v>
      </c>
      <c r="K168" s="18">
        <f ca="1">IFERROR(__xludf.DUMMYFUNCTION("IMPORTRANGE(""https://docs.google.com/spreadsheets/d/1F0NpMx7WhcgPgxTWpryY3Z1CGg56FL6aiL4mHs43w4E/edit"",""7!e33"")"),0)</f>
        <v>0</v>
      </c>
      <c r="L168" s="18">
        <f t="shared" ref="L168:L174" ca="1" si="463">SUM(J168:K168)</f>
        <v>1888</v>
      </c>
      <c r="M168" s="18">
        <f t="shared" ref="M168:M185" ca="1" si="464">SUM(I168+L168)</f>
        <v>3739</v>
      </c>
      <c r="N168" s="19">
        <f t="shared" ref="N168:N186" ca="1" si="465">F168/E168</f>
        <v>192.47084999999998</v>
      </c>
      <c r="O168" s="16">
        <v>5161</v>
      </c>
      <c r="P168" s="20">
        <f t="shared" ref="P168:P186" ca="1" si="466">M168/O168</f>
        <v>0.72447200155008717</v>
      </c>
      <c r="Q168" s="21">
        <v>1.5</v>
      </c>
      <c r="R168" s="20">
        <f t="shared" ref="R168:R186" ca="1" si="467">S168/Q168</f>
        <v>0.64754394410027982</v>
      </c>
      <c r="S168" s="22">
        <f t="shared" ref="S168:S186" ca="1" si="468">M168/F168</f>
        <v>0.97131591615041968</v>
      </c>
      <c r="T168" s="21">
        <f ca="1">F168/14.415</f>
        <v>267.04245577523415</v>
      </c>
      <c r="U168" s="21">
        <f t="shared" ref="U168:U186" ca="1" si="469">T168/E168</f>
        <v>13.352122788761708</v>
      </c>
      <c r="V168" s="18">
        <f t="shared" ref="V168:V186" ca="1" si="470">M168/E168</f>
        <v>186.95</v>
      </c>
      <c r="W168" s="76"/>
      <c r="X168" s="8">
        <v>4</v>
      </c>
      <c r="Y168" s="8" t="s">
        <v>27</v>
      </c>
      <c r="Z168" s="8">
        <f t="shared" ref="Z168:AK168" si="471">SUM(D181)</f>
        <v>30</v>
      </c>
      <c r="AA168" s="9">
        <f t="shared" ca="1" si="471"/>
        <v>30</v>
      </c>
      <c r="AB168" s="10">
        <f t="shared" ca="1" si="471"/>
        <v>5585.67</v>
      </c>
      <c r="AC168" s="9">
        <f t="shared" ca="1" si="471"/>
        <v>2138</v>
      </c>
      <c r="AD168" s="9">
        <f t="shared" ca="1" si="471"/>
        <v>0</v>
      </c>
      <c r="AE168" s="9">
        <f t="shared" ca="1" si="471"/>
        <v>2138</v>
      </c>
      <c r="AF168" s="9">
        <f t="shared" ca="1" si="471"/>
        <v>2443</v>
      </c>
      <c r="AG168" s="9">
        <f t="shared" ca="1" si="471"/>
        <v>170</v>
      </c>
      <c r="AH168" s="9">
        <f t="shared" ca="1" si="471"/>
        <v>2613</v>
      </c>
      <c r="AI168" s="9">
        <f t="shared" ca="1" si="471"/>
        <v>4751</v>
      </c>
      <c r="AJ168" s="11">
        <f t="shared" ca="1" si="471"/>
        <v>186.18899999999999</v>
      </c>
      <c r="AK168" s="8">
        <f t="shared" si="471"/>
        <v>8101</v>
      </c>
      <c r="AL168" s="12">
        <f t="shared" ca="1" si="452"/>
        <v>0.58647080607332425</v>
      </c>
      <c r="AM168" s="13">
        <f>SUM(Q181)</f>
        <v>1.5</v>
      </c>
      <c r="AN168" s="12">
        <f t="shared" ca="1" si="454"/>
        <v>0.56704626899428956</v>
      </c>
      <c r="AO168" s="14">
        <f t="shared" ca="1" si="455"/>
        <v>0.85056940349143428</v>
      </c>
      <c r="AP168" s="13">
        <f t="shared" ref="AP168:AQ168" ca="1" si="472">SUM(T181)</f>
        <v>279.49311983987991</v>
      </c>
      <c r="AQ168" s="13">
        <f t="shared" ca="1" si="472"/>
        <v>9.3164373279959971</v>
      </c>
      <c r="AR168" s="9">
        <f t="shared" ca="1" si="457"/>
        <v>158.36666666666667</v>
      </c>
      <c r="AS168" s="76"/>
      <c r="AT168" s="76"/>
    </row>
    <row r="169" spans="1:46" ht="15.75" customHeight="1" x14ac:dyDescent="0.25">
      <c r="A169" s="70"/>
      <c r="B169" s="16">
        <v>2</v>
      </c>
      <c r="C169" s="16" t="s">
        <v>28</v>
      </c>
      <c r="D169" s="17">
        <v>33</v>
      </c>
      <c r="E169" s="18">
        <f ca="1">IFERROR(__xludf.DUMMYFUNCTION("COUNT(IMPORTRANGE(""https://docs.google.com/spreadsheets/d/1H9vAqftAHb0OdeSGXHTnJFzoWUgpoH31sc0sHNN8y1o/edit"",""7!d2:d34""))"),32)</f>
        <v>32</v>
      </c>
      <c r="F169" s="19">
        <f ca="1">IFERROR(__xludf.DUMMYFUNCTION("SUM(IMPORTRANGE(""https://docs.google.com/spreadsheets/d/1H9vAqftAHb0OdeSGXHTnJFzoWUgpoH31sc0sHNN8y1o/edit"",""7!Q2:Q34""))"),6188.96599999999)</f>
        <v>6188.9659999999903</v>
      </c>
      <c r="G169" s="18">
        <f ca="1">IFERROR(__xludf.DUMMYFUNCTION("IMPORTRANGE(""https://docs.google.com/spreadsheets/d/1H9vAqftAHb0OdeSGXHTnJFzoWUgpoH31sc0sHNN8y1o/edit"",""7!e41"")"),1986)</f>
        <v>1986</v>
      </c>
      <c r="H169" s="18">
        <f ca="1">IFERROR(__xludf.DUMMYFUNCTION("IMPORTRANGE(""https://docs.google.com/spreadsheets/d/1H9vAqftAHb0OdeSGXHTnJFzoWUgpoH31sc0sHNN8y1o/edit"",""7!e42"")"),131)</f>
        <v>131</v>
      </c>
      <c r="I169" s="18">
        <f t="shared" ca="1" si="462"/>
        <v>2117</v>
      </c>
      <c r="J169" s="18">
        <f ca="1">IFERROR(__xludf.DUMMYFUNCTION("IMPORTRANGE(""https://docs.google.com/spreadsheets/d/1H9vAqftAHb0OdeSGXHTnJFzoWUgpoH31sc0sHNN8y1o/edit"",""7!e45"")"),2048)</f>
        <v>2048</v>
      </c>
      <c r="K169" s="18">
        <f ca="1">IFERROR(__xludf.DUMMYFUNCTION("IMPORTRANGE(""https://docs.google.com/spreadsheets/d/1H9vAqftAHb0OdeSGXHTnJFzoWUgpoH31sc0sHNN8y1o/edit"",""7!e46"")"),149)</f>
        <v>149</v>
      </c>
      <c r="L169" s="18">
        <f t="shared" ca="1" si="463"/>
        <v>2197</v>
      </c>
      <c r="M169" s="18">
        <f t="shared" ca="1" si="464"/>
        <v>4314</v>
      </c>
      <c r="N169" s="19">
        <f t="shared" ca="1" si="465"/>
        <v>193.4051874999997</v>
      </c>
      <c r="O169" s="16">
        <v>7315</v>
      </c>
      <c r="P169" s="20">
        <f t="shared" ca="1" si="466"/>
        <v>0.58974709501025291</v>
      </c>
      <c r="Q169" s="21">
        <v>1.5</v>
      </c>
      <c r="R169" s="20">
        <f t="shared" ca="1" si="467"/>
        <v>0.46469798024419662</v>
      </c>
      <c r="S169" s="22">
        <f t="shared" ca="1" si="468"/>
        <v>0.69704697036629493</v>
      </c>
      <c r="T169" s="21">
        <f ca="1">F169/30.897</f>
        <v>200.3096093471855</v>
      </c>
      <c r="U169" s="21">
        <f t="shared" ca="1" si="469"/>
        <v>6.2596752920995469</v>
      </c>
      <c r="V169" s="18">
        <f t="shared" ca="1" si="470"/>
        <v>134.8125</v>
      </c>
      <c r="W169" s="76"/>
      <c r="X169" s="8">
        <v>5</v>
      </c>
      <c r="Y169" s="8" t="s">
        <v>29</v>
      </c>
      <c r="Z169" s="8">
        <f t="shared" ref="Z169:AI169" si="473">SUM(D184)</f>
        <v>30</v>
      </c>
      <c r="AA169" s="9">
        <f t="shared" ca="1" si="473"/>
        <v>29</v>
      </c>
      <c r="AB169" s="10">
        <f t="shared" ca="1" si="473"/>
        <v>5801.5289999999904</v>
      </c>
      <c r="AC169" s="9">
        <f t="shared" ca="1" si="473"/>
        <v>2210</v>
      </c>
      <c r="AD169" s="9">
        <f t="shared" ca="1" si="473"/>
        <v>0</v>
      </c>
      <c r="AE169" s="9">
        <f t="shared" ca="1" si="473"/>
        <v>2210</v>
      </c>
      <c r="AF169" s="9">
        <f t="shared" ca="1" si="473"/>
        <v>3391</v>
      </c>
      <c r="AG169" s="9">
        <f t="shared" ca="1" si="473"/>
        <v>0</v>
      </c>
      <c r="AH169" s="9">
        <f t="shared" ca="1" si="473"/>
        <v>3391</v>
      </c>
      <c r="AI169" s="9">
        <f t="shared" ca="1" si="473"/>
        <v>5601</v>
      </c>
      <c r="AJ169" s="11">
        <f t="shared" ref="AJ169:AJ171" ca="1" si="474">AB169/AA169</f>
        <v>200.05272413793071</v>
      </c>
      <c r="AK169" s="8">
        <f t="shared" ref="AK169:AK170" si="475">SUM(O184)</f>
        <v>9201</v>
      </c>
      <c r="AL169" s="12">
        <f t="shared" ca="1" si="452"/>
        <v>0.60873818063253993</v>
      </c>
      <c r="AM169" s="13">
        <f t="shared" ref="AM169:AM170" si="476">SUM(Q184)</f>
        <v>1.5</v>
      </c>
      <c r="AN169" s="12">
        <f t="shared" ca="1" si="454"/>
        <v>0.64362343099551966</v>
      </c>
      <c r="AO169" s="14">
        <f t="shared" ca="1" si="455"/>
        <v>0.96543514649327944</v>
      </c>
      <c r="AP169" s="13">
        <f t="shared" ref="AP169:AQ169" ca="1" si="477">SUM(T184)</f>
        <v>218.99999999999963</v>
      </c>
      <c r="AQ169" s="13">
        <f t="shared" ca="1" si="477"/>
        <v>7.5517241379310214</v>
      </c>
      <c r="AR169" s="9">
        <f t="shared" ca="1" si="457"/>
        <v>193.13793103448276</v>
      </c>
      <c r="AS169" s="76"/>
      <c r="AT169" s="76"/>
    </row>
    <row r="170" spans="1:46" ht="15.75" customHeight="1" x14ac:dyDescent="0.25">
      <c r="A170" s="70"/>
      <c r="B170" s="16">
        <v>3</v>
      </c>
      <c r="C170" s="16" t="s">
        <v>30</v>
      </c>
      <c r="D170" s="17">
        <v>60</v>
      </c>
      <c r="E170" s="18">
        <f ca="1">IFERROR(__xludf.DUMMYFUNCTION("COUNT(IMPORTRANGE(""https://docs.google.com/spreadsheets/d/1EWN6nfpuVxbUE_9opjYCWaI7MTm5xsF6ssjklSbMZnA/edit"",""7!d2:d61""))"),59)</f>
        <v>59</v>
      </c>
      <c r="F170" s="23">
        <f ca="1">IFERROR(__xludf.DUMMYFUNCTION("SUM(IMPORTRANGE(""https://docs.google.com/spreadsheets/d/1EWN6nfpuVxbUE_9opjYCWaI7MTm5xsF6ssjklSbMZnA/edit"",""7!Q2:Q61""))"),11299.8519999999)</f>
        <v>11299.851999999901</v>
      </c>
      <c r="G170" s="18">
        <f ca="1">IFERROR(__xludf.DUMMYFUNCTION("IMPORTRANGE(""https://docs.google.com/spreadsheets/d/1EWN6nfpuVxbUE_9opjYCWaI7MTm5xsF6ssjklSbMZnA/edit"",""7!e68"")"),3146)</f>
        <v>3146</v>
      </c>
      <c r="H170" s="18">
        <f ca="1">IFERROR(__xludf.DUMMYFUNCTION("IMPORTRANGE(""https://docs.google.com/spreadsheets/d/1EWN6nfpuVxbUE_9opjYCWaI7MTm5xsF6ssjklSbMZnA/edit"",""7!e69"")"),0)</f>
        <v>0</v>
      </c>
      <c r="I170" s="18">
        <f t="shared" ca="1" si="462"/>
        <v>3146</v>
      </c>
      <c r="J170" s="18">
        <f ca="1">IFERROR(__xludf.DUMMYFUNCTION("IMPORTRANGE(""https://docs.google.com/spreadsheets/d/1EWN6nfpuVxbUE_9opjYCWaI7MTm5xsF6ssjklSbMZnA/edit"",""7!e72"")"),4610)</f>
        <v>4610</v>
      </c>
      <c r="K170" s="18">
        <f ca="1">IFERROR(__xludf.DUMMYFUNCTION("IMPORTRANGE(""https://docs.google.com/spreadsheets/d/1EWN6nfpuVxbUE_9opjYCWaI7MTm5xsF6ssjklSbMZnA/edit"",""7!e73"")"),120)</f>
        <v>120</v>
      </c>
      <c r="L170" s="18">
        <f t="shared" ca="1" si="463"/>
        <v>4730</v>
      </c>
      <c r="M170" s="18">
        <f t="shared" ca="1" si="464"/>
        <v>7876</v>
      </c>
      <c r="N170" s="19">
        <f t="shared" ca="1" si="465"/>
        <v>191.52291525423561</v>
      </c>
      <c r="O170" s="16">
        <v>11164</v>
      </c>
      <c r="P170" s="20">
        <f t="shared" ca="1" si="466"/>
        <v>0.70548190612683626</v>
      </c>
      <c r="Q170" s="21">
        <v>1.5</v>
      </c>
      <c r="R170" s="20">
        <f t="shared" ca="1" si="467"/>
        <v>0.46466685286379966</v>
      </c>
      <c r="S170" s="22">
        <f t="shared" ca="1" si="468"/>
        <v>0.69700027929569952</v>
      </c>
      <c r="T170" s="21">
        <f ca="1">F170/29.603</f>
        <v>381.71306962131877</v>
      </c>
      <c r="U170" s="21">
        <f t="shared" ca="1" si="469"/>
        <v>6.469713044429132</v>
      </c>
      <c r="V170" s="18">
        <f t="shared" ca="1" si="470"/>
        <v>133.4915254237288</v>
      </c>
      <c r="W170" s="76"/>
      <c r="X170" s="8">
        <v>6</v>
      </c>
      <c r="Y170" s="8" t="s">
        <v>31</v>
      </c>
      <c r="Z170" s="8">
        <f t="shared" ref="Z170:AI170" si="478">SUM(D185)</f>
        <v>15</v>
      </c>
      <c r="AA170" s="9">
        <f t="shared" ca="1" si="478"/>
        <v>14</v>
      </c>
      <c r="AB170" s="11">
        <f t="shared" ca="1" si="478"/>
        <v>2694.83</v>
      </c>
      <c r="AC170" s="9">
        <f t="shared" ca="1" si="478"/>
        <v>804</v>
      </c>
      <c r="AD170" s="9">
        <f t="shared" ca="1" si="478"/>
        <v>8</v>
      </c>
      <c r="AE170" s="9">
        <f t="shared" ca="1" si="478"/>
        <v>812</v>
      </c>
      <c r="AF170" s="9">
        <f t="shared" ca="1" si="478"/>
        <v>834</v>
      </c>
      <c r="AG170" s="9">
        <f t="shared" ca="1" si="478"/>
        <v>55</v>
      </c>
      <c r="AH170" s="9">
        <f t="shared" ca="1" si="478"/>
        <v>889</v>
      </c>
      <c r="AI170" s="9">
        <f t="shared" ca="1" si="478"/>
        <v>1701</v>
      </c>
      <c r="AJ170" s="11">
        <f t="shared" ca="1" si="474"/>
        <v>192.48785714285714</v>
      </c>
      <c r="AK170" s="8">
        <f t="shared" si="475"/>
        <v>2717</v>
      </c>
      <c r="AL170" s="12">
        <f t="shared" ca="1" si="452"/>
        <v>0.6260581523739418</v>
      </c>
      <c r="AM170" s="13">
        <f t="shared" si="476"/>
        <v>1.5</v>
      </c>
      <c r="AN170" s="12">
        <f t="shared" ca="1" si="454"/>
        <v>0.42080576511319823</v>
      </c>
      <c r="AO170" s="14">
        <f t="shared" ca="1" si="455"/>
        <v>0.63120864766979734</v>
      </c>
      <c r="AP170" s="13">
        <f t="shared" ref="AP170:AQ170" ca="1" si="479">SUM(T185)</f>
        <v>61.999999999999993</v>
      </c>
      <c r="AQ170" s="13">
        <f t="shared" ca="1" si="479"/>
        <v>4.4285714285714279</v>
      </c>
      <c r="AR170" s="9">
        <f t="shared" ca="1" si="457"/>
        <v>121.5</v>
      </c>
      <c r="AS170" s="76"/>
      <c r="AT170" s="76"/>
    </row>
    <row r="171" spans="1:46" ht="15.75" customHeight="1" x14ac:dyDescent="0.25">
      <c r="A171" s="70"/>
      <c r="B171" s="16">
        <v>4</v>
      </c>
      <c r="C171" s="16" t="s">
        <v>32</v>
      </c>
      <c r="D171" s="17">
        <v>42</v>
      </c>
      <c r="E171" s="18">
        <f ca="1">IFERROR(__xludf.DUMMYFUNCTION("COUNT(IMPORTRANGE(""https://docs.google.com/spreadsheets/d/1Rmar8QqWK4XOJ-eY6xMzkAfDSw0srEXcAw89ilArun8/edit"",""7!d2:d43""))"),41)</f>
        <v>41</v>
      </c>
      <c r="F171" s="23">
        <f ca="1">IFERROR(__xludf.DUMMYFUNCTION("SUM(IMPORTRANGE(""https://docs.google.com/spreadsheets/d/1Rmar8QqWK4XOJ-eY6xMzkAfDSw0srEXcAw89ilArun8/edit"",""7!Q2:Q43""))"),8053.56899999999)</f>
        <v>8053.5689999999904</v>
      </c>
      <c r="G171" s="16">
        <f ca="1">IFERROR(__xludf.DUMMYFUNCTION("IMPORTRANGE(""https://docs.google.com/spreadsheets/d/1Rmar8QqWK4XOJ-eY6xMzkAfDSw0srEXcAw89ilArun8/edit"",""7!e50"")"),4366)</f>
        <v>4366</v>
      </c>
      <c r="H171" s="16">
        <f ca="1">IFERROR(__xludf.DUMMYFUNCTION("IMPORTRANGE(""https://docs.google.com/spreadsheets/d/1Rmar8QqWK4XOJ-eY6xMzkAfDSw0srEXcAw89ilArun8/edit"",""7!e51"")"),0)</f>
        <v>0</v>
      </c>
      <c r="I171" s="18">
        <f t="shared" ca="1" si="462"/>
        <v>4366</v>
      </c>
      <c r="J171" s="16">
        <f ca="1">IFERROR(__xludf.DUMMYFUNCTION("IMPORTRANGE(""https://docs.google.com/spreadsheets/d/1Rmar8QqWK4XOJ-eY6xMzkAfDSw0srEXcAw89ilArun8/edit"",""7!e54"")"),5040)</f>
        <v>5040</v>
      </c>
      <c r="K171" s="16">
        <f ca="1">IFERROR(__xludf.DUMMYFUNCTION("IMPORTRANGE(""https://docs.google.com/spreadsheets/d/1Rmar8QqWK4XOJ-eY6xMzkAfDSw0srEXcAw89ilArun8/edit"",""7!e55"")"),0)</f>
        <v>0</v>
      </c>
      <c r="L171" s="18">
        <f t="shared" ca="1" si="463"/>
        <v>5040</v>
      </c>
      <c r="M171" s="18">
        <f t="shared" ca="1" si="464"/>
        <v>9406</v>
      </c>
      <c r="N171" s="19">
        <f t="shared" ca="1" si="465"/>
        <v>196.42851219512173</v>
      </c>
      <c r="O171" s="16">
        <v>13817</v>
      </c>
      <c r="P171" s="20">
        <f t="shared" ca="1" si="466"/>
        <v>0.68075559093869875</v>
      </c>
      <c r="Q171" s="21">
        <v>1.5</v>
      </c>
      <c r="R171" s="20">
        <f t="shared" ca="1" si="467"/>
        <v>0.77861959916984314</v>
      </c>
      <c r="S171" s="22">
        <f t="shared" ca="1" si="468"/>
        <v>1.1679293987547648</v>
      </c>
      <c r="T171" s="21">
        <f ca="1">F171/25.089</f>
        <v>320.99999999999966</v>
      </c>
      <c r="U171" s="21">
        <f t="shared" ca="1" si="469"/>
        <v>7.8292682926829187</v>
      </c>
      <c r="V171" s="18">
        <f t="shared" ca="1" si="470"/>
        <v>229.41463414634146</v>
      </c>
      <c r="W171" s="76"/>
      <c r="X171" s="24" t="s">
        <v>33</v>
      </c>
      <c r="Y171" s="24">
        <v>6</v>
      </c>
      <c r="Z171" s="24">
        <f t="shared" ref="Z171:AI171" si="480">SUM(Z165:Z170)</f>
        <v>186</v>
      </c>
      <c r="AA171" s="25">
        <f t="shared" ca="1" si="480"/>
        <v>181</v>
      </c>
      <c r="AB171" s="26">
        <f t="shared" ca="1" si="480"/>
        <v>34893.433999999972</v>
      </c>
      <c r="AC171" s="25">
        <f t="shared" ca="1" si="480"/>
        <v>9847</v>
      </c>
      <c r="AD171" s="25">
        <f t="shared" ca="1" si="480"/>
        <v>326</v>
      </c>
      <c r="AE171" s="25">
        <f t="shared" ca="1" si="480"/>
        <v>10173</v>
      </c>
      <c r="AF171" s="25">
        <f t="shared" ca="1" si="480"/>
        <v>13433</v>
      </c>
      <c r="AG171" s="25">
        <f t="shared" ca="1" si="480"/>
        <v>700</v>
      </c>
      <c r="AH171" s="25">
        <f t="shared" ca="1" si="480"/>
        <v>14133</v>
      </c>
      <c r="AI171" s="25">
        <f t="shared" ca="1" si="480"/>
        <v>24306</v>
      </c>
      <c r="AJ171" s="27">
        <f t="shared" ca="1" si="474"/>
        <v>192.78140331491699</v>
      </c>
      <c r="AK171" s="24">
        <f>SUM(AK165:AK170)</f>
        <v>35074</v>
      </c>
      <c r="AL171" s="28">
        <f t="shared" ca="1" si="452"/>
        <v>0.6929919598563038</v>
      </c>
      <c r="AM171" s="29">
        <v>1.5</v>
      </c>
      <c r="AN171" s="28">
        <f t="shared" ca="1" si="454"/>
        <v>0.46438536258712776</v>
      </c>
      <c r="AO171" s="30">
        <f t="shared" ca="1" si="455"/>
        <v>0.69657804388069167</v>
      </c>
      <c r="AP171" s="29">
        <f ca="1">SUM(AP165:AP170)</f>
        <v>1314.3768148143963</v>
      </c>
      <c r="AQ171" s="29">
        <f ca="1">AP171/AA171</f>
        <v>7.2617503580905876</v>
      </c>
      <c r="AR171" s="25">
        <f t="shared" ca="1" si="457"/>
        <v>134.28729281767957</v>
      </c>
      <c r="AS171" s="76"/>
      <c r="AT171" s="76"/>
    </row>
    <row r="172" spans="1:46" ht="15.75" customHeight="1" x14ac:dyDescent="0.25">
      <c r="A172" s="70"/>
      <c r="B172" s="16">
        <v>5</v>
      </c>
      <c r="C172" s="16" t="s">
        <v>34</v>
      </c>
      <c r="D172" s="17">
        <v>40</v>
      </c>
      <c r="E172" s="18">
        <f ca="1">IFERROR(__xludf.DUMMYFUNCTION("COUNT(IMPORTRANGE(""https://docs.google.com/spreadsheets/d/1u99JxAoytGQQ8GcjxXl38CGdyEWy5uIbuJJHnsotyvk/edit"",""7!d2:d41""))"),40)</f>
        <v>40</v>
      </c>
      <c r="F172" s="23">
        <f ca="1">IFERROR(__xludf.DUMMYFUNCTION("SUM(IMPORTRANGE(""https://docs.google.com/spreadsheets/d/1u99JxAoytGQQ8GcjxXl38CGdyEWy5uIbuJJHnsotyvk/edit"",""7!Q2:Q41""))"),7907.406)</f>
        <v>7907.4059999999999</v>
      </c>
      <c r="G172" s="18">
        <f ca="1">IFERROR(__xludf.DUMMYFUNCTION("IMPORTRANGE(""https://docs.google.com/spreadsheets/d/1u99JxAoytGQQ8GcjxXl38CGdyEWy5uIbuJJHnsotyvk/edit"",""7!e48"")"),2527)</f>
        <v>2527</v>
      </c>
      <c r="H172" s="18">
        <f ca="1">IFERROR(__xludf.DUMMYFUNCTION("IMPORTRANGE(""https://docs.google.com/spreadsheets/d/1u99JxAoytGQQ8GcjxXl38CGdyEWy5uIbuJJHnsotyvk/edit"",""7!e49"")"),0)</f>
        <v>0</v>
      </c>
      <c r="I172" s="18">
        <f t="shared" ca="1" si="462"/>
        <v>2527</v>
      </c>
      <c r="J172" s="18">
        <f ca="1">IFERROR(__xludf.DUMMYFUNCTION("IMPORTRANGE(""https://docs.google.com/spreadsheets/d/1u99JxAoytGQQ8GcjxXl38CGdyEWy5uIbuJJHnsotyvk/edit"",""7!e52"")"),2370)</f>
        <v>2370</v>
      </c>
      <c r="K172" s="18">
        <f ca="1">IFERROR(__xludf.DUMMYFUNCTION("IMPORTRANGE(""https://docs.google.com/spreadsheets/d/1u99JxAoytGQQ8GcjxXl38CGdyEWy5uIbuJJHnsotyvk/edit"",""7!e53"")"),0)</f>
        <v>0</v>
      </c>
      <c r="L172" s="18">
        <f t="shared" ca="1" si="463"/>
        <v>2370</v>
      </c>
      <c r="M172" s="18">
        <f t="shared" ca="1" si="464"/>
        <v>4897</v>
      </c>
      <c r="N172" s="19">
        <f t="shared" ca="1" si="465"/>
        <v>197.68514999999999</v>
      </c>
      <c r="O172" s="16">
        <v>9354</v>
      </c>
      <c r="P172" s="20">
        <f t="shared" ca="1" si="466"/>
        <v>0.52351935001069061</v>
      </c>
      <c r="Q172" s="21">
        <v>1.5</v>
      </c>
      <c r="R172" s="20">
        <f t="shared" ca="1" si="467"/>
        <v>0.4128619001815092</v>
      </c>
      <c r="S172" s="22">
        <f t="shared" ca="1" si="468"/>
        <v>0.61929285027226377</v>
      </c>
      <c r="T172" s="21">
        <f ca="1">F172/30.713</f>
        <v>257.4612053527822</v>
      </c>
      <c r="U172" s="21">
        <f t="shared" ca="1" si="469"/>
        <v>6.4365301338195549</v>
      </c>
      <c r="V172" s="18">
        <f t="shared" ca="1" si="470"/>
        <v>122.425</v>
      </c>
      <c r="W172" s="76"/>
      <c r="X172" s="100" t="s">
        <v>35</v>
      </c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9"/>
      <c r="AS172" s="76"/>
      <c r="AT172" s="76"/>
    </row>
    <row r="173" spans="1:46" ht="15.75" customHeight="1" x14ac:dyDescent="0.25">
      <c r="A173" s="70"/>
      <c r="B173" s="16">
        <v>6</v>
      </c>
      <c r="C173" s="16" t="s">
        <v>23</v>
      </c>
      <c r="D173" s="17">
        <v>35</v>
      </c>
      <c r="E173" s="18">
        <f ca="1">IFERROR(__xludf.DUMMYFUNCTION("COUNT(IMPORTRANGE(""https://docs.google.com/spreadsheets/d/1uVc-vnTn57HE53lwrUYNZP4sGKTXisrqOoZ-6EyvLzY/edit"",""7!d2:d36""))"),33)</f>
        <v>33</v>
      </c>
      <c r="F173" s="23">
        <f ca="1">IFERROR(__xludf.DUMMYFUNCTION("SUM(IMPORTRANGE(""https://docs.google.com/spreadsheets/d/1uVc-vnTn57HE53lwrUYNZP4sGKTXisrqOoZ-6EyvLzY/edit"",""7!Q2:Q36""))"),6579.29999999999)</f>
        <v>6579.2999999999902</v>
      </c>
      <c r="G173" s="18">
        <f ca="1">IFERROR(__xludf.DUMMYFUNCTION("IMPORTRANGE(""https://docs.google.com/spreadsheets/d/1uVc-vnTn57HE53lwrUYNZP4sGKTXisrqOoZ-6EyvLzY/edit"",""7!e43"")"),1520)</f>
        <v>1520</v>
      </c>
      <c r="H173" s="18">
        <f ca="1">IFERROR(__xludf.DUMMYFUNCTION("IMPORTRANGE(""https://docs.google.com/spreadsheets/d/1uVc-vnTn57HE53lwrUYNZP4sGKTXisrqOoZ-6EyvLzY/edit"",""7!e44"")"),0)</f>
        <v>0</v>
      </c>
      <c r="I173" s="18">
        <f t="shared" ca="1" si="462"/>
        <v>1520</v>
      </c>
      <c r="J173" s="18">
        <f ca="1">IFERROR(__xludf.DUMMYFUNCTION("IMPORTRANGE(""https://docs.google.com/spreadsheets/d/1uVc-vnTn57HE53lwrUYNZP4sGKTXisrqOoZ-6EyvLzY/edit"",""7!e47"")"),3110)</f>
        <v>3110</v>
      </c>
      <c r="K173" s="18">
        <f ca="1">IFERROR(__xludf.DUMMYFUNCTION("IMPORTRANGE(""https://docs.google.com/spreadsheets/d/1uVc-vnTn57HE53lwrUYNZP4sGKTXisrqOoZ-6EyvLzY/edit"",""7!e48"")"),0)</f>
        <v>0</v>
      </c>
      <c r="L173" s="18">
        <f t="shared" ca="1" si="463"/>
        <v>3110</v>
      </c>
      <c r="M173" s="18">
        <f t="shared" ca="1" si="464"/>
        <v>4630</v>
      </c>
      <c r="N173" s="19">
        <f t="shared" ca="1" si="465"/>
        <v>199.37272727272696</v>
      </c>
      <c r="O173" s="16">
        <v>6853</v>
      </c>
      <c r="P173" s="20">
        <f t="shared" ca="1" si="466"/>
        <v>0.67561651831314751</v>
      </c>
      <c r="Q173" s="21">
        <v>1.5</v>
      </c>
      <c r="R173" s="20">
        <f t="shared" ca="1" si="467"/>
        <v>0.46914818699051136</v>
      </c>
      <c r="S173" s="22">
        <f t="shared" ca="1" si="468"/>
        <v>0.70372228048576702</v>
      </c>
      <c r="T173" s="21">
        <f ca="1">F173/33.74</f>
        <v>194.99999999999969</v>
      </c>
      <c r="U173" s="21">
        <f t="shared" ca="1" si="469"/>
        <v>5.9090909090908994</v>
      </c>
      <c r="V173" s="18">
        <f t="shared" ca="1" si="470"/>
        <v>140.30303030303031</v>
      </c>
      <c r="W173" s="76"/>
      <c r="X173" s="1" t="s">
        <v>2</v>
      </c>
      <c r="Y173" s="1" t="s">
        <v>3</v>
      </c>
      <c r="Z173" s="1" t="s">
        <v>4</v>
      </c>
      <c r="AA173" s="1" t="s">
        <v>5</v>
      </c>
      <c r="AB173" s="2" t="s">
        <v>6</v>
      </c>
      <c r="AC173" s="1" t="s">
        <v>7</v>
      </c>
      <c r="AD173" s="1" t="s">
        <v>8</v>
      </c>
      <c r="AE173" s="1" t="s">
        <v>9</v>
      </c>
      <c r="AF173" s="1" t="s">
        <v>10</v>
      </c>
      <c r="AG173" s="1" t="s">
        <v>11</v>
      </c>
      <c r="AH173" s="1" t="s">
        <v>12</v>
      </c>
      <c r="AI173" s="1" t="s">
        <v>13</v>
      </c>
      <c r="AJ173" s="2" t="s">
        <v>14</v>
      </c>
      <c r="AK173" s="1" t="s">
        <v>15</v>
      </c>
      <c r="AL173" s="1" t="s">
        <v>16</v>
      </c>
      <c r="AM173" s="3" t="s">
        <v>17</v>
      </c>
      <c r="AN173" s="4" t="s">
        <v>18</v>
      </c>
      <c r="AO173" s="5" t="s">
        <v>19</v>
      </c>
      <c r="AP173" s="6" t="s">
        <v>20</v>
      </c>
      <c r="AQ173" s="6" t="s">
        <v>21</v>
      </c>
      <c r="AR173" s="7" t="s">
        <v>22</v>
      </c>
      <c r="AS173" s="76"/>
      <c r="AT173" s="76"/>
    </row>
    <row r="174" spans="1:46" ht="15.75" customHeight="1" x14ac:dyDescent="0.25">
      <c r="A174" s="70"/>
      <c r="B174" s="16">
        <v>7</v>
      </c>
      <c r="C174" s="16" t="s">
        <v>24</v>
      </c>
      <c r="D174" s="17">
        <v>44</v>
      </c>
      <c r="E174" s="31">
        <f ca="1">IFERROR(__xludf.DUMMYFUNCTION("COUNT(IMPORTRANGE(""https://docs.google.com/spreadsheets/d/1iuPvivSypupo44l6GtmR-2qZ3za7cTk7KzsOVp_kv2c/edit"",""7!d2:d45""))"),43)</f>
        <v>43</v>
      </c>
      <c r="F174" s="32">
        <f ca="1">IFERROR(__xludf.DUMMYFUNCTION("SUM(IMPORTRANGE(""https://docs.google.com/spreadsheets/d/1iuPvivSypupo44l6GtmR-2qZ3za7cTk7KzsOVp_kv2c/edit"",""7!Q2:Q45""))"),8211.62099999999)</f>
        <v>8211.6209999999901</v>
      </c>
      <c r="G174" s="31">
        <f ca="1">IFERROR(__xludf.DUMMYFUNCTION("IMPORTRANGE(""https://docs.google.com/spreadsheets/d/1iuPvivSypupo44l6GtmR-2qZ3za7cTk7KzsOVp_kv2c/edit"",""7!e53"")"),1202)</f>
        <v>1202</v>
      </c>
      <c r="H174" s="31">
        <f ca="1">IFERROR(__xludf.DUMMYFUNCTION("IMPORTRANGE(""https://docs.google.com/spreadsheets/d/1iuPvivSypupo44l6GtmR-2qZ3za7cTk7KzsOVp_kv2c/edit"",""7!e54"")"),0)</f>
        <v>0</v>
      </c>
      <c r="I174" s="31">
        <f t="shared" ca="1" si="462"/>
        <v>1202</v>
      </c>
      <c r="J174" s="31">
        <f ca="1">IFERROR(__xludf.DUMMYFUNCTION("IMPORTRANGE(""https://docs.google.com/spreadsheets/d/1iuPvivSypupo44l6GtmR-2qZ3za7cTk7KzsOVp_kv2c/edit"",""7!e57"")"),1208)</f>
        <v>1208</v>
      </c>
      <c r="K174" s="31">
        <f ca="1">IFERROR(__xludf.DUMMYFUNCTION("IMPORTRANGE(""https://docs.google.com/spreadsheets/d/1iuPvivSypupo44l6GtmR-2qZ3za7cTk7KzsOVp_kv2c/edit"",""7!e58"")"),143)</f>
        <v>143</v>
      </c>
      <c r="L174" s="18">
        <f t="shared" ca="1" si="463"/>
        <v>1351</v>
      </c>
      <c r="M174" s="18">
        <f t="shared" ca="1" si="464"/>
        <v>2553</v>
      </c>
      <c r="N174" s="19">
        <f t="shared" ca="1" si="465"/>
        <v>190.9679302325579</v>
      </c>
      <c r="O174" s="16">
        <v>1580</v>
      </c>
      <c r="P174" s="33">
        <f t="shared" ca="1" si="466"/>
        <v>1.6158227848101265</v>
      </c>
      <c r="Q174" s="21">
        <v>1.5</v>
      </c>
      <c r="R174" s="20">
        <f t="shared" ca="1" si="467"/>
        <v>0.20726723749184262</v>
      </c>
      <c r="S174" s="22">
        <f t="shared" ca="1" si="468"/>
        <v>0.31090085623776392</v>
      </c>
      <c r="T174" s="21">
        <f ca="1">F174/26.805</f>
        <v>306.34661443760456</v>
      </c>
      <c r="U174" s="21">
        <f t="shared" ca="1" si="469"/>
        <v>7.1243398706419665</v>
      </c>
      <c r="V174" s="18">
        <f t="shared" ca="1" si="470"/>
        <v>59.372093023255815</v>
      </c>
      <c r="W174" s="76"/>
      <c r="X174" s="8">
        <v>1</v>
      </c>
      <c r="Y174" s="8" t="s">
        <v>28</v>
      </c>
      <c r="Z174" s="8">
        <f t="shared" ref="Z174:AI174" si="481">SUM(D169)</f>
        <v>33</v>
      </c>
      <c r="AA174" s="9">
        <f t="shared" ca="1" si="481"/>
        <v>32</v>
      </c>
      <c r="AB174" s="11">
        <f t="shared" ca="1" si="481"/>
        <v>6188.9659999999903</v>
      </c>
      <c r="AC174" s="9">
        <f t="shared" ca="1" si="481"/>
        <v>1986</v>
      </c>
      <c r="AD174" s="9">
        <f t="shared" ca="1" si="481"/>
        <v>131</v>
      </c>
      <c r="AE174" s="9">
        <f t="shared" ca="1" si="481"/>
        <v>2117</v>
      </c>
      <c r="AF174" s="9">
        <f t="shared" ca="1" si="481"/>
        <v>2048</v>
      </c>
      <c r="AG174" s="9">
        <f t="shared" ca="1" si="481"/>
        <v>149</v>
      </c>
      <c r="AH174" s="9">
        <f t="shared" ca="1" si="481"/>
        <v>2197</v>
      </c>
      <c r="AI174" s="9">
        <f t="shared" ca="1" si="481"/>
        <v>4314</v>
      </c>
      <c r="AJ174" s="11">
        <f t="shared" ref="AJ174:AJ180" ca="1" si="482">AB174/AA174</f>
        <v>193.4051874999997</v>
      </c>
      <c r="AK174" s="8">
        <f t="shared" ref="AK174:AK175" si="483">SUM(O169)</f>
        <v>7315</v>
      </c>
      <c r="AL174" s="12">
        <f t="shared" ref="AL174:AL180" ca="1" si="484">AI174/AK174</f>
        <v>0.58974709501025291</v>
      </c>
      <c r="AM174" s="13">
        <f t="shared" ref="AM174:AM175" si="485">SUM(Q169)</f>
        <v>1.5</v>
      </c>
      <c r="AN174" s="12">
        <f t="shared" ref="AN174:AN180" ca="1" si="486">AO174/AM174</f>
        <v>0.46469798024419662</v>
      </c>
      <c r="AO174" s="14">
        <f t="shared" ref="AO174:AO180" ca="1" si="487">AI174/AB174</f>
        <v>0.69704697036629493</v>
      </c>
      <c r="AP174" s="13">
        <f t="shared" ref="AP174:AQ174" ca="1" si="488">SUM(T169)</f>
        <v>200.3096093471855</v>
      </c>
      <c r="AQ174" s="13">
        <f t="shared" ca="1" si="488"/>
        <v>6.2596752920995469</v>
      </c>
      <c r="AR174" s="9">
        <f t="shared" ref="AR174:AR180" ca="1" si="489">AI174/AA174</f>
        <v>134.8125</v>
      </c>
      <c r="AS174" s="76"/>
      <c r="AT174" s="76"/>
    </row>
    <row r="175" spans="1:46" ht="15.75" customHeight="1" x14ac:dyDescent="0.25">
      <c r="A175" s="70"/>
      <c r="B175" s="16">
        <v>8</v>
      </c>
      <c r="C175" s="16" t="s">
        <v>25</v>
      </c>
      <c r="D175" s="34">
        <v>32</v>
      </c>
      <c r="E175" s="18">
        <f ca="1">IFERROR(__xludf.DUMMYFUNCTION("COUNT(IMPORTRANGE(""https://docs.google.com/spreadsheets/d/1sqWX7UerdR9KR_duBzDNfjwbPG-3hLgV1LiN2ZVZ6Js/edit"",""7!d2:D33""))"),32)</f>
        <v>32</v>
      </c>
      <c r="F175" s="23">
        <f ca="1">IFERROR(__xludf.DUMMYFUNCTION("SUM(IMPORTRANGE(""https://docs.google.com/spreadsheets/d/1sqWX7UerdR9KR_duBzDNfjwbPG-3hLgV1LiN2ZVZ6Js/edit"",""7!Q2:Q33""))"),6020.484)</f>
        <v>6020.4840000000004</v>
      </c>
      <c r="G175" s="18">
        <f ca="1">IFERROR(__xludf.DUMMYFUNCTION("IMPORTRANGE(""https://docs.google.com/spreadsheets/d/1sqWX7UerdR9KR_duBzDNfjwbPG-3hLgV1LiN2ZVZ6Js/edit"",""7!e40"")"),1973)</f>
        <v>1973</v>
      </c>
      <c r="H175" s="18">
        <f ca="1">IFERROR(__xludf.DUMMYFUNCTION("IMPORTRANGE(""https://docs.google.com/spreadsheets/d/1sqWX7UerdR9KR_duBzDNfjwbPG-3hLgV1LiN2ZVZ6Js/edit"",""7!e41"")"),318)</f>
        <v>318</v>
      </c>
      <c r="I175" s="18">
        <f t="shared" ca="1" si="462"/>
        <v>2291</v>
      </c>
      <c r="J175" s="18">
        <f ca="1">IFERROR(__xludf.DUMMYFUNCTION("IMPORTRANGE(""https://docs.google.com/spreadsheets/d/1sqWX7UerdR9KR_duBzDNfjwbPG-3hLgV1LiN2ZVZ6Js/edit"",""7!e44"")"),2447)</f>
        <v>2447</v>
      </c>
      <c r="K175" s="18">
        <f ca="1">IFERROR(__xludf.DUMMYFUNCTION("IMPORTRANGE(""https://docs.google.com/spreadsheets/d/1sqWX7UerdR9KR_duBzDNfjwbPG-3hLgV1LiN2ZVZ6Js/edit"",""7!e45"")"),332)</f>
        <v>332</v>
      </c>
      <c r="L175" s="18">
        <f ca="1">J175+K175</f>
        <v>2779</v>
      </c>
      <c r="M175" s="18">
        <f t="shared" ca="1" si="464"/>
        <v>5070</v>
      </c>
      <c r="N175" s="19">
        <f t="shared" ca="1" si="465"/>
        <v>188.14012500000001</v>
      </c>
      <c r="O175" s="16">
        <v>6622</v>
      </c>
      <c r="P175" s="20">
        <f t="shared" ca="1" si="466"/>
        <v>0.76562971911809119</v>
      </c>
      <c r="Q175" s="21">
        <v>1.5</v>
      </c>
      <c r="R175" s="20">
        <f t="shared" ca="1" si="467"/>
        <v>0.5614166568667901</v>
      </c>
      <c r="S175" s="22">
        <f t="shared" ca="1" si="468"/>
        <v>0.84212498530018509</v>
      </c>
      <c r="T175" s="21">
        <f ca="1">F175/23.84</f>
        <v>252.53708053691278</v>
      </c>
      <c r="U175" s="21">
        <f t="shared" ca="1" si="469"/>
        <v>7.8917837667785244</v>
      </c>
      <c r="V175" s="18">
        <f t="shared" ca="1" si="470"/>
        <v>158.4375</v>
      </c>
      <c r="W175" s="76"/>
      <c r="X175" s="8">
        <v>2</v>
      </c>
      <c r="Y175" s="8" t="s">
        <v>30</v>
      </c>
      <c r="Z175" s="8">
        <f t="shared" ref="Z175:AI175" si="490">SUM(D170)</f>
        <v>60</v>
      </c>
      <c r="AA175" s="9">
        <f t="shared" ca="1" si="490"/>
        <v>59</v>
      </c>
      <c r="AB175" s="10">
        <f t="shared" ca="1" si="490"/>
        <v>11299.851999999901</v>
      </c>
      <c r="AC175" s="9">
        <f t="shared" ca="1" si="490"/>
        <v>3146</v>
      </c>
      <c r="AD175" s="9">
        <f t="shared" ca="1" si="490"/>
        <v>0</v>
      </c>
      <c r="AE175" s="9">
        <f t="shared" ca="1" si="490"/>
        <v>3146</v>
      </c>
      <c r="AF175" s="9">
        <f t="shared" ca="1" si="490"/>
        <v>4610</v>
      </c>
      <c r="AG175" s="9">
        <f t="shared" ca="1" si="490"/>
        <v>120</v>
      </c>
      <c r="AH175" s="9">
        <f t="shared" ca="1" si="490"/>
        <v>4730</v>
      </c>
      <c r="AI175" s="9">
        <f t="shared" ca="1" si="490"/>
        <v>7876</v>
      </c>
      <c r="AJ175" s="11">
        <f t="shared" ca="1" si="482"/>
        <v>191.52291525423561</v>
      </c>
      <c r="AK175" s="8">
        <f t="shared" si="483"/>
        <v>11164</v>
      </c>
      <c r="AL175" s="12">
        <f t="shared" ca="1" si="484"/>
        <v>0.70548190612683626</v>
      </c>
      <c r="AM175" s="13">
        <f t="shared" si="485"/>
        <v>1.5</v>
      </c>
      <c r="AN175" s="12">
        <f t="shared" ca="1" si="486"/>
        <v>0.46466685286379966</v>
      </c>
      <c r="AO175" s="14">
        <f t="shared" ca="1" si="487"/>
        <v>0.69700027929569952</v>
      </c>
      <c r="AP175" s="13">
        <f t="shared" ref="AP175:AQ175" ca="1" si="491">SUM(T170)</f>
        <v>381.71306962131877</v>
      </c>
      <c r="AQ175" s="13">
        <f t="shared" ca="1" si="491"/>
        <v>6.469713044429132</v>
      </c>
      <c r="AR175" s="9">
        <f t="shared" ca="1" si="489"/>
        <v>133.4915254237288</v>
      </c>
      <c r="AS175" s="76"/>
      <c r="AT175" s="76"/>
    </row>
    <row r="176" spans="1:46" ht="15.75" customHeight="1" x14ac:dyDescent="0.25">
      <c r="A176" s="70"/>
      <c r="B176" s="16">
        <v>9</v>
      </c>
      <c r="C176" s="16" t="s">
        <v>36</v>
      </c>
      <c r="D176" s="34">
        <v>30</v>
      </c>
      <c r="E176" s="18">
        <f ca="1">IFERROR(__xludf.DUMMYFUNCTION("COUNT(IMPORTRANGE(""https://docs.google.com/spreadsheets/d/1YNna43iTSqnwwbMJgTIPHSJEoDO8RGPRFg5pJCoQR_Y/edit"",""7!d2:d31""))"),29)</f>
        <v>29</v>
      </c>
      <c r="F176" s="23">
        <f ca="1">IFERROR(__xludf.DUMMYFUNCTION("SUM(IMPORTRANGE(""https://docs.google.com/spreadsheets/d/1YNna43iTSqnwwbMJgTIPHSJEoDO8RGPRFg5pJCoQR_Y/edit"",""7!Q2:Q31""))"),5755.372)</f>
        <v>5755.3720000000003</v>
      </c>
      <c r="G176" s="18">
        <f ca="1">IFERROR(__xludf.DUMMYFUNCTION("IMPORTRANGE(""https://docs.google.com/spreadsheets/d/1YNna43iTSqnwwbMJgTIPHSJEoDO8RGPRFg5pJCoQR_Y/edit"",""7!e38"")"),1483)</f>
        <v>1483</v>
      </c>
      <c r="H176" s="18">
        <f ca="1">IFERROR(__xludf.DUMMYFUNCTION("IMPORTRANGE(""https://docs.google.com/spreadsheets/d/1YNna43iTSqnwwbMJgTIPHSJEoDO8RGPRFg5pJCoQR_Y/edit"",""7!e39"")"),0)</f>
        <v>0</v>
      </c>
      <c r="I176" s="18">
        <f t="shared" ca="1" si="462"/>
        <v>1483</v>
      </c>
      <c r="J176" s="18">
        <f ca="1">IFERROR(__xludf.DUMMYFUNCTION("IMPORTRANGE(""https://docs.google.com/spreadsheets/d/1YNna43iTSqnwwbMJgTIPHSJEoDO8RGPRFg5pJCoQR_Y/edit"",""7!e42"")"),1978)</f>
        <v>1978</v>
      </c>
      <c r="K176" s="18">
        <f ca="1">IFERROR(__xludf.DUMMYFUNCTION("IMPORTRANGE(""https://docs.google.com/spreadsheets/d/1YNna43iTSqnwwbMJgTIPHSJEoDO8RGPRFg5pJCoQR_Y/edit"",""7!e43"")"),0)</f>
        <v>0</v>
      </c>
      <c r="L176" s="18">
        <f t="shared" ref="L176:L185" ca="1" si="492">SUM(J176:K176)</f>
        <v>1978</v>
      </c>
      <c r="M176" s="18">
        <f t="shared" ca="1" si="464"/>
        <v>3461</v>
      </c>
      <c r="N176" s="19">
        <f t="shared" ca="1" si="465"/>
        <v>198.46110344827588</v>
      </c>
      <c r="O176" s="16">
        <v>4796</v>
      </c>
      <c r="P176" s="20">
        <f t="shared" ca="1" si="466"/>
        <v>0.72164303586321932</v>
      </c>
      <c r="Q176" s="21">
        <v>1.5</v>
      </c>
      <c r="R176" s="20">
        <f t="shared" ca="1" si="467"/>
        <v>0.40090081637352598</v>
      </c>
      <c r="S176" s="22">
        <f t="shared" ca="1" si="468"/>
        <v>0.601351224560289</v>
      </c>
      <c r="T176" s="21">
        <f ca="1">F176/37.414</f>
        <v>153.8293686855188</v>
      </c>
      <c r="U176" s="21">
        <f t="shared" ca="1" si="469"/>
        <v>5.304460989155821</v>
      </c>
      <c r="V176" s="18">
        <f t="shared" ca="1" si="470"/>
        <v>119.34482758620689</v>
      </c>
      <c r="W176" s="76"/>
      <c r="X176" s="8">
        <v>3</v>
      </c>
      <c r="Y176" s="8" t="s">
        <v>34</v>
      </c>
      <c r="Z176" s="8">
        <f t="shared" ref="Z176:AI176" si="493">SUM(D172)</f>
        <v>40</v>
      </c>
      <c r="AA176" s="9">
        <f t="shared" ca="1" si="493"/>
        <v>40</v>
      </c>
      <c r="AB176" s="10">
        <f t="shared" ca="1" si="493"/>
        <v>7907.4059999999999</v>
      </c>
      <c r="AC176" s="9">
        <f t="shared" ca="1" si="493"/>
        <v>2527</v>
      </c>
      <c r="AD176" s="9">
        <f t="shared" ca="1" si="493"/>
        <v>0</v>
      </c>
      <c r="AE176" s="9">
        <f t="shared" ca="1" si="493"/>
        <v>2527</v>
      </c>
      <c r="AF176" s="9">
        <f t="shared" ca="1" si="493"/>
        <v>2370</v>
      </c>
      <c r="AG176" s="9">
        <f t="shared" ca="1" si="493"/>
        <v>0</v>
      </c>
      <c r="AH176" s="9">
        <f t="shared" ca="1" si="493"/>
        <v>2370</v>
      </c>
      <c r="AI176" s="9">
        <f t="shared" ca="1" si="493"/>
        <v>4897</v>
      </c>
      <c r="AJ176" s="11">
        <f t="shared" ca="1" si="482"/>
        <v>197.68514999999999</v>
      </c>
      <c r="AK176" s="8">
        <f>SUM(O172)</f>
        <v>9354</v>
      </c>
      <c r="AL176" s="12">
        <f t="shared" ca="1" si="484"/>
        <v>0.52351935001069061</v>
      </c>
      <c r="AM176" s="13">
        <f>SUM(Q172)</f>
        <v>1.5</v>
      </c>
      <c r="AN176" s="12">
        <f t="shared" ca="1" si="486"/>
        <v>0.4128619001815092</v>
      </c>
      <c r="AO176" s="14">
        <f t="shared" ca="1" si="487"/>
        <v>0.61929285027226377</v>
      </c>
      <c r="AP176" s="13">
        <f t="shared" ref="AP176:AQ176" ca="1" si="494">SUM(T172)</f>
        <v>257.4612053527822</v>
      </c>
      <c r="AQ176" s="13">
        <f t="shared" ca="1" si="494"/>
        <v>6.4365301338195549</v>
      </c>
      <c r="AR176" s="9">
        <f t="shared" ca="1" si="489"/>
        <v>122.425</v>
      </c>
      <c r="AS176" s="76"/>
      <c r="AT176" s="76"/>
    </row>
    <row r="177" spans="1:46" ht="15.75" customHeight="1" x14ac:dyDescent="0.25">
      <c r="A177" s="70"/>
      <c r="B177" s="16">
        <v>10</v>
      </c>
      <c r="C177" s="16" t="s">
        <v>37</v>
      </c>
      <c r="D177" s="17">
        <v>30</v>
      </c>
      <c r="E177" s="18">
        <f ca="1">IFERROR(__xludf.DUMMYFUNCTION("COUNT(IMPORTRANGE(""https://docs.google.com/spreadsheets/d/1913Df5BsXS_b-nClL8LOK5w0engQYTl1mPOiyngRtO0/edit"",""7!d2:d31""))"),29)</f>
        <v>29</v>
      </c>
      <c r="F177" s="23">
        <f ca="1">IFERROR(__xludf.DUMMYFUNCTION("SUM(IMPORTRANGE(""https://docs.google.com/spreadsheets/d/1913Df5BsXS_b-nClL8LOK5w0engQYTl1mPOiyngRtO0/edit"",""7!Q2:Q31""))"),5600.36999999999)</f>
        <v>5600.3699999999899</v>
      </c>
      <c r="G177" s="18">
        <f ca="1">IFERROR(__xludf.DUMMYFUNCTION("(IMPORTRANGE(""https://docs.google.com/spreadsheets/d/1913Df5BsXS_b-nClL8LOK5w0engQYTl1mPOiyngRtO0/edit"",""7!e38""))"),2078)</f>
        <v>2078</v>
      </c>
      <c r="H177" s="18">
        <f ca="1">IFERROR(__xludf.DUMMYFUNCTION("(IMPORTRANGE(""https://docs.google.com/spreadsheets/d/1913Df5BsXS_b-nClL8LOK5w0engQYTl1mPOiyngRtO0/edit"",""7!e39""))"),0)</f>
        <v>0</v>
      </c>
      <c r="I177" s="18">
        <f t="shared" ca="1" si="462"/>
        <v>2078</v>
      </c>
      <c r="J177" s="18">
        <f ca="1">IFERROR(__xludf.DUMMYFUNCTION("(IMPORTRANGE(""https://docs.google.com/spreadsheets/d/1913Df5BsXS_b-nClL8LOK5w0engQYTl1mPOiyngRtO0/edit"",""7!e42""))"),2651)</f>
        <v>2651</v>
      </c>
      <c r="K177" s="18">
        <f ca="1">IFERROR(__xludf.DUMMYFUNCTION("(IMPORTRANGE(""https://docs.google.com/spreadsheets/d/1913Df5BsXS_b-nClL8LOK5w0engQYTl1mPOiyngRtO0/edit"",""7!e43""))"),0)</f>
        <v>0</v>
      </c>
      <c r="L177" s="18">
        <f t="shared" ca="1" si="492"/>
        <v>2651</v>
      </c>
      <c r="M177" s="18">
        <f t="shared" ca="1" si="464"/>
        <v>4729</v>
      </c>
      <c r="N177" s="19">
        <f t="shared" ca="1" si="465"/>
        <v>193.11620689655138</v>
      </c>
      <c r="O177" s="16">
        <v>5887</v>
      </c>
      <c r="P177" s="20">
        <f t="shared" ca="1" si="466"/>
        <v>0.80329539663665706</v>
      </c>
      <c r="Q177" s="21">
        <v>1.5</v>
      </c>
      <c r="R177" s="20">
        <f t="shared" ca="1" si="467"/>
        <v>0.56293899629250788</v>
      </c>
      <c r="S177" s="22">
        <f t="shared" ca="1" si="468"/>
        <v>0.84440849443876187</v>
      </c>
      <c r="T177" s="21">
        <f ca="1">F177/24.792</f>
        <v>225.89424007744392</v>
      </c>
      <c r="U177" s="21">
        <f t="shared" ca="1" si="469"/>
        <v>7.7894565543946177</v>
      </c>
      <c r="V177" s="18">
        <f t="shared" ca="1" si="470"/>
        <v>163.06896551724137</v>
      </c>
      <c r="W177" s="76"/>
      <c r="X177" s="8">
        <v>4</v>
      </c>
      <c r="Y177" s="8" t="s">
        <v>38</v>
      </c>
      <c r="Z177" s="8">
        <f t="shared" ref="Z177:AI177" si="495">SUM(D180)</f>
        <v>30</v>
      </c>
      <c r="AA177" s="9">
        <f t="shared" ca="1" si="495"/>
        <v>30</v>
      </c>
      <c r="AB177" s="10">
        <f t="shared" ca="1" si="495"/>
        <v>6201.8679999999904</v>
      </c>
      <c r="AC177" s="9">
        <f t="shared" ca="1" si="495"/>
        <v>1665</v>
      </c>
      <c r="AD177" s="9">
        <f t="shared" ca="1" si="495"/>
        <v>0</v>
      </c>
      <c r="AE177" s="9">
        <f t="shared" ca="1" si="495"/>
        <v>1665</v>
      </c>
      <c r="AF177" s="9">
        <f t="shared" ca="1" si="495"/>
        <v>3053</v>
      </c>
      <c r="AG177" s="9">
        <f t="shared" ca="1" si="495"/>
        <v>276</v>
      </c>
      <c r="AH177" s="9">
        <f t="shared" ca="1" si="495"/>
        <v>3329</v>
      </c>
      <c r="AI177" s="9">
        <f t="shared" ca="1" si="495"/>
        <v>4994</v>
      </c>
      <c r="AJ177" s="11">
        <f t="shared" ca="1" si="482"/>
        <v>206.728933333333</v>
      </c>
      <c r="AK177" s="8">
        <v>7324</v>
      </c>
      <c r="AL177" s="12">
        <f t="shared" ca="1" si="484"/>
        <v>0.68186783178590937</v>
      </c>
      <c r="AM177" s="13">
        <f>SUM(Q180)</f>
        <v>1.5</v>
      </c>
      <c r="AN177" s="12">
        <f t="shared" ca="1" si="486"/>
        <v>0.53682750637926169</v>
      </c>
      <c r="AO177" s="14">
        <f t="shared" ca="1" si="487"/>
        <v>0.80524125956889248</v>
      </c>
      <c r="AP177" s="13">
        <f t="shared" ref="AP177:AQ177" ca="1" si="496">SUM(T180)</f>
        <v>150.51251061764327</v>
      </c>
      <c r="AQ177" s="13">
        <f t="shared" ca="1" si="496"/>
        <v>5.0170836872547762</v>
      </c>
      <c r="AR177" s="9">
        <f t="shared" ca="1" si="489"/>
        <v>166.46666666666667</v>
      </c>
      <c r="AS177" s="76"/>
      <c r="AT177" s="76"/>
    </row>
    <row r="178" spans="1:46" ht="15.75" customHeight="1" x14ac:dyDescent="0.25">
      <c r="A178" s="70"/>
      <c r="B178" s="16">
        <v>12</v>
      </c>
      <c r="C178" s="16" t="s">
        <v>39</v>
      </c>
      <c r="D178" s="17">
        <v>28</v>
      </c>
      <c r="E178" s="18">
        <f ca="1">IFERROR(__xludf.DUMMYFUNCTION("COUNT(IMPORTRANGE(""https://docs.google.com/spreadsheets/d/1wMeol_MpSIcocGxt3WZGl46mJ2tc80mANPvP_YzaP18/edit"",""7!d2:d29""))"),28)</f>
        <v>28</v>
      </c>
      <c r="F178" s="23">
        <f ca="1">IFERROR(__xludf.DUMMYFUNCTION("SUM(IMPORTRANGE(""https://docs.google.com/spreadsheets/d/1wMeol_MpSIcocGxt3WZGl46mJ2tc80mANPvP_YzaP18/edit"",""7!Q2:Q29""))"),5544.72999999999)</f>
        <v>5544.7299999999896</v>
      </c>
      <c r="G178" s="18">
        <f ca="1">IFERROR(__xludf.DUMMYFUNCTION("IMPORTRANGE(""https://docs.google.com/spreadsheets/d/1wMeol_MpSIcocGxt3WZGl46mJ2tc80mANPvP_YzaP18/edit"",""7!e36"")"),1207)</f>
        <v>1207</v>
      </c>
      <c r="H178" s="18">
        <f ca="1">IFERROR(__xludf.DUMMYFUNCTION("(IMPORTRANGE(""https://docs.google.com/spreadsheets/d/1wMeol_MpSIcocGxt3WZGl46mJ2tc80mANPvP_YzaP18/edit"",""7!e37""))"),0)</f>
        <v>0</v>
      </c>
      <c r="I178" s="18">
        <f t="shared" ca="1" si="462"/>
        <v>1207</v>
      </c>
      <c r="J178" s="18">
        <f ca="1">IFERROR(__xludf.DUMMYFUNCTION("IMPORTRANGE(""https://docs.google.com/spreadsheets/d/1wMeol_MpSIcocGxt3WZGl46mJ2tc80mANPvP_YzaP18/edit"",""7!e40"")"),1539)</f>
        <v>1539</v>
      </c>
      <c r="K178" s="18">
        <f ca="1">IFERROR(__xludf.DUMMYFUNCTION("IMPORTRANGE(""https://docs.google.com/spreadsheets/d/1wMeol_MpSIcocGxt3WZGl46mJ2tc80mANPvP_YzaP18/edit"",""7!e41"")"),373)</f>
        <v>373</v>
      </c>
      <c r="L178" s="18">
        <f t="shared" ca="1" si="492"/>
        <v>1912</v>
      </c>
      <c r="M178" s="18">
        <f t="shared" ca="1" si="464"/>
        <v>3119</v>
      </c>
      <c r="N178" s="19">
        <f t="shared" ca="1" si="465"/>
        <v>198.02607142857104</v>
      </c>
      <c r="O178" s="16">
        <v>3569</v>
      </c>
      <c r="P178" s="20">
        <f t="shared" ca="1" si="466"/>
        <v>0.87391426169795461</v>
      </c>
      <c r="Q178" s="21">
        <v>1.5</v>
      </c>
      <c r="R178" s="20">
        <f t="shared" ca="1" si="467"/>
        <v>0.37501074593953848</v>
      </c>
      <c r="S178" s="22">
        <f t="shared" ca="1" si="468"/>
        <v>0.56251611890930775</v>
      </c>
      <c r="T178" s="21">
        <f ca="1">F178/21.463</f>
        <v>258.33900200344732</v>
      </c>
      <c r="U178" s="21">
        <f t="shared" ca="1" si="469"/>
        <v>9.2263929286945476</v>
      </c>
      <c r="V178" s="18">
        <f t="shared" ca="1" si="470"/>
        <v>111.39285714285714</v>
      </c>
      <c r="W178" s="76"/>
      <c r="X178" s="8">
        <v>5</v>
      </c>
      <c r="Y178" s="8" t="s">
        <v>40</v>
      </c>
      <c r="Z178" s="8">
        <f t="shared" ref="Z178:AI178" si="497">SUM(D182)</f>
        <v>30</v>
      </c>
      <c r="AA178" s="9">
        <f t="shared" ca="1" si="497"/>
        <v>30</v>
      </c>
      <c r="AB178" s="10">
        <f t="shared" ca="1" si="497"/>
        <v>5944.5869999999904</v>
      </c>
      <c r="AC178" s="9">
        <f t="shared" ca="1" si="497"/>
        <v>3132</v>
      </c>
      <c r="AD178" s="9">
        <f t="shared" ca="1" si="497"/>
        <v>0</v>
      </c>
      <c r="AE178" s="9">
        <f t="shared" ca="1" si="497"/>
        <v>3132</v>
      </c>
      <c r="AF178" s="9">
        <f t="shared" ca="1" si="497"/>
        <v>3419</v>
      </c>
      <c r="AG178" s="9">
        <f t="shared" ca="1" si="497"/>
        <v>35</v>
      </c>
      <c r="AH178" s="9">
        <f t="shared" ca="1" si="497"/>
        <v>3454</v>
      </c>
      <c r="AI178" s="9">
        <f t="shared" ca="1" si="497"/>
        <v>6586</v>
      </c>
      <c r="AJ178" s="11">
        <f t="shared" ca="1" si="482"/>
        <v>198.15289999999968</v>
      </c>
      <c r="AK178" s="8">
        <f t="shared" ref="AK178:AK179" si="498">SUM(O182)</f>
        <v>8239</v>
      </c>
      <c r="AL178" s="12">
        <f t="shared" ca="1" si="484"/>
        <v>0.7993688554436218</v>
      </c>
      <c r="AM178" s="13">
        <f t="shared" ref="AM178:AM179" si="499">SUM(Q182)</f>
        <v>1.5</v>
      </c>
      <c r="AN178" s="12">
        <f t="shared" ca="1" si="486"/>
        <v>0.73859910985686206</v>
      </c>
      <c r="AO178" s="14">
        <f t="shared" ca="1" si="487"/>
        <v>1.1078986647852931</v>
      </c>
      <c r="AP178" s="13">
        <f t="shared" ref="AP178:AQ178" ca="1" si="500">SUM(T182)</f>
        <v>208.99999999999966</v>
      </c>
      <c r="AQ178" s="13">
        <f t="shared" ca="1" si="500"/>
        <v>6.9666666666666552</v>
      </c>
      <c r="AR178" s="9">
        <f t="shared" ca="1" si="489"/>
        <v>219.53333333333333</v>
      </c>
      <c r="AS178" s="76"/>
      <c r="AT178" s="76"/>
    </row>
    <row r="179" spans="1:46" ht="15.75" customHeight="1" x14ac:dyDescent="0.25">
      <c r="A179" s="70"/>
      <c r="B179" s="16">
        <v>12</v>
      </c>
      <c r="C179" s="16" t="s">
        <v>41</v>
      </c>
      <c r="D179" s="17">
        <v>24</v>
      </c>
      <c r="E179" s="18">
        <f ca="1">IFERROR(__xludf.DUMMYFUNCTION("COUNT(IMPORTRANGE(""https://docs.google.com/spreadsheets/d/1sHk6_yuc4kORC_xnhEeazoemV_hVUQVqRpfoNae-PLk/edit"",""7!d2:d25""))"),24)</f>
        <v>24</v>
      </c>
      <c r="F179" s="23">
        <f ca="1">IFERROR(__xludf.DUMMYFUNCTION("SUM(IMPORTRANGE(""https://docs.google.com/spreadsheets/d/1sHk6_yuc4kORC_xnhEeazoemV_hVUQVqRpfoNae-PLk/edit"",""7!Q2:Q25""))"),4704.268)</f>
        <v>4704.268</v>
      </c>
      <c r="G179" s="18">
        <f ca="1">IFERROR(__xludf.DUMMYFUNCTION("IMPORTRANGE(""https://docs.google.com/spreadsheets/d/1sHk6_yuc4kORC_xnhEeazoemV_hVUQVqRpfoNae-PLk/edit"",""7!e32"")"),1210)</f>
        <v>1210</v>
      </c>
      <c r="H179" s="18">
        <f ca="1">IFERROR(__xludf.DUMMYFUNCTION("IMPORTRANGE(""https://docs.google.com/spreadsheets/d/1sHk6_yuc4kORC_xnhEeazoemV_hVUQVqRpfoNae-PLk/edit"",""7!e33"")"),0)</f>
        <v>0</v>
      </c>
      <c r="I179" s="18">
        <f t="shared" ca="1" si="462"/>
        <v>1210</v>
      </c>
      <c r="J179" s="18">
        <f ca="1">IFERROR(__xludf.DUMMYFUNCTION("IMPORTRANGE(""https://docs.google.com/spreadsheets/d/1sHk6_yuc4kORC_xnhEeazoemV_hVUQVqRpfoNae-PLk/edit"",""7!e36"")"),1387)</f>
        <v>1387</v>
      </c>
      <c r="K179" s="18">
        <f ca="1">IFERROR(__xludf.DUMMYFUNCTION("IMPORTRANGE(""https://docs.google.com/spreadsheets/d/1sHk6_yuc4kORC_xnhEeazoemV_hVUQVqRpfoNae-PLk/edit"",""7!e37"")"),146)</f>
        <v>146</v>
      </c>
      <c r="L179" s="18">
        <f t="shared" ca="1" si="492"/>
        <v>1533</v>
      </c>
      <c r="M179" s="18">
        <f t="shared" ca="1" si="464"/>
        <v>2743</v>
      </c>
      <c r="N179" s="19">
        <f t="shared" ca="1" si="465"/>
        <v>196.01116666666667</v>
      </c>
      <c r="O179" s="16">
        <v>3801</v>
      </c>
      <c r="P179" s="20">
        <f t="shared" ca="1" si="466"/>
        <v>0.72165219679031833</v>
      </c>
      <c r="Q179" s="21">
        <v>1.5</v>
      </c>
      <c r="R179" s="20">
        <f t="shared" ca="1" si="467"/>
        <v>0.38872501878436067</v>
      </c>
      <c r="S179" s="22">
        <f t="shared" ca="1" si="468"/>
        <v>0.58308752817654097</v>
      </c>
      <c r="T179" s="21">
        <f ca="1">F179/29.628</f>
        <v>158.77777777777777</v>
      </c>
      <c r="U179" s="21">
        <f t="shared" ca="1" si="469"/>
        <v>6.6157407407407405</v>
      </c>
      <c r="V179" s="18">
        <f t="shared" ca="1" si="470"/>
        <v>114.29166666666667</v>
      </c>
      <c r="W179" s="76"/>
      <c r="X179" s="8">
        <v>6</v>
      </c>
      <c r="Y179" s="8" t="s">
        <v>42</v>
      </c>
      <c r="Z179" s="8">
        <f t="shared" ref="Z179:AI179" si="501">SUM(D183)</f>
        <v>33</v>
      </c>
      <c r="AA179" s="9">
        <f t="shared" ca="1" si="501"/>
        <v>33</v>
      </c>
      <c r="AB179" s="10">
        <f t="shared" ca="1" si="501"/>
        <v>6343.3579999999902</v>
      </c>
      <c r="AC179" s="9">
        <f t="shared" ca="1" si="501"/>
        <v>3053</v>
      </c>
      <c r="AD179" s="9">
        <f t="shared" ca="1" si="501"/>
        <v>0</v>
      </c>
      <c r="AE179" s="9">
        <f t="shared" ca="1" si="501"/>
        <v>3053</v>
      </c>
      <c r="AF179" s="9">
        <f t="shared" ca="1" si="501"/>
        <v>3361</v>
      </c>
      <c r="AG179" s="9">
        <f t="shared" ca="1" si="501"/>
        <v>220</v>
      </c>
      <c r="AH179" s="9">
        <f t="shared" ca="1" si="501"/>
        <v>3581</v>
      </c>
      <c r="AI179" s="9">
        <f t="shared" ca="1" si="501"/>
        <v>6634</v>
      </c>
      <c r="AJ179" s="11">
        <f t="shared" ca="1" si="482"/>
        <v>192.22296969696939</v>
      </c>
      <c r="AK179" s="8">
        <f t="shared" si="498"/>
        <v>9877</v>
      </c>
      <c r="AL179" s="12">
        <f t="shared" ca="1" si="484"/>
        <v>0.67166143565860081</v>
      </c>
      <c r="AM179" s="13">
        <f t="shared" si="499"/>
        <v>1.5</v>
      </c>
      <c r="AN179" s="12">
        <f t="shared" ca="1" si="486"/>
        <v>0.69721221262723521</v>
      </c>
      <c r="AO179" s="14">
        <f t="shared" ca="1" si="487"/>
        <v>1.0458183189408528</v>
      </c>
      <c r="AP179" s="13">
        <f t="shared" ref="AP179:AQ179" ca="1" si="502">SUM(T183)</f>
        <v>242.52945899445575</v>
      </c>
      <c r="AQ179" s="13">
        <f t="shared" ca="1" si="502"/>
        <v>7.3493775452865382</v>
      </c>
      <c r="AR179" s="9">
        <f t="shared" ca="1" si="489"/>
        <v>201.03030303030303</v>
      </c>
      <c r="AS179" s="76"/>
      <c r="AT179" s="76"/>
    </row>
    <row r="180" spans="1:46" ht="15.75" customHeight="1" x14ac:dyDescent="0.25">
      <c r="A180" s="70"/>
      <c r="B180" s="16">
        <v>13</v>
      </c>
      <c r="C180" s="16" t="s">
        <v>43</v>
      </c>
      <c r="D180" s="17">
        <v>30</v>
      </c>
      <c r="E180" s="18">
        <f ca="1">IFERROR(__xludf.DUMMYFUNCTION("COUNT(IMPORTRANGE(""https://docs.google.com/spreadsheets/d/1uGXvAN2jA6kmcEHUY4KqOHHewllZsujDdA6KVDfBCoA/edit"",""7!d2:d31""))"),30)</f>
        <v>30</v>
      </c>
      <c r="F180" s="23">
        <f ca="1">IFERROR(__xludf.DUMMYFUNCTION("SUM(IMPORTRANGE(""https://docs.google.com/spreadsheets/d/1uGXvAN2jA6kmcEHUY4KqOHHewllZsujDdA6KVDfBCoA/edit"",""7!Q2:Q31""))"),6201.86799999999)</f>
        <v>6201.8679999999904</v>
      </c>
      <c r="G180" s="18">
        <f ca="1">IFERROR(__xludf.DUMMYFUNCTION("IMPORTRANGE(""https://docs.google.com/spreadsheets/d/1uGXvAN2jA6kmcEHUY4KqOHHewllZsujDdA6KVDfBCoA/edit"",""7!e38"")"),1665)</f>
        <v>1665</v>
      </c>
      <c r="H180" s="18">
        <f ca="1">IFERROR(__xludf.DUMMYFUNCTION("IMPORTRANGE(""https://docs.google.com/spreadsheets/d/1uGXvAN2jA6kmcEHUY4KqOHHewllZsujDdA6KVDfBCoA/edit"",""7!e39"")"),0)</f>
        <v>0</v>
      </c>
      <c r="I180" s="18">
        <f t="shared" ca="1" si="462"/>
        <v>1665</v>
      </c>
      <c r="J180" s="18">
        <f ca="1">IFERROR(__xludf.DUMMYFUNCTION("IMPORTRANGE(""https://docs.google.com/spreadsheets/d/1uGXvAN2jA6kmcEHUY4KqOHHewllZsujDdA6KVDfBCoA/edit"",""7!e42"")"),3053)</f>
        <v>3053</v>
      </c>
      <c r="K180" s="18">
        <f ca="1">IFERROR(__xludf.DUMMYFUNCTION("IMPORTRANGE(""https://docs.google.com/spreadsheets/d/1uGXvAN2jA6kmcEHUY4KqOHHewllZsujDdA6KVDfBCoA/edit"",""7!e43"")"),276)</f>
        <v>276</v>
      </c>
      <c r="L180" s="18">
        <f t="shared" ca="1" si="492"/>
        <v>3329</v>
      </c>
      <c r="M180" s="18">
        <f t="shared" ca="1" si="464"/>
        <v>4994</v>
      </c>
      <c r="N180" s="19">
        <f t="shared" ca="1" si="465"/>
        <v>206.728933333333</v>
      </c>
      <c r="O180" s="16">
        <v>8345</v>
      </c>
      <c r="P180" s="20">
        <f t="shared" ca="1" si="466"/>
        <v>0.59844218094667467</v>
      </c>
      <c r="Q180" s="21">
        <v>1.5</v>
      </c>
      <c r="R180" s="20">
        <f t="shared" ca="1" si="467"/>
        <v>0.53682750637926169</v>
      </c>
      <c r="S180" s="22">
        <f t="shared" ca="1" si="468"/>
        <v>0.80524125956889248</v>
      </c>
      <c r="T180" s="21">
        <f ca="1">F180/41.205</f>
        <v>150.51251061764327</v>
      </c>
      <c r="U180" s="21">
        <f t="shared" ca="1" si="469"/>
        <v>5.0170836872547762</v>
      </c>
      <c r="V180" s="18">
        <f t="shared" ca="1" si="470"/>
        <v>166.46666666666667</v>
      </c>
      <c r="W180" s="76"/>
      <c r="X180" s="24" t="s">
        <v>33</v>
      </c>
      <c r="Y180" s="24">
        <v>6</v>
      </c>
      <c r="Z180" s="24">
        <f t="shared" ref="Z180:AI180" si="503">SUM(Z174:Z179)</f>
        <v>226</v>
      </c>
      <c r="AA180" s="25">
        <f t="shared" ca="1" si="503"/>
        <v>224</v>
      </c>
      <c r="AB180" s="27">
        <f t="shared" ca="1" si="503"/>
        <v>43886.036999999866</v>
      </c>
      <c r="AC180" s="25">
        <f t="shared" ca="1" si="503"/>
        <v>15509</v>
      </c>
      <c r="AD180" s="25">
        <f t="shared" ca="1" si="503"/>
        <v>131</v>
      </c>
      <c r="AE180" s="25">
        <f t="shared" ca="1" si="503"/>
        <v>15640</v>
      </c>
      <c r="AF180" s="25">
        <f t="shared" ca="1" si="503"/>
        <v>18861</v>
      </c>
      <c r="AG180" s="25">
        <f t="shared" ca="1" si="503"/>
        <v>800</v>
      </c>
      <c r="AH180" s="25">
        <f t="shared" ca="1" si="503"/>
        <v>19661</v>
      </c>
      <c r="AI180" s="25">
        <f t="shared" ca="1" si="503"/>
        <v>35301</v>
      </c>
      <c r="AJ180" s="27">
        <f t="shared" ca="1" si="482"/>
        <v>195.91980803571369</v>
      </c>
      <c r="AK180" s="24">
        <f>SUM(AK174:AK179)</f>
        <v>53273</v>
      </c>
      <c r="AL180" s="28">
        <f t="shared" ca="1" si="484"/>
        <v>0.66264336530700352</v>
      </c>
      <c r="AM180" s="29">
        <v>1.5</v>
      </c>
      <c r="AN180" s="28">
        <f t="shared" ca="1" si="486"/>
        <v>0.53625256707503743</v>
      </c>
      <c r="AO180" s="30">
        <f t="shared" ca="1" si="487"/>
        <v>0.8043788506125561</v>
      </c>
      <c r="AP180" s="29">
        <f ca="1">SUM(AP174:AP179)</f>
        <v>1441.5258539333852</v>
      </c>
      <c r="AQ180" s="29">
        <f ca="1">AP180/AA180</f>
        <v>6.4353832764883263</v>
      </c>
      <c r="AR180" s="25">
        <f t="shared" ca="1" si="489"/>
        <v>157.59375</v>
      </c>
      <c r="AS180" s="76"/>
      <c r="AT180" s="76"/>
    </row>
    <row r="181" spans="1:46" ht="15.75" customHeight="1" x14ac:dyDescent="0.25">
      <c r="A181" s="70"/>
      <c r="B181" s="16">
        <v>14</v>
      </c>
      <c r="C181" s="16" t="s">
        <v>27</v>
      </c>
      <c r="D181" s="17">
        <v>30</v>
      </c>
      <c r="E181" s="18">
        <f ca="1">IFERROR(__xludf.DUMMYFUNCTION("COUNT(IMPORTRANGE(""https://docs.google.com/spreadsheets/d/1iYtf3wkjJIgOL8ej0-L89wY8FLXKi6EiRbi9UqA1Bzw/edit"",""7!d2:d31""))"),30)</f>
        <v>30</v>
      </c>
      <c r="F181" s="23">
        <f ca="1">IFERROR(__xludf.DUMMYFUNCTION("SUM(IMPORTRANGE(""https://docs.google.com/spreadsheets/d/1iYtf3wkjJIgOL8ej0-L89wY8FLXKi6EiRbi9UqA1Bzw/edit"",""7!Q2:Q31""))"),5585.67)</f>
        <v>5585.67</v>
      </c>
      <c r="G181" s="18">
        <f ca="1">IFERROR(__xludf.DUMMYFUNCTION("IMPORTRANGE(""https://docs.google.com/spreadsheets/d/1iYtf3wkjJIgOL8ej0-L89wY8FLXKi6EiRbi9UqA1Bzw/edit"",""7!e38"")"),2138)</f>
        <v>2138</v>
      </c>
      <c r="H181" s="18">
        <f ca="1">IFERROR(__xludf.DUMMYFUNCTION("IMPORTRANGE(""https://docs.google.com/spreadsheets/d/1iYtf3wkjJIgOL8ej0-L89wY8FLXKi6EiRbi9UqA1Bzw/edit"",""7!e39"")"),0)</f>
        <v>0</v>
      </c>
      <c r="I181" s="18">
        <f t="shared" ca="1" si="462"/>
        <v>2138</v>
      </c>
      <c r="J181" s="18">
        <f ca="1">IFERROR(__xludf.DUMMYFUNCTION("IMPORTRANGE(""https://docs.google.com/spreadsheets/d/1iYtf3wkjJIgOL8ej0-L89wY8FLXKi6EiRbi9UqA1Bzw/edit"",""7!e42"")"),2443)</f>
        <v>2443</v>
      </c>
      <c r="K181" s="18">
        <f ca="1">IFERROR(__xludf.DUMMYFUNCTION("IMPORTRANGE(""https://docs.google.com/spreadsheets/d/1iYtf3wkjJIgOL8ej0-L89wY8FLXKi6EiRbi9UqA1Bzw/edit"",""7!e43"")"),170)</f>
        <v>170</v>
      </c>
      <c r="L181" s="18">
        <f t="shared" ca="1" si="492"/>
        <v>2613</v>
      </c>
      <c r="M181" s="18">
        <f t="shared" ca="1" si="464"/>
        <v>4751</v>
      </c>
      <c r="N181" s="19">
        <f t="shared" ca="1" si="465"/>
        <v>186.18899999999999</v>
      </c>
      <c r="O181" s="16">
        <v>8101</v>
      </c>
      <c r="P181" s="20">
        <f t="shared" ca="1" si="466"/>
        <v>0.58647080607332425</v>
      </c>
      <c r="Q181" s="21">
        <v>1.5</v>
      </c>
      <c r="R181" s="20">
        <f t="shared" ca="1" si="467"/>
        <v>0.56704626899428956</v>
      </c>
      <c r="S181" s="22">
        <f t="shared" ca="1" si="468"/>
        <v>0.85056940349143428</v>
      </c>
      <c r="T181" s="21">
        <f ca="1">F181/19.985</f>
        <v>279.49311983987991</v>
      </c>
      <c r="U181" s="21">
        <f t="shared" ca="1" si="469"/>
        <v>9.3164373279959971</v>
      </c>
      <c r="V181" s="18">
        <f t="shared" ca="1" si="470"/>
        <v>158.36666666666667</v>
      </c>
      <c r="W181" s="76"/>
      <c r="X181" s="97" t="s">
        <v>44</v>
      </c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9"/>
      <c r="AS181" s="76"/>
      <c r="AT181" s="76"/>
    </row>
    <row r="182" spans="1:46" ht="15.75" customHeight="1" x14ac:dyDescent="0.25">
      <c r="A182" s="70"/>
      <c r="B182" s="16">
        <v>15</v>
      </c>
      <c r="C182" s="16" t="s">
        <v>40</v>
      </c>
      <c r="D182" s="17">
        <v>30</v>
      </c>
      <c r="E182" s="18">
        <f ca="1">IFERROR(__xludf.DUMMYFUNCTION("COUNT(IMPORTRANGE(""https://docs.google.com/spreadsheets/d/1Wdf8MsoDBzMSsrzOXwaGQzbVjVqOWfKSqYmbncevZgA/edit"",""7!d2:d31""))"),30)</f>
        <v>30</v>
      </c>
      <c r="F182" s="23">
        <f ca="1">IFERROR(__xludf.DUMMYFUNCTION("SUM(IMPORTRANGE(""https://docs.google.com/spreadsheets/d/1Wdf8MsoDBzMSsrzOXwaGQzbVjVqOWfKSqYmbncevZgA/edit"",""7!Q2:Q31""))"),5944.58699999999)</f>
        <v>5944.5869999999904</v>
      </c>
      <c r="G182" s="18">
        <f ca="1">IFERROR(__xludf.DUMMYFUNCTION("IMPORTRANGE(""https://docs.google.com/spreadsheets/d/1Wdf8MsoDBzMSsrzOXwaGQzbVjVqOWfKSqYmbncevZgA/edit"",""7!e38"")"),3132)</f>
        <v>3132</v>
      </c>
      <c r="H182" s="18">
        <f ca="1">IFERROR(__xludf.DUMMYFUNCTION("IMPORTRANGE(""https://docs.google.com/spreadsheets/d/1Wdf8MsoDBzMSsrzOXwaGQzbVjVqOWfKSqYmbncevZgA/edit"",""7!e39"")"),0)</f>
        <v>0</v>
      </c>
      <c r="I182" s="18">
        <f t="shared" ca="1" si="462"/>
        <v>3132</v>
      </c>
      <c r="J182" s="18">
        <f ca="1">IFERROR(__xludf.DUMMYFUNCTION("IMPORTRANGE(""https://docs.google.com/spreadsheets/d/1Wdf8MsoDBzMSsrzOXwaGQzbVjVqOWfKSqYmbncevZgA/edit"",""7!e42"")"),3419)</f>
        <v>3419</v>
      </c>
      <c r="K182" s="18">
        <f ca="1">IFERROR(__xludf.DUMMYFUNCTION("IMPORTRANGE(""https://docs.google.com/spreadsheets/d/1Wdf8MsoDBzMSsrzOXwaGQzbVjVqOWfKSqYmbncevZgA/edit"",""7!e43"")"),35)</f>
        <v>35</v>
      </c>
      <c r="L182" s="18">
        <f t="shared" ca="1" si="492"/>
        <v>3454</v>
      </c>
      <c r="M182" s="18">
        <f t="shared" ca="1" si="464"/>
        <v>6586</v>
      </c>
      <c r="N182" s="19">
        <f t="shared" ca="1" si="465"/>
        <v>198.15289999999968</v>
      </c>
      <c r="O182" s="16">
        <v>8239</v>
      </c>
      <c r="P182" s="20">
        <f t="shared" ca="1" si="466"/>
        <v>0.7993688554436218</v>
      </c>
      <c r="Q182" s="21">
        <v>1.5</v>
      </c>
      <c r="R182" s="20">
        <f t="shared" ca="1" si="467"/>
        <v>0.73859910985686206</v>
      </c>
      <c r="S182" s="22">
        <f t="shared" ca="1" si="468"/>
        <v>1.1078986647852931</v>
      </c>
      <c r="T182" s="21">
        <f ca="1">F182/28.443</f>
        <v>208.99999999999966</v>
      </c>
      <c r="U182" s="21">
        <f t="shared" ca="1" si="469"/>
        <v>6.9666666666666552</v>
      </c>
      <c r="V182" s="18">
        <f t="shared" ca="1" si="470"/>
        <v>219.53333333333333</v>
      </c>
      <c r="W182" s="76"/>
      <c r="X182" s="1" t="s">
        <v>2</v>
      </c>
      <c r="Y182" s="1" t="s">
        <v>3</v>
      </c>
      <c r="Z182" s="1" t="s">
        <v>4</v>
      </c>
      <c r="AA182" s="1" t="s">
        <v>5</v>
      </c>
      <c r="AB182" s="2" t="s">
        <v>6</v>
      </c>
      <c r="AC182" s="1" t="s">
        <v>7</v>
      </c>
      <c r="AD182" s="1" t="s">
        <v>8</v>
      </c>
      <c r="AE182" s="1" t="s">
        <v>9</v>
      </c>
      <c r="AF182" s="1" t="s">
        <v>10</v>
      </c>
      <c r="AG182" s="1" t="s">
        <v>11</v>
      </c>
      <c r="AH182" s="1" t="s">
        <v>12</v>
      </c>
      <c r="AI182" s="1" t="s">
        <v>13</v>
      </c>
      <c r="AJ182" s="2" t="s">
        <v>14</v>
      </c>
      <c r="AK182" s="1" t="s">
        <v>15</v>
      </c>
      <c r="AL182" s="1" t="s">
        <v>16</v>
      </c>
      <c r="AM182" s="3" t="s">
        <v>17</v>
      </c>
      <c r="AN182" s="4" t="s">
        <v>18</v>
      </c>
      <c r="AO182" s="5" t="s">
        <v>19</v>
      </c>
      <c r="AP182" s="6" t="s">
        <v>20</v>
      </c>
      <c r="AQ182" s="6" t="s">
        <v>21</v>
      </c>
      <c r="AR182" s="7" t="s">
        <v>22</v>
      </c>
      <c r="AS182" s="76"/>
      <c r="AT182" s="76"/>
    </row>
    <row r="183" spans="1:46" ht="15.75" customHeight="1" x14ac:dyDescent="0.25">
      <c r="A183" s="70"/>
      <c r="B183" s="16">
        <v>16</v>
      </c>
      <c r="C183" s="16" t="s">
        <v>42</v>
      </c>
      <c r="D183" s="17">
        <v>33</v>
      </c>
      <c r="E183" s="18">
        <f ca="1">IFERROR(__xludf.DUMMYFUNCTION("COUNT(IMPORTRANGE(""https://docs.google.com/spreadsheets/d/1Z5uB5HbeAKcHmG4EOw3rf2J8NpyvDiha6RReERAMvA0/edit"",""7!d2:d34""))"),33)</f>
        <v>33</v>
      </c>
      <c r="F183" s="23">
        <f ca="1">IFERROR(__xludf.DUMMYFUNCTION("SUM(IMPORTRANGE(""https://docs.google.com/spreadsheets/d/1Z5uB5HbeAKcHmG4EOw3rf2J8NpyvDiha6RReERAMvA0/edit"",""7!Q2:Q34""))"),6343.35799999999)</f>
        <v>6343.3579999999902</v>
      </c>
      <c r="G183" s="18">
        <f ca="1">IFERROR(__xludf.DUMMYFUNCTION("IMPORTRANGE(""https://docs.google.com/spreadsheets/d/1Z5uB5HbeAKcHmG4EOw3rf2J8NpyvDiha6RReERAMvA0/edit"",""7!e41"")"),3053)</f>
        <v>3053</v>
      </c>
      <c r="H183" s="18">
        <f ca="1">IFERROR(__xludf.DUMMYFUNCTION("IMPORTRANGE(""https://docs.google.com/spreadsheets/d/1Z5uB5HbeAKcHmG4EOw3rf2J8NpyvDiha6RReERAMvA0/edit"",""7!e42"")"),0)</f>
        <v>0</v>
      </c>
      <c r="I183" s="18">
        <f t="shared" ca="1" si="462"/>
        <v>3053</v>
      </c>
      <c r="J183" s="18">
        <f ca="1">IFERROR(__xludf.DUMMYFUNCTION("IMPORTRANGE(""https://docs.google.com/spreadsheets/d/1Z5uB5HbeAKcHmG4EOw3rf2J8NpyvDiha6RReERAMvA0/edit"",""7!e45"")"),3361)</f>
        <v>3361</v>
      </c>
      <c r="K183" s="18">
        <f ca="1">IFERROR(__xludf.DUMMYFUNCTION("IMPORTRANGE(""https://docs.google.com/spreadsheets/d/1Z5uB5HbeAKcHmG4EOw3rf2J8NpyvDiha6RReERAMvA0/edit"",""7!e46"")"),220)</f>
        <v>220</v>
      </c>
      <c r="L183" s="18">
        <f t="shared" ca="1" si="492"/>
        <v>3581</v>
      </c>
      <c r="M183" s="18">
        <f t="shared" ca="1" si="464"/>
        <v>6634</v>
      </c>
      <c r="N183" s="19">
        <f t="shared" ca="1" si="465"/>
        <v>192.22296969696939</v>
      </c>
      <c r="O183" s="16">
        <v>9877</v>
      </c>
      <c r="P183" s="20">
        <f t="shared" ca="1" si="466"/>
        <v>0.67166143565860081</v>
      </c>
      <c r="Q183" s="21">
        <v>1.5</v>
      </c>
      <c r="R183" s="20">
        <f t="shared" ca="1" si="467"/>
        <v>0.69721221262723521</v>
      </c>
      <c r="S183" s="22">
        <f t="shared" ca="1" si="468"/>
        <v>1.0458183189408528</v>
      </c>
      <c r="T183" s="21">
        <f ca="1">F183/26.155</f>
        <v>242.52945899445575</v>
      </c>
      <c r="U183" s="21">
        <f t="shared" ca="1" si="469"/>
        <v>7.3493775452865382</v>
      </c>
      <c r="V183" s="18">
        <f t="shared" ca="1" si="470"/>
        <v>201.03030303030303</v>
      </c>
      <c r="W183" s="76"/>
      <c r="X183" s="8">
        <v>1</v>
      </c>
      <c r="Y183" s="8" t="s">
        <v>26</v>
      </c>
      <c r="Z183" s="8">
        <f t="shared" ref="Z183:AI183" si="504">SUM(D168)</f>
        <v>20</v>
      </c>
      <c r="AA183" s="9">
        <f t="shared" ca="1" si="504"/>
        <v>20</v>
      </c>
      <c r="AB183" s="11">
        <f t="shared" ca="1" si="504"/>
        <v>3849.4169999999999</v>
      </c>
      <c r="AC183" s="9">
        <f t="shared" ca="1" si="504"/>
        <v>1851</v>
      </c>
      <c r="AD183" s="9">
        <f t="shared" ca="1" si="504"/>
        <v>0</v>
      </c>
      <c r="AE183" s="9">
        <f t="shared" ca="1" si="504"/>
        <v>1851</v>
      </c>
      <c r="AF183" s="9">
        <f t="shared" ca="1" si="504"/>
        <v>1888</v>
      </c>
      <c r="AG183" s="9">
        <f t="shared" ca="1" si="504"/>
        <v>0</v>
      </c>
      <c r="AH183" s="9">
        <f t="shared" ca="1" si="504"/>
        <v>1888</v>
      </c>
      <c r="AI183" s="9">
        <f t="shared" ca="1" si="504"/>
        <v>3739</v>
      </c>
      <c r="AJ183" s="11">
        <f t="shared" ref="AJ183:AJ189" ca="1" si="505">AB183/AA183</f>
        <v>192.47084999999998</v>
      </c>
      <c r="AK183" s="8">
        <f>SUM(O168)</f>
        <v>5161</v>
      </c>
      <c r="AL183" s="12">
        <f t="shared" ref="AL183:AL189" ca="1" si="506">AI183/AK183</f>
        <v>0.72447200155008717</v>
      </c>
      <c r="AM183" s="13">
        <f>SUM(Q168)</f>
        <v>1.5</v>
      </c>
      <c r="AN183" s="12">
        <f t="shared" ref="AN183:AN189" ca="1" si="507">AO183/AM183</f>
        <v>0.64754394410027982</v>
      </c>
      <c r="AO183" s="14">
        <f t="shared" ref="AO183:AO189" ca="1" si="508">AI183/AB183</f>
        <v>0.97131591615041968</v>
      </c>
      <c r="AP183" s="13">
        <f t="shared" ref="AP183:AQ183" ca="1" si="509">SUM(T168)</f>
        <v>267.04245577523415</v>
      </c>
      <c r="AQ183" s="13">
        <f t="shared" ca="1" si="509"/>
        <v>13.352122788761708</v>
      </c>
      <c r="AR183" s="9">
        <f t="shared" ref="AR183:AR189" ca="1" si="510">AI183/AA183</f>
        <v>186.95</v>
      </c>
      <c r="AS183" s="76"/>
      <c r="AT183" s="76"/>
    </row>
    <row r="184" spans="1:46" ht="15.75" customHeight="1" x14ac:dyDescent="0.25">
      <c r="A184" s="70"/>
      <c r="B184" s="16">
        <v>17</v>
      </c>
      <c r="C184" s="16" t="s">
        <v>29</v>
      </c>
      <c r="D184" s="17">
        <v>30</v>
      </c>
      <c r="E184" s="18">
        <f ca="1">IFERROR(__xludf.DUMMYFUNCTION("COUNT(IMPORTRANGE(""https://docs.google.com/spreadsheets/d/1wfJqI0e9wVPqEQv3N6b8KgINjqI0OBECEyIFeY9j3i8/edit"",""7!d2:d31""))"),29)</f>
        <v>29</v>
      </c>
      <c r="F184" s="23">
        <f ca="1">IFERROR(__xludf.DUMMYFUNCTION("SUM(IMPORTRANGE(""https://docs.google.com/spreadsheets/d/1wfJqI0e9wVPqEQv3N6b8KgINjqI0OBECEyIFeY9j3i8/edit"",""7!Q2:Q31""))"),5801.52899999999)</f>
        <v>5801.5289999999904</v>
      </c>
      <c r="G184" s="18">
        <f ca="1">IFERROR(__xludf.DUMMYFUNCTION("IMPORTRANGE(""https://docs.google.com/spreadsheets/d/1wfJqI0e9wVPqEQv3N6b8KgINjqI0OBECEyIFeY9j3i8/edit"",""7!e38"")"),2210)</f>
        <v>2210</v>
      </c>
      <c r="H184" s="18">
        <f ca="1">IFERROR(__xludf.DUMMYFUNCTION("IMPORTRANGE(""https://docs.google.com/spreadsheets/d/1wfJqI0e9wVPqEQv3N6b8KgINjqI0OBECEyIFeY9j3i8/edit"",""7!e39"")"),0)</f>
        <v>0</v>
      </c>
      <c r="I184" s="18">
        <f t="shared" ca="1" si="462"/>
        <v>2210</v>
      </c>
      <c r="J184" s="18">
        <f ca="1">IFERROR(__xludf.DUMMYFUNCTION("IMPORTRANGE(""https://docs.google.com/spreadsheets/d/1wfJqI0e9wVPqEQv3N6b8KgINjqI0OBECEyIFeY9j3i8/edit"",""7!e42"")"),3391)</f>
        <v>3391</v>
      </c>
      <c r="K184" s="18">
        <f ca="1">IFERROR(__xludf.DUMMYFUNCTION("IMPORTRANGE(""https://docs.google.com/spreadsheets/d/1wfJqI0e9wVPqEQv3N6b8KgINjqI0OBECEyIFeY9j3i8/edit"",""7!e43"")"),0)</f>
        <v>0</v>
      </c>
      <c r="L184" s="18">
        <f t="shared" ca="1" si="492"/>
        <v>3391</v>
      </c>
      <c r="M184" s="18">
        <f t="shared" ca="1" si="464"/>
        <v>5601</v>
      </c>
      <c r="N184" s="19">
        <f t="shared" ca="1" si="465"/>
        <v>200.05272413793071</v>
      </c>
      <c r="O184" s="16">
        <v>9201</v>
      </c>
      <c r="P184" s="20">
        <f t="shared" ca="1" si="466"/>
        <v>0.60873818063253993</v>
      </c>
      <c r="Q184" s="21">
        <v>1.5</v>
      </c>
      <c r="R184" s="20">
        <f t="shared" ca="1" si="467"/>
        <v>0.64362343099551966</v>
      </c>
      <c r="S184" s="22">
        <f t="shared" ca="1" si="468"/>
        <v>0.96543514649327944</v>
      </c>
      <c r="T184" s="21">
        <f ca="1">F184/26.491</f>
        <v>218.99999999999963</v>
      </c>
      <c r="U184" s="21">
        <f t="shared" ca="1" si="469"/>
        <v>7.5517241379310214</v>
      </c>
      <c r="V184" s="18">
        <f t="shared" ca="1" si="470"/>
        <v>193.13793103448276</v>
      </c>
      <c r="W184" s="76"/>
      <c r="X184" s="8">
        <v>2</v>
      </c>
      <c r="Y184" s="8" t="s">
        <v>32</v>
      </c>
      <c r="Z184" s="8">
        <f t="shared" ref="Z184:AI184" si="511">SUM(D171)</f>
        <v>42</v>
      </c>
      <c r="AA184" s="9">
        <f t="shared" ca="1" si="511"/>
        <v>41</v>
      </c>
      <c r="AB184" s="10">
        <f t="shared" ca="1" si="511"/>
        <v>8053.5689999999904</v>
      </c>
      <c r="AC184" s="8">
        <f t="shared" ca="1" si="511"/>
        <v>4366</v>
      </c>
      <c r="AD184" s="8">
        <f t="shared" ca="1" si="511"/>
        <v>0</v>
      </c>
      <c r="AE184" s="9">
        <f t="shared" ca="1" si="511"/>
        <v>4366</v>
      </c>
      <c r="AF184" s="8">
        <f t="shared" ca="1" si="511"/>
        <v>5040</v>
      </c>
      <c r="AG184" s="8">
        <f t="shared" ca="1" si="511"/>
        <v>0</v>
      </c>
      <c r="AH184" s="9">
        <f t="shared" ca="1" si="511"/>
        <v>5040</v>
      </c>
      <c r="AI184" s="9">
        <f t="shared" ca="1" si="511"/>
        <v>9406</v>
      </c>
      <c r="AJ184" s="11">
        <f t="shared" ca="1" si="505"/>
        <v>196.42851219512173</v>
      </c>
      <c r="AK184" s="8">
        <f>SUM(O171)</f>
        <v>13817</v>
      </c>
      <c r="AL184" s="12">
        <f t="shared" ca="1" si="506"/>
        <v>0.68075559093869875</v>
      </c>
      <c r="AM184" s="13">
        <f>SUM(Q171)</f>
        <v>1.5</v>
      </c>
      <c r="AN184" s="12">
        <f t="shared" ca="1" si="507"/>
        <v>0.77861959916984314</v>
      </c>
      <c r="AO184" s="14">
        <f t="shared" ca="1" si="508"/>
        <v>1.1679293987547648</v>
      </c>
      <c r="AP184" s="13">
        <f t="shared" ref="AP184:AQ184" ca="1" si="512">SUM(T171)</f>
        <v>320.99999999999966</v>
      </c>
      <c r="AQ184" s="13">
        <f t="shared" ca="1" si="512"/>
        <v>7.8292682926829187</v>
      </c>
      <c r="AR184" s="9">
        <f t="shared" ca="1" si="510"/>
        <v>229.41463414634146</v>
      </c>
      <c r="AS184" s="76"/>
      <c r="AT184" s="76"/>
    </row>
    <row r="185" spans="1:46" ht="15.75" customHeight="1" x14ac:dyDescent="0.25">
      <c r="A185" s="70"/>
      <c r="B185" s="16">
        <v>18</v>
      </c>
      <c r="C185" s="16" t="s">
        <v>31</v>
      </c>
      <c r="D185" s="17">
        <v>15</v>
      </c>
      <c r="E185" s="18">
        <f ca="1">IFERROR(__xludf.DUMMYFUNCTION("COUNT(IMPORTRANGE(""https://docs.google.com/spreadsheets/d/1-y2KhTAo7d8kowgUuWUDfRQuRMUAFteRYEXorT3_wOs/edit"",""7!d2:d16""))"),14)</f>
        <v>14</v>
      </c>
      <c r="F185" s="19">
        <f ca="1">IFERROR(__xludf.DUMMYFUNCTION("SUM(IMPORTRANGE(""https://docs.google.com/spreadsheets/d/1-y2KhTAo7d8kowgUuWUDfRQuRMUAFteRYEXorT3_wOs/edit"",""7!Q2:Q16""))"),2694.83)</f>
        <v>2694.83</v>
      </c>
      <c r="G185" s="18">
        <f ca="1">IFERROR(__xludf.DUMMYFUNCTION("IMPORTRANGE(""https://docs.google.com/spreadsheets/d/1-y2KhTAo7d8kowgUuWUDfRQuRMUAFteRYEXorT3_wOs/edit"",""7!e23"")"),804)</f>
        <v>804</v>
      </c>
      <c r="H185" s="18">
        <f ca="1">IFERROR(__xludf.DUMMYFUNCTION("IMPORTRANGE(""https://docs.google.com/spreadsheets/d/1-y2KhTAo7d8kowgUuWUDfRQuRMUAFteRYEXorT3_wOs/edit"",""7!e24"")"),8)</f>
        <v>8</v>
      </c>
      <c r="I185" s="18">
        <f t="shared" ca="1" si="462"/>
        <v>812</v>
      </c>
      <c r="J185" s="18">
        <f ca="1">IFERROR(__xludf.DUMMYFUNCTION("IMPORTRANGE(""https://docs.google.com/spreadsheets/d/1-y2KhTAo7d8kowgUuWUDfRQuRMUAFteRYEXorT3_wOs/edit"",""7!e27"")"),834)</f>
        <v>834</v>
      </c>
      <c r="K185" s="18">
        <f ca="1">IFERROR(__xludf.DUMMYFUNCTION("IMPORTRANGE(""https://docs.google.com/spreadsheets/d/1-y2KhTAo7d8kowgUuWUDfRQuRMUAFteRYEXorT3_wOs/edit"",""7!e28"")"),55)</f>
        <v>55</v>
      </c>
      <c r="L185" s="18">
        <f t="shared" ca="1" si="492"/>
        <v>889</v>
      </c>
      <c r="M185" s="18">
        <f t="shared" ca="1" si="464"/>
        <v>1701</v>
      </c>
      <c r="N185" s="19">
        <f t="shared" ca="1" si="465"/>
        <v>192.48785714285714</v>
      </c>
      <c r="O185" s="16">
        <v>2717</v>
      </c>
      <c r="P185" s="20">
        <f t="shared" ca="1" si="466"/>
        <v>0.6260581523739418</v>
      </c>
      <c r="Q185" s="21">
        <v>1.5</v>
      </c>
      <c r="R185" s="20">
        <f t="shared" ca="1" si="467"/>
        <v>0.42080576511319823</v>
      </c>
      <c r="S185" s="22">
        <f t="shared" ca="1" si="468"/>
        <v>0.63120864766979734</v>
      </c>
      <c r="T185" s="21">
        <f ca="1">F185/43.465</f>
        <v>61.999999999999993</v>
      </c>
      <c r="U185" s="21">
        <f t="shared" ca="1" si="469"/>
        <v>4.4285714285714279</v>
      </c>
      <c r="V185" s="18">
        <f t="shared" ca="1" si="470"/>
        <v>121.5</v>
      </c>
      <c r="W185" s="76"/>
      <c r="X185" s="8">
        <v>3</v>
      </c>
      <c r="Y185" s="8" t="s">
        <v>36</v>
      </c>
      <c r="Z185" s="8">
        <f t="shared" ref="Z185:AI185" si="513">SUM(D176)</f>
        <v>30</v>
      </c>
      <c r="AA185" s="9">
        <f t="shared" ca="1" si="513"/>
        <v>29</v>
      </c>
      <c r="AB185" s="10">
        <f t="shared" ca="1" si="513"/>
        <v>5755.3720000000003</v>
      </c>
      <c r="AC185" s="9">
        <f t="shared" ca="1" si="513"/>
        <v>1483</v>
      </c>
      <c r="AD185" s="9">
        <f t="shared" ca="1" si="513"/>
        <v>0</v>
      </c>
      <c r="AE185" s="9">
        <f t="shared" ca="1" si="513"/>
        <v>1483</v>
      </c>
      <c r="AF185" s="9">
        <f t="shared" ca="1" si="513"/>
        <v>1978</v>
      </c>
      <c r="AG185" s="9">
        <f t="shared" ca="1" si="513"/>
        <v>0</v>
      </c>
      <c r="AH185" s="9">
        <f t="shared" ca="1" si="513"/>
        <v>1978</v>
      </c>
      <c r="AI185" s="9">
        <f t="shared" ca="1" si="513"/>
        <v>3461</v>
      </c>
      <c r="AJ185" s="11">
        <f t="shared" ca="1" si="505"/>
        <v>198.46110344827588</v>
      </c>
      <c r="AK185" s="8">
        <f t="shared" ref="AK185:AK188" si="514">SUM(O176)</f>
        <v>4796</v>
      </c>
      <c r="AL185" s="12">
        <f t="shared" ca="1" si="506"/>
        <v>0.72164303586321932</v>
      </c>
      <c r="AM185" s="13">
        <f t="shared" ref="AM185:AM188" si="515">SUM(Q176)</f>
        <v>1.5</v>
      </c>
      <c r="AN185" s="12">
        <f t="shared" ca="1" si="507"/>
        <v>0.40090081637352598</v>
      </c>
      <c r="AO185" s="14">
        <f t="shared" ca="1" si="508"/>
        <v>0.601351224560289</v>
      </c>
      <c r="AP185" s="13">
        <f t="shared" ref="AP185:AQ185" ca="1" si="516">SUM(T176)</f>
        <v>153.8293686855188</v>
      </c>
      <c r="AQ185" s="13">
        <f t="shared" ca="1" si="516"/>
        <v>5.304460989155821</v>
      </c>
      <c r="AR185" s="9">
        <f t="shared" ca="1" si="510"/>
        <v>119.34482758620689</v>
      </c>
      <c r="AS185" s="76"/>
      <c r="AT185" s="76"/>
    </row>
    <row r="186" spans="1:46" ht="15.75" customHeight="1" x14ac:dyDescent="0.2">
      <c r="A186" s="70"/>
      <c r="B186" s="98" t="s">
        <v>33</v>
      </c>
      <c r="C186" s="98">
        <v>18</v>
      </c>
      <c r="D186" s="98">
        <f t="shared" ref="D186:M186" si="517">SUM(D168:D185)</f>
        <v>586</v>
      </c>
      <c r="E186" s="74">
        <f t="shared" ca="1" si="517"/>
        <v>576</v>
      </c>
      <c r="F186" s="99">
        <f t="shared" ca="1" si="517"/>
        <v>112287.19699999981</v>
      </c>
      <c r="G186" s="74">
        <f t="shared" ca="1" si="517"/>
        <v>37551</v>
      </c>
      <c r="H186" s="74">
        <f t="shared" ca="1" si="517"/>
        <v>457</v>
      </c>
      <c r="I186" s="74">
        <f t="shared" ca="1" si="517"/>
        <v>38008</v>
      </c>
      <c r="J186" s="74">
        <f t="shared" ca="1" si="517"/>
        <v>46777</v>
      </c>
      <c r="K186" s="74">
        <f t="shared" ca="1" si="517"/>
        <v>2019</v>
      </c>
      <c r="L186" s="74">
        <f t="shared" ca="1" si="517"/>
        <v>48796</v>
      </c>
      <c r="M186" s="74">
        <f t="shared" ca="1" si="517"/>
        <v>86804</v>
      </c>
      <c r="N186" s="99">
        <f t="shared" ca="1" si="465"/>
        <v>194.94305034722188</v>
      </c>
      <c r="O186" s="98">
        <f>SUM(O168:O185)</f>
        <v>126399</v>
      </c>
      <c r="P186" s="69">
        <f t="shared" ca="1" si="466"/>
        <v>0.68674593944572349</v>
      </c>
      <c r="Q186" s="72">
        <v>1.5</v>
      </c>
      <c r="R186" s="69">
        <f t="shared" ca="1" si="467"/>
        <v>0.51536893679279772</v>
      </c>
      <c r="S186" s="73">
        <f t="shared" ca="1" si="468"/>
        <v>0.77305340518919663</v>
      </c>
      <c r="T186" s="72">
        <f ca="1">SUM(T168:T185)</f>
        <v>4140.7855130672024</v>
      </c>
      <c r="U186" s="72">
        <f t="shared" ca="1" si="469"/>
        <v>7.1888637379638931</v>
      </c>
      <c r="V186" s="74">
        <f t="shared" ca="1" si="470"/>
        <v>150.70138888888889</v>
      </c>
      <c r="W186" s="76"/>
      <c r="X186" s="8">
        <v>4</v>
      </c>
      <c r="Y186" s="8" t="s">
        <v>37</v>
      </c>
      <c r="Z186" s="8">
        <f t="shared" ref="Z186:AI186" si="518">SUM(D177)</f>
        <v>30</v>
      </c>
      <c r="AA186" s="9">
        <f t="shared" ca="1" si="518"/>
        <v>29</v>
      </c>
      <c r="AB186" s="10">
        <f t="shared" ca="1" si="518"/>
        <v>5600.3699999999899</v>
      </c>
      <c r="AC186" s="9">
        <f t="shared" ca="1" si="518"/>
        <v>2078</v>
      </c>
      <c r="AD186" s="9">
        <f t="shared" ca="1" si="518"/>
        <v>0</v>
      </c>
      <c r="AE186" s="9">
        <f t="shared" ca="1" si="518"/>
        <v>2078</v>
      </c>
      <c r="AF186" s="9">
        <f t="shared" ca="1" si="518"/>
        <v>2651</v>
      </c>
      <c r="AG186" s="9">
        <f t="shared" ca="1" si="518"/>
        <v>0</v>
      </c>
      <c r="AH186" s="9">
        <f t="shared" ca="1" si="518"/>
        <v>2651</v>
      </c>
      <c r="AI186" s="9">
        <f t="shared" ca="1" si="518"/>
        <v>4729</v>
      </c>
      <c r="AJ186" s="11">
        <f t="shared" ca="1" si="505"/>
        <v>193.11620689655138</v>
      </c>
      <c r="AK186" s="8">
        <f t="shared" si="514"/>
        <v>5887</v>
      </c>
      <c r="AL186" s="12">
        <f t="shared" ca="1" si="506"/>
        <v>0.80329539663665706</v>
      </c>
      <c r="AM186" s="13">
        <f t="shared" si="515"/>
        <v>1.5</v>
      </c>
      <c r="AN186" s="12">
        <f t="shared" ca="1" si="507"/>
        <v>0.56293899629250788</v>
      </c>
      <c r="AO186" s="14">
        <f t="shared" ca="1" si="508"/>
        <v>0.84440849443876187</v>
      </c>
      <c r="AP186" s="13">
        <f t="shared" ref="AP186:AQ186" ca="1" si="519">SUM(T177)</f>
        <v>225.89424007744392</v>
      </c>
      <c r="AQ186" s="13">
        <f t="shared" ca="1" si="519"/>
        <v>7.7894565543946177</v>
      </c>
      <c r="AR186" s="9">
        <f t="shared" ca="1" si="510"/>
        <v>163.06896551724137</v>
      </c>
      <c r="AS186" s="76"/>
      <c r="AT186" s="76"/>
    </row>
    <row r="187" spans="1:46" ht="15.75" customHeight="1" x14ac:dyDescent="0.2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6"/>
      <c r="X187" s="8">
        <v>5</v>
      </c>
      <c r="Y187" s="8" t="s">
        <v>39</v>
      </c>
      <c r="Z187" s="8">
        <f t="shared" ref="Z187:AI187" si="520">SUM(D178)</f>
        <v>28</v>
      </c>
      <c r="AA187" s="9">
        <f t="shared" ca="1" si="520"/>
        <v>28</v>
      </c>
      <c r="AB187" s="10">
        <f t="shared" ca="1" si="520"/>
        <v>5544.7299999999896</v>
      </c>
      <c r="AC187" s="9">
        <f t="shared" ca="1" si="520"/>
        <v>1207</v>
      </c>
      <c r="AD187" s="9">
        <f t="shared" ca="1" si="520"/>
        <v>0</v>
      </c>
      <c r="AE187" s="9">
        <f t="shared" ca="1" si="520"/>
        <v>1207</v>
      </c>
      <c r="AF187" s="9">
        <f t="shared" ca="1" si="520"/>
        <v>1539</v>
      </c>
      <c r="AG187" s="9">
        <f t="shared" ca="1" si="520"/>
        <v>373</v>
      </c>
      <c r="AH187" s="9">
        <f t="shared" ca="1" si="520"/>
        <v>1912</v>
      </c>
      <c r="AI187" s="9">
        <f t="shared" ca="1" si="520"/>
        <v>3119</v>
      </c>
      <c r="AJ187" s="11">
        <f t="shared" ca="1" si="505"/>
        <v>198.02607142857104</v>
      </c>
      <c r="AK187" s="8">
        <f t="shared" si="514"/>
        <v>3569</v>
      </c>
      <c r="AL187" s="12">
        <f t="shared" ca="1" si="506"/>
        <v>0.87391426169795461</v>
      </c>
      <c r="AM187" s="13">
        <f t="shared" si="515"/>
        <v>1.5</v>
      </c>
      <c r="AN187" s="12">
        <f t="shared" ca="1" si="507"/>
        <v>0.37501074593953848</v>
      </c>
      <c r="AO187" s="14">
        <f t="shared" ca="1" si="508"/>
        <v>0.56251611890930775</v>
      </c>
      <c r="AP187" s="13">
        <f t="shared" ref="AP187:AQ187" ca="1" si="521">SUM(T178)</f>
        <v>258.33900200344732</v>
      </c>
      <c r="AQ187" s="13">
        <f t="shared" ca="1" si="521"/>
        <v>9.2263929286945476</v>
      </c>
      <c r="AR187" s="9">
        <f t="shared" ca="1" si="510"/>
        <v>111.39285714285714</v>
      </c>
      <c r="AS187" s="76"/>
      <c r="AT187" s="76"/>
    </row>
    <row r="188" spans="1:46" ht="15.75" customHeight="1" x14ac:dyDescent="0.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6"/>
      <c r="X188" s="8">
        <v>6</v>
      </c>
      <c r="Y188" s="8" t="s">
        <v>41</v>
      </c>
      <c r="Z188" s="8">
        <f t="shared" ref="Z188:AI188" si="522">SUM(D179)</f>
        <v>24</v>
      </c>
      <c r="AA188" s="9">
        <f t="shared" ca="1" si="522"/>
        <v>24</v>
      </c>
      <c r="AB188" s="10">
        <f t="shared" ca="1" si="522"/>
        <v>4704.268</v>
      </c>
      <c r="AC188" s="9">
        <f t="shared" ca="1" si="522"/>
        <v>1210</v>
      </c>
      <c r="AD188" s="9">
        <f t="shared" ca="1" si="522"/>
        <v>0</v>
      </c>
      <c r="AE188" s="9">
        <f t="shared" ca="1" si="522"/>
        <v>1210</v>
      </c>
      <c r="AF188" s="9">
        <f t="shared" ca="1" si="522"/>
        <v>1387</v>
      </c>
      <c r="AG188" s="9">
        <f t="shared" ca="1" si="522"/>
        <v>146</v>
      </c>
      <c r="AH188" s="9">
        <f t="shared" ca="1" si="522"/>
        <v>1533</v>
      </c>
      <c r="AI188" s="9">
        <f t="shared" ca="1" si="522"/>
        <v>2743</v>
      </c>
      <c r="AJ188" s="11">
        <f t="shared" ca="1" si="505"/>
        <v>196.01116666666667</v>
      </c>
      <c r="AK188" s="8">
        <f t="shared" si="514"/>
        <v>3801</v>
      </c>
      <c r="AL188" s="12">
        <f t="shared" ca="1" si="506"/>
        <v>0.72165219679031833</v>
      </c>
      <c r="AM188" s="13">
        <f t="shared" si="515"/>
        <v>1.5</v>
      </c>
      <c r="AN188" s="12">
        <f t="shared" ca="1" si="507"/>
        <v>0.38872501878436067</v>
      </c>
      <c r="AO188" s="14">
        <f t="shared" ca="1" si="508"/>
        <v>0.58308752817654097</v>
      </c>
      <c r="AP188" s="13">
        <f t="shared" ref="AP188:AQ188" ca="1" si="523">SUM(T179)</f>
        <v>158.77777777777777</v>
      </c>
      <c r="AQ188" s="13">
        <f t="shared" ca="1" si="523"/>
        <v>6.6157407407407405</v>
      </c>
      <c r="AR188" s="9">
        <f t="shared" ca="1" si="510"/>
        <v>114.29166666666667</v>
      </c>
      <c r="AS188" s="76"/>
      <c r="AT188" s="76"/>
    </row>
    <row r="189" spans="1:46" ht="15.75" customHeight="1" x14ac:dyDescent="0.25">
      <c r="A189" s="110" t="s">
        <v>45</v>
      </c>
      <c r="B189" s="76"/>
      <c r="C189" s="76"/>
      <c r="D189" s="75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24" t="s">
        <v>33</v>
      </c>
      <c r="Y189" s="24">
        <v>6</v>
      </c>
      <c r="Z189" s="24">
        <f t="shared" ref="Z189:AI189" si="524">SUM(Z183:Z188)</f>
        <v>174</v>
      </c>
      <c r="AA189" s="25">
        <f t="shared" ca="1" si="524"/>
        <v>171</v>
      </c>
      <c r="AB189" s="27">
        <f t="shared" ca="1" si="524"/>
        <v>33507.725999999966</v>
      </c>
      <c r="AC189" s="25">
        <f t="shared" ca="1" si="524"/>
        <v>12195</v>
      </c>
      <c r="AD189" s="25">
        <f t="shared" ca="1" si="524"/>
        <v>0</v>
      </c>
      <c r="AE189" s="25">
        <f t="shared" ca="1" si="524"/>
        <v>12195</v>
      </c>
      <c r="AF189" s="25">
        <f t="shared" ca="1" si="524"/>
        <v>14483</v>
      </c>
      <c r="AG189" s="25">
        <f t="shared" ca="1" si="524"/>
        <v>519</v>
      </c>
      <c r="AH189" s="25">
        <f t="shared" ca="1" si="524"/>
        <v>15002</v>
      </c>
      <c r="AI189" s="25">
        <f t="shared" ca="1" si="524"/>
        <v>27197</v>
      </c>
      <c r="AJ189" s="27">
        <f t="shared" ca="1" si="505"/>
        <v>195.95161403508752</v>
      </c>
      <c r="AK189" s="24">
        <f>SUM(AK183:AK188)</f>
        <v>37031</v>
      </c>
      <c r="AL189" s="28">
        <f t="shared" ca="1" si="506"/>
        <v>0.73443871351030221</v>
      </c>
      <c r="AM189" s="29">
        <v>1.5</v>
      </c>
      <c r="AN189" s="28">
        <f t="shared" ca="1" si="507"/>
        <v>0.54110903656468212</v>
      </c>
      <c r="AO189" s="30">
        <f t="shared" ca="1" si="508"/>
        <v>0.81166355484702324</v>
      </c>
      <c r="AP189" s="29">
        <f ca="1">SUM(AP183:AP188)</f>
        <v>1384.8828443194216</v>
      </c>
      <c r="AQ189" s="29">
        <f ca="1">AP189/AA189</f>
        <v>8.0987300837393068</v>
      </c>
      <c r="AR189" s="25">
        <f t="shared" ca="1" si="510"/>
        <v>159.046783625731</v>
      </c>
      <c r="AS189" s="76"/>
      <c r="AT189" s="76"/>
    </row>
    <row r="190" spans="1:46" ht="15.75" customHeight="1" x14ac:dyDescent="0.2">
      <c r="A190" s="110" t="s">
        <v>45</v>
      </c>
      <c r="B190" s="76"/>
      <c r="C190" s="76"/>
      <c r="D190" s="75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7" t="s">
        <v>1</v>
      </c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9"/>
      <c r="AS190" s="76"/>
      <c r="AT190" s="76"/>
    </row>
    <row r="191" spans="1:46" ht="15.75" customHeight="1" x14ac:dyDescent="0.2">
      <c r="A191" s="109">
        <v>46273</v>
      </c>
      <c r="B191" s="80" t="s">
        <v>2</v>
      </c>
      <c r="C191" s="80" t="s">
        <v>3</v>
      </c>
      <c r="D191" s="80" t="s">
        <v>4</v>
      </c>
      <c r="E191" s="80" t="s">
        <v>5</v>
      </c>
      <c r="F191" s="81" t="s">
        <v>6</v>
      </c>
      <c r="G191" s="80" t="s">
        <v>7</v>
      </c>
      <c r="H191" s="80" t="s">
        <v>8</v>
      </c>
      <c r="I191" s="80" t="s">
        <v>9</v>
      </c>
      <c r="J191" s="80" t="s">
        <v>10</v>
      </c>
      <c r="K191" s="80" t="s">
        <v>11</v>
      </c>
      <c r="L191" s="80" t="s">
        <v>12</v>
      </c>
      <c r="M191" s="80" t="s">
        <v>13</v>
      </c>
      <c r="N191" s="81" t="s">
        <v>14</v>
      </c>
      <c r="O191" s="80" t="s">
        <v>15</v>
      </c>
      <c r="P191" s="80" t="s">
        <v>16</v>
      </c>
      <c r="Q191" s="80" t="s">
        <v>17</v>
      </c>
      <c r="R191" s="80" t="s">
        <v>18</v>
      </c>
      <c r="S191" s="106" t="s">
        <v>19</v>
      </c>
      <c r="T191" s="107" t="s">
        <v>20</v>
      </c>
      <c r="U191" s="107" t="s">
        <v>21</v>
      </c>
      <c r="V191" s="105" t="s">
        <v>22</v>
      </c>
      <c r="W191" s="76"/>
      <c r="X191" s="1" t="s">
        <v>2</v>
      </c>
      <c r="Y191" s="1" t="s">
        <v>3</v>
      </c>
      <c r="Z191" s="1" t="s">
        <v>4</v>
      </c>
      <c r="AA191" s="1" t="s">
        <v>5</v>
      </c>
      <c r="AB191" s="2" t="s">
        <v>6</v>
      </c>
      <c r="AC191" s="1" t="s">
        <v>7</v>
      </c>
      <c r="AD191" s="1" t="s">
        <v>8</v>
      </c>
      <c r="AE191" s="1" t="s">
        <v>9</v>
      </c>
      <c r="AF191" s="1" t="s">
        <v>10</v>
      </c>
      <c r="AG191" s="1" t="s">
        <v>11</v>
      </c>
      <c r="AH191" s="1" t="s">
        <v>12</v>
      </c>
      <c r="AI191" s="1" t="s">
        <v>13</v>
      </c>
      <c r="AJ191" s="2" t="s">
        <v>14</v>
      </c>
      <c r="AK191" s="1" t="s">
        <v>15</v>
      </c>
      <c r="AL191" s="1" t="s">
        <v>16</v>
      </c>
      <c r="AM191" s="3" t="s">
        <v>17</v>
      </c>
      <c r="AN191" s="4" t="s">
        <v>18</v>
      </c>
      <c r="AO191" s="5" t="s">
        <v>19</v>
      </c>
      <c r="AP191" s="6" t="s">
        <v>20</v>
      </c>
      <c r="AQ191" s="6" t="s">
        <v>21</v>
      </c>
      <c r="AR191" s="7" t="s">
        <v>22</v>
      </c>
      <c r="AS191" s="76"/>
      <c r="AT191" s="76"/>
    </row>
    <row r="192" spans="1:46" ht="15.75" customHeight="1" x14ac:dyDescent="0.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6"/>
      <c r="X192" s="8">
        <v>1</v>
      </c>
      <c r="Y192" s="8" t="s">
        <v>23</v>
      </c>
      <c r="Z192" s="8">
        <f t="shared" ref="Z192:AI192" si="525">SUM(D200)</f>
        <v>35</v>
      </c>
      <c r="AA192" s="9">
        <f t="shared" ca="1" si="525"/>
        <v>33</v>
      </c>
      <c r="AB192" s="10">
        <f t="shared" ca="1" si="525"/>
        <v>6478.0799999999899</v>
      </c>
      <c r="AC192" s="9">
        <f t="shared" ca="1" si="525"/>
        <v>1603</v>
      </c>
      <c r="AD192" s="9">
        <f t="shared" ca="1" si="525"/>
        <v>0</v>
      </c>
      <c r="AE192" s="9">
        <f t="shared" ca="1" si="525"/>
        <v>1603</v>
      </c>
      <c r="AF192" s="9">
        <f t="shared" ca="1" si="525"/>
        <v>2844</v>
      </c>
      <c r="AG192" s="9">
        <f t="shared" ca="1" si="525"/>
        <v>0</v>
      </c>
      <c r="AH192" s="9">
        <f t="shared" ca="1" si="525"/>
        <v>2844</v>
      </c>
      <c r="AI192" s="9">
        <f t="shared" ca="1" si="525"/>
        <v>4447</v>
      </c>
      <c r="AJ192" s="11">
        <f t="shared" ref="AJ192:AJ194" ca="1" si="526">AB192/AA192</f>
        <v>196.30545454545424</v>
      </c>
      <c r="AK192" s="8">
        <f>SUM(O200)</f>
        <v>6853</v>
      </c>
      <c r="AL192" s="12">
        <f t="shared" ref="AL192:AL198" ca="1" si="527">AI192/AK192</f>
        <v>0.64891288486794108</v>
      </c>
      <c r="AM192" s="13">
        <f t="shared" ref="AM192:AM194" si="528">SUM(Q200)</f>
        <v>1.5</v>
      </c>
      <c r="AN192" s="12">
        <f t="shared" ref="AN192:AN198" ca="1" si="529">AO192/AM192</f>
        <v>0.45764588684713242</v>
      </c>
      <c r="AO192" s="14">
        <f t="shared" ref="AO192:AO198" ca="1" si="530">AI192/AB192</f>
        <v>0.6864688302706986</v>
      </c>
      <c r="AP192" s="13">
        <f t="shared" ref="AP192:AQ192" ca="1" si="531">SUM(T200)</f>
        <v>191.99999999999969</v>
      </c>
      <c r="AQ192" s="13">
        <f t="shared" ca="1" si="531"/>
        <v>5.8181818181818086</v>
      </c>
      <c r="AR192" s="9">
        <f t="shared" ref="AR192:AR198" ca="1" si="532">AI192/AA192</f>
        <v>134.75757575757575</v>
      </c>
      <c r="AS192" s="76"/>
      <c r="AT192" s="76"/>
    </row>
    <row r="193" spans="1:46" ht="15.75" customHeight="1" x14ac:dyDescent="0.2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6"/>
      <c r="X193" s="8">
        <v>2</v>
      </c>
      <c r="Y193" s="8" t="s">
        <v>24</v>
      </c>
      <c r="Z193" s="8">
        <f t="shared" ref="Z193:AI193" si="533">SUM(D201)</f>
        <v>44</v>
      </c>
      <c r="AA193" s="9">
        <f t="shared" ca="1" si="533"/>
        <v>42</v>
      </c>
      <c r="AB193" s="10">
        <f t="shared" ca="1" si="533"/>
        <v>8337.7809999999899</v>
      </c>
      <c r="AC193" s="9">
        <f t="shared" ca="1" si="533"/>
        <v>1056</v>
      </c>
      <c r="AD193" s="9">
        <f t="shared" ca="1" si="533"/>
        <v>0</v>
      </c>
      <c r="AE193" s="9">
        <f t="shared" ca="1" si="533"/>
        <v>1056</v>
      </c>
      <c r="AF193" s="9">
        <f t="shared" ca="1" si="533"/>
        <v>1273</v>
      </c>
      <c r="AG193" s="9">
        <f t="shared" ca="1" si="533"/>
        <v>168</v>
      </c>
      <c r="AH193" s="9">
        <f t="shared" ca="1" si="533"/>
        <v>1441</v>
      </c>
      <c r="AI193" s="9">
        <f t="shared" ca="1" si="533"/>
        <v>2497</v>
      </c>
      <c r="AJ193" s="11">
        <f t="shared" ca="1" si="526"/>
        <v>198.518595238095</v>
      </c>
      <c r="AK193" s="8">
        <v>1580</v>
      </c>
      <c r="AL193" s="15">
        <f t="shared" ca="1" si="527"/>
        <v>1.580379746835443</v>
      </c>
      <c r="AM193" s="13">
        <f t="shared" si="528"/>
        <v>1.5</v>
      </c>
      <c r="AN193" s="12">
        <f t="shared" ca="1" si="529"/>
        <v>0.19965344096548812</v>
      </c>
      <c r="AO193" s="14">
        <f t="shared" ca="1" si="530"/>
        <v>0.2994801614482322</v>
      </c>
      <c r="AP193" s="13">
        <f t="shared" ref="AP193:AQ193" ca="1" si="534">SUM(T201)</f>
        <v>311.05319903003135</v>
      </c>
      <c r="AQ193" s="13">
        <f t="shared" ca="1" si="534"/>
        <v>7.4060285483340795</v>
      </c>
      <c r="AR193" s="9">
        <f t="shared" ca="1" si="532"/>
        <v>59.452380952380949</v>
      </c>
      <c r="AS193" s="76"/>
      <c r="AT193" s="76"/>
    </row>
    <row r="194" spans="1:46" ht="15.75" customHeight="1" x14ac:dyDescent="0.2">
      <c r="A194" s="70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6"/>
      <c r="X194" s="8">
        <v>3</v>
      </c>
      <c r="Y194" s="8" t="s">
        <v>25</v>
      </c>
      <c r="Z194" s="8">
        <f t="shared" ref="Z194:AI194" si="535">SUM(D202)</f>
        <v>32</v>
      </c>
      <c r="AA194" s="9">
        <f t="shared" ca="1" si="535"/>
        <v>32</v>
      </c>
      <c r="AB194" s="10">
        <f t="shared" ca="1" si="535"/>
        <v>6104.808</v>
      </c>
      <c r="AC194" s="9">
        <f t="shared" ca="1" si="535"/>
        <v>2053</v>
      </c>
      <c r="AD194" s="9">
        <f t="shared" ca="1" si="535"/>
        <v>353</v>
      </c>
      <c r="AE194" s="9">
        <f t="shared" ca="1" si="535"/>
        <v>2406</v>
      </c>
      <c r="AF194" s="9">
        <f t="shared" ca="1" si="535"/>
        <v>2550</v>
      </c>
      <c r="AG194" s="9">
        <f t="shared" ca="1" si="535"/>
        <v>385</v>
      </c>
      <c r="AH194" s="9">
        <f t="shared" ca="1" si="535"/>
        <v>2935</v>
      </c>
      <c r="AI194" s="9">
        <f t="shared" ca="1" si="535"/>
        <v>5341</v>
      </c>
      <c r="AJ194" s="11">
        <f t="shared" ca="1" si="526"/>
        <v>190.77525</v>
      </c>
      <c r="AK194" s="8">
        <f>SUM(O202)</f>
        <v>6622</v>
      </c>
      <c r="AL194" s="12">
        <f t="shared" ca="1" si="527"/>
        <v>0.80655391120507403</v>
      </c>
      <c r="AM194" s="13">
        <f t="shared" si="528"/>
        <v>1.5</v>
      </c>
      <c r="AN194" s="12">
        <f t="shared" ca="1" si="529"/>
        <v>0.58325612642800018</v>
      </c>
      <c r="AO194" s="14">
        <f t="shared" ca="1" si="530"/>
        <v>0.87488418964200021</v>
      </c>
      <c r="AP194" s="13">
        <f t="shared" ref="AP194:AQ194" ca="1" si="536">SUM(T202)</f>
        <v>256.07416107382551</v>
      </c>
      <c r="AQ194" s="13">
        <f t="shared" ca="1" si="536"/>
        <v>8.0023175335570471</v>
      </c>
      <c r="AR194" s="9">
        <f t="shared" ca="1" si="532"/>
        <v>166.90625</v>
      </c>
      <c r="AS194" s="76"/>
      <c r="AT194" s="76"/>
    </row>
    <row r="195" spans="1:46" ht="15.75" customHeight="1" x14ac:dyDescent="0.25">
      <c r="A195" s="70"/>
      <c r="B195" s="16">
        <v>1</v>
      </c>
      <c r="C195" s="16" t="s">
        <v>26</v>
      </c>
      <c r="D195" s="17">
        <v>20</v>
      </c>
      <c r="E195" s="18">
        <f ca="1">IFERROR(__xludf.DUMMYFUNCTION("COUNT(IMPORTRANGE(""https://docs.google.com/spreadsheets/d/1F0NpMx7WhcgPgxTWpryY3Z1CGg56FL6aiL4mHs43w4E/edit"",""8!d2:d21""))"),19)</f>
        <v>19</v>
      </c>
      <c r="F195" s="19">
        <f ca="1">IFERROR(__xludf.DUMMYFUNCTION("SUM(IMPORTRANGE(""https://docs.google.com/spreadsheets/d/1F0NpMx7WhcgPgxTWpryY3Z1CGg56FL6aiL4mHs43w4E/edit"",""8!Q2:Q21""))"),3806.172)</f>
        <v>3806.172</v>
      </c>
      <c r="G195" s="18">
        <f ca="1">IFERROR(__xludf.DUMMYFUNCTION("IMPORTRANGE(""https://docs.google.com/spreadsheets/d/1F0NpMx7WhcgPgxTWpryY3Z1CGg56FL6aiL4mHs43w4E/edit"",""8!e28"")"),1787)</f>
        <v>1787</v>
      </c>
      <c r="H195" s="18">
        <f ca="1">IFERROR(__xludf.DUMMYFUNCTION("IMPORTRANGE(""https://docs.google.com/spreadsheets/d/1F0NpMx7WhcgPgxTWpryY3Z1CGg56FL6aiL4mHs43w4E/edit"",""8!e29"")"),0)</f>
        <v>0</v>
      </c>
      <c r="I195" s="18">
        <f t="shared" ref="I195:I212" ca="1" si="537">SUM(G195:H195)</f>
        <v>1787</v>
      </c>
      <c r="J195" s="18">
        <f ca="1">IFERROR(__xludf.DUMMYFUNCTION("IMPORTRANGE(""https://docs.google.com/spreadsheets/d/1F0NpMx7WhcgPgxTWpryY3Z1CGg56FL6aiL4mHs43w4E/edit"",""8!e32"")"),2146)</f>
        <v>2146</v>
      </c>
      <c r="K195" s="18">
        <f ca="1">IFERROR(__xludf.DUMMYFUNCTION("IMPORTRANGE(""https://docs.google.com/spreadsheets/d/1F0NpMx7WhcgPgxTWpryY3Z1CGg56FL6aiL4mHs43w4E/edit"",""8!e33"")"),0)</f>
        <v>0</v>
      </c>
      <c r="L195" s="18">
        <f t="shared" ref="L195:L201" ca="1" si="538">SUM(J195:K195)</f>
        <v>2146</v>
      </c>
      <c r="M195" s="18">
        <f t="shared" ref="M195:M212" ca="1" si="539">SUM(I195+L195)</f>
        <v>3933</v>
      </c>
      <c r="N195" s="19">
        <f t="shared" ref="N195:N213" ca="1" si="540">F195/E195</f>
        <v>200.32484210526317</v>
      </c>
      <c r="O195" s="16">
        <v>5161</v>
      </c>
      <c r="P195" s="20">
        <f t="shared" ref="P195:P213" ca="1" si="541">M195/O195</f>
        <v>0.76206161596589805</v>
      </c>
      <c r="Q195" s="21">
        <v>1.5</v>
      </c>
      <c r="R195" s="20">
        <f t="shared" ref="R195:R213" ca="1" si="542">S195/Q195</f>
        <v>0.6888811120464341</v>
      </c>
      <c r="S195" s="22">
        <f t="shared" ref="S195:S213" ca="1" si="543">M195/F195</f>
        <v>1.0333216680696511</v>
      </c>
      <c r="T195" s="21">
        <f ca="1">F195/14.415</f>
        <v>264.04245577523415</v>
      </c>
      <c r="U195" s="21">
        <f t="shared" ref="U195:U213" ca="1" si="544">T195/E195</f>
        <v>13.896971356591271</v>
      </c>
      <c r="V195" s="18">
        <f t="shared" ref="V195:V213" ca="1" si="545">M195/E195</f>
        <v>207</v>
      </c>
      <c r="W195" s="76"/>
      <c r="X195" s="8">
        <v>4</v>
      </c>
      <c r="Y195" s="8" t="s">
        <v>27</v>
      </c>
      <c r="Z195" s="8">
        <f t="shared" ref="Z195:AK195" si="546">SUM(D208)</f>
        <v>30</v>
      </c>
      <c r="AA195" s="9">
        <f t="shared" ca="1" si="546"/>
        <v>30</v>
      </c>
      <c r="AB195" s="10">
        <f t="shared" ca="1" si="546"/>
        <v>5565.6850000000004</v>
      </c>
      <c r="AC195" s="9">
        <f t="shared" ca="1" si="546"/>
        <v>2547</v>
      </c>
      <c r="AD195" s="9">
        <f t="shared" ca="1" si="546"/>
        <v>0</v>
      </c>
      <c r="AE195" s="9">
        <f t="shared" ca="1" si="546"/>
        <v>2547</v>
      </c>
      <c r="AF195" s="9">
        <f t="shared" ca="1" si="546"/>
        <v>1932</v>
      </c>
      <c r="AG195" s="9">
        <f t="shared" ca="1" si="546"/>
        <v>234</v>
      </c>
      <c r="AH195" s="9">
        <f t="shared" ca="1" si="546"/>
        <v>2166</v>
      </c>
      <c r="AI195" s="9">
        <f t="shared" ca="1" si="546"/>
        <v>4713</v>
      </c>
      <c r="AJ195" s="11">
        <f t="shared" ca="1" si="546"/>
        <v>185.52283333333335</v>
      </c>
      <c r="AK195" s="8">
        <f t="shared" si="546"/>
        <v>8101</v>
      </c>
      <c r="AL195" s="12">
        <f t="shared" ca="1" si="527"/>
        <v>0.58178002715714106</v>
      </c>
      <c r="AM195" s="13">
        <f>SUM(Q208)</f>
        <v>1.5</v>
      </c>
      <c r="AN195" s="12">
        <f t="shared" ca="1" si="529"/>
        <v>0.56453069119075183</v>
      </c>
      <c r="AO195" s="14">
        <f t="shared" ca="1" si="530"/>
        <v>0.8467960367861278</v>
      </c>
      <c r="AP195" s="13">
        <f t="shared" ref="AP195:AQ195" ca="1" si="547">SUM(T208)</f>
        <v>278.49311983987991</v>
      </c>
      <c r="AQ195" s="13">
        <f t="shared" ca="1" si="547"/>
        <v>9.2831039946626639</v>
      </c>
      <c r="AR195" s="9">
        <f t="shared" ca="1" si="532"/>
        <v>157.1</v>
      </c>
      <c r="AS195" s="76"/>
      <c r="AT195" s="76"/>
    </row>
    <row r="196" spans="1:46" ht="15.75" customHeight="1" x14ac:dyDescent="0.25">
      <c r="A196" s="70"/>
      <c r="B196" s="16">
        <v>2</v>
      </c>
      <c r="C196" s="16" t="s">
        <v>28</v>
      </c>
      <c r="D196" s="17">
        <v>33</v>
      </c>
      <c r="E196" s="18">
        <f ca="1">IFERROR(__xludf.DUMMYFUNCTION("COUNT(IMPORTRANGE(""https://docs.google.com/spreadsheets/d/1H9vAqftAHb0OdeSGXHTnJFzoWUgpoH31sc0sHNN8y1o/edit"",""8!d2:d34""))"),33)</f>
        <v>33</v>
      </c>
      <c r="F196" s="19">
        <f ca="1">IFERROR(__xludf.DUMMYFUNCTION("SUM(IMPORTRANGE(""https://docs.google.com/spreadsheets/d/1H9vAqftAHb0OdeSGXHTnJFzoWUgpoH31sc0sHNN8y1o/edit"",""8!Q2:Q34""))"),6590.627)</f>
        <v>6590.6270000000004</v>
      </c>
      <c r="G196" s="18">
        <f ca="1">IFERROR(__xludf.DUMMYFUNCTION("IMPORTRANGE(""https://docs.google.com/spreadsheets/d/1H9vAqftAHb0OdeSGXHTnJFzoWUgpoH31sc0sHNN8y1o/edit"",""8!e41"")"),2080)</f>
        <v>2080</v>
      </c>
      <c r="H196" s="18">
        <f ca="1">IFERROR(__xludf.DUMMYFUNCTION("IMPORTRANGE(""https://docs.google.com/spreadsheets/d/1H9vAqftAHb0OdeSGXHTnJFzoWUgpoH31sc0sHNN8y1o/edit"",""8!e42"")"),97)</f>
        <v>97</v>
      </c>
      <c r="I196" s="18">
        <f t="shared" ca="1" si="537"/>
        <v>2177</v>
      </c>
      <c r="J196" s="18">
        <f ca="1">IFERROR(__xludf.DUMMYFUNCTION("IMPORTRANGE(""https://docs.google.com/spreadsheets/d/1H9vAqftAHb0OdeSGXHTnJFzoWUgpoH31sc0sHNN8y1o/edit"",""8!e45"")"),2414)</f>
        <v>2414</v>
      </c>
      <c r="K196" s="18">
        <f ca="1">IFERROR(__xludf.DUMMYFUNCTION("IMPORTRANGE(""https://docs.google.com/spreadsheets/d/1H9vAqftAHb0OdeSGXHTnJFzoWUgpoH31sc0sHNN8y1o/edit"",""8!e46"")"),147)</f>
        <v>147</v>
      </c>
      <c r="L196" s="18">
        <f t="shared" ca="1" si="538"/>
        <v>2561</v>
      </c>
      <c r="M196" s="18">
        <f t="shared" ca="1" si="539"/>
        <v>4738</v>
      </c>
      <c r="N196" s="19">
        <f t="shared" ca="1" si="540"/>
        <v>199.71596969696972</v>
      </c>
      <c r="O196" s="16">
        <v>7315</v>
      </c>
      <c r="P196" s="20">
        <f t="shared" ca="1" si="541"/>
        <v>0.64771018455228979</v>
      </c>
      <c r="Q196" s="21">
        <v>1.5</v>
      </c>
      <c r="R196" s="20">
        <f t="shared" ca="1" si="542"/>
        <v>0.47926648961724982</v>
      </c>
      <c r="S196" s="22">
        <f t="shared" ca="1" si="543"/>
        <v>0.71889973442587474</v>
      </c>
      <c r="T196" s="21">
        <f ca="1">F196/30.897</f>
        <v>213.30960934718584</v>
      </c>
      <c r="U196" s="21">
        <f t="shared" ca="1" si="544"/>
        <v>6.4639275559753289</v>
      </c>
      <c r="V196" s="18">
        <f t="shared" ca="1" si="545"/>
        <v>143.57575757575756</v>
      </c>
      <c r="W196" s="76"/>
      <c r="X196" s="8">
        <v>5</v>
      </c>
      <c r="Y196" s="8" t="s">
        <v>29</v>
      </c>
      <c r="Z196" s="8">
        <f t="shared" ref="Z196:AI196" si="548">SUM(D211)</f>
        <v>30</v>
      </c>
      <c r="AA196" s="9">
        <f t="shared" ca="1" si="548"/>
        <v>29</v>
      </c>
      <c r="AB196" s="10">
        <f t="shared" ca="1" si="548"/>
        <v>5933.9839999999904</v>
      </c>
      <c r="AC196" s="9">
        <f t="shared" ca="1" si="548"/>
        <v>2324</v>
      </c>
      <c r="AD196" s="9">
        <f t="shared" ca="1" si="548"/>
        <v>0</v>
      </c>
      <c r="AE196" s="9">
        <f t="shared" ca="1" si="548"/>
        <v>2324</v>
      </c>
      <c r="AF196" s="9">
        <f t="shared" ca="1" si="548"/>
        <v>3557</v>
      </c>
      <c r="AG196" s="9">
        <f t="shared" ca="1" si="548"/>
        <v>0</v>
      </c>
      <c r="AH196" s="9">
        <f t="shared" ca="1" si="548"/>
        <v>3557</v>
      </c>
      <c r="AI196" s="9">
        <f t="shared" ca="1" si="548"/>
        <v>5881</v>
      </c>
      <c r="AJ196" s="11">
        <f t="shared" ref="AJ196:AJ198" ca="1" si="549">AB196/AA196</f>
        <v>204.62013793103415</v>
      </c>
      <c r="AK196" s="8">
        <f t="shared" ref="AK196:AK197" si="550">SUM(O211)</f>
        <v>9201</v>
      </c>
      <c r="AL196" s="12">
        <f t="shared" ca="1" si="527"/>
        <v>0.63916965547223126</v>
      </c>
      <c r="AM196" s="13">
        <f t="shared" ref="AM196:AM197" si="551">SUM(Q211)</f>
        <v>1.5</v>
      </c>
      <c r="AN196" s="12">
        <f t="shared" ca="1" si="529"/>
        <v>0.66071406101982633</v>
      </c>
      <c r="AO196" s="14">
        <f t="shared" ca="1" si="530"/>
        <v>0.99107109152973949</v>
      </c>
      <c r="AP196" s="13">
        <f t="shared" ref="AP196:AQ196" ca="1" si="552">SUM(T211)</f>
        <v>223.99999999999963</v>
      </c>
      <c r="AQ196" s="13">
        <f t="shared" ca="1" si="552"/>
        <v>7.7241379310344698</v>
      </c>
      <c r="AR196" s="9">
        <f t="shared" ca="1" si="532"/>
        <v>202.79310344827587</v>
      </c>
      <c r="AS196" s="76"/>
      <c r="AT196" s="76"/>
    </row>
    <row r="197" spans="1:46" ht="15.75" customHeight="1" x14ac:dyDescent="0.25">
      <c r="A197" s="70"/>
      <c r="B197" s="16">
        <v>3</v>
      </c>
      <c r="C197" s="16" t="s">
        <v>30</v>
      </c>
      <c r="D197" s="17">
        <v>60</v>
      </c>
      <c r="E197" s="18">
        <f ca="1">IFERROR(__xludf.DUMMYFUNCTION("COUNT(IMPORTRANGE(""https://docs.google.com/spreadsheets/d/1EWN6nfpuVxbUE_9opjYCWaI7MTm5xsF6ssjklSbMZnA/edit"",""8!d2:d61""))"),59)</f>
        <v>59</v>
      </c>
      <c r="F197" s="23">
        <f ca="1">IFERROR(__xludf.DUMMYFUNCTION("SUM(IMPORTRANGE(""https://docs.google.com/spreadsheets/d/1EWN6nfpuVxbUE_9opjYCWaI7MTm5xsF6ssjklSbMZnA/edit"",""8!Q2:Q61""))"),11786.1989999999)</f>
        <v>11786.1989999999</v>
      </c>
      <c r="G197" s="18">
        <f ca="1">IFERROR(__xludf.DUMMYFUNCTION("IMPORTRANGE(""https://docs.google.com/spreadsheets/d/1EWN6nfpuVxbUE_9opjYCWaI7MTm5xsF6ssjklSbMZnA/edit"",""8!e68"")"),3159)</f>
        <v>3159</v>
      </c>
      <c r="H197" s="18">
        <f ca="1">IFERROR(__xludf.DUMMYFUNCTION("IMPORTRANGE(""https://docs.google.com/spreadsheets/d/1EWN6nfpuVxbUE_9opjYCWaI7MTm5xsF6ssjklSbMZnA/edit"",""8!e69"")"),0)</f>
        <v>0</v>
      </c>
      <c r="I197" s="18">
        <f t="shared" ca="1" si="537"/>
        <v>3159</v>
      </c>
      <c r="J197" s="18">
        <f ca="1">IFERROR(__xludf.DUMMYFUNCTION("IMPORTRANGE(""https://docs.google.com/spreadsheets/d/1EWN6nfpuVxbUE_9opjYCWaI7MTm5xsF6ssjklSbMZnA/edit"",""8!e72"")"),5333)</f>
        <v>5333</v>
      </c>
      <c r="K197" s="18">
        <f ca="1">IFERROR(__xludf.DUMMYFUNCTION("IMPORTRANGE(""https://docs.google.com/spreadsheets/d/1EWN6nfpuVxbUE_9opjYCWaI7MTm5xsF6ssjklSbMZnA/edit"",""8!e73"")"),135)</f>
        <v>135</v>
      </c>
      <c r="L197" s="18">
        <f t="shared" ca="1" si="538"/>
        <v>5468</v>
      </c>
      <c r="M197" s="18">
        <f t="shared" ca="1" si="539"/>
        <v>8627</v>
      </c>
      <c r="N197" s="19">
        <f t="shared" ca="1" si="540"/>
        <v>199.76608474576102</v>
      </c>
      <c r="O197" s="16">
        <v>11164</v>
      </c>
      <c r="P197" s="20">
        <f t="shared" ca="1" si="541"/>
        <v>0.77275170189896092</v>
      </c>
      <c r="Q197" s="21">
        <v>1.5</v>
      </c>
      <c r="R197" s="20">
        <f t="shared" ca="1" si="542"/>
        <v>0.48797185024055523</v>
      </c>
      <c r="S197" s="22">
        <f t="shared" ca="1" si="543"/>
        <v>0.73195777536083284</v>
      </c>
      <c r="T197" s="21">
        <f ca="1">F197/29.603</f>
        <v>398.14204641421139</v>
      </c>
      <c r="U197" s="21">
        <f t="shared" ca="1" si="544"/>
        <v>6.748170278206973</v>
      </c>
      <c r="V197" s="18">
        <f t="shared" ca="1" si="545"/>
        <v>146.22033898305085</v>
      </c>
      <c r="W197" s="76"/>
      <c r="X197" s="8">
        <v>6</v>
      </c>
      <c r="Y197" s="8" t="s">
        <v>31</v>
      </c>
      <c r="Z197" s="8">
        <f t="shared" ref="Z197:AI197" si="553">SUM(D212)</f>
        <v>15</v>
      </c>
      <c r="AA197" s="9">
        <f t="shared" ca="1" si="553"/>
        <v>15</v>
      </c>
      <c r="AB197" s="11">
        <f t="shared" ca="1" si="553"/>
        <v>2738.2949999999901</v>
      </c>
      <c r="AC197" s="9">
        <f t="shared" ca="1" si="553"/>
        <v>721</v>
      </c>
      <c r="AD197" s="9">
        <f t="shared" ca="1" si="553"/>
        <v>49</v>
      </c>
      <c r="AE197" s="9">
        <f t="shared" ca="1" si="553"/>
        <v>770</v>
      </c>
      <c r="AF197" s="9">
        <f t="shared" ca="1" si="553"/>
        <v>991</v>
      </c>
      <c r="AG197" s="9">
        <f t="shared" ca="1" si="553"/>
        <v>0</v>
      </c>
      <c r="AH197" s="9">
        <f t="shared" ca="1" si="553"/>
        <v>991</v>
      </c>
      <c r="AI197" s="9">
        <f t="shared" ca="1" si="553"/>
        <v>1761</v>
      </c>
      <c r="AJ197" s="11">
        <f t="shared" ca="1" si="549"/>
        <v>182.55299999999934</v>
      </c>
      <c r="AK197" s="8">
        <f t="shared" si="550"/>
        <v>2717</v>
      </c>
      <c r="AL197" s="12">
        <f t="shared" ca="1" si="527"/>
        <v>0.64814133235185867</v>
      </c>
      <c r="AM197" s="13">
        <f t="shared" si="551"/>
        <v>1.5</v>
      </c>
      <c r="AN197" s="12">
        <f t="shared" ca="1" si="529"/>
        <v>0.42873393845440472</v>
      </c>
      <c r="AO197" s="14">
        <f t="shared" ca="1" si="530"/>
        <v>0.6431009076816071</v>
      </c>
      <c r="AP197" s="13">
        <f t="shared" ref="AP197:AQ197" ca="1" si="554">SUM(T212)</f>
        <v>62.999999999999766</v>
      </c>
      <c r="AQ197" s="13">
        <f t="shared" ca="1" si="554"/>
        <v>4.1999999999999842</v>
      </c>
      <c r="AR197" s="9">
        <f t="shared" ca="1" si="532"/>
        <v>117.4</v>
      </c>
      <c r="AS197" s="76"/>
      <c r="AT197" s="76"/>
    </row>
    <row r="198" spans="1:46" ht="15.75" customHeight="1" x14ac:dyDescent="0.25">
      <c r="A198" s="70"/>
      <c r="B198" s="16">
        <v>4</v>
      </c>
      <c r="C198" s="16" t="s">
        <v>32</v>
      </c>
      <c r="D198" s="17">
        <v>42</v>
      </c>
      <c r="E198" s="18">
        <f ca="1">IFERROR(__xludf.DUMMYFUNCTION("COUNT(IMPORTRANGE(""https://docs.google.com/spreadsheets/d/1Rmar8QqWK4XOJ-eY6xMzkAfDSw0srEXcAw89ilArun8/edit"",""8!d2:d43""))"),42)</f>
        <v>42</v>
      </c>
      <c r="F198" s="23">
        <f ca="1">IFERROR(__xludf.DUMMYFUNCTION("SUM(IMPORTRANGE(""https://docs.google.com/spreadsheets/d/1Rmar8QqWK4XOJ-eY6xMzkAfDSw0srEXcAw89ilArun8/edit"",""8!Q2:Q43""))"),8279.36999999999)</f>
        <v>8279.3699999999899</v>
      </c>
      <c r="G198" s="16">
        <f ca="1">IFERROR(__xludf.DUMMYFUNCTION("IMPORTRANGE(""https://docs.google.com/spreadsheets/d/1Rmar8QqWK4XOJ-eY6xMzkAfDSw0srEXcAw89ilArun8/edit"",""8!e50"")"),4274)</f>
        <v>4274</v>
      </c>
      <c r="H198" s="16">
        <f ca="1">IFERROR(__xludf.DUMMYFUNCTION("IMPORTRANGE(""https://docs.google.com/spreadsheets/d/1Rmar8QqWK4XOJ-eY6xMzkAfDSw0srEXcAw89ilArun8/edit"",""8!e51"")"),0)</f>
        <v>0</v>
      </c>
      <c r="I198" s="18">
        <f t="shared" ca="1" si="537"/>
        <v>4274</v>
      </c>
      <c r="J198" s="16">
        <f ca="1">IFERROR(__xludf.DUMMYFUNCTION("IMPORTRANGE(""https://docs.google.com/spreadsheets/d/1Rmar8QqWK4XOJ-eY6xMzkAfDSw0srEXcAw89ilArun8/edit"",""8!e54"")"),5147)</f>
        <v>5147</v>
      </c>
      <c r="K198" s="16">
        <f ca="1">IFERROR(__xludf.DUMMYFUNCTION("IMPORTRANGE(""https://docs.google.com/spreadsheets/d/1Rmar8QqWK4XOJ-eY6xMzkAfDSw0srEXcAw89ilArun8/edit"",""8!e55"")"),0)</f>
        <v>0</v>
      </c>
      <c r="L198" s="18">
        <f t="shared" ca="1" si="538"/>
        <v>5147</v>
      </c>
      <c r="M198" s="18">
        <f t="shared" ca="1" si="539"/>
        <v>9421</v>
      </c>
      <c r="N198" s="19">
        <f t="shared" ca="1" si="540"/>
        <v>197.1278571428569</v>
      </c>
      <c r="O198" s="16">
        <v>13817</v>
      </c>
      <c r="P198" s="20">
        <f t="shared" ca="1" si="541"/>
        <v>0.68184121010349574</v>
      </c>
      <c r="Q198" s="21">
        <v>1.5</v>
      </c>
      <c r="R198" s="20">
        <f t="shared" ca="1" si="542"/>
        <v>0.75859234056053471</v>
      </c>
      <c r="S198" s="22">
        <f t="shared" ca="1" si="543"/>
        <v>1.1378885108408021</v>
      </c>
      <c r="T198" s="21">
        <f ca="1">F198/25.089</f>
        <v>329.9999999999996</v>
      </c>
      <c r="U198" s="21">
        <f t="shared" ca="1" si="544"/>
        <v>7.8571428571428479</v>
      </c>
      <c r="V198" s="18">
        <f t="shared" ca="1" si="545"/>
        <v>224.3095238095238</v>
      </c>
      <c r="W198" s="76"/>
      <c r="X198" s="24" t="s">
        <v>33</v>
      </c>
      <c r="Y198" s="24">
        <v>6</v>
      </c>
      <c r="Z198" s="24">
        <f t="shared" ref="Z198:AI198" si="555">SUM(Z192:Z197)</f>
        <v>186</v>
      </c>
      <c r="AA198" s="25">
        <f t="shared" ca="1" si="555"/>
        <v>181</v>
      </c>
      <c r="AB198" s="26">
        <f t="shared" ca="1" si="555"/>
        <v>35158.632999999958</v>
      </c>
      <c r="AC198" s="25">
        <f t="shared" ca="1" si="555"/>
        <v>10304</v>
      </c>
      <c r="AD198" s="25">
        <f t="shared" ca="1" si="555"/>
        <v>402</v>
      </c>
      <c r="AE198" s="25">
        <f t="shared" ca="1" si="555"/>
        <v>10706</v>
      </c>
      <c r="AF198" s="25">
        <f t="shared" ca="1" si="555"/>
        <v>13147</v>
      </c>
      <c r="AG198" s="25">
        <f t="shared" ca="1" si="555"/>
        <v>787</v>
      </c>
      <c r="AH198" s="25">
        <f t="shared" ca="1" si="555"/>
        <v>13934</v>
      </c>
      <c r="AI198" s="25">
        <f t="shared" ca="1" si="555"/>
        <v>24640</v>
      </c>
      <c r="AJ198" s="27">
        <f t="shared" ca="1" si="549"/>
        <v>194.24659116022076</v>
      </c>
      <c r="AK198" s="24">
        <f>SUM(AK192:AK197)</f>
        <v>35074</v>
      </c>
      <c r="AL198" s="28">
        <f t="shared" ca="1" si="527"/>
        <v>0.7025146832411473</v>
      </c>
      <c r="AM198" s="29">
        <v>1.5</v>
      </c>
      <c r="AN198" s="28">
        <f t="shared" ca="1" si="529"/>
        <v>0.46721573807112143</v>
      </c>
      <c r="AO198" s="30">
        <f t="shared" ca="1" si="530"/>
        <v>0.70082360710668212</v>
      </c>
      <c r="AP198" s="29">
        <f ca="1">SUM(AP192:AP197)</f>
        <v>1324.6204799437357</v>
      </c>
      <c r="AQ198" s="29">
        <f ca="1">AP198/AA198</f>
        <v>7.3183451930593133</v>
      </c>
      <c r="AR198" s="25">
        <f t="shared" ca="1" si="532"/>
        <v>136.13259668508286</v>
      </c>
      <c r="AS198" s="76"/>
      <c r="AT198" s="76"/>
    </row>
    <row r="199" spans="1:46" ht="15.75" customHeight="1" x14ac:dyDescent="0.25">
      <c r="A199" s="70"/>
      <c r="B199" s="16">
        <v>5</v>
      </c>
      <c r="C199" s="16" t="s">
        <v>34</v>
      </c>
      <c r="D199" s="17">
        <v>40</v>
      </c>
      <c r="E199" s="18">
        <f ca="1">IFERROR(__xludf.DUMMYFUNCTION("COUNT(IMPORTRANGE(""https://docs.google.com/spreadsheets/d/1u99JxAoytGQQ8GcjxXl38CGdyEWy5uIbuJJHnsotyvk/edit"",""8!d2:d41""))"),40)</f>
        <v>40</v>
      </c>
      <c r="F199" s="23">
        <f ca="1">IFERROR(__xludf.DUMMYFUNCTION("SUM(IMPORTRANGE(""https://docs.google.com/spreadsheets/d/1u99JxAoytGQQ8GcjxXl38CGdyEWy5uIbuJJHnsotyvk/edit"",""8!Q2:Q41""))"),7838.649)</f>
        <v>7838.6490000000003</v>
      </c>
      <c r="G199" s="18">
        <f ca="1">IFERROR(__xludf.DUMMYFUNCTION("IMPORTRANGE(""https://docs.google.com/spreadsheets/d/1u99JxAoytGQQ8GcjxXl38CGdyEWy5uIbuJJHnsotyvk/edit"",""8!e48"")"),2405)</f>
        <v>2405</v>
      </c>
      <c r="H199" s="18">
        <f ca="1">IFERROR(__xludf.DUMMYFUNCTION("IMPORTRANGE(""https://docs.google.com/spreadsheets/d/1u99JxAoytGQQ8GcjxXl38CGdyEWy5uIbuJJHnsotyvk/edit"",""8!e49"")"),0)</f>
        <v>0</v>
      </c>
      <c r="I199" s="18">
        <f t="shared" ca="1" si="537"/>
        <v>2405</v>
      </c>
      <c r="J199" s="18">
        <f ca="1">IFERROR(__xludf.DUMMYFUNCTION("IMPORTRANGE(""https://docs.google.com/spreadsheets/d/1u99JxAoytGQQ8GcjxXl38CGdyEWy5uIbuJJHnsotyvk/edit"",""8!e52"")"),2976)</f>
        <v>2976</v>
      </c>
      <c r="K199" s="18">
        <f ca="1">IFERROR(__xludf.DUMMYFUNCTION("IMPORTRANGE(""https://docs.google.com/spreadsheets/d/1u99JxAoytGQQ8GcjxXl38CGdyEWy5uIbuJJHnsotyvk/edit"",""8!e53"")"),115)</f>
        <v>115</v>
      </c>
      <c r="L199" s="18">
        <f t="shared" ca="1" si="538"/>
        <v>3091</v>
      </c>
      <c r="M199" s="18">
        <f t="shared" ca="1" si="539"/>
        <v>5496</v>
      </c>
      <c r="N199" s="19">
        <f t="shared" ca="1" si="540"/>
        <v>195.96622500000001</v>
      </c>
      <c r="O199" s="16">
        <v>9354</v>
      </c>
      <c r="P199" s="20">
        <f t="shared" ca="1" si="541"/>
        <v>0.58755612572161642</v>
      </c>
      <c r="Q199" s="21">
        <v>1.5</v>
      </c>
      <c r="R199" s="20">
        <f t="shared" ca="1" si="542"/>
        <v>0.46742748654774563</v>
      </c>
      <c r="S199" s="22">
        <f t="shared" ca="1" si="543"/>
        <v>0.70114122982161842</v>
      </c>
      <c r="T199" s="21">
        <f ca="1">F199/30.713</f>
        <v>255.22251164002213</v>
      </c>
      <c r="U199" s="21">
        <f t="shared" ca="1" si="544"/>
        <v>6.3805627910005533</v>
      </c>
      <c r="V199" s="18">
        <f t="shared" ca="1" si="545"/>
        <v>137.4</v>
      </c>
      <c r="W199" s="76"/>
      <c r="X199" s="100" t="s">
        <v>35</v>
      </c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9"/>
      <c r="AS199" s="76"/>
      <c r="AT199" s="76"/>
    </row>
    <row r="200" spans="1:46" ht="15.75" customHeight="1" x14ac:dyDescent="0.25">
      <c r="A200" s="70"/>
      <c r="B200" s="16">
        <v>6</v>
      </c>
      <c r="C200" s="16" t="s">
        <v>23</v>
      </c>
      <c r="D200" s="17">
        <v>35</v>
      </c>
      <c r="E200" s="18">
        <f ca="1">IFERROR(__xludf.DUMMYFUNCTION("COUNT(IMPORTRANGE(""https://docs.google.com/spreadsheets/d/1uVc-vnTn57HE53lwrUYNZP4sGKTXisrqOoZ-6EyvLzY/edit"",""8!d2:d36""))"),33)</f>
        <v>33</v>
      </c>
      <c r="F200" s="23">
        <f ca="1">IFERROR(__xludf.DUMMYFUNCTION("SUM(IMPORTRANGE(""https://docs.google.com/spreadsheets/d/1uVc-vnTn57HE53lwrUYNZP4sGKTXisrqOoZ-6EyvLzY/edit"",""8!Q2:Q36""))"),6478.07999999999)</f>
        <v>6478.0799999999899</v>
      </c>
      <c r="G200" s="18">
        <f ca="1">IFERROR(__xludf.DUMMYFUNCTION("IMPORTRANGE(""https://docs.google.com/spreadsheets/d/1uVc-vnTn57HE53lwrUYNZP4sGKTXisrqOoZ-6EyvLzY/edit"",""8!e43"")"),1603)</f>
        <v>1603</v>
      </c>
      <c r="H200" s="18">
        <f ca="1">IFERROR(__xludf.DUMMYFUNCTION("IMPORTRANGE(""https://docs.google.com/spreadsheets/d/1uVc-vnTn57HE53lwrUYNZP4sGKTXisrqOoZ-6EyvLzY/edit"",""8!e44"")"),0)</f>
        <v>0</v>
      </c>
      <c r="I200" s="18">
        <f t="shared" ca="1" si="537"/>
        <v>1603</v>
      </c>
      <c r="J200" s="18">
        <f ca="1">IFERROR(__xludf.DUMMYFUNCTION("IMPORTRANGE(""https://docs.google.com/spreadsheets/d/1uVc-vnTn57HE53lwrUYNZP4sGKTXisrqOoZ-6EyvLzY/edit"",""8!e47"")"),2844)</f>
        <v>2844</v>
      </c>
      <c r="K200" s="18">
        <f ca="1">IFERROR(__xludf.DUMMYFUNCTION("IMPORTRANGE(""https://docs.google.com/spreadsheets/d/1uVc-vnTn57HE53lwrUYNZP4sGKTXisrqOoZ-6EyvLzY/edit"",""8!e48"")"),0)</f>
        <v>0</v>
      </c>
      <c r="L200" s="18">
        <f t="shared" ca="1" si="538"/>
        <v>2844</v>
      </c>
      <c r="M200" s="18">
        <f t="shared" ca="1" si="539"/>
        <v>4447</v>
      </c>
      <c r="N200" s="19">
        <f t="shared" ca="1" si="540"/>
        <v>196.30545454545424</v>
      </c>
      <c r="O200" s="16">
        <v>6853</v>
      </c>
      <c r="P200" s="20">
        <f t="shared" ca="1" si="541"/>
        <v>0.64891288486794108</v>
      </c>
      <c r="Q200" s="21">
        <v>1.5</v>
      </c>
      <c r="R200" s="20">
        <f t="shared" ca="1" si="542"/>
        <v>0.45764588684713242</v>
      </c>
      <c r="S200" s="22">
        <f t="shared" ca="1" si="543"/>
        <v>0.6864688302706986</v>
      </c>
      <c r="T200" s="21">
        <f ca="1">F200/33.74</f>
        <v>191.99999999999969</v>
      </c>
      <c r="U200" s="21">
        <f t="shared" ca="1" si="544"/>
        <v>5.8181818181818086</v>
      </c>
      <c r="V200" s="18">
        <f t="shared" ca="1" si="545"/>
        <v>134.75757575757575</v>
      </c>
      <c r="W200" s="76"/>
      <c r="X200" s="1" t="s">
        <v>2</v>
      </c>
      <c r="Y200" s="1" t="s">
        <v>3</v>
      </c>
      <c r="Z200" s="1" t="s">
        <v>4</v>
      </c>
      <c r="AA200" s="1" t="s">
        <v>5</v>
      </c>
      <c r="AB200" s="2" t="s">
        <v>6</v>
      </c>
      <c r="AC200" s="1" t="s">
        <v>7</v>
      </c>
      <c r="AD200" s="1" t="s">
        <v>8</v>
      </c>
      <c r="AE200" s="1" t="s">
        <v>9</v>
      </c>
      <c r="AF200" s="1" t="s">
        <v>10</v>
      </c>
      <c r="AG200" s="1" t="s">
        <v>11</v>
      </c>
      <c r="AH200" s="1" t="s">
        <v>12</v>
      </c>
      <c r="AI200" s="1" t="s">
        <v>13</v>
      </c>
      <c r="AJ200" s="2" t="s">
        <v>14</v>
      </c>
      <c r="AK200" s="1" t="s">
        <v>15</v>
      </c>
      <c r="AL200" s="1" t="s">
        <v>16</v>
      </c>
      <c r="AM200" s="3" t="s">
        <v>17</v>
      </c>
      <c r="AN200" s="4" t="s">
        <v>18</v>
      </c>
      <c r="AO200" s="5" t="s">
        <v>19</v>
      </c>
      <c r="AP200" s="6" t="s">
        <v>20</v>
      </c>
      <c r="AQ200" s="6" t="s">
        <v>21</v>
      </c>
      <c r="AR200" s="7" t="s">
        <v>22</v>
      </c>
      <c r="AS200" s="76"/>
      <c r="AT200" s="76"/>
    </row>
    <row r="201" spans="1:46" ht="15.75" customHeight="1" x14ac:dyDescent="0.25">
      <c r="A201" s="70"/>
      <c r="B201" s="16">
        <v>7</v>
      </c>
      <c r="C201" s="16" t="s">
        <v>24</v>
      </c>
      <c r="D201" s="17">
        <v>44</v>
      </c>
      <c r="E201" s="31">
        <f ca="1">IFERROR(__xludf.DUMMYFUNCTION("COUNT(IMPORTRANGE(""https://docs.google.com/spreadsheets/d/1iuPvivSypupo44l6GtmR-2qZ3za7cTk7KzsOVp_kv2c/edit"",""8!d2:d45""))"),42)</f>
        <v>42</v>
      </c>
      <c r="F201" s="32">
        <f ca="1">IFERROR(__xludf.DUMMYFUNCTION("SUM(IMPORTRANGE(""https://docs.google.com/spreadsheets/d/1iuPvivSypupo44l6GtmR-2qZ3za7cTk7KzsOVp_kv2c/edit"",""8!Q2:Q45""))"),8337.78099999999)</f>
        <v>8337.7809999999899</v>
      </c>
      <c r="G201" s="31">
        <f ca="1">IFERROR(__xludf.DUMMYFUNCTION("IMPORTRANGE(""https://docs.google.com/spreadsheets/d/1iuPvivSypupo44l6GtmR-2qZ3za7cTk7KzsOVp_kv2c/edit"",""8!e53"")"),1056)</f>
        <v>1056</v>
      </c>
      <c r="H201" s="31">
        <f ca="1">IFERROR(__xludf.DUMMYFUNCTION("IMPORTRANGE(""https://docs.google.com/spreadsheets/d/1iuPvivSypupo44l6GtmR-2qZ3za7cTk7KzsOVp_kv2c/edit"",""8!e54"")"),0)</f>
        <v>0</v>
      </c>
      <c r="I201" s="31">
        <f t="shared" ca="1" si="537"/>
        <v>1056</v>
      </c>
      <c r="J201" s="31">
        <f ca="1">IFERROR(__xludf.DUMMYFUNCTION("IMPORTRANGE(""https://docs.google.com/spreadsheets/d/1iuPvivSypupo44l6GtmR-2qZ3za7cTk7KzsOVp_kv2c/edit"",""8!e57"")"),1273)</f>
        <v>1273</v>
      </c>
      <c r="K201" s="31">
        <f ca="1">IFERROR(__xludf.DUMMYFUNCTION("IMPORTRANGE(""https://docs.google.com/spreadsheets/d/1iuPvivSypupo44l6GtmR-2qZ3za7cTk7KzsOVp_kv2c/edit"",""8!e58"")"),168)</f>
        <v>168</v>
      </c>
      <c r="L201" s="18">
        <f t="shared" ca="1" si="538"/>
        <v>1441</v>
      </c>
      <c r="M201" s="18">
        <f t="shared" ca="1" si="539"/>
        <v>2497</v>
      </c>
      <c r="N201" s="19">
        <f t="shared" ca="1" si="540"/>
        <v>198.518595238095</v>
      </c>
      <c r="O201" s="16">
        <v>1580</v>
      </c>
      <c r="P201" s="33">
        <f t="shared" ca="1" si="541"/>
        <v>1.580379746835443</v>
      </c>
      <c r="Q201" s="21">
        <v>1.5</v>
      </c>
      <c r="R201" s="20">
        <f t="shared" ca="1" si="542"/>
        <v>0.19965344096548812</v>
      </c>
      <c r="S201" s="22">
        <f t="shared" ca="1" si="543"/>
        <v>0.2994801614482322</v>
      </c>
      <c r="T201" s="21">
        <f ca="1">F201/26.805</f>
        <v>311.05319903003135</v>
      </c>
      <c r="U201" s="21">
        <f t="shared" ca="1" si="544"/>
        <v>7.4060285483340795</v>
      </c>
      <c r="V201" s="18">
        <f t="shared" ca="1" si="545"/>
        <v>59.452380952380949</v>
      </c>
      <c r="W201" s="76"/>
      <c r="X201" s="8">
        <v>1</v>
      </c>
      <c r="Y201" s="8" t="s">
        <v>28</v>
      </c>
      <c r="Z201" s="8">
        <f t="shared" ref="Z201:AI201" si="556">SUM(D196)</f>
        <v>33</v>
      </c>
      <c r="AA201" s="9">
        <f t="shared" ca="1" si="556"/>
        <v>33</v>
      </c>
      <c r="AB201" s="11">
        <f t="shared" ca="1" si="556"/>
        <v>6590.6270000000004</v>
      </c>
      <c r="AC201" s="9">
        <f t="shared" ca="1" si="556"/>
        <v>2080</v>
      </c>
      <c r="AD201" s="9">
        <f t="shared" ca="1" si="556"/>
        <v>97</v>
      </c>
      <c r="AE201" s="9">
        <f t="shared" ca="1" si="556"/>
        <v>2177</v>
      </c>
      <c r="AF201" s="9">
        <f t="shared" ca="1" si="556"/>
        <v>2414</v>
      </c>
      <c r="AG201" s="9">
        <f t="shared" ca="1" si="556"/>
        <v>147</v>
      </c>
      <c r="AH201" s="9">
        <f t="shared" ca="1" si="556"/>
        <v>2561</v>
      </c>
      <c r="AI201" s="9">
        <f t="shared" ca="1" si="556"/>
        <v>4738</v>
      </c>
      <c r="AJ201" s="11">
        <f t="shared" ref="AJ201:AJ207" ca="1" si="557">AB201/AA201</f>
        <v>199.71596969696972</v>
      </c>
      <c r="AK201" s="8">
        <f t="shared" ref="AK201:AK202" si="558">SUM(O196)</f>
        <v>7315</v>
      </c>
      <c r="AL201" s="12">
        <f t="shared" ref="AL201:AL207" ca="1" si="559">AI201/AK201</f>
        <v>0.64771018455228979</v>
      </c>
      <c r="AM201" s="13">
        <f t="shared" ref="AM201:AM202" si="560">SUM(Q196)</f>
        <v>1.5</v>
      </c>
      <c r="AN201" s="12">
        <f t="shared" ref="AN201:AN207" ca="1" si="561">AO201/AM201</f>
        <v>0.47926648961724982</v>
      </c>
      <c r="AO201" s="14">
        <f t="shared" ref="AO201:AO207" ca="1" si="562">AI201/AB201</f>
        <v>0.71889973442587474</v>
      </c>
      <c r="AP201" s="13">
        <f t="shared" ref="AP201:AQ201" ca="1" si="563">SUM(T196)</f>
        <v>213.30960934718584</v>
      </c>
      <c r="AQ201" s="13">
        <f t="shared" ca="1" si="563"/>
        <v>6.4639275559753289</v>
      </c>
      <c r="AR201" s="9">
        <f t="shared" ref="AR201:AR207" ca="1" si="564">AI201/AA201</f>
        <v>143.57575757575756</v>
      </c>
      <c r="AS201" s="76"/>
      <c r="AT201" s="76"/>
    </row>
    <row r="202" spans="1:46" ht="15.75" customHeight="1" x14ac:dyDescent="0.25">
      <c r="A202" s="70"/>
      <c r="B202" s="16">
        <v>8</v>
      </c>
      <c r="C202" s="16" t="s">
        <v>25</v>
      </c>
      <c r="D202" s="34">
        <v>32</v>
      </c>
      <c r="E202" s="18">
        <f ca="1">IFERROR(__xludf.DUMMYFUNCTION("COUNT(IMPORTRANGE(""https://docs.google.com/spreadsheets/d/1sqWX7UerdR9KR_duBzDNfjwbPG-3hLgV1LiN2ZVZ6Js/edit"",""8!d2:D33""))"),32)</f>
        <v>32</v>
      </c>
      <c r="F202" s="23">
        <f ca="1">IFERROR(__xludf.DUMMYFUNCTION("SUM(IMPORTRANGE(""https://docs.google.com/spreadsheets/d/1sqWX7UerdR9KR_duBzDNfjwbPG-3hLgV1LiN2ZVZ6Js/edit"",""8!Q2:Q33""))"),6104.808)</f>
        <v>6104.808</v>
      </c>
      <c r="G202" s="18">
        <f ca="1">IFERROR(__xludf.DUMMYFUNCTION("IMPORTRANGE(""https://docs.google.com/spreadsheets/d/1sqWX7UerdR9KR_duBzDNfjwbPG-3hLgV1LiN2ZVZ6Js/edit"",""8!e40"")"),2053)</f>
        <v>2053</v>
      </c>
      <c r="H202" s="18">
        <f ca="1">IFERROR(__xludf.DUMMYFUNCTION("IMPORTRANGE(""https://docs.google.com/spreadsheets/d/1sqWX7UerdR9KR_duBzDNfjwbPG-3hLgV1LiN2ZVZ6Js/edit"",""8!e41"")"),353)</f>
        <v>353</v>
      </c>
      <c r="I202" s="18">
        <f t="shared" ca="1" si="537"/>
        <v>2406</v>
      </c>
      <c r="J202" s="18">
        <f ca="1">IFERROR(__xludf.DUMMYFUNCTION("IMPORTRANGE(""https://docs.google.com/spreadsheets/d/1sqWX7UerdR9KR_duBzDNfjwbPG-3hLgV1LiN2ZVZ6Js/edit"",""8!e44"")"),2550)</f>
        <v>2550</v>
      </c>
      <c r="K202" s="18">
        <f ca="1">IFERROR(__xludf.DUMMYFUNCTION("IMPORTRANGE(""https://docs.google.com/spreadsheets/d/1sqWX7UerdR9KR_duBzDNfjwbPG-3hLgV1LiN2ZVZ6Js/edit"",""8!e45"")"),385)</f>
        <v>385</v>
      </c>
      <c r="L202" s="18">
        <f ca="1">J202+K202</f>
        <v>2935</v>
      </c>
      <c r="M202" s="18">
        <f t="shared" ca="1" si="539"/>
        <v>5341</v>
      </c>
      <c r="N202" s="19">
        <f t="shared" ca="1" si="540"/>
        <v>190.77525</v>
      </c>
      <c r="O202" s="16">
        <v>6622</v>
      </c>
      <c r="P202" s="20">
        <f t="shared" ca="1" si="541"/>
        <v>0.80655391120507403</v>
      </c>
      <c r="Q202" s="21">
        <v>1.5</v>
      </c>
      <c r="R202" s="20">
        <f t="shared" ca="1" si="542"/>
        <v>0.58325612642800018</v>
      </c>
      <c r="S202" s="22">
        <f t="shared" ca="1" si="543"/>
        <v>0.87488418964200021</v>
      </c>
      <c r="T202" s="21">
        <f ca="1">F202/23.84</f>
        <v>256.07416107382551</v>
      </c>
      <c r="U202" s="21">
        <f t="shared" ca="1" si="544"/>
        <v>8.0023175335570471</v>
      </c>
      <c r="V202" s="18">
        <f t="shared" ca="1" si="545"/>
        <v>166.90625</v>
      </c>
      <c r="W202" s="76"/>
      <c r="X202" s="8">
        <v>2</v>
      </c>
      <c r="Y202" s="8" t="s">
        <v>30</v>
      </c>
      <c r="Z202" s="8">
        <f t="shared" ref="Z202:AI202" si="565">SUM(D197)</f>
        <v>60</v>
      </c>
      <c r="AA202" s="9">
        <f t="shared" ca="1" si="565"/>
        <v>59</v>
      </c>
      <c r="AB202" s="10">
        <f t="shared" ca="1" si="565"/>
        <v>11786.1989999999</v>
      </c>
      <c r="AC202" s="9">
        <f t="shared" ca="1" si="565"/>
        <v>3159</v>
      </c>
      <c r="AD202" s="9">
        <f t="shared" ca="1" si="565"/>
        <v>0</v>
      </c>
      <c r="AE202" s="9">
        <f t="shared" ca="1" si="565"/>
        <v>3159</v>
      </c>
      <c r="AF202" s="9">
        <f t="shared" ca="1" si="565"/>
        <v>5333</v>
      </c>
      <c r="AG202" s="9">
        <f t="shared" ca="1" si="565"/>
        <v>135</v>
      </c>
      <c r="AH202" s="9">
        <f t="shared" ca="1" si="565"/>
        <v>5468</v>
      </c>
      <c r="AI202" s="9">
        <f t="shared" ca="1" si="565"/>
        <v>8627</v>
      </c>
      <c r="AJ202" s="11">
        <f t="shared" ca="1" si="557"/>
        <v>199.76608474576102</v>
      </c>
      <c r="AK202" s="8">
        <f t="shared" si="558"/>
        <v>11164</v>
      </c>
      <c r="AL202" s="12">
        <f t="shared" ca="1" si="559"/>
        <v>0.77275170189896092</v>
      </c>
      <c r="AM202" s="13">
        <f t="shared" si="560"/>
        <v>1.5</v>
      </c>
      <c r="AN202" s="12">
        <f t="shared" ca="1" si="561"/>
        <v>0.48797185024055523</v>
      </c>
      <c r="AO202" s="14">
        <f t="shared" ca="1" si="562"/>
        <v>0.73195777536083284</v>
      </c>
      <c r="AP202" s="13">
        <f t="shared" ref="AP202:AQ202" ca="1" si="566">SUM(T197)</f>
        <v>398.14204641421139</v>
      </c>
      <c r="AQ202" s="13">
        <f t="shared" ca="1" si="566"/>
        <v>6.748170278206973</v>
      </c>
      <c r="AR202" s="9">
        <f t="shared" ca="1" si="564"/>
        <v>146.22033898305085</v>
      </c>
      <c r="AS202" s="76"/>
      <c r="AT202" s="76"/>
    </row>
    <row r="203" spans="1:46" ht="15.75" customHeight="1" x14ac:dyDescent="0.25">
      <c r="A203" s="70"/>
      <c r="B203" s="16">
        <v>9</v>
      </c>
      <c r="C203" s="16" t="s">
        <v>36</v>
      </c>
      <c r="D203" s="34">
        <v>30</v>
      </c>
      <c r="E203" s="18">
        <f ca="1">IFERROR(__xludf.DUMMYFUNCTION("COUNT(IMPORTRANGE(""https://docs.google.com/spreadsheets/d/1YNna43iTSqnwwbMJgTIPHSJEoDO8RGPRFg5pJCoQR_Y/edit"",""8!d2:d31""))"),30)</f>
        <v>30</v>
      </c>
      <c r="F203" s="23">
        <f ca="1">IFERROR(__xludf.DUMMYFUNCTION("SUM(IMPORTRANGE(""https://docs.google.com/spreadsheets/d/1YNna43iTSqnwwbMJgTIPHSJEoDO8RGPRFg5pJCoQR_Y/edit"",""8!Q2:Q31""))"),5997.765)</f>
        <v>5997.7650000000003</v>
      </c>
      <c r="G203" s="18">
        <f ca="1">IFERROR(__xludf.DUMMYFUNCTION("IMPORTRANGE(""https://docs.google.com/spreadsheets/d/1YNna43iTSqnwwbMJgTIPHSJEoDO8RGPRFg5pJCoQR_Y/edit"",""8!e38"")"),1600)</f>
        <v>1600</v>
      </c>
      <c r="H203" s="18">
        <f ca="1">IFERROR(__xludf.DUMMYFUNCTION("IMPORTRANGE(""https://docs.google.com/spreadsheets/d/1YNna43iTSqnwwbMJgTIPHSJEoDO8RGPRFg5pJCoQR_Y/edit"",""8!e39"")"),0)</f>
        <v>0</v>
      </c>
      <c r="I203" s="18">
        <f t="shared" ca="1" si="537"/>
        <v>1600</v>
      </c>
      <c r="J203" s="18">
        <f ca="1">IFERROR(__xludf.DUMMYFUNCTION("IMPORTRANGE(""https://docs.google.com/spreadsheets/d/1YNna43iTSqnwwbMJgTIPHSJEoDO8RGPRFg5pJCoQR_Y/edit"",""8!e42"")"),2096)</f>
        <v>2096</v>
      </c>
      <c r="K203" s="18">
        <f ca="1">IFERROR(__xludf.DUMMYFUNCTION("IMPORTRANGE(""https://docs.google.com/spreadsheets/d/1YNna43iTSqnwwbMJgTIPHSJEoDO8RGPRFg5pJCoQR_Y/edit"",""8!e43"")"),0)</f>
        <v>0</v>
      </c>
      <c r="L203" s="18">
        <f t="shared" ref="L203:L212" ca="1" si="567">SUM(J203:K203)</f>
        <v>2096</v>
      </c>
      <c r="M203" s="18">
        <f t="shared" ca="1" si="539"/>
        <v>3696</v>
      </c>
      <c r="N203" s="19">
        <f t="shared" ca="1" si="540"/>
        <v>199.9255</v>
      </c>
      <c r="O203" s="16">
        <v>4796</v>
      </c>
      <c r="P203" s="20">
        <f t="shared" ca="1" si="541"/>
        <v>0.77064220183486243</v>
      </c>
      <c r="Q203" s="21">
        <v>1.5</v>
      </c>
      <c r="R203" s="20">
        <f t="shared" ca="1" si="542"/>
        <v>0.41081969700380055</v>
      </c>
      <c r="S203" s="22">
        <f t="shared" ca="1" si="543"/>
        <v>0.61622954550570086</v>
      </c>
      <c r="T203" s="21">
        <f ca="1">F203/37.414</f>
        <v>160.30803977120866</v>
      </c>
      <c r="U203" s="21">
        <f t="shared" ca="1" si="544"/>
        <v>5.3436013257069552</v>
      </c>
      <c r="V203" s="18">
        <f t="shared" ca="1" si="545"/>
        <v>123.2</v>
      </c>
      <c r="W203" s="76"/>
      <c r="X203" s="8">
        <v>3</v>
      </c>
      <c r="Y203" s="8" t="s">
        <v>34</v>
      </c>
      <c r="Z203" s="8">
        <f t="shared" ref="Z203:AI203" si="568">SUM(D199)</f>
        <v>40</v>
      </c>
      <c r="AA203" s="9">
        <f t="shared" ca="1" si="568"/>
        <v>40</v>
      </c>
      <c r="AB203" s="10">
        <f t="shared" ca="1" si="568"/>
        <v>7838.6490000000003</v>
      </c>
      <c r="AC203" s="9">
        <f t="shared" ca="1" si="568"/>
        <v>2405</v>
      </c>
      <c r="AD203" s="9">
        <f t="shared" ca="1" si="568"/>
        <v>0</v>
      </c>
      <c r="AE203" s="9">
        <f t="shared" ca="1" si="568"/>
        <v>2405</v>
      </c>
      <c r="AF203" s="9">
        <f t="shared" ca="1" si="568"/>
        <v>2976</v>
      </c>
      <c r="AG203" s="9">
        <f t="shared" ca="1" si="568"/>
        <v>115</v>
      </c>
      <c r="AH203" s="9">
        <f t="shared" ca="1" si="568"/>
        <v>3091</v>
      </c>
      <c r="AI203" s="9">
        <f t="shared" ca="1" si="568"/>
        <v>5496</v>
      </c>
      <c r="AJ203" s="11">
        <f t="shared" ca="1" si="557"/>
        <v>195.96622500000001</v>
      </c>
      <c r="AK203" s="8">
        <f>SUM(O199)</f>
        <v>9354</v>
      </c>
      <c r="AL203" s="12">
        <f t="shared" ca="1" si="559"/>
        <v>0.58755612572161642</v>
      </c>
      <c r="AM203" s="13">
        <f>SUM(Q199)</f>
        <v>1.5</v>
      </c>
      <c r="AN203" s="12">
        <f t="shared" ca="1" si="561"/>
        <v>0.46742748654774563</v>
      </c>
      <c r="AO203" s="14">
        <f t="shared" ca="1" si="562"/>
        <v>0.70114122982161842</v>
      </c>
      <c r="AP203" s="13">
        <f t="shared" ref="AP203:AQ203" ca="1" si="569">SUM(T199)</f>
        <v>255.22251164002213</v>
      </c>
      <c r="AQ203" s="13">
        <f t="shared" ca="1" si="569"/>
        <v>6.3805627910005533</v>
      </c>
      <c r="AR203" s="9">
        <f t="shared" ca="1" si="564"/>
        <v>137.4</v>
      </c>
      <c r="AS203" s="76"/>
      <c r="AT203" s="76"/>
    </row>
    <row r="204" spans="1:46" ht="15.75" customHeight="1" x14ac:dyDescent="0.25">
      <c r="A204" s="70"/>
      <c r="B204" s="16">
        <v>10</v>
      </c>
      <c r="C204" s="16" t="s">
        <v>37</v>
      </c>
      <c r="D204" s="17">
        <v>30</v>
      </c>
      <c r="E204" s="18">
        <f ca="1">IFERROR(__xludf.DUMMYFUNCTION("COUNT(IMPORTRANGE(""https://docs.google.com/spreadsheets/d/1913Df5BsXS_b-nClL8LOK5w0engQYTl1mPOiyngRtO0/edit"",""8!d2:d31""))"),29)</f>
        <v>29</v>
      </c>
      <c r="F204" s="23">
        <f ca="1">IFERROR(__xludf.DUMMYFUNCTION("SUM(IMPORTRANGE(""https://docs.google.com/spreadsheets/d/1913Df5BsXS_b-nClL8LOK5w0engQYTl1mPOiyngRtO0/edit"",""8!Q2:Q31""))"),5537.30399999999)</f>
        <v>5537.3039999999901</v>
      </c>
      <c r="G204" s="18">
        <f ca="1">IFERROR(__xludf.DUMMYFUNCTION("(IMPORTRANGE(""https://docs.google.com/spreadsheets/d/1913Df5BsXS_b-nClL8LOK5w0engQYTl1mPOiyngRtO0/edit"",""8!e38""))"),2040)</f>
        <v>2040</v>
      </c>
      <c r="H204" s="18">
        <f ca="1">IFERROR(__xludf.DUMMYFUNCTION("(IMPORTRANGE(""https://docs.google.com/spreadsheets/d/1913Df5BsXS_b-nClL8LOK5w0engQYTl1mPOiyngRtO0/edit"",""8!e39""))"),0)</f>
        <v>0</v>
      </c>
      <c r="I204" s="18">
        <f t="shared" ca="1" si="537"/>
        <v>2040</v>
      </c>
      <c r="J204" s="18">
        <f ca="1">IFERROR(__xludf.DUMMYFUNCTION("(IMPORTRANGE(""https://docs.google.com/spreadsheets/d/1913Df5BsXS_b-nClL8LOK5w0engQYTl1mPOiyngRtO0/edit"",""8!e42""))"),2558)</f>
        <v>2558</v>
      </c>
      <c r="K204" s="18">
        <f ca="1">IFERROR(__xludf.DUMMYFUNCTION("(IMPORTRANGE(""https://docs.google.com/spreadsheets/d/1913Df5BsXS_b-nClL8LOK5w0engQYTl1mPOiyngRtO0/edit"",""8!e43""))"),0)</f>
        <v>0</v>
      </c>
      <c r="L204" s="18">
        <f t="shared" ca="1" si="567"/>
        <v>2558</v>
      </c>
      <c r="M204" s="18">
        <f t="shared" ca="1" si="539"/>
        <v>4598</v>
      </c>
      <c r="N204" s="19">
        <f t="shared" ca="1" si="540"/>
        <v>190.94151724137896</v>
      </c>
      <c r="O204" s="16">
        <v>5887</v>
      </c>
      <c r="P204" s="20">
        <f t="shared" ca="1" si="541"/>
        <v>0.78104297604892137</v>
      </c>
      <c r="Q204" s="21">
        <v>1.5</v>
      </c>
      <c r="R204" s="20">
        <f t="shared" ca="1" si="542"/>
        <v>0.55357866090309271</v>
      </c>
      <c r="S204" s="22">
        <f t="shared" ca="1" si="543"/>
        <v>0.83036799135463901</v>
      </c>
      <c r="T204" s="21">
        <f ca="1">F204/24.792</f>
        <v>223.35043562439455</v>
      </c>
      <c r="U204" s="21">
        <f t="shared" ca="1" si="544"/>
        <v>7.7017391594618809</v>
      </c>
      <c r="V204" s="18">
        <f t="shared" ca="1" si="545"/>
        <v>158.55172413793105</v>
      </c>
      <c r="W204" s="76"/>
      <c r="X204" s="8">
        <v>4</v>
      </c>
      <c r="Y204" s="8" t="s">
        <v>38</v>
      </c>
      <c r="Z204" s="8">
        <f t="shared" ref="Z204:AI204" si="570">SUM(D207)</f>
        <v>30</v>
      </c>
      <c r="AA204" s="9">
        <f t="shared" ca="1" si="570"/>
        <v>29</v>
      </c>
      <c r="AB204" s="10">
        <f t="shared" ca="1" si="570"/>
        <v>5981.94199999999</v>
      </c>
      <c r="AC204" s="9">
        <f t="shared" ca="1" si="570"/>
        <v>1561</v>
      </c>
      <c r="AD204" s="9">
        <f t="shared" ca="1" si="570"/>
        <v>112</v>
      </c>
      <c r="AE204" s="9">
        <f t="shared" ca="1" si="570"/>
        <v>1673</v>
      </c>
      <c r="AF204" s="9">
        <f t="shared" ca="1" si="570"/>
        <v>3255</v>
      </c>
      <c r="AG204" s="9">
        <f t="shared" ca="1" si="570"/>
        <v>388</v>
      </c>
      <c r="AH204" s="9">
        <f t="shared" ca="1" si="570"/>
        <v>3643</v>
      </c>
      <c r="AI204" s="9">
        <f t="shared" ca="1" si="570"/>
        <v>5316</v>
      </c>
      <c r="AJ204" s="11">
        <f t="shared" ca="1" si="557"/>
        <v>206.27386206896517</v>
      </c>
      <c r="AK204" s="8">
        <v>7324</v>
      </c>
      <c r="AL204" s="12">
        <f t="shared" ca="1" si="559"/>
        <v>0.72583287820862918</v>
      </c>
      <c r="AM204" s="13">
        <f>SUM(Q207)</f>
        <v>1.5</v>
      </c>
      <c r="AN204" s="12">
        <f t="shared" ca="1" si="561"/>
        <v>0.59244974290957786</v>
      </c>
      <c r="AO204" s="14">
        <f t="shared" ca="1" si="562"/>
        <v>0.88867461436436679</v>
      </c>
      <c r="AP204" s="13">
        <f t="shared" ref="AP204:AQ204" ca="1" si="571">SUM(T207)</f>
        <v>145.17514864700863</v>
      </c>
      <c r="AQ204" s="13">
        <f t="shared" ca="1" si="571"/>
        <v>5.0060396085175389</v>
      </c>
      <c r="AR204" s="9">
        <f t="shared" ca="1" si="564"/>
        <v>183.31034482758622</v>
      </c>
      <c r="AS204" s="76"/>
      <c r="AT204" s="76"/>
    </row>
    <row r="205" spans="1:46" ht="15.75" customHeight="1" x14ac:dyDescent="0.25">
      <c r="A205" s="70"/>
      <c r="B205" s="16">
        <v>12</v>
      </c>
      <c r="C205" s="16" t="s">
        <v>39</v>
      </c>
      <c r="D205" s="17">
        <v>28</v>
      </c>
      <c r="E205" s="18">
        <f ca="1">IFERROR(__xludf.DUMMYFUNCTION("COUNT(IMPORTRANGE(""https://docs.google.com/spreadsheets/d/1wMeol_MpSIcocGxt3WZGl46mJ2tc80mANPvP_YzaP18/edit"",""8!d2:d29""))"),27)</f>
        <v>27</v>
      </c>
      <c r="F205" s="23">
        <f ca="1">IFERROR(__xludf.DUMMYFUNCTION("SUM(IMPORTRANGE(""https://docs.google.com/spreadsheets/d/1wMeol_MpSIcocGxt3WZGl46mJ2tc80mANPvP_YzaP18/edit"",""8!Q2:Q29""))"),5373.02599999999)</f>
        <v>5373.0259999999898</v>
      </c>
      <c r="G205" s="18">
        <f ca="1">IFERROR(__xludf.DUMMYFUNCTION("IMPORTRANGE(""https://docs.google.com/spreadsheets/d/1wMeol_MpSIcocGxt3WZGl46mJ2tc80mANPvP_YzaP18/edit"",""8!e36"")"),1145)</f>
        <v>1145</v>
      </c>
      <c r="H205" s="18">
        <f ca="1">IFERROR(__xludf.DUMMYFUNCTION("(IMPORTRANGE(""https://docs.google.com/spreadsheets/d/1wMeol_MpSIcocGxt3WZGl46mJ2tc80mANPvP_YzaP18/edit"",""8!e37""))"),0)</f>
        <v>0</v>
      </c>
      <c r="I205" s="18">
        <f t="shared" ca="1" si="537"/>
        <v>1145</v>
      </c>
      <c r="J205" s="18">
        <f ca="1">IFERROR(__xludf.DUMMYFUNCTION("IMPORTRANGE(""https://docs.google.com/spreadsheets/d/1wMeol_MpSIcocGxt3WZGl46mJ2tc80mANPvP_YzaP18/edit"",""8!e40"")"),1742)</f>
        <v>1742</v>
      </c>
      <c r="K205" s="18">
        <f ca="1">IFERROR(__xludf.DUMMYFUNCTION("IMPORTRANGE(""https://docs.google.com/spreadsheets/d/1wMeol_MpSIcocGxt3WZGl46mJ2tc80mANPvP_YzaP18/edit"",""8!e41"")"),84)</f>
        <v>84</v>
      </c>
      <c r="L205" s="18">
        <f t="shared" ca="1" si="567"/>
        <v>1826</v>
      </c>
      <c r="M205" s="18">
        <f t="shared" ca="1" si="539"/>
        <v>2971</v>
      </c>
      <c r="N205" s="19">
        <f t="shared" ca="1" si="540"/>
        <v>199.00096296296257</v>
      </c>
      <c r="O205" s="16">
        <v>3569</v>
      </c>
      <c r="P205" s="20">
        <f t="shared" ca="1" si="541"/>
        <v>0.8324460633230597</v>
      </c>
      <c r="Q205" s="21">
        <v>1.5</v>
      </c>
      <c r="R205" s="20">
        <f t="shared" ca="1" si="542"/>
        <v>0.3686315060948282</v>
      </c>
      <c r="S205" s="22">
        <f t="shared" ca="1" si="543"/>
        <v>0.5529472591422423</v>
      </c>
      <c r="T205" s="21">
        <f ca="1">F205/21.463</f>
        <v>250.33900200344732</v>
      </c>
      <c r="U205" s="21">
        <f t="shared" ca="1" si="544"/>
        <v>9.2718148890165679</v>
      </c>
      <c r="V205" s="18">
        <f t="shared" ca="1" si="545"/>
        <v>110.03703703703704</v>
      </c>
      <c r="W205" s="76"/>
      <c r="X205" s="8">
        <v>5</v>
      </c>
      <c r="Y205" s="8" t="s">
        <v>40</v>
      </c>
      <c r="Z205" s="8">
        <f t="shared" ref="Z205:AI205" si="572">SUM(D209)</f>
        <v>30</v>
      </c>
      <c r="AA205" s="9">
        <f t="shared" ca="1" si="572"/>
        <v>30</v>
      </c>
      <c r="AB205" s="10">
        <f t="shared" ca="1" si="572"/>
        <v>5944.5869999999904</v>
      </c>
      <c r="AC205" s="9">
        <f t="shared" ca="1" si="572"/>
        <v>3029</v>
      </c>
      <c r="AD205" s="9">
        <f t="shared" ca="1" si="572"/>
        <v>0</v>
      </c>
      <c r="AE205" s="9">
        <f t="shared" ca="1" si="572"/>
        <v>3029</v>
      </c>
      <c r="AF205" s="9">
        <f t="shared" ca="1" si="572"/>
        <v>3463</v>
      </c>
      <c r="AG205" s="9">
        <f t="shared" ca="1" si="572"/>
        <v>18</v>
      </c>
      <c r="AH205" s="9">
        <f t="shared" ca="1" si="572"/>
        <v>3481</v>
      </c>
      <c r="AI205" s="9">
        <f t="shared" ca="1" si="572"/>
        <v>6510</v>
      </c>
      <c r="AJ205" s="11">
        <f t="shared" ca="1" si="557"/>
        <v>198.15289999999968</v>
      </c>
      <c r="AK205" s="8">
        <f t="shared" ref="AK205:AK206" si="573">SUM(O209)</f>
        <v>8239</v>
      </c>
      <c r="AL205" s="12">
        <f t="shared" ca="1" si="559"/>
        <v>0.79014443500424814</v>
      </c>
      <c r="AM205" s="13">
        <f t="shared" ref="AM205:AM206" si="574">SUM(Q209)</f>
        <v>1.5</v>
      </c>
      <c r="AN205" s="12">
        <f t="shared" ca="1" si="561"/>
        <v>0.73007594976741153</v>
      </c>
      <c r="AO205" s="14">
        <f t="shared" ca="1" si="562"/>
        <v>1.0951139246511172</v>
      </c>
      <c r="AP205" s="13">
        <f t="shared" ref="AP205:AQ205" ca="1" si="575">SUM(T209)</f>
        <v>208.99999999999966</v>
      </c>
      <c r="AQ205" s="13">
        <f t="shared" ca="1" si="575"/>
        <v>6.9666666666666552</v>
      </c>
      <c r="AR205" s="9">
        <f t="shared" ca="1" si="564"/>
        <v>217</v>
      </c>
      <c r="AS205" s="76"/>
      <c r="AT205" s="76"/>
    </row>
    <row r="206" spans="1:46" ht="15.75" customHeight="1" x14ac:dyDescent="0.25">
      <c r="A206" s="70"/>
      <c r="B206" s="16">
        <v>12</v>
      </c>
      <c r="C206" s="16" t="s">
        <v>41</v>
      </c>
      <c r="D206" s="17">
        <v>24</v>
      </c>
      <c r="E206" s="18">
        <f ca="1">IFERROR(__xludf.DUMMYFUNCTION("COUNT(IMPORTRANGE(""https://docs.google.com/spreadsheets/d/1sHk6_yuc4kORC_xnhEeazoemV_hVUQVqRpfoNae-PLk/edit"",""8!d2:d25""))"),24)</f>
        <v>24</v>
      </c>
      <c r="F206" s="23">
        <f ca="1">IFERROR(__xludf.DUMMYFUNCTION("SUM(IMPORTRANGE(""https://docs.google.com/spreadsheets/d/1sHk6_yuc4kORC_xnhEeazoemV_hVUQVqRpfoNae-PLk/edit"",""8!Q2:Q25""))"),4793.152)</f>
        <v>4793.152</v>
      </c>
      <c r="G206" s="18">
        <f ca="1">IFERROR(__xludf.DUMMYFUNCTION("IMPORTRANGE(""https://docs.google.com/spreadsheets/d/1sHk6_yuc4kORC_xnhEeazoemV_hVUQVqRpfoNae-PLk/edit"",""8!e32"")"),1247)</f>
        <v>1247</v>
      </c>
      <c r="H206" s="18">
        <f ca="1">IFERROR(__xludf.DUMMYFUNCTION("IMPORTRANGE(""https://docs.google.com/spreadsheets/d/1sHk6_yuc4kORC_xnhEeazoemV_hVUQVqRpfoNae-PLk/edit"",""8!e33"")"),0)</f>
        <v>0</v>
      </c>
      <c r="I206" s="18">
        <f t="shared" ca="1" si="537"/>
        <v>1247</v>
      </c>
      <c r="J206" s="18">
        <f ca="1">IFERROR(__xludf.DUMMYFUNCTION("IMPORTRANGE(""https://docs.google.com/spreadsheets/d/1sHk6_yuc4kORC_xnhEeazoemV_hVUQVqRpfoNae-PLk/edit"",""8!e36"")"),1678)</f>
        <v>1678</v>
      </c>
      <c r="K206" s="18">
        <f ca="1">IFERROR(__xludf.DUMMYFUNCTION("IMPORTRANGE(""https://docs.google.com/spreadsheets/d/1sHk6_yuc4kORC_xnhEeazoemV_hVUQVqRpfoNae-PLk/edit"",""8!e37"")"),0)</f>
        <v>0</v>
      </c>
      <c r="L206" s="18">
        <f t="shared" ca="1" si="567"/>
        <v>1678</v>
      </c>
      <c r="M206" s="18">
        <f t="shared" ca="1" si="539"/>
        <v>2925</v>
      </c>
      <c r="N206" s="19">
        <f t="shared" ca="1" si="540"/>
        <v>199.71466666666666</v>
      </c>
      <c r="O206" s="16">
        <v>3801</v>
      </c>
      <c r="P206" s="20">
        <f t="shared" ca="1" si="541"/>
        <v>0.76953433307024466</v>
      </c>
      <c r="Q206" s="21">
        <v>1.5</v>
      </c>
      <c r="R206" s="20">
        <f t="shared" ca="1" si="542"/>
        <v>0.40683041138691195</v>
      </c>
      <c r="S206" s="22">
        <f t="shared" ca="1" si="543"/>
        <v>0.61024561708036795</v>
      </c>
      <c r="T206" s="21">
        <f ca="1">F206/29.628</f>
        <v>161.77777777777777</v>
      </c>
      <c r="U206" s="21">
        <f t="shared" ca="1" si="544"/>
        <v>6.7407407407407405</v>
      </c>
      <c r="V206" s="18">
        <f t="shared" ca="1" si="545"/>
        <v>121.875</v>
      </c>
      <c r="W206" s="76"/>
      <c r="X206" s="8">
        <v>6</v>
      </c>
      <c r="Y206" s="8" t="s">
        <v>42</v>
      </c>
      <c r="Z206" s="8">
        <f t="shared" ref="Z206:AI206" si="576">SUM(D210)</f>
        <v>33</v>
      </c>
      <c r="AA206" s="9">
        <f t="shared" ca="1" si="576"/>
        <v>32</v>
      </c>
      <c r="AB206" s="10">
        <f t="shared" ca="1" si="576"/>
        <v>6283.3549999999896</v>
      </c>
      <c r="AC206" s="9">
        <f t="shared" ca="1" si="576"/>
        <v>2914</v>
      </c>
      <c r="AD206" s="9">
        <f t="shared" ca="1" si="576"/>
        <v>113</v>
      </c>
      <c r="AE206" s="9">
        <f t="shared" ca="1" si="576"/>
        <v>3027</v>
      </c>
      <c r="AF206" s="9">
        <f t="shared" ca="1" si="576"/>
        <v>3801</v>
      </c>
      <c r="AG206" s="9">
        <f t="shared" ca="1" si="576"/>
        <v>96</v>
      </c>
      <c r="AH206" s="9">
        <f t="shared" ca="1" si="576"/>
        <v>3897</v>
      </c>
      <c r="AI206" s="9">
        <f t="shared" ca="1" si="576"/>
        <v>6924</v>
      </c>
      <c r="AJ206" s="11">
        <f t="shared" ca="1" si="557"/>
        <v>196.35484374999967</v>
      </c>
      <c r="AK206" s="8">
        <f t="shared" si="573"/>
        <v>9877</v>
      </c>
      <c r="AL206" s="12">
        <f t="shared" ca="1" si="559"/>
        <v>0.70102257770578114</v>
      </c>
      <c r="AM206" s="13">
        <f t="shared" si="574"/>
        <v>1.5</v>
      </c>
      <c r="AN206" s="12">
        <f t="shared" ca="1" si="561"/>
        <v>0.73463937657509526</v>
      </c>
      <c r="AO206" s="14">
        <f t="shared" ca="1" si="562"/>
        <v>1.1019590648626429</v>
      </c>
      <c r="AP206" s="13">
        <f t="shared" ref="AP206:AQ206" ca="1" si="577">SUM(T210)</f>
        <v>240.23532785318253</v>
      </c>
      <c r="AQ206" s="13">
        <f t="shared" ca="1" si="577"/>
        <v>7.5073539954119539</v>
      </c>
      <c r="AR206" s="9">
        <f t="shared" ca="1" si="564"/>
        <v>216.375</v>
      </c>
      <c r="AS206" s="76"/>
      <c r="AT206" s="76"/>
    </row>
    <row r="207" spans="1:46" ht="15.75" customHeight="1" x14ac:dyDescent="0.25">
      <c r="A207" s="70"/>
      <c r="B207" s="16">
        <v>13</v>
      </c>
      <c r="C207" s="16" t="s">
        <v>43</v>
      </c>
      <c r="D207" s="17">
        <v>30</v>
      </c>
      <c r="E207" s="18">
        <f ca="1">IFERROR(__xludf.DUMMYFUNCTION("COUNT(IMPORTRANGE(""https://docs.google.com/spreadsheets/d/1uGXvAN2jA6kmcEHUY4KqOHHewllZsujDdA6KVDfBCoA/edit"",""8!d2:d31""))"),29)</f>
        <v>29</v>
      </c>
      <c r="F207" s="23">
        <f ca="1">IFERROR(__xludf.DUMMYFUNCTION("SUM(IMPORTRANGE(""https://docs.google.com/spreadsheets/d/1uGXvAN2jA6kmcEHUY4KqOHHewllZsujDdA6KVDfBCoA/edit"",""8!Q2:Q31""))"),5981.94199999999)</f>
        <v>5981.94199999999</v>
      </c>
      <c r="G207" s="18">
        <f ca="1">IFERROR(__xludf.DUMMYFUNCTION("IMPORTRANGE(""https://docs.google.com/spreadsheets/d/1uGXvAN2jA6kmcEHUY4KqOHHewllZsujDdA6KVDfBCoA/edit"",""8!e38"")"),1561)</f>
        <v>1561</v>
      </c>
      <c r="H207" s="18">
        <f ca="1">IFERROR(__xludf.DUMMYFUNCTION("IMPORTRANGE(""https://docs.google.com/spreadsheets/d/1uGXvAN2jA6kmcEHUY4KqOHHewllZsujDdA6KVDfBCoA/edit"",""8!e39"")"),112)</f>
        <v>112</v>
      </c>
      <c r="I207" s="18">
        <f t="shared" ca="1" si="537"/>
        <v>1673</v>
      </c>
      <c r="J207" s="18">
        <f ca="1">IFERROR(__xludf.DUMMYFUNCTION("IMPORTRANGE(""https://docs.google.com/spreadsheets/d/1uGXvAN2jA6kmcEHUY4KqOHHewllZsujDdA6KVDfBCoA/edit"",""8!e42"")"),3255)</f>
        <v>3255</v>
      </c>
      <c r="K207" s="18">
        <f ca="1">IFERROR(__xludf.DUMMYFUNCTION("IMPORTRANGE(""https://docs.google.com/spreadsheets/d/1uGXvAN2jA6kmcEHUY4KqOHHewllZsujDdA6KVDfBCoA/edit"",""8!e43"")"),388)</f>
        <v>388</v>
      </c>
      <c r="L207" s="18">
        <f t="shared" ca="1" si="567"/>
        <v>3643</v>
      </c>
      <c r="M207" s="18">
        <f t="shared" ca="1" si="539"/>
        <v>5316</v>
      </c>
      <c r="N207" s="19">
        <f t="shared" ca="1" si="540"/>
        <v>206.27386206896517</v>
      </c>
      <c r="O207" s="16">
        <v>8345</v>
      </c>
      <c r="P207" s="20">
        <f t="shared" ca="1" si="541"/>
        <v>0.63702816057519474</v>
      </c>
      <c r="Q207" s="21">
        <v>1.5</v>
      </c>
      <c r="R207" s="20">
        <f t="shared" ca="1" si="542"/>
        <v>0.59244974290957786</v>
      </c>
      <c r="S207" s="22">
        <f t="shared" ca="1" si="543"/>
        <v>0.88867461436436679</v>
      </c>
      <c r="T207" s="21">
        <f ca="1">F207/41.205</f>
        <v>145.17514864700863</v>
      </c>
      <c r="U207" s="21">
        <f t="shared" ca="1" si="544"/>
        <v>5.0060396085175389</v>
      </c>
      <c r="V207" s="18">
        <f t="shared" ca="1" si="545"/>
        <v>183.31034482758622</v>
      </c>
      <c r="W207" s="76"/>
      <c r="X207" s="24" t="s">
        <v>33</v>
      </c>
      <c r="Y207" s="24">
        <v>6</v>
      </c>
      <c r="Z207" s="24">
        <f t="shared" ref="Z207:AI207" si="578">SUM(Z201:Z206)</f>
        <v>226</v>
      </c>
      <c r="AA207" s="25">
        <f t="shared" ca="1" si="578"/>
        <v>223</v>
      </c>
      <c r="AB207" s="27">
        <f t="shared" ca="1" si="578"/>
        <v>44425.358999999873</v>
      </c>
      <c r="AC207" s="25">
        <f t="shared" ca="1" si="578"/>
        <v>15148</v>
      </c>
      <c r="AD207" s="25">
        <f t="shared" ca="1" si="578"/>
        <v>322</v>
      </c>
      <c r="AE207" s="25">
        <f t="shared" ca="1" si="578"/>
        <v>15470</v>
      </c>
      <c r="AF207" s="25">
        <f t="shared" ca="1" si="578"/>
        <v>21242</v>
      </c>
      <c r="AG207" s="25">
        <f t="shared" ca="1" si="578"/>
        <v>899</v>
      </c>
      <c r="AH207" s="25">
        <f t="shared" ca="1" si="578"/>
        <v>22141</v>
      </c>
      <c r="AI207" s="25">
        <f t="shared" ca="1" si="578"/>
        <v>37611</v>
      </c>
      <c r="AJ207" s="27">
        <f t="shared" ca="1" si="557"/>
        <v>199.21685650224157</v>
      </c>
      <c r="AK207" s="24">
        <f>SUM(AK201:AK206)</f>
        <v>53273</v>
      </c>
      <c r="AL207" s="28">
        <f t="shared" ca="1" si="559"/>
        <v>0.70600491806355936</v>
      </c>
      <c r="AM207" s="29">
        <v>1.5</v>
      </c>
      <c r="AN207" s="28">
        <f t="shared" ca="1" si="561"/>
        <v>0.56440736922351198</v>
      </c>
      <c r="AO207" s="30">
        <f t="shared" ca="1" si="562"/>
        <v>0.84661105383526802</v>
      </c>
      <c r="AP207" s="29">
        <f ca="1">SUM(AP201:AP206)</f>
        <v>1461.0846439016102</v>
      </c>
      <c r="AQ207" s="29">
        <f ca="1">AP207/AA207</f>
        <v>6.5519490757919741</v>
      </c>
      <c r="AR207" s="25">
        <f t="shared" ca="1" si="564"/>
        <v>168.65919282511211</v>
      </c>
      <c r="AS207" s="76"/>
      <c r="AT207" s="76"/>
    </row>
    <row r="208" spans="1:46" ht="15.75" customHeight="1" x14ac:dyDescent="0.25">
      <c r="A208" s="70"/>
      <c r="B208" s="16">
        <v>14</v>
      </c>
      <c r="C208" s="16" t="s">
        <v>27</v>
      </c>
      <c r="D208" s="17">
        <v>30</v>
      </c>
      <c r="E208" s="18">
        <f ca="1">IFERROR(__xludf.DUMMYFUNCTION("COUNT(IMPORTRANGE(""https://docs.google.com/spreadsheets/d/1iYtf3wkjJIgOL8ej0-L89wY8FLXKi6EiRbi9UqA1Bzw/edit"",""8!d2:d31""))"),30)</f>
        <v>30</v>
      </c>
      <c r="F208" s="23">
        <f ca="1">IFERROR(__xludf.DUMMYFUNCTION("SUM(IMPORTRANGE(""https://docs.google.com/spreadsheets/d/1iYtf3wkjJIgOL8ej0-L89wY8FLXKi6EiRbi9UqA1Bzw/edit"",""8!Q2:Q31""))"),5565.685)</f>
        <v>5565.6850000000004</v>
      </c>
      <c r="G208" s="18">
        <f ca="1">IFERROR(__xludf.DUMMYFUNCTION("IMPORTRANGE(""https://docs.google.com/spreadsheets/d/1iYtf3wkjJIgOL8ej0-L89wY8FLXKi6EiRbi9UqA1Bzw/edit"",""8!e38"")"),2547)</f>
        <v>2547</v>
      </c>
      <c r="H208" s="18">
        <f ca="1">IFERROR(__xludf.DUMMYFUNCTION("IMPORTRANGE(""https://docs.google.com/spreadsheets/d/1iYtf3wkjJIgOL8ej0-L89wY8FLXKi6EiRbi9UqA1Bzw/edit"",""8!e39"")"),0)</f>
        <v>0</v>
      </c>
      <c r="I208" s="18">
        <f t="shared" ca="1" si="537"/>
        <v>2547</v>
      </c>
      <c r="J208" s="18">
        <f ca="1">IFERROR(__xludf.DUMMYFUNCTION("IMPORTRANGE(""https://docs.google.com/spreadsheets/d/1iYtf3wkjJIgOL8ej0-L89wY8FLXKi6EiRbi9UqA1Bzw/edit"",""8!e42"")"),1932)</f>
        <v>1932</v>
      </c>
      <c r="K208" s="18">
        <f ca="1">IFERROR(__xludf.DUMMYFUNCTION("IMPORTRANGE(""https://docs.google.com/spreadsheets/d/1iYtf3wkjJIgOL8ej0-L89wY8FLXKi6EiRbi9UqA1Bzw/edit"",""8!e43"")"),234)</f>
        <v>234</v>
      </c>
      <c r="L208" s="18">
        <f t="shared" ca="1" si="567"/>
        <v>2166</v>
      </c>
      <c r="M208" s="18">
        <f t="shared" ca="1" si="539"/>
        <v>4713</v>
      </c>
      <c r="N208" s="19">
        <f t="shared" ca="1" si="540"/>
        <v>185.52283333333335</v>
      </c>
      <c r="O208" s="16">
        <v>8101</v>
      </c>
      <c r="P208" s="20">
        <f t="shared" ca="1" si="541"/>
        <v>0.58178002715714106</v>
      </c>
      <c r="Q208" s="21">
        <v>1.5</v>
      </c>
      <c r="R208" s="20">
        <f t="shared" ca="1" si="542"/>
        <v>0.56453069119075183</v>
      </c>
      <c r="S208" s="22">
        <f t="shared" ca="1" si="543"/>
        <v>0.8467960367861278</v>
      </c>
      <c r="T208" s="21">
        <f ca="1">F208/19.985</f>
        <v>278.49311983987991</v>
      </c>
      <c r="U208" s="21">
        <f t="shared" ca="1" si="544"/>
        <v>9.2831039946626639</v>
      </c>
      <c r="V208" s="18">
        <f t="shared" ca="1" si="545"/>
        <v>157.1</v>
      </c>
      <c r="W208" s="76"/>
      <c r="X208" s="97" t="s">
        <v>44</v>
      </c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9"/>
      <c r="AS208" s="76"/>
      <c r="AT208" s="76"/>
    </row>
    <row r="209" spans="1:46" ht="15.75" customHeight="1" x14ac:dyDescent="0.25">
      <c r="A209" s="70"/>
      <c r="B209" s="16">
        <v>15</v>
      </c>
      <c r="C209" s="16" t="s">
        <v>40</v>
      </c>
      <c r="D209" s="17">
        <v>30</v>
      </c>
      <c r="E209" s="18">
        <f ca="1">IFERROR(__xludf.DUMMYFUNCTION("COUNT(IMPORTRANGE(""https://docs.google.com/spreadsheets/d/1Wdf8MsoDBzMSsrzOXwaGQzbVjVqOWfKSqYmbncevZgA/edit"",""8!d2:d31""))"),30)</f>
        <v>30</v>
      </c>
      <c r="F209" s="23">
        <f ca="1">IFERROR(__xludf.DUMMYFUNCTION("SUM(IMPORTRANGE(""https://docs.google.com/spreadsheets/d/1Wdf8MsoDBzMSsrzOXwaGQzbVjVqOWfKSqYmbncevZgA/edit"",""8!Q2:Q31""))"),5944.58699999999)</f>
        <v>5944.5869999999904</v>
      </c>
      <c r="G209" s="18">
        <f ca="1">IFERROR(__xludf.DUMMYFUNCTION("IMPORTRANGE(""https://docs.google.com/spreadsheets/d/1Wdf8MsoDBzMSsrzOXwaGQzbVjVqOWfKSqYmbncevZgA/edit"",""8!e38"")"),3029)</f>
        <v>3029</v>
      </c>
      <c r="H209" s="18">
        <f ca="1">IFERROR(__xludf.DUMMYFUNCTION("IMPORTRANGE(""https://docs.google.com/spreadsheets/d/1Wdf8MsoDBzMSsrzOXwaGQzbVjVqOWfKSqYmbncevZgA/edit"",""8!e39"")"),0)</f>
        <v>0</v>
      </c>
      <c r="I209" s="18">
        <f t="shared" ca="1" si="537"/>
        <v>3029</v>
      </c>
      <c r="J209" s="18">
        <f ca="1">IFERROR(__xludf.DUMMYFUNCTION("IMPORTRANGE(""https://docs.google.com/spreadsheets/d/1Wdf8MsoDBzMSsrzOXwaGQzbVjVqOWfKSqYmbncevZgA/edit"",""8!e42"")"),3463)</f>
        <v>3463</v>
      </c>
      <c r="K209" s="18">
        <f ca="1">IFERROR(__xludf.DUMMYFUNCTION("IMPORTRANGE(""https://docs.google.com/spreadsheets/d/1Wdf8MsoDBzMSsrzOXwaGQzbVjVqOWfKSqYmbncevZgA/edit"",""8!e43"")"),18)</f>
        <v>18</v>
      </c>
      <c r="L209" s="18">
        <f t="shared" ca="1" si="567"/>
        <v>3481</v>
      </c>
      <c r="M209" s="18">
        <f t="shared" ca="1" si="539"/>
        <v>6510</v>
      </c>
      <c r="N209" s="19">
        <f t="shared" ca="1" si="540"/>
        <v>198.15289999999968</v>
      </c>
      <c r="O209" s="16">
        <v>8239</v>
      </c>
      <c r="P209" s="20">
        <f t="shared" ca="1" si="541"/>
        <v>0.79014443500424814</v>
      </c>
      <c r="Q209" s="21">
        <v>1.5</v>
      </c>
      <c r="R209" s="20">
        <f t="shared" ca="1" si="542"/>
        <v>0.73007594976741153</v>
      </c>
      <c r="S209" s="22">
        <f t="shared" ca="1" si="543"/>
        <v>1.0951139246511172</v>
      </c>
      <c r="T209" s="21">
        <f ca="1">F209/28.443</f>
        <v>208.99999999999966</v>
      </c>
      <c r="U209" s="21">
        <f t="shared" ca="1" si="544"/>
        <v>6.9666666666666552</v>
      </c>
      <c r="V209" s="18">
        <f t="shared" ca="1" si="545"/>
        <v>217</v>
      </c>
      <c r="W209" s="76"/>
      <c r="X209" s="1" t="s">
        <v>2</v>
      </c>
      <c r="Y209" s="1" t="s">
        <v>3</v>
      </c>
      <c r="Z209" s="1" t="s">
        <v>4</v>
      </c>
      <c r="AA209" s="1" t="s">
        <v>5</v>
      </c>
      <c r="AB209" s="2" t="s">
        <v>6</v>
      </c>
      <c r="AC209" s="1" t="s">
        <v>7</v>
      </c>
      <c r="AD209" s="1" t="s">
        <v>8</v>
      </c>
      <c r="AE209" s="1" t="s">
        <v>9</v>
      </c>
      <c r="AF209" s="1" t="s">
        <v>10</v>
      </c>
      <c r="AG209" s="1" t="s">
        <v>11</v>
      </c>
      <c r="AH209" s="1" t="s">
        <v>12</v>
      </c>
      <c r="AI209" s="1" t="s">
        <v>13</v>
      </c>
      <c r="AJ209" s="2" t="s">
        <v>14</v>
      </c>
      <c r="AK209" s="1" t="s">
        <v>15</v>
      </c>
      <c r="AL209" s="1" t="s">
        <v>16</v>
      </c>
      <c r="AM209" s="3" t="s">
        <v>17</v>
      </c>
      <c r="AN209" s="4" t="s">
        <v>18</v>
      </c>
      <c r="AO209" s="5" t="s">
        <v>19</v>
      </c>
      <c r="AP209" s="6" t="s">
        <v>20</v>
      </c>
      <c r="AQ209" s="6" t="s">
        <v>21</v>
      </c>
      <c r="AR209" s="7" t="s">
        <v>22</v>
      </c>
      <c r="AS209" s="76"/>
      <c r="AT209" s="76"/>
    </row>
    <row r="210" spans="1:46" ht="15.75" customHeight="1" x14ac:dyDescent="0.25">
      <c r="A210" s="70"/>
      <c r="B210" s="16">
        <v>16</v>
      </c>
      <c r="C210" s="16" t="s">
        <v>42</v>
      </c>
      <c r="D210" s="17">
        <v>33</v>
      </c>
      <c r="E210" s="18">
        <f ca="1">IFERROR(__xludf.DUMMYFUNCTION("COUNT(IMPORTRANGE(""https://docs.google.com/spreadsheets/d/1Z5uB5HbeAKcHmG4EOw3rf2J8NpyvDiha6RReERAMvA0/edit"",""8!d2:d34""))"),32)</f>
        <v>32</v>
      </c>
      <c r="F210" s="23">
        <f ca="1">IFERROR(__xludf.DUMMYFUNCTION("SUM(IMPORTRANGE(""https://docs.google.com/spreadsheets/d/1Z5uB5HbeAKcHmG4EOw3rf2J8NpyvDiha6RReERAMvA0/edit"",""8!Q2:Q34""))"),6283.35499999999)</f>
        <v>6283.3549999999896</v>
      </c>
      <c r="G210" s="18">
        <f ca="1">IFERROR(__xludf.DUMMYFUNCTION("IMPORTRANGE(""https://docs.google.com/spreadsheets/d/1Z5uB5HbeAKcHmG4EOw3rf2J8NpyvDiha6RReERAMvA0/edit"",""8!e41"")"),2914)</f>
        <v>2914</v>
      </c>
      <c r="H210" s="18">
        <f ca="1">IFERROR(__xludf.DUMMYFUNCTION("IMPORTRANGE(""https://docs.google.com/spreadsheets/d/1Z5uB5HbeAKcHmG4EOw3rf2J8NpyvDiha6RReERAMvA0/edit"",""8!e42"")"),113)</f>
        <v>113</v>
      </c>
      <c r="I210" s="18">
        <f t="shared" ca="1" si="537"/>
        <v>3027</v>
      </c>
      <c r="J210" s="18">
        <f ca="1">IFERROR(__xludf.DUMMYFUNCTION("IMPORTRANGE(""https://docs.google.com/spreadsheets/d/1Z5uB5HbeAKcHmG4EOw3rf2J8NpyvDiha6RReERAMvA0/edit"",""8!e45"")"),3801)</f>
        <v>3801</v>
      </c>
      <c r="K210" s="18">
        <f ca="1">IFERROR(__xludf.DUMMYFUNCTION("IMPORTRANGE(""https://docs.google.com/spreadsheets/d/1Z5uB5HbeAKcHmG4EOw3rf2J8NpyvDiha6RReERAMvA0/edit"",""8!e46"")"),96)</f>
        <v>96</v>
      </c>
      <c r="L210" s="18">
        <f t="shared" ca="1" si="567"/>
        <v>3897</v>
      </c>
      <c r="M210" s="18">
        <f t="shared" ca="1" si="539"/>
        <v>6924</v>
      </c>
      <c r="N210" s="19">
        <f t="shared" ca="1" si="540"/>
        <v>196.35484374999967</v>
      </c>
      <c r="O210" s="16">
        <v>9877</v>
      </c>
      <c r="P210" s="20">
        <f t="shared" ca="1" si="541"/>
        <v>0.70102257770578114</v>
      </c>
      <c r="Q210" s="21">
        <v>1.5</v>
      </c>
      <c r="R210" s="20">
        <f t="shared" ca="1" si="542"/>
        <v>0.73463937657509526</v>
      </c>
      <c r="S210" s="22">
        <f t="shared" ca="1" si="543"/>
        <v>1.1019590648626429</v>
      </c>
      <c r="T210" s="21">
        <f ca="1">F210/26.155</f>
        <v>240.23532785318253</v>
      </c>
      <c r="U210" s="21">
        <f t="shared" ca="1" si="544"/>
        <v>7.5073539954119539</v>
      </c>
      <c r="V210" s="18">
        <f t="shared" ca="1" si="545"/>
        <v>216.375</v>
      </c>
      <c r="W210" s="76"/>
      <c r="X210" s="8">
        <v>1</v>
      </c>
      <c r="Y210" s="8" t="s">
        <v>26</v>
      </c>
      <c r="Z210" s="8">
        <f t="shared" ref="Z210:AI210" si="579">SUM(D195)</f>
        <v>20</v>
      </c>
      <c r="AA210" s="9">
        <f t="shared" ca="1" si="579"/>
        <v>19</v>
      </c>
      <c r="AB210" s="11">
        <f t="shared" ca="1" si="579"/>
        <v>3806.172</v>
      </c>
      <c r="AC210" s="9">
        <f t="shared" ca="1" si="579"/>
        <v>1787</v>
      </c>
      <c r="AD210" s="9">
        <f t="shared" ca="1" si="579"/>
        <v>0</v>
      </c>
      <c r="AE210" s="9">
        <f t="shared" ca="1" si="579"/>
        <v>1787</v>
      </c>
      <c r="AF210" s="9">
        <f t="shared" ca="1" si="579"/>
        <v>2146</v>
      </c>
      <c r="AG210" s="9">
        <f t="shared" ca="1" si="579"/>
        <v>0</v>
      </c>
      <c r="AH210" s="9">
        <f t="shared" ca="1" si="579"/>
        <v>2146</v>
      </c>
      <c r="AI210" s="9">
        <f t="shared" ca="1" si="579"/>
        <v>3933</v>
      </c>
      <c r="AJ210" s="11">
        <f t="shared" ref="AJ210:AJ216" ca="1" si="580">AB210/AA210</f>
        <v>200.32484210526317</v>
      </c>
      <c r="AK210" s="8">
        <f>SUM(O195)</f>
        <v>5161</v>
      </c>
      <c r="AL210" s="12">
        <f t="shared" ref="AL210:AL216" ca="1" si="581">AI210/AK210</f>
        <v>0.76206161596589805</v>
      </c>
      <c r="AM210" s="13">
        <f>SUM(Q195)</f>
        <v>1.5</v>
      </c>
      <c r="AN210" s="12">
        <f t="shared" ref="AN210:AN216" ca="1" si="582">AO210/AM210</f>
        <v>0.6888811120464341</v>
      </c>
      <c r="AO210" s="14">
        <f t="shared" ref="AO210:AO216" ca="1" si="583">AI210/AB210</f>
        <v>1.0333216680696511</v>
      </c>
      <c r="AP210" s="13">
        <f t="shared" ref="AP210:AQ210" ca="1" si="584">SUM(T195)</f>
        <v>264.04245577523415</v>
      </c>
      <c r="AQ210" s="13">
        <f t="shared" ca="1" si="584"/>
        <v>13.896971356591271</v>
      </c>
      <c r="AR210" s="9">
        <f t="shared" ref="AR210:AR216" ca="1" si="585">AI210/AA210</f>
        <v>207</v>
      </c>
      <c r="AS210" s="76"/>
      <c r="AT210" s="76"/>
    </row>
    <row r="211" spans="1:46" ht="15.75" customHeight="1" x14ac:dyDescent="0.25">
      <c r="A211" s="70"/>
      <c r="B211" s="16">
        <v>17</v>
      </c>
      <c r="C211" s="16" t="s">
        <v>29</v>
      </c>
      <c r="D211" s="17">
        <v>30</v>
      </c>
      <c r="E211" s="18">
        <f ca="1">IFERROR(__xludf.DUMMYFUNCTION("COUNT(IMPORTRANGE(""https://docs.google.com/spreadsheets/d/1wfJqI0e9wVPqEQv3N6b8KgINjqI0OBECEyIFeY9j3i8/edit"",""8!d2:d31""))"),29)</f>
        <v>29</v>
      </c>
      <c r="F211" s="23">
        <f ca="1">IFERROR(__xludf.DUMMYFUNCTION("SUM(IMPORTRANGE(""https://docs.google.com/spreadsheets/d/1wfJqI0e9wVPqEQv3N6b8KgINjqI0OBECEyIFeY9j3i8/edit"",""8!Q2:Q31""))"),5933.98399999999)</f>
        <v>5933.9839999999904</v>
      </c>
      <c r="G211" s="18">
        <f ca="1">IFERROR(__xludf.DUMMYFUNCTION("IMPORTRANGE(""https://docs.google.com/spreadsheets/d/1wfJqI0e9wVPqEQv3N6b8KgINjqI0OBECEyIFeY9j3i8/edit"",""8!e38"")"),2324)</f>
        <v>2324</v>
      </c>
      <c r="H211" s="18">
        <f ca="1">IFERROR(__xludf.DUMMYFUNCTION("IMPORTRANGE(""https://docs.google.com/spreadsheets/d/1wfJqI0e9wVPqEQv3N6b8KgINjqI0OBECEyIFeY9j3i8/edit"",""8!e39"")"),0)</f>
        <v>0</v>
      </c>
      <c r="I211" s="18">
        <f t="shared" ca="1" si="537"/>
        <v>2324</v>
      </c>
      <c r="J211" s="18">
        <f ca="1">IFERROR(__xludf.DUMMYFUNCTION("IMPORTRANGE(""https://docs.google.com/spreadsheets/d/1wfJqI0e9wVPqEQv3N6b8KgINjqI0OBECEyIFeY9j3i8/edit"",""8!e42"")"),3557)</f>
        <v>3557</v>
      </c>
      <c r="K211" s="18">
        <f ca="1">IFERROR(__xludf.DUMMYFUNCTION("IMPORTRANGE(""https://docs.google.com/spreadsheets/d/1wfJqI0e9wVPqEQv3N6b8KgINjqI0OBECEyIFeY9j3i8/edit"",""8!e43"")"),0)</f>
        <v>0</v>
      </c>
      <c r="L211" s="18">
        <f t="shared" ca="1" si="567"/>
        <v>3557</v>
      </c>
      <c r="M211" s="18">
        <f t="shared" ca="1" si="539"/>
        <v>5881</v>
      </c>
      <c r="N211" s="19">
        <f t="shared" ca="1" si="540"/>
        <v>204.62013793103415</v>
      </c>
      <c r="O211" s="16">
        <v>9201</v>
      </c>
      <c r="P211" s="20">
        <f t="shared" ca="1" si="541"/>
        <v>0.63916965547223126</v>
      </c>
      <c r="Q211" s="21">
        <v>1.5</v>
      </c>
      <c r="R211" s="20">
        <f t="shared" ca="1" si="542"/>
        <v>0.66071406101982633</v>
      </c>
      <c r="S211" s="22">
        <f t="shared" ca="1" si="543"/>
        <v>0.99107109152973949</v>
      </c>
      <c r="T211" s="21">
        <f ca="1">F211/26.491</f>
        <v>223.99999999999963</v>
      </c>
      <c r="U211" s="21">
        <f t="shared" ca="1" si="544"/>
        <v>7.7241379310344698</v>
      </c>
      <c r="V211" s="18">
        <f t="shared" ca="1" si="545"/>
        <v>202.79310344827587</v>
      </c>
      <c r="W211" s="76"/>
      <c r="X211" s="8">
        <v>2</v>
      </c>
      <c r="Y211" s="8" t="s">
        <v>32</v>
      </c>
      <c r="Z211" s="8">
        <f t="shared" ref="Z211:AI211" si="586">SUM(D198)</f>
        <v>42</v>
      </c>
      <c r="AA211" s="9">
        <f t="shared" ca="1" si="586"/>
        <v>42</v>
      </c>
      <c r="AB211" s="10">
        <f t="shared" ca="1" si="586"/>
        <v>8279.3699999999899</v>
      </c>
      <c r="AC211" s="8">
        <f t="shared" ca="1" si="586"/>
        <v>4274</v>
      </c>
      <c r="AD211" s="8">
        <f t="shared" ca="1" si="586"/>
        <v>0</v>
      </c>
      <c r="AE211" s="9">
        <f t="shared" ca="1" si="586"/>
        <v>4274</v>
      </c>
      <c r="AF211" s="8">
        <f t="shared" ca="1" si="586"/>
        <v>5147</v>
      </c>
      <c r="AG211" s="8">
        <f t="shared" ca="1" si="586"/>
        <v>0</v>
      </c>
      <c r="AH211" s="9">
        <f t="shared" ca="1" si="586"/>
        <v>5147</v>
      </c>
      <c r="AI211" s="9">
        <f t="shared" ca="1" si="586"/>
        <v>9421</v>
      </c>
      <c r="AJ211" s="11">
        <f t="shared" ca="1" si="580"/>
        <v>197.1278571428569</v>
      </c>
      <c r="AK211" s="8">
        <f>SUM(O198)</f>
        <v>13817</v>
      </c>
      <c r="AL211" s="12">
        <f t="shared" ca="1" si="581"/>
        <v>0.68184121010349574</v>
      </c>
      <c r="AM211" s="13">
        <f>SUM(Q198)</f>
        <v>1.5</v>
      </c>
      <c r="AN211" s="12">
        <f t="shared" ca="1" si="582"/>
        <v>0.75859234056053471</v>
      </c>
      <c r="AO211" s="14">
        <f t="shared" ca="1" si="583"/>
        <v>1.1378885108408021</v>
      </c>
      <c r="AP211" s="13">
        <f t="shared" ref="AP211:AQ211" ca="1" si="587">SUM(T198)</f>
        <v>329.9999999999996</v>
      </c>
      <c r="AQ211" s="13">
        <f t="shared" ca="1" si="587"/>
        <v>7.8571428571428479</v>
      </c>
      <c r="AR211" s="9">
        <f t="shared" ca="1" si="585"/>
        <v>224.3095238095238</v>
      </c>
      <c r="AS211" s="76"/>
      <c r="AT211" s="76"/>
    </row>
    <row r="212" spans="1:46" ht="15.75" customHeight="1" x14ac:dyDescent="0.25">
      <c r="A212" s="70"/>
      <c r="B212" s="16">
        <v>18</v>
      </c>
      <c r="C212" s="16" t="s">
        <v>31</v>
      </c>
      <c r="D212" s="17">
        <v>15</v>
      </c>
      <c r="E212" s="18">
        <f ca="1">IFERROR(__xludf.DUMMYFUNCTION("COUNT(IMPORTRANGE(""https://docs.google.com/spreadsheets/d/1-y2KhTAo7d8kowgUuWUDfRQuRMUAFteRYEXorT3_wOs/edit"",""8!d2:d16""))"),15)</f>
        <v>15</v>
      </c>
      <c r="F212" s="19">
        <f ca="1">IFERROR(__xludf.DUMMYFUNCTION("SUM(IMPORTRANGE(""https://docs.google.com/spreadsheets/d/1-y2KhTAo7d8kowgUuWUDfRQuRMUAFteRYEXorT3_wOs/edit"",""8!Q2:Q16""))"),2738.29499999999)</f>
        <v>2738.2949999999901</v>
      </c>
      <c r="G212" s="18">
        <f ca="1">IFERROR(__xludf.DUMMYFUNCTION("IMPORTRANGE(""https://docs.google.com/spreadsheets/d/1-y2KhTAo7d8kowgUuWUDfRQuRMUAFteRYEXorT3_wOs/edit"",""8!e23"")"),721)</f>
        <v>721</v>
      </c>
      <c r="H212" s="18">
        <f ca="1">IFERROR(__xludf.DUMMYFUNCTION("IMPORTRANGE(""https://docs.google.com/spreadsheets/d/1-y2KhTAo7d8kowgUuWUDfRQuRMUAFteRYEXorT3_wOs/edit"",""8!e24"")"),49)</f>
        <v>49</v>
      </c>
      <c r="I212" s="18">
        <f t="shared" ca="1" si="537"/>
        <v>770</v>
      </c>
      <c r="J212" s="18">
        <f ca="1">IFERROR(__xludf.DUMMYFUNCTION("IMPORTRANGE(""https://docs.google.com/spreadsheets/d/1-y2KhTAo7d8kowgUuWUDfRQuRMUAFteRYEXorT3_wOs/edit"",""8!e27"")"),991)</f>
        <v>991</v>
      </c>
      <c r="K212" s="18">
        <f ca="1">IFERROR(__xludf.DUMMYFUNCTION("IMPORTRANGE(""https://docs.google.com/spreadsheets/d/1-y2KhTAo7d8kowgUuWUDfRQuRMUAFteRYEXorT3_wOs/edit"",""8!e28"")"),0)</f>
        <v>0</v>
      </c>
      <c r="L212" s="18">
        <f t="shared" ca="1" si="567"/>
        <v>991</v>
      </c>
      <c r="M212" s="18">
        <f t="shared" ca="1" si="539"/>
        <v>1761</v>
      </c>
      <c r="N212" s="19">
        <f t="shared" ca="1" si="540"/>
        <v>182.55299999999934</v>
      </c>
      <c r="O212" s="16">
        <v>2717</v>
      </c>
      <c r="P212" s="20">
        <f t="shared" ca="1" si="541"/>
        <v>0.64814133235185867</v>
      </c>
      <c r="Q212" s="21">
        <v>1.5</v>
      </c>
      <c r="R212" s="20">
        <f t="shared" ca="1" si="542"/>
        <v>0.42873393845440472</v>
      </c>
      <c r="S212" s="22">
        <f t="shared" ca="1" si="543"/>
        <v>0.6431009076816071</v>
      </c>
      <c r="T212" s="21">
        <f ca="1">F212/43.465</f>
        <v>62.999999999999766</v>
      </c>
      <c r="U212" s="21">
        <f t="shared" ca="1" si="544"/>
        <v>4.1999999999999842</v>
      </c>
      <c r="V212" s="18">
        <f t="shared" ca="1" si="545"/>
        <v>117.4</v>
      </c>
      <c r="W212" s="76"/>
      <c r="X212" s="8">
        <v>3</v>
      </c>
      <c r="Y212" s="8" t="s">
        <v>36</v>
      </c>
      <c r="Z212" s="8">
        <f t="shared" ref="Z212:AI212" si="588">SUM(D203)</f>
        <v>30</v>
      </c>
      <c r="AA212" s="9">
        <f t="shared" ca="1" si="588"/>
        <v>30</v>
      </c>
      <c r="AB212" s="10">
        <f t="shared" ca="1" si="588"/>
        <v>5997.7650000000003</v>
      </c>
      <c r="AC212" s="9">
        <f t="shared" ca="1" si="588"/>
        <v>1600</v>
      </c>
      <c r="AD212" s="9">
        <f t="shared" ca="1" si="588"/>
        <v>0</v>
      </c>
      <c r="AE212" s="9">
        <f t="shared" ca="1" si="588"/>
        <v>1600</v>
      </c>
      <c r="AF212" s="9">
        <f t="shared" ca="1" si="588"/>
        <v>2096</v>
      </c>
      <c r="AG212" s="9">
        <f t="shared" ca="1" si="588"/>
        <v>0</v>
      </c>
      <c r="AH212" s="9">
        <f t="shared" ca="1" si="588"/>
        <v>2096</v>
      </c>
      <c r="AI212" s="9">
        <f t="shared" ca="1" si="588"/>
        <v>3696</v>
      </c>
      <c r="AJ212" s="11">
        <f t="shared" ca="1" si="580"/>
        <v>199.9255</v>
      </c>
      <c r="AK212" s="8">
        <f t="shared" ref="AK212:AK215" si="589">SUM(O203)</f>
        <v>4796</v>
      </c>
      <c r="AL212" s="12">
        <f t="shared" ca="1" si="581"/>
        <v>0.77064220183486243</v>
      </c>
      <c r="AM212" s="13">
        <f t="shared" ref="AM212:AM215" si="590">SUM(Q203)</f>
        <v>1.5</v>
      </c>
      <c r="AN212" s="12">
        <f t="shared" ca="1" si="582"/>
        <v>0.41081969700380055</v>
      </c>
      <c r="AO212" s="14">
        <f t="shared" ca="1" si="583"/>
        <v>0.61622954550570086</v>
      </c>
      <c r="AP212" s="13">
        <f t="shared" ref="AP212:AQ212" ca="1" si="591">SUM(T203)</f>
        <v>160.30803977120866</v>
      </c>
      <c r="AQ212" s="13">
        <f t="shared" ca="1" si="591"/>
        <v>5.3436013257069552</v>
      </c>
      <c r="AR212" s="9">
        <f t="shared" ca="1" si="585"/>
        <v>123.2</v>
      </c>
      <c r="AS212" s="76"/>
      <c r="AT212" s="76"/>
    </row>
    <row r="213" spans="1:46" ht="15.75" customHeight="1" x14ac:dyDescent="0.2">
      <c r="A213" s="70"/>
      <c r="B213" s="98" t="s">
        <v>33</v>
      </c>
      <c r="C213" s="98">
        <v>18</v>
      </c>
      <c r="D213" s="98">
        <f t="shared" ref="D213:M213" si="592">SUM(D195:D212)</f>
        <v>586</v>
      </c>
      <c r="E213" s="74">
        <f t="shared" ca="1" si="592"/>
        <v>575</v>
      </c>
      <c r="F213" s="99">
        <f t="shared" ca="1" si="592"/>
        <v>113370.7809999998</v>
      </c>
      <c r="G213" s="74">
        <f t="shared" ca="1" si="592"/>
        <v>37545</v>
      </c>
      <c r="H213" s="74">
        <f t="shared" ca="1" si="592"/>
        <v>724</v>
      </c>
      <c r="I213" s="74">
        <f t="shared" ca="1" si="592"/>
        <v>38269</v>
      </c>
      <c r="J213" s="74">
        <f t="shared" ca="1" si="592"/>
        <v>49756</v>
      </c>
      <c r="K213" s="74">
        <f t="shared" ca="1" si="592"/>
        <v>1770</v>
      </c>
      <c r="L213" s="74">
        <f t="shared" ca="1" si="592"/>
        <v>51526</v>
      </c>
      <c r="M213" s="74">
        <f t="shared" ca="1" si="592"/>
        <v>89795</v>
      </c>
      <c r="N213" s="99">
        <f t="shared" ca="1" si="540"/>
        <v>197.16657565217358</v>
      </c>
      <c r="O213" s="98">
        <f>SUM(O195:O212)</f>
        <v>126399</v>
      </c>
      <c r="P213" s="69">
        <f t="shared" ca="1" si="541"/>
        <v>0.71040910133782709</v>
      </c>
      <c r="Q213" s="72">
        <v>1.5</v>
      </c>
      <c r="R213" s="69">
        <f t="shared" ca="1" si="542"/>
        <v>0.52803140990387498</v>
      </c>
      <c r="S213" s="73">
        <f t="shared" ca="1" si="543"/>
        <v>0.79204711485581247</v>
      </c>
      <c r="T213" s="72">
        <f ca="1">SUM(T195:T212)</f>
        <v>4175.522834797408</v>
      </c>
      <c r="U213" s="72">
        <f t="shared" ca="1" si="544"/>
        <v>7.2617788431259269</v>
      </c>
      <c r="V213" s="74">
        <f t="shared" ca="1" si="545"/>
        <v>156.16521739130434</v>
      </c>
      <c r="W213" s="76"/>
      <c r="X213" s="8">
        <v>4</v>
      </c>
      <c r="Y213" s="8" t="s">
        <v>37</v>
      </c>
      <c r="Z213" s="8">
        <f t="shared" ref="Z213:AI213" si="593">SUM(D204)</f>
        <v>30</v>
      </c>
      <c r="AA213" s="9">
        <f t="shared" ca="1" si="593"/>
        <v>29</v>
      </c>
      <c r="AB213" s="10">
        <f t="shared" ca="1" si="593"/>
        <v>5537.3039999999901</v>
      </c>
      <c r="AC213" s="9">
        <f t="shared" ca="1" si="593"/>
        <v>2040</v>
      </c>
      <c r="AD213" s="9">
        <f t="shared" ca="1" si="593"/>
        <v>0</v>
      </c>
      <c r="AE213" s="9">
        <f t="shared" ca="1" si="593"/>
        <v>2040</v>
      </c>
      <c r="AF213" s="9">
        <f t="shared" ca="1" si="593"/>
        <v>2558</v>
      </c>
      <c r="AG213" s="9">
        <f t="shared" ca="1" si="593"/>
        <v>0</v>
      </c>
      <c r="AH213" s="9">
        <f t="shared" ca="1" si="593"/>
        <v>2558</v>
      </c>
      <c r="AI213" s="9">
        <f t="shared" ca="1" si="593"/>
        <v>4598</v>
      </c>
      <c r="AJ213" s="11">
        <f t="shared" ca="1" si="580"/>
        <v>190.94151724137896</v>
      </c>
      <c r="AK213" s="8">
        <f t="shared" si="589"/>
        <v>5887</v>
      </c>
      <c r="AL213" s="12">
        <f t="shared" ca="1" si="581"/>
        <v>0.78104297604892137</v>
      </c>
      <c r="AM213" s="13">
        <f t="shared" si="590"/>
        <v>1.5</v>
      </c>
      <c r="AN213" s="12">
        <f t="shared" ca="1" si="582"/>
        <v>0.55357866090309271</v>
      </c>
      <c r="AO213" s="14">
        <f t="shared" ca="1" si="583"/>
        <v>0.83036799135463901</v>
      </c>
      <c r="AP213" s="13">
        <f t="shared" ref="AP213:AQ213" ca="1" si="594">SUM(T204)</f>
        <v>223.35043562439455</v>
      </c>
      <c r="AQ213" s="13">
        <f t="shared" ca="1" si="594"/>
        <v>7.7017391594618809</v>
      </c>
      <c r="AR213" s="9">
        <f t="shared" ca="1" si="585"/>
        <v>158.55172413793105</v>
      </c>
      <c r="AS213" s="76"/>
      <c r="AT213" s="76"/>
    </row>
    <row r="214" spans="1:46" ht="15.75" customHeight="1" x14ac:dyDescent="0.2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6"/>
      <c r="X214" s="8">
        <v>5</v>
      </c>
      <c r="Y214" s="8" t="s">
        <v>39</v>
      </c>
      <c r="Z214" s="8">
        <f t="shared" ref="Z214:AI214" si="595">SUM(D205)</f>
        <v>28</v>
      </c>
      <c r="AA214" s="9">
        <f t="shared" ca="1" si="595"/>
        <v>27</v>
      </c>
      <c r="AB214" s="10">
        <f t="shared" ca="1" si="595"/>
        <v>5373.0259999999898</v>
      </c>
      <c r="AC214" s="9">
        <f t="shared" ca="1" si="595"/>
        <v>1145</v>
      </c>
      <c r="AD214" s="9">
        <f t="shared" ca="1" si="595"/>
        <v>0</v>
      </c>
      <c r="AE214" s="9">
        <f t="shared" ca="1" si="595"/>
        <v>1145</v>
      </c>
      <c r="AF214" s="9">
        <f t="shared" ca="1" si="595"/>
        <v>1742</v>
      </c>
      <c r="AG214" s="9">
        <f t="shared" ca="1" si="595"/>
        <v>84</v>
      </c>
      <c r="AH214" s="9">
        <f t="shared" ca="1" si="595"/>
        <v>1826</v>
      </c>
      <c r="AI214" s="9">
        <f t="shared" ca="1" si="595"/>
        <v>2971</v>
      </c>
      <c r="AJ214" s="11">
        <f t="shared" ca="1" si="580"/>
        <v>199.00096296296257</v>
      </c>
      <c r="AK214" s="8">
        <f t="shared" si="589"/>
        <v>3569</v>
      </c>
      <c r="AL214" s="12">
        <f t="shared" ca="1" si="581"/>
        <v>0.8324460633230597</v>
      </c>
      <c r="AM214" s="13">
        <f t="shared" si="590"/>
        <v>1.5</v>
      </c>
      <c r="AN214" s="12">
        <f t="shared" ca="1" si="582"/>
        <v>0.3686315060948282</v>
      </c>
      <c r="AO214" s="14">
        <f t="shared" ca="1" si="583"/>
        <v>0.5529472591422423</v>
      </c>
      <c r="AP214" s="13">
        <f t="shared" ref="AP214:AQ214" ca="1" si="596">SUM(T205)</f>
        <v>250.33900200344732</v>
      </c>
      <c r="AQ214" s="13">
        <f t="shared" ca="1" si="596"/>
        <v>9.2718148890165679</v>
      </c>
      <c r="AR214" s="9">
        <f t="shared" ca="1" si="585"/>
        <v>110.03703703703704</v>
      </c>
      <c r="AS214" s="76"/>
      <c r="AT214" s="76"/>
    </row>
    <row r="215" spans="1:46" ht="15.75" customHeight="1" x14ac:dyDescent="0.2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6"/>
      <c r="X215" s="8">
        <v>6</v>
      </c>
      <c r="Y215" s="8" t="s">
        <v>41</v>
      </c>
      <c r="Z215" s="8">
        <f t="shared" ref="Z215:AI215" si="597">SUM(D206)</f>
        <v>24</v>
      </c>
      <c r="AA215" s="9">
        <f t="shared" ca="1" si="597"/>
        <v>24</v>
      </c>
      <c r="AB215" s="10">
        <f t="shared" ca="1" si="597"/>
        <v>4793.152</v>
      </c>
      <c r="AC215" s="9">
        <f t="shared" ca="1" si="597"/>
        <v>1247</v>
      </c>
      <c r="AD215" s="9">
        <f t="shared" ca="1" si="597"/>
        <v>0</v>
      </c>
      <c r="AE215" s="9">
        <f t="shared" ca="1" si="597"/>
        <v>1247</v>
      </c>
      <c r="AF215" s="9">
        <f t="shared" ca="1" si="597"/>
        <v>1678</v>
      </c>
      <c r="AG215" s="9">
        <f t="shared" ca="1" si="597"/>
        <v>0</v>
      </c>
      <c r="AH215" s="9">
        <f t="shared" ca="1" si="597"/>
        <v>1678</v>
      </c>
      <c r="AI215" s="9">
        <f t="shared" ca="1" si="597"/>
        <v>2925</v>
      </c>
      <c r="AJ215" s="11">
        <f t="shared" ca="1" si="580"/>
        <v>199.71466666666666</v>
      </c>
      <c r="AK215" s="8">
        <f t="shared" si="589"/>
        <v>3801</v>
      </c>
      <c r="AL215" s="12">
        <f t="shared" ca="1" si="581"/>
        <v>0.76953433307024466</v>
      </c>
      <c r="AM215" s="13">
        <f t="shared" si="590"/>
        <v>1.5</v>
      </c>
      <c r="AN215" s="12">
        <f t="shared" ca="1" si="582"/>
        <v>0.40683041138691195</v>
      </c>
      <c r="AO215" s="14">
        <f t="shared" ca="1" si="583"/>
        <v>0.61024561708036795</v>
      </c>
      <c r="AP215" s="13">
        <f t="shared" ref="AP215:AQ215" ca="1" si="598">SUM(T206)</f>
        <v>161.77777777777777</v>
      </c>
      <c r="AQ215" s="13">
        <f t="shared" ca="1" si="598"/>
        <v>6.7407407407407405</v>
      </c>
      <c r="AR215" s="9">
        <f t="shared" ca="1" si="585"/>
        <v>121.875</v>
      </c>
      <c r="AS215" s="76"/>
      <c r="AT215" s="76"/>
    </row>
    <row r="216" spans="1:46" ht="15.75" customHeight="1" x14ac:dyDescent="0.25">
      <c r="A216" s="110" t="s">
        <v>45</v>
      </c>
      <c r="B216" s="76"/>
      <c r="C216" s="76"/>
      <c r="D216" s="75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24" t="s">
        <v>33</v>
      </c>
      <c r="Y216" s="24">
        <v>6</v>
      </c>
      <c r="Z216" s="24">
        <f t="shared" ref="Z216:AI216" si="599">SUM(Z210:Z215)</f>
        <v>174</v>
      </c>
      <c r="AA216" s="25">
        <f t="shared" ca="1" si="599"/>
        <v>171</v>
      </c>
      <c r="AB216" s="27">
        <f t="shared" ca="1" si="599"/>
        <v>33786.788999999968</v>
      </c>
      <c r="AC216" s="25">
        <f t="shared" ca="1" si="599"/>
        <v>12093</v>
      </c>
      <c r="AD216" s="25">
        <f t="shared" ca="1" si="599"/>
        <v>0</v>
      </c>
      <c r="AE216" s="25">
        <f t="shared" ca="1" si="599"/>
        <v>12093</v>
      </c>
      <c r="AF216" s="25">
        <f t="shared" ca="1" si="599"/>
        <v>15367</v>
      </c>
      <c r="AG216" s="25">
        <f t="shared" ca="1" si="599"/>
        <v>84</v>
      </c>
      <c r="AH216" s="25">
        <f t="shared" ca="1" si="599"/>
        <v>15451</v>
      </c>
      <c r="AI216" s="25">
        <f t="shared" ca="1" si="599"/>
        <v>27544</v>
      </c>
      <c r="AJ216" s="27">
        <f t="shared" ca="1" si="580"/>
        <v>197.58356140350858</v>
      </c>
      <c r="AK216" s="24">
        <f>SUM(AK210:AK215)</f>
        <v>37031</v>
      </c>
      <c r="AL216" s="28">
        <f t="shared" ca="1" si="581"/>
        <v>0.74380924090626777</v>
      </c>
      <c r="AM216" s="29">
        <v>1.5</v>
      </c>
      <c r="AN216" s="28">
        <f t="shared" ca="1" si="582"/>
        <v>0.54348658781000714</v>
      </c>
      <c r="AO216" s="30">
        <f t="shared" ca="1" si="583"/>
        <v>0.81522988171501076</v>
      </c>
      <c r="AP216" s="29">
        <f ca="1">SUM(AP210:AP215)</f>
        <v>1389.817710952062</v>
      </c>
      <c r="AQ216" s="29">
        <f ca="1">AP216/AA216</f>
        <v>8.1275889529360352</v>
      </c>
      <c r="AR216" s="25">
        <f t="shared" ca="1" si="585"/>
        <v>161.07602339181287</v>
      </c>
      <c r="AS216" s="76"/>
      <c r="AT216" s="76"/>
    </row>
    <row r="217" spans="1:46" ht="15.75" customHeight="1" x14ac:dyDescent="0.2">
      <c r="A217" s="110" t="s">
        <v>45</v>
      </c>
      <c r="B217" s="76"/>
      <c r="C217" s="76"/>
      <c r="D217" s="75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7" t="s">
        <v>1</v>
      </c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9"/>
      <c r="AS217" s="76"/>
      <c r="AT217" s="76"/>
    </row>
    <row r="218" spans="1:46" ht="15.75" customHeight="1" x14ac:dyDescent="0.2">
      <c r="A218" s="109">
        <v>46274</v>
      </c>
      <c r="B218" s="80" t="s">
        <v>2</v>
      </c>
      <c r="C218" s="80" t="s">
        <v>3</v>
      </c>
      <c r="D218" s="80" t="s">
        <v>4</v>
      </c>
      <c r="E218" s="80" t="s">
        <v>5</v>
      </c>
      <c r="F218" s="81" t="s">
        <v>6</v>
      </c>
      <c r="G218" s="80" t="s">
        <v>7</v>
      </c>
      <c r="H218" s="80" t="s">
        <v>8</v>
      </c>
      <c r="I218" s="80" t="s">
        <v>9</v>
      </c>
      <c r="J218" s="80" t="s">
        <v>10</v>
      </c>
      <c r="K218" s="80" t="s">
        <v>11</v>
      </c>
      <c r="L218" s="80" t="s">
        <v>12</v>
      </c>
      <c r="M218" s="80" t="s">
        <v>13</v>
      </c>
      <c r="N218" s="81" t="s">
        <v>14</v>
      </c>
      <c r="O218" s="80" t="s">
        <v>15</v>
      </c>
      <c r="P218" s="80" t="s">
        <v>16</v>
      </c>
      <c r="Q218" s="80" t="s">
        <v>17</v>
      </c>
      <c r="R218" s="80" t="s">
        <v>18</v>
      </c>
      <c r="S218" s="106" t="s">
        <v>19</v>
      </c>
      <c r="T218" s="107" t="s">
        <v>20</v>
      </c>
      <c r="U218" s="107" t="s">
        <v>21</v>
      </c>
      <c r="V218" s="105" t="s">
        <v>22</v>
      </c>
      <c r="W218" s="76"/>
      <c r="X218" s="1" t="s">
        <v>2</v>
      </c>
      <c r="Y218" s="1" t="s">
        <v>3</v>
      </c>
      <c r="Z218" s="1" t="s">
        <v>4</v>
      </c>
      <c r="AA218" s="1" t="s">
        <v>5</v>
      </c>
      <c r="AB218" s="2" t="s">
        <v>6</v>
      </c>
      <c r="AC218" s="1" t="s">
        <v>7</v>
      </c>
      <c r="AD218" s="1" t="s">
        <v>8</v>
      </c>
      <c r="AE218" s="1" t="s">
        <v>9</v>
      </c>
      <c r="AF218" s="1" t="s">
        <v>10</v>
      </c>
      <c r="AG218" s="1" t="s">
        <v>11</v>
      </c>
      <c r="AH218" s="1" t="s">
        <v>12</v>
      </c>
      <c r="AI218" s="1" t="s">
        <v>13</v>
      </c>
      <c r="AJ218" s="2" t="s">
        <v>14</v>
      </c>
      <c r="AK218" s="1" t="s">
        <v>15</v>
      </c>
      <c r="AL218" s="1" t="s">
        <v>16</v>
      </c>
      <c r="AM218" s="3" t="s">
        <v>17</v>
      </c>
      <c r="AN218" s="4" t="s">
        <v>18</v>
      </c>
      <c r="AO218" s="5" t="s">
        <v>19</v>
      </c>
      <c r="AP218" s="6" t="s">
        <v>20</v>
      </c>
      <c r="AQ218" s="6" t="s">
        <v>21</v>
      </c>
      <c r="AR218" s="7" t="s">
        <v>22</v>
      </c>
      <c r="AS218" s="76"/>
      <c r="AT218" s="76"/>
    </row>
    <row r="219" spans="1:46" ht="15.75" customHeight="1" x14ac:dyDescent="0.2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6"/>
      <c r="X219" s="8">
        <v>1</v>
      </c>
      <c r="Y219" s="8" t="s">
        <v>23</v>
      </c>
      <c r="Z219" s="8">
        <f t="shared" ref="Z219:AI219" si="600">SUM(D227)</f>
        <v>35</v>
      </c>
      <c r="AA219" s="9">
        <f t="shared" ca="1" si="600"/>
        <v>35</v>
      </c>
      <c r="AB219" s="10">
        <f t="shared" ca="1" si="600"/>
        <v>6984.1799999999903</v>
      </c>
      <c r="AC219" s="9">
        <f t="shared" ca="1" si="600"/>
        <v>1698</v>
      </c>
      <c r="AD219" s="9">
        <f t="shared" ca="1" si="600"/>
        <v>0</v>
      </c>
      <c r="AE219" s="9">
        <f t="shared" ca="1" si="600"/>
        <v>1698</v>
      </c>
      <c r="AF219" s="9">
        <f t="shared" ca="1" si="600"/>
        <v>3136</v>
      </c>
      <c r="AG219" s="9">
        <f t="shared" ca="1" si="600"/>
        <v>0</v>
      </c>
      <c r="AH219" s="9">
        <f t="shared" ca="1" si="600"/>
        <v>3136</v>
      </c>
      <c r="AI219" s="9">
        <f t="shared" ca="1" si="600"/>
        <v>4834</v>
      </c>
      <c r="AJ219" s="11">
        <f t="shared" ref="AJ219:AJ221" ca="1" si="601">AB219/AA219</f>
        <v>199.54799999999972</v>
      </c>
      <c r="AK219" s="8">
        <f>SUM(O227)</f>
        <v>6853</v>
      </c>
      <c r="AL219" s="12">
        <f t="shared" ref="AL219:AL225" ca="1" si="602">AI219/AK219</f>
        <v>0.70538450313731216</v>
      </c>
      <c r="AM219" s="13">
        <f t="shared" ref="AM219:AM221" si="603">SUM(Q227)</f>
        <v>1.5</v>
      </c>
      <c r="AN219" s="12">
        <f t="shared" ref="AN219:AN225" ca="1" si="604">AO219/AM219</f>
        <v>0.46142377010138214</v>
      </c>
      <c r="AO219" s="14">
        <f t="shared" ref="AO219:AO225" ca="1" si="605">AI219/AB219</f>
        <v>0.6921356551520732</v>
      </c>
      <c r="AP219" s="13">
        <f t="shared" ref="AP219:AQ219" ca="1" si="606">SUM(T227)</f>
        <v>206.99999999999969</v>
      </c>
      <c r="AQ219" s="13">
        <f t="shared" ca="1" si="606"/>
        <v>5.9142857142857057</v>
      </c>
      <c r="AR219" s="9">
        <f t="shared" ref="AR219:AR225" ca="1" si="607">AI219/AA219</f>
        <v>138.11428571428573</v>
      </c>
      <c r="AS219" s="76"/>
      <c r="AT219" s="76"/>
    </row>
    <row r="220" spans="1:46" ht="15.75" customHeight="1" x14ac:dyDescent="0.2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6"/>
      <c r="X220" s="8">
        <v>2</v>
      </c>
      <c r="Y220" s="8" t="s">
        <v>24</v>
      </c>
      <c r="Z220" s="8">
        <f t="shared" ref="Z220:AI220" si="608">SUM(D228)</f>
        <v>44</v>
      </c>
      <c r="AA220" s="9">
        <f t="shared" ca="1" si="608"/>
        <v>43</v>
      </c>
      <c r="AB220" s="10">
        <f t="shared" ca="1" si="608"/>
        <v>8416.2669999999907</v>
      </c>
      <c r="AC220" s="9">
        <f t="shared" ca="1" si="608"/>
        <v>1124</v>
      </c>
      <c r="AD220" s="9">
        <f t="shared" ca="1" si="608"/>
        <v>0</v>
      </c>
      <c r="AE220" s="9">
        <f t="shared" ca="1" si="608"/>
        <v>1124</v>
      </c>
      <c r="AF220" s="9">
        <f t="shared" ca="1" si="608"/>
        <v>1374</v>
      </c>
      <c r="AG220" s="9">
        <f t="shared" ca="1" si="608"/>
        <v>17</v>
      </c>
      <c r="AH220" s="9">
        <f t="shared" ca="1" si="608"/>
        <v>1391</v>
      </c>
      <c r="AI220" s="9">
        <f t="shared" ca="1" si="608"/>
        <v>2515</v>
      </c>
      <c r="AJ220" s="11">
        <f t="shared" ca="1" si="601"/>
        <v>195.72713953488349</v>
      </c>
      <c r="AK220" s="8">
        <v>1580</v>
      </c>
      <c r="AL220" s="15">
        <f t="shared" ca="1" si="602"/>
        <v>1.5917721518987342</v>
      </c>
      <c r="AM220" s="13">
        <f t="shared" si="603"/>
        <v>1.5</v>
      </c>
      <c r="AN220" s="12">
        <f t="shared" ca="1" si="604"/>
        <v>0.19921738065898675</v>
      </c>
      <c r="AO220" s="14">
        <f t="shared" ca="1" si="605"/>
        <v>0.29882607098848013</v>
      </c>
      <c r="AP220" s="13">
        <f t="shared" ref="AP220:AQ220" ca="1" si="609">SUM(T228)</f>
        <v>313.98123484424514</v>
      </c>
      <c r="AQ220" s="13">
        <f t="shared" ca="1" si="609"/>
        <v>7.3018891824243051</v>
      </c>
      <c r="AR220" s="9">
        <f t="shared" ca="1" si="607"/>
        <v>58.488372093023258</v>
      </c>
      <c r="AS220" s="76"/>
      <c r="AT220" s="76"/>
    </row>
    <row r="221" spans="1:46" ht="15.75" customHeight="1" x14ac:dyDescent="0.2">
      <c r="A221" s="70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6"/>
      <c r="X221" s="8">
        <v>3</v>
      </c>
      <c r="Y221" s="8" t="s">
        <v>25</v>
      </c>
      <c r="Z221" s="8">
        <f t="shared" ref="Z221:AI221" si="610">SUM(D229)</f>
        <v>32</v>
      </c>
      <c r="AA221" s="9">
        <f t="shared" ca="1" si="610"/>
        <v>32</v>
      </c>
      <c r="AB221" s="10">
        <f t="shared" ca="1" si="610"/>
        <v>6046.0919999999996</v>
      </c>
      <c r="AC221" s="9">
        <f t="shared" ca="1" si="610"/>
        <v>2234</v>
      </c>
      <c r="AD221" s="9">
        <f t="shared" ca="1" si="610"/>
        <v>471</v>
      </c>
      <c r="AE221" s="9">
        <f t="shared" ca="1" si="610"/>
        <v>2705</v>
      </c>
      <c r="AF221" s="9">
        <f t="shared" ca="1" si="610"/>
        <v>3538</v>
      </c>
      <c r="AG221" s="9">
        <f t="shared" ca="1" si="610"/>
        <v>346</v>
      </c>
      <c r="AH221" s="9">
        <f t="shared" ca="1" si="610"/>
        <v>3884</v>
      </c>
      <c r="AI221" s="9">
        <f t="shared" ca="1" si="610"/>
        <v>6589</v>
      </c>
      <c r="AJ221" s="11">
        <f t="shared" ca="1" si="601"/>
        <v>188.94037499999999</v>
      </c>
      <c r="AK221" s="8">
        <f>SUM(O229)</f>
        <v>6622</v>
      </c>
      <c r="AL221" s="12">
        <f t="shared" ca="1" si="602"/>
        <v>0.99501661129568109</v>
      </c>
      <c r="AM221" s="13">
        <f t="shared" si="603"/>
        <v>1.5</v>
      </c>
      <c r="AN221" s="12">
        <f t="shared" ca="1" si="604"/>
        <v>0.72652990835512699</v>
      </c>
      <c r="AO221" s="14">
        <f t="shared" ca="1" si="605"/>
        <v>1.0897948625326905</v>
      </c>
      <c r="AP221" s="13">
        <f t="shared" ref="AP221:AQ221" ca="1" si="611">SUM(T229)</f>
        <v>253.61124161073823</v>
      </c>
      <c r="AQ221" s="13">
        <f t="shared" ca="1" si="611"/>
        <v>7.9253513003355698</v>
      </c>
      <c r="AR221" s="9">
        <f t="shared" ca="1" si="607"/>
        <v>205.90625</v>
      </c>
      <c r="AS221" s="76"/>
      <c r="AT221" s="76"/>
    </row>
    <row r="222" spans="1:46" ht="15.75" customHeight="1" x14ac:dyDescent="0.25">
      <c r="A222" s="70"/>
      <c r="B222" s="16">
        <v>1</v>
      </c>
      <c r="C222" s="16" t="s">
        <v>26</v>
      </c>
      <c r="D222" s="17">
        <v>20</v>
      </c>
      <c r="E222" s="18">
        <f ca="1">IFERROR(__xludf.DUMMYFUNCTION("COUNT(IMPORTRANGE(""https://docs.google.com/spreadsheets/d/1F0NpMx7WhcgPgxTWpryY3Z1CGg56FL6aiL4mHs43w4E/edit"",""9!d2:d21""))"),19)</f>
        <v>19</v>
      </c>
      <c r="F222" s="19">
        <f ca="1">IFERROR(__xludf.DUMMYFUNCTION("SUM(IMPORTRANGE(""https://docs.google.com/spreadsheets/d/1F0NpMx7WhcgPgxTWpryY3Z1CGg56FL6aiL4mHs43w4E/edit"",""9!Q2:Q21""))"),3654.738)</f>
        <v>3654.7379999999998</v>
      </c>
      <c r="G222" s="18">
        <f ca="1">IFERROR(__xludf.DUMMYFUNCTION("IMPORTRANGE(""https://docs.google.com/spreadsheets/d/1F0NpMx7WhcgPgxTWpryY3Z1CGg56FL6aiL4mHs43w4E/edit"",""9!e28"")"),1860)</f>
        <v>1860</v>
      </c>
      <c r="H222" s="18">
        <f ca="1">IFERROR(__xludf.DUMMYFUNCTION("IMPORTRANGE(""https://docs.google.com/spreadsheets/d/1F0NpMx7WhcgPgxTWpryY3Z1CGg56FL6aiL4mHs43w4E/edit"",""9!e29"")"),0)</f>
        <v>0</v>
      </c>
      <c r="I222" s="18">
        <f t="shared" ref="I222:I239" ca="1" si="612">SUM(G222:H222)</f>
        <v>1860</v>
      </c>
      <c r="J222" s="18">
        <f ca="1">IFERROR(__xludf.DUMMYFUNCTION("IMPORTRANGE(""https://docs.google.com/spreadsheets/d/1F0NpMx7WhcgPgxTWpryY3Z1CGg56FL6aiL4mHs43w4E/edit"",""9!e32"")"),2971)</f>
        <v>2971</v>
      </c>
      <c r="K222" s="18">
        <f ca="1">IFERROR(__xludf.DUMMYFUNCTION("IMPORTRANGE(""https://docs.google.com/spreadsheets/d/1F0NpMx7WhcgPgxTWpryY3Z1CGg56FL6aiL4mHs43w4E/edit"",""9!e33"")"),0)</f>
        <v>0</v>
      </c>
      <c r="L222" s="18">
        <f t="shared" ref="L222:L228" ca="1" si="613">SUM(J222:K222)</f>
        <v>2971</v>
      </c>
      <c r="M222" s="18">
        <f t="shared" ref="M222:M239" ca="1" si="614">SUM(I222+L222)</f>
        <v>4831</v>
      </c>
      <c r="N222" s="19">
        <f t="shared" ref="N222:N240" ca="1" si="615">F222/E222</f>
        <v>192.35463157894736</v>
      </c>
      <c r="O222" s="16">
        <v>5161</v>
      </c>
      <c r="P222" s="20">
        <f t="shared" ref="P222:P240" ca="1" si="616">M222/O222</f>
        <v>0.93605890331331132</v>
      </c>
      <c r="Q222" s="21">
        <v>1.5</v>
      </c>
      <c r="R222" s="20">
        <f t="shared" ref="R222:R240" ca="1" si="617">S222/Q222</f>
        <v>0.88123051957942444</v>
      </c>
      <c r="S222" s="22">
        <f t="shared" ref="S222:S240" ca="1" si="618">M222/F222</f>
        <v>1.3218457793691367</v>
      </c>
      <c r="T222" s="21">
        <f ca="1">F222/14.415</f>
        <v>253.53714880332987</v>
      </c>
      <c r="U222" s="21">
        <f t="shared" ref="U222:U240" ca="1" si="619">T222/E222</f>
        <v>13.34406046333315</v>
      </c>
      <c r="V222" s="18">
        <f t="shared" ref="V222:V240" ca="1" si="620">M222/E222</f>
        <v>254.26315789473685</v>
      </c>
      <c r="W222" s="76"/>
      <c r="X222" s="8">
        <v>4</v>
      </c>
      <c r="Y222" s="8" t="s">
        <v>27</v>
      </c>
      <c r="Z222" s="8">
        <f t="shared" ref="Z222:AK222" si="621">SUM(D235)</f>
        <v>30</v>
      </c>
      <c r="AA222" s="9">
        <f t="shared" ca="1" si="621"/>
        <v>30</v>
      </c>
      <c r="AB222" s="10">
        <f t="shared" ca="1" si="621"/>
        <v>5385.82</v>
      </c>
      <c r="AC222" s="9">
        <f t="shared" ca="1" si="621"/>
        <v>2443</v>
      </c>
      <c r="AD222" s="9">
        <f t="shared" ca="1" si="621"/>
        <v>0</v>
      </c>
      <c r="AE222" s="9">
        <f t="shared" ca="1" si="621"/>
        <v>2443</v>
      </c>
      <c r="AF222" s="9">
        <f t="shared" ca="1" si="621"/>
        <v>3052</v>
      </c>
      <c r="AG222" s="9">
        <f t="shared" ca="1" si="621"/>
        <v>205</v>
      </c>
      <c r="AH222" s="9">
        <f t="shared" ca="1" si="621"/>
        <v>3257</v>
      </c>
      <c r="AI222" s="9">
        <f t="shared" ca="1" si="621"/>
        <v>5700</v>
      </c>
      <c r="AJ222" s="11">
        <f t="shared" ca="1" si="621"/>
        <v>179.52733333333333</v>
      </c>
      <c r="AK222" s="8">
        <f t="shared" si="621"/>
        <v>8101</v>
      </c>
      <c r="AL222" s="12">
        <f t="shared" ca="1" si="602"/>
        <v>0.70361683742747805</v>
      </c>
      <c r="AM222" s="13">
        <f>SUM(Q235)</f>
        <v>1.5</v>
      </c>
      <c r="AN222" s="12">
        <f t="shared" ca="1" si="604"/>
        <v>0.70555644265868522</v>
      </c>
      <c r="AO222" s="14">
        <f t="shared" ca="1" si="605"/>
        <v>1.0583346639880278</v>
      </c>
      <c r="AP222" s="13">
        <f t="shared" ref="AP222:AQ222" ca="1" si="622">SUM(T235)</f>
        <v>269.49311983987991</v>
      </c>
      <c r="AQ222" s="13">
        <f t="shared" ca="1" si="622"/>
        <v>8.9831039946626632</v>
      </c>
      <c r="AR222" s="9">
        <f t="shared" ca="1" si="607"/>
        <v>190</v>
      </c>
      <c r="AS222" s="76"/>
      <c r="AT222" s="76"/>
    </row>
    <row r="223" spans="1:46" ht="15.75" customHeight="1" x14ac:dyDescent="0.25">
      <c r="A223" s="70"/>
      <c r="B223" s="16">
        <v>2</v>
      </c>
      <c r="C223" s="16" t="s">
        <v>28</v>
      </c>
      <c r="D223" s="17">
        <v>33</v>
      </c>
      <c r="E223" s="18">
        <f ca="1">IFERROR(__xludf.DUMMYFUNCTION("COUNT(IMPORTRANGE(""https://docs.google.com/spreadsheets/d/1H9vAqftAHb0OdeSGXHTnJFzoWUgpoH31sc0sHNN8y1o/edit"",""9!d2:d34""))"),33)</f>
        <v>33</v>
      </c>
      <c r="F223" s="19">
        <f ca="1">IFERROR(__xludf.DUMMYFUNCTION("SUM(IMPORTRANGE(""https://docs.google.com/spreadsheets/d/1H9vAqftAHb0OdeSGXHTnJFzoWUgpoH31sc0sHNN8y1o/edit"",""9!Q2:Q34""))"),6051.10599999999)</f>
        <v>6051.1059999999898</v>
      </c>
      <c r="G223" s="18">
        <f ca="1">IFERROR(__xludf.DUMMYFUNCTION("IMPORTRANGE(""https://docs.google.com/spreadsheets/d/1H9vAqftAHb0OdeSGXHTnJFzoWUgpoH31sc0sHNN8y1o/edit"",""9!e41"")"),2608)</f>
        <v>2608</v>
      </c>
      <c r="H223" s="18">
        <f ca="1">IFERROR(__xludf.DUMMYFUNCTION("IMPORTRANGE(""https://docs.google.com/spreadsheets/d/1H9vAqftAHb0OdeSGXHTnJFzoWUgpoH31sc0sHNN8y1o/edit"",""9!e42"")"),196)</f>
        <v>196</v>
      </c>
      <c r="I223" s="18">
        <f t="shared" ca="1" si="612"/>
        <v>2804</v>
      </c>
      <c r="J223" s="18">
        <f ca="1">IFERROR(__xludf.DUMMYFUNCTION("IMPORTRANGE(""https://docs.google.com/spreadsheets/d/1H9vAqftAHb0OdeSGXHTnJFzoWUgpoH31sc0sHNN8y1o/edit"",""9!e45"")"),3074)</f>
        <v>3074</v>
      </c>
      <c r="K223" s="18">
        <f ca="1">IFERROR(__xludf.DUMMYFUNCTION("IMPORTRANGE(""https://docs.google.com/spreadsheets/d/1H9vAqftAHb0OdeSGXHTnJFzoWUgpoH31sc0sHNN8y1o/edit"",""9!e46"")"),198)</f>
        <v>198</v>
      </c>
      <c r="L223" s="18">
        <f t="shared" ca="1" si="613"/>
        <v>3272</v>
      </c>
      <c r="M223" s="18">
        <f t="shared" ca="1" si="614"/>
        <v>6076</v>
      </c>
      <c r="N223" s="19">
        <f t="shared" ca="1" si="615"/>
        <v>183.36684848484816</v>
      </c>
      <c r="O223" s="16">
        <v>7315</v>
      </c>
      <c r="P223" s="20">
        <f t="shared" ca="1" si="616"/>
        <v>0.83062200956937804</v>
      </c>
      <c r="Q223" s="21">
        <v>1.5</v>
      </c>
      <c r="R223" s="20">
        <f t="shared" ca="1" si="617"/>
        <v>0.66940930578090574</v>
      </c>
      <c r="S223" s="22">
        <f t="shared" ca="1" si="618"/>
        <v>1.0041139586713586</v>
      </c>
      <c r="T223" s="21">
        <f ca="1">F223/30.897</f>
        <v>195.84768747774834</v>
      </c>
      <c r="U223" s="21">
        <f t="shared" ca="1" si="619"/>
        <v>5.9347784084166166</v>
      </c>
      <c r="V223" s="18">
        <f t="shared" ca="1" si="620"/>
        <v>184.12121212121212</v>
      </c>
      <c r="W223" s="76"/>
      <c r="X223" s="8">
        <v>5</v>
      </c>
      <c r="Y223" s="8" t="s">
        <v>29</v>
      </c>
      <c r="Z223" s="8">
        <f t="shared" ref="Z223:AI223" si="623">SUM(D238)</f>
        <v>30</v>
      </c>
      <c r="AA223" s="9">
        <f t="shared" ca="1" si="623"/>
        <v>30</v>
      </c>
      <c r="AB223" s="10">
        <f t="shared" ca="1" si="623"/>
        <v>5786.0929999999898</v>
      </c>
      <c r="AC223" s="9">
        <f t="shared" ca="1" si="623"/>
        <v>2842</v>
      </c>
      <c r="AD223" s="9">
        <f t="shared" ca="1" si="623"/>
        <v>0</v>
      </c>
      <c r="AE223" s="9">
        <f t="shared" ca="1" si="623"/>
        <v>2842</v>
      </c>
      <c r="AF223" s="9">
        <f t="shared" ca="1" si="623"/>
        <v>3999</v>
      </c>
      <c r="AG223" s="9">
        <f t="shared" ca="1" si="623"/>
        <v>65</v>
      </c>
      <c r="AH223" s="9">
        <f t="shared" ca="1" si="623"/>
        <v>4064</v>
      </c>
      <c r="AI223" s="9">
        <f t="shared" ca="1" si="623"/>
        <v>6906</v>
      </c>
      <c r="AJ223" s="11">
        <f t="shared" ref="AJ223:AJ225" ca="1" si="624">AB223/AA223</f>
        <v>192.86976666666632</v>
      </c>
      <c r="AK223" s="8">
        <f t="shared" ref="AK223:AK224" si="625">SUM(O238)</f>
        <v>9201</v>
      </c>
      <c r="AL223" s="12">
        <f t="shared" ca="1" si="602"/>
        <v>0.75057059015324423</v>
      </c>
      <c r="AM223" s="13">
        <f t="shared" ref="AM223:AM224" si="626">SUM(Q238)</f>
        <v>1.5</v>
      </c>
      <c r="AN223" s="12">
        <f t="shared" ca="1" si="604"/>
        <v>0.79570100238624031</v>
      </c>
      <c r="AO223" s="14">
        <f t="shared" ca="1" si="605"/>
        <v>1.1935515035793605</v>
      </c>
      <c r="AP223" s="13">
        <f t="shared" ref="AP223:AQ223" ca="1" si="627">SUM(T238)</f>
        <v>218.41731153976784</v>
      </c>
      <c r="AQ223" s="13">
        <f t="shared" ca="1" si="627"/>
        <v>7.2805770513255945</v>
      </c>
      <c r="AR223" s="9">
        <f t="shared" ca="1" si="607"/>
        <v>230.2</v>
      </c>
      <c r="AS223" s="76"/>
      <c r="AT223" s="76"/>
    </row>
    <row r="224" spans="1:46" ht="15.75" customHeight="1" x14ac:dyDescent="0.25">
      <c r="A224" s="70"/>
      <c r="B224" s="16">
        <v>3</v>
      </c>
      <c r="C224" s="16" t="s">
        <v>30</v>
      </c>
      <c r="D224" s="17">
        <v>60</v>
      </c>
      <c r="E224" s="18">
        <f ca="1">IFERROR(__xludf.DUMMYFUNCTION("COUNT(IMPORTRANGE(""https://docs.google.com/spreadsheets/d/1EWN6nfpuVxbUE_9opjYCWaI7MTm5xsF6ssjklSbMZnA/edit"",""9!d2:d61""))"),59)</f>
        <v>59</v>
      </c>
      <c r="F224" s="23">
        <f ca="1">IFERROR(__xludf.DUMMYFUNCTION("SUM(IMPORTRANGE(""https://docs.google.com/spreadsheets/d/1EWN6nfpuVxbUE_9opjYCWaI7MTm5xsF6ssjklSbMZnA/edit"",""9!Q2:Q61""))"),11329.4549999999)</f>
        <v>11329.4549999999</v>
      </c>
      <c r="G224" s="18">
        <f ca="1">IFERROR(__xludf.DUMMYFUNCTION("IMPORTRANGE(""https://docs.google.com/spreadsheets/d/1EWN6nfpuVxbUE_9opjYCWaI7MTm5xsF6ssjklSbMZnA/edit"",""9!e68"")"),3669)</f>
        <v>3669</v>
      </c>
      <c r="H224" s="18">
        <f ca="1">IFERROR(__xludf.DUMMYFUNCTION("IMPORTRANGE(""https://docs.google.com/spreadsheets/d/1EWN6nfpuVxbUE_9opjYCWaI7MTm5xsF6ssjklSbMZnA/edit"",""9!e69"")"),0)</f>
        <v>0</v>
      </c>
      <c r="I224" s="18">
        <f t="shared" ca="1" si="612"/>
        <v>3669</v>
      </c>
      <c r="J224" s="18">
        <f ca="1">IFERROR(__xludf.DUMMYFUNCTION("IMPORTRANGE(""https://docs.google.com/spreadsheets/d/1EWN6nfpuVxbUE_9opjYCWaI7MTm5xsF6ssjklSbMZnA/edit"",""9!e72"")"),5887)</f>
        <v>5887</v>
      </c>
      <c r="K224" s="18">
        <f ca="1">IFERROR(__xludf.DUMMYFUNCTION("IMPORTRANGE(""https://docs.google.com/spreadsheets/d/1EWN6nfpuVxbUE_9opjYCWaI7MTm5xsF6ssjklSbMZnA/edit"",""9!e73"")"),0)</f>
        <v>0</v>
      </c>
      <c r="L224" s="18">
        <f t="shared" ca="1" si="613"/>
        <v>5887</v>
      </c>
      <c r="M224" s="18">
        <f t="shared" ca="1" si="614"/>
        <v>9556</v>
      </c>
      <c r="N224" s="19">
        <f t="shared" ca="1" si="615"/>
        <v>192.02466101694745</v>
      </c>
      <c r="O224" s="16">
        <v>11164</v>
      </c>
      <c r="P224" s="20">
        <f t="shared" ca="1" si="616"/>
        <v>0.85596560372626296</v>
      </c>
      <c r="Q224" s="21">
        <v>1.5</v>
      </c>
      <c r="R224" s="20">
        <f t="shared" ca="1" si="617"/>
        <v>0.56231007287347212</v>
      </c>
      <c r="S224" s="22">
        <f t="shared" ca="1" si="618"/>
        <v>0.84346510931020813</v>
      </c>
      <c r="T224" s="21">
        <f ca="1">F224/29.603</f>
        <v>382.71306962131877</v>
      </c>
      <c r="U224" s="21">
        <f t="shared" ca="1" si="619"/>
        <v>6.4866621969715048</v>
      </c>
      <c r="V224" s="18">
        <f t="shared" ca="1" si="620"/>
        <v>161.96610169491527</v>
      </c>
      <c r="W224" s="76"/>
      <c r="X224" s="8">
        <v>6</v>
      </c>
      <c r="Y224" s="8" t="s">
        <v>31</v>
      </c>
      <c r="Z224" s="8">
        <f t="shared" ref="Z224:AI224" si="628">SUM(D239)</f>
        <v>15</v>
      </c>
      <c r="AA224" s="9">
        <f t="shared" ca="1" si="628"/>
        <v>13</v>
      </c>
      <c r="AB224" s="11">
        <f t="shared" ca="1" si="628"/>
        <v>2607.9</v>
      </c>
      <c r="AC224" s="9">
        <f t="shared" ca="1" si="628"/>
        <v>835</v>
      </c>
      <c r="AD224" s="9">
        <f t="shared" ca="1" si="628"/>
        <v>12</v>
      </c>
      <c r="AE224" s="9">
        <f t="shared" ca="1" si="628"/>
        <v>847</v>
      </c>
      <c r="AF224" s="9">
        <f t="shared" ca="1" si="628"/>
        <v>964</v>
      </c>
      <c r="AG224" s="9">
        <f t="shared" ca="1" si="628"/>
        <v>90</v>
      </c>
      <c r="AH224" s="9">
        <f t="shared" ca="1" si="628"/>
        <v>1054</v>
      </c>
      <c r="AI224" s="9">
        <f t="shared" ca="1" si="628"/>
        <v>1901</v>
      </c>
      <c r="AJ224" s="11">
        <f t="shared" ca="1" si="624"/>
        <v>200.6076923076923</v>
      </c>
      <c r="AK224" s="8">
        <f t="shared" si="625"/>
        <v>2717</v>
      </c>
      <c r="AL224" s="12">
        <f t="shared" ca="1" si="602"/>
        <v>0.69966875230033121</v>
      </c>
      <c r="AM224" s="13">
        <f t="shared" si="626"/>
        <v>1.5</v>
      </c>
      <c r="AN224" s="12">
        <f t="shared" ca="1" si="604"/>
        <v>0.48595932870636654</v>
      </c>
      <c r="AO224" s="14">
        <f t="shared" ca="1" si="605"/>
        <v>0.72893899305954979</v>
      </c>
      <c r="AP224" s="13">
        <f t="shared" ref="AP224:AQ224" ca="1" si="629">SUM(T239)</f>
        <v>60</v>
      </c>
      <c r="AQ224" s="13">
        <f t="shared" ca="1" si="629"/>
        <v>4.615384615384615</v>
      </c>
      <c r="AR224" s="9">
        <f t="shared" ca="1" si="607"/>
        <v>146.23076923076923</v>
      </c>
      <c r="AS224" s="76"/>
      <c r="AT224" s="76"/>
    </row>
    <row r="225" spans="1:46" ht="15.75" customHeight="1" x14ac:dyDescent="0.25">
      <c r="A225" s="70"/>
      <c r="B225" s="16">
        <v>4</v>
      </c>
      <c r="C225" s="16" t="s">
        <v>32</v>
      </c>
      <c r="D225" s="17">
        <v>42</v>
      </c>
      <c r="E225" s="18">
        <f ca="1">IFERROR(__xludf.DUMMYFUNCTION("COUNT(IMPORTRANGE(""https://docs.google.com/spreadsheets/d/1Rmar8QqWK4XOJ-eY6xMzkAfDSw0srEXcAw89ilArun8/edit"",""9!d2:d43""))"),41)</f>
        <v>41</v>
      </c>
      <c r="F225" s="23">
        <f ca="1">IFERROR(__xludf.DUMMYFUNCTION("SUM(IMPORTRANGE(""https://docs.google.com/spreadsheets/d/1Rmar8QqWK4XOJ-eY6xMzkAfDSw0srEXcAw89ilArun8/edit"",""9!Q2:Q43""))"),8153.92499999999)</f>
        <v>8153.9249999999902</v>
      </c>
      <c r="G225" s="16">
        <f ca="1">IFERROR(__xludf.DUMMYFUNCTION("IMPORTRANGE(""https://docs.google.com/spreadsheets/d/1Rmar8QqWK4XOJ-eY6xMzkAfDSw0srEXcAw89ilArun8/edit"",""9!e50"")"),4837)</f>
        <v>4837</v>
      </c>
      <c r="H225" s="16">
        <f ca="1">IFERROR(__xludf.DUMMYFUNCTION("IMPORTRANGE(""https://docs.google.com/spreadsheets/d/1Rmar8QqWK4XOJ-eY6xMzkAfDSw0srEXcAw89ilArun8/edit"",""9!e51"")"),0)</f>
        <v>0</v>
      </c>
      <c r="I225" s="18">
        <f t="shared" ca="1" si="612"/>
        <v>4837</v>
      </c>
      <c r="J225" s="16">
        <f ca="1">IFERROR(__xludf.DUMMYFUNCTION("IMPORTRANGE(""https://docs.google.com/spreadsheets/d/1Rmar8QqWK4XOJ-eY6xMzkAfDSw0srEXcAw89ilArun8/edit"",""9!e54"")"),5485)</f>
        <v>5485</v>
      </c>
      <c r="K225" s="16">
        <f ca="1">IFERROR(__xludf.DUMMYFUNCTION("IMPORTRANGE(""https://docs.google.com/spreadsheets/d/1Rmar8QqWK4XOJ-eY6xMzkAfDSw0srEXcAw89ilArun8/edit"",""9!e55"")"),0)</f>
        <v>0</v>
      </c>
      <c r="L225" s="18">
        <f t="shared" ca="1" si="613"/>
        <v>5485</v>
      </c>
      <c r="M225" s="18">
        <f t="shared" ca="1" si="614"/>
        <v>10322</v>
      </c>
      <c r="N225" s="19">
        <f t="shared" ca="1" si="615"/>
        <v>198.87621951219489</v>
      </c>
      <c r="O225" s="16">
        <v>13817</v>
      </c>
      <c r="P225" s="20">
        <f t="shared" ca="1" si="616"/>
        <v>0.74705073460230154</v>
      </c>
      <c r="Q225" s="21">
        <v>1.5</v>
      </c>
      <c r="R225" s="20">
        <f t="shared" ca="1" si="617"/>
        <v>0.84392894628456139</v>
      </c>
      <c r="S225" s="22">
        <f t="shared" ca="1" si="618"/>
        <v>1.2658934194268421</v>
      </c>
      <c r="T225" s="21">
        <f ca="1">F225/25.089</f>
        <v>324.9999999999996</v>
      </c>
      <c r="U225" s="21">
        <f t="shared" ca="1" si="619"/>
        <v>7.9268292682926731</v>
      </c>
      <c r="V225" s="18">
        <f t="shared" ca="1" si="620"/>
        <v>251.7560975609756</v>
      </c>
      <c r="W225" s="76"/>
      <c r="X225" s="24" t="s">
        <v>33</v>
      </c>
      <c r="Y225" s="24">
        <v>6</v>
      </c>
      <c r="Z225" s="24">
        <f t="shared" ref="Z225:AI225" si="630">SUM(Z219:Z224)</f>
        <v>186</v>
      </c>
      <c r="AA225" s="25">
        <f t="shared" ca="1" si="630"/>
        <v>183</v>
      </c>
      <c r="AB225" s="26">
        <f t="shared" ca="1" si="630"/>
        <v>35226.35199999997</v>
      </c>
      <c r="AC225" s="25">
        <f t="shared" ca="1" si="630"/>
        <v>11176</v>
      </c>
      <c r="AD225" s="25">
        <f t="shared" ca="1" si="630"/>
        <v>483</v>
      </c>
      <c r="AE225" s="25">
        <f t="shared" ca="1" si="630"/>
        <v>11659</v>
      </c>
      <c r="AF225" s="25">
        <f t="shared" ca="1" si="630"/>
        <v>16063</v>
      </c>
      <c r="AG225" s="25">
        <f t="shared" ca="1" si="630"/>
        <v>723</v>
      </c>
      <c r="AH225" s="25">
        <f t="shared" ca="1" si="630"/>
        <v>16786</v>
      </c>
      <c r="AI225" s="25">
        <f t="shared" ca="1" si="630"/>
        <v>28445</v>
      </c>
      <c r="AJ225" s="27">
        <f t="shared" ca="1" si="624"/>
        <v>192.49372677595611</v>
      </c>
      <c r="AK225" s="24">
        <f>SUM(AK219:AK224)</f>
        <v>35074</v>
      </c>
      <c r="AL225" s="28">
        <f t="shared" ca="1" si="602"/>
        <v>0.81099960084392997</v>
      </c>
      <c r="AM225" s="29">
        <v>1.5</v>
      </c>
      <c r="AN225" s="28">
        <f t="shared" ca="1" si="604"/>
        <v>0.53832804865327388</v>
      </c>
      <c r="AO225" s="30">
        <f t="shared" ca="1" si="605"/>
        <v>0.80749207297991077</v>
      </c>
      <c r="AP225" s="29">
        <f ca="1">SUM(AP219:AP224)</f>
        <v>1322.5029078346308</v>
      </c>
      <c r="AQ225" s="29">
        <f ca="1">AP225/AA225</f>
        <v>7.2267918460908787</v>
      </c>
      <c r="AR225" s="25">
        <f t="shared" ca="1" si="607"/>
        <v>155.43715846994536</v>
      </c>
      <c r="AS225" s="76"/>
      <c r="AT225" s="76"/>
    </row>
    <row r="226" spans="1:46" ht="15.75" customHeight="1" x14ac:dyDescent="0.25">
      <c r="A226" s="70"/>
      <c r="B226" s="16">
        <v>5</v>
      </c>
      <c r="C226" s="16" t="s">
        <v>34</v>
      </c>
      <c r="D226" s="17">
        <v>40</v>
      </c>
      <c r="E226" s="18">
        <f ca="1">IFERROR(__xludf.DUMMYFUNCTION("COUNT(IMPORTRANGE(""https://docs.google.com/spreadsheets/d/1u99JxAoytGQQ8GcjxXl38CGdyEWy5uIbuJJHnsotyvk/edit"",""9!d2:d41""))"),39)</f>
        <v>39</v>
      </c>
      <c r="F226" s="23">
        <f ca="1">IFERROR(__xludf.DUMMYFUNCTION("SUM(IMPORTRANGE(""https://docs.google.com/spreadsheets/d/1u99JxAoytGQQ8GcjxXl38CGdyEWy5uIbuJJHnsotyvk/edit"",""9!Q2:Q41""))"),7511.955)</f>
        <v>7511.9549999999999</v>
      </c>
      <c r="G226" s="18">
        <f ca="1">IFERROR(__xludf.DUMMYFUNCTION("IMPORTRANGE(""https://docs.google.com/spreadsheets/d/1u99JxAoytGQQ8GcjxXl38CGdyEWy5uIbuJJHnsotyvk/edit"",""9!e48"")"),2272)</f>
        <v>2272</v>
      </c>
      <c r="H226" s="18">
        <f ca="1">IFERROR(__xludf.DUMMYFUNCTION("IMPORTRANGE(""https://docs.google.com/spreadsheets/d/1u99JxAoytGQQ8GcjxXl38CGdyEWy5uIbuJJHnsotyvk/edit"",""9!e49"")"),0)</f>
        <v>0</v>
      </c>
      <c r="I226" s="18">
        <f t="shared" ca="1" si="612"/>
        <v>2272</v>
      </c>
      <c r="J226" s="18">
        <f ca="1">IFERROR(__xludf.DUMMYFUNCTION("IMPORTRANGE(""https://docs.google.com/spreadsheets/d/1u99JxAoytGQQ8GcjxXl38CGdyEWy5uIbuJJHnsotyvk/edit"",""9!e52"")"),2903)</f>
        <v>2903</v>
      </c>
      <c r="K226" s="18">
        <f ca="1">IFERROR(__xludf.DUMMYFUNCTION("IMPORTRANGE(""https://docs.google.com/spreadsheets/d/1u99JxAoytGQQ8GcjxXl38CGdyEWy5uIbuJJHnsotyvk/edit"",""9!e53"")"),0)</f>
        <v>0</v>
      </c>
      <c r="L226" s="18">
        <f t="shared" ca="1" si="613"/>
        <v>2903</v>
      </c>
      <c r="M226" s="18">
        <f t="shared" ca="1" si="614"/>
        <v>5175</v>
      </c>
      <c r="N226" s="19">
        <f t="shared" ca="1" si="615"/>
        <v>192.61423076923077</v>
      </c>
      <c r="O226" s="16">
        <v>9354</v>
      </c>
      <c r="P226" s="20">
        <f t="shared" ca="1" si="616"/>
        <v>0.5532392559332906</v>
      </c>
      <c r="Q226" s="21">
        <v>1.5</v>
      </c>
      <c r="R226" s="20">
        <f t="shared" ca="1" si="617"/>
        <v>0.45926792692448237</v>
      </c>
      <c r="S226" s="22">
        <f t="shared" ca="1" si="618"/>
        <v>0.68890189038672356</v>
      </c>
      <c r="T226" s="21">
        <f ca="1">F226/30.713</f>
        <v>244.58551753329209</v>
      </c>
      <c r="U226" s="21">
        <f t="shared" ca="1" si="619"/>
        <v>6.2714235264946687</v>
      </c>
      <c r="V226" s="18">
        <f t="shared" ca="1" si="620"/>
        <v>132.69230769230768</v>
      </c>
      <c r="W226" s="76"/>
      <c r="X226" s="100" t="s">
        <v>35</v>
      </c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9"/>
      <c r="AS226" s="76"/>
      <c r="AT226" s="76"/>
    </row>
    <row r="227" spans="1:46" ht="15.75" customHeight="1" x14ac:dyDescent="0.25">
      <c r="A227" s="70"/>
      <c r="B227" s="16">
        <v>6</v>
      </c>
      <c r="C227" s="16" t="s">
        <v>23</v>
      </c>
      <c r="D227" s="17">
        <v>35</v>
      </c>
      <c r="E227" s="18">
        <f ca="1">IFERROR(__xludf.DUMMYFUNCTION("COUNT(IMPORTRANGE(""https://docs.google.com/spreadsheets/d/1uVc-vnTn57HE53lwrUYNZP4sGKTXisrqOoZ-6EyvLzY/edit"",""9!d2:d36""))"),35)</f>
        <v>35</v>
      </c>
      <c r="F227" s="23">
        <f ca="1">IFERROR(__xludf.DUMMYFUNCTION("SUM(IMPORTRANGE(""https://docs.google.com/spreadsheets/d/1uVc-vnTn57HE53lwrUYNZP4sGKTXisrqOoZ-6EyvLzY/edit"",""9!Q2:Q36""))"),6984.17999999999)</f>
        <v>6984.1799999999903</v>
      </c>
      <c r="G227" s="18">
        <f ca="1">IFERROR(__xludf.DUMMYFUNCTION("IMPORTRANGE(""https://docs.google.com/spreadsheets/d/1uVc-vnTn57HE53lwrUYNZP4sGKTXisrqOoZ-6EyvLzY/edit"",""9!e43"")"),1698)</f>
        <v>1698</v>
      </c>
      <c r="H227" s="18">
        <f ca="1">IFERROR(__xludf.DUMMYFUNCTION("IMPORTRANGE(""https://docs.google.com/spreadsheets/d/1uVc-vnTn57HE53lwrUYNZP4sGKTXisrqOoZ-6EyvLzY/edit"",""9!e44"")"),0)</f>
        <v>0</v>
      </c>
      <c r="I227" s="18">
        <f t="shared" ca="1" si="612"/>
        <v>1698</v>
      </c>
      <c r="J227" s="18">
        <f ca="1">IFERROR(__xludf.DUMMYFUNCTION("IMPORTRANGE(""https://docs.google.com/spreadsheets/d/1uVc-vnTn57HE53lwrUYNZP4sGKTXisrqOoZ-6EyvLzY/edit"",""9!e47"")"),3136)</f>
        <v>3136</v>
      </c>
      <c r="K227" s="18">
        <f ca="1">IFERROR(__xludf.DUMMYFUNCTION("IMPORTRANGE(""https://docs.google.com/spreadsheets/d/1uVc-vnTn57HE53lwrUYNZP4sGKTXisrqOoZ-6EyvLzY/edit"",""9!e48"")"),0)</f>
        <v>0</v>
      </c>
      <c r="L227" s="18">
        <f t="shared" ca="1" si="613"/>
        <v>3136</v>
      </c>
      <c r="M227" s="18">
        <f t="shared" ca="1" si="614"/>
        <v>4834</v>
      </c>
      <c r="N227" s="19">
        <f t="shared" ca="1" si="615"/>
        <v>199.54799999999972</v>
      </c>
      <c r="O227" s="16">
        <v>6853</v>
      </c>
      <c r="P227" s="20">
        <f t="shared" ca="1" si="616"/>
        <v>0.70538450313731216</v>
      </c>
      <c r="Q227" s="21">
        <v>1.5</v>
      </c>
      <c r="R227" s="20">
        <f t="shared" ca="1" si="617"/>
        <v>0.46142377010138214</v>
      </c>
      <c r="S227" s="22">
        <f t="shared" ca="1" si="618"/>
        <v>0.6921356551520732</v>
      </c>
      <c r="T227" s="21">
        <f ca="1">F227/33.74</f>
        <v>206.99999999999969</v>
      </c>
      <c r="U227" s="21">
        <f t="shared" ca="1" si="619"/>
        <v>5.9142857142857057</v>
      </c>
      <c r="V227" s="18">
        <f t="shared" ca="1" si="620"/>
        <v>138.11428571428573</v>
      </c>
      <c r="W227" s="76"/>
      <c r="X227" s="1" t="s">
        <v>2</v>
      </c>
      <c r="Y227" s="1" t="s">
        <v>3</v>
      </c>
      <c r="Z227" s="1" t="s">
        <v>4</v>
      </c>
      <c r="AA227" s="1" t="s">
        <v>5</v>
      </c>
      <c r="AB227" s="2" t="s">
        <v>6</v>
      </c>
      <c r="AC227" s="1" t="s">
        <v>7</v>
      </c>
      <c r="AD227" s="1" t="s">
        <v>8</v>
      </c>
      <c r="AE227" s="1" t="s">
        <v>9</v>
      </c>
      <c r="AF227" s="1" t="s">
        <v>10</v>
      </c>
      <c r="AG227" s="1" t="s">
        <v>11</v>
      </c>
      <c r="AH227" s="1" t="s">
        <v>12</v>
      </c>
      <c r="AI227" s="1" t="s">
        <v>13</v>
      </c>
      <c r="AJ227" s="2" t="s">
        <v>14</v>
      </c>
      <c r="AK227" s="1" t="s">
        <v>15</v>
      </c>
      <c r="AL227" s="1" t="s">
        <v>16</v>
      </c>
      <c r="AM227" s="3" t="s">
        <v>17</v>
      </c>
      <c r="AN227" s="4" t="s">
        <v>18</v>
      </c>
      <c r="AO227" s="5" t="s">
        <v>19</v>
      </c>
      <c r="AP227" s="6" t="s">
        <v>20</v>
      </c>
      <c r="AQ227" s="6" t="s">
        <v>21</v>
      </c>
      <c r="AR227" s="7" t="s">
        <v>22</v>
      </c>
      <c r="AS227" s="76"/>
      <c r="AT227" s="76"/>
    </row>
    <row r="228" spans="1:46" ht="15.75" customHeight="1" x14ac:dyDescent="0.25">
      <c r="A228" s="70"/>
      <c r="B228" s="16">
        <v>7</v>
      </c>
      <c r="C228" s="16" t="s">
        <v>24</v>
      </c>
      <c r="D228" s="17">
        <v>44</v>
      </c>
      <c r="E228" s="31">
        <f ca="1">IFERROR(__xludf.DUMMYFUNCTION("COUNT(IMPORTRANGE(""https://docs.google.com/spreadsheets/d/1iuPvivSypupo44l6GtmR-2qZ3za7cTk7KzsOVp_kv2c/edit"",""9!d2:d45""))"),43)</f>
        <v>43</v>
      </c>
      <c r="F228" s="32">
        <f ca="1">IFERROR(__xludf.DUMMYFUNCTION("SUM(IMPORTRANGE(""https://docs.google.com/spreadsheets/d/1iuPvivSypupo44l6GtmR-2qZ3za7cTk7KzsOVp_kv2c/edit"",""9!Q2:Q45""))"),8416.26699999999)</f>
        <v>8416.2669999999907</v>
      </c>
      <c r="G228" s="31">
        <f ca="1">IFERROR(__xludf.DUMMYFUNCTION("IMPORTRANGE(""https://docs.google.com/spreadsheets/d/1iuPvivSypupo44l6GtmR-2qZ3za7cTk7KzsOVp_kv2c/edit"",""9!e53"")"),1124)</f>
        <v>1124</v>
      </c>
      <c r="H228" s="31">
        <f ca="1">IFERROR(__xludf.DUMMYFUNCTION("IMPORTRANGE(""https://docs.google.com/spreadsheets/d/1iuPvivSypupo44l6GtmR-2qZ3za7cTk7KzsOVp_kv2c/edit"",""9!e54"")"),0)</f>
        <v>0</v>
      </c>
      <c r="I228" s="31">
        <f t="shared" ca="1" si="612"/>
        <v>1124</v>
      </c>
      <c r="J228" s="31">
        <f ca="1">IFERROR(__xludf.DUMMYFUNCTION("IMPORTRANGE(""https://docs.google.com/spreadsheets/d/1iuPvivSypupo44l6GtmR-2qZ3za7cTk7KzsOVp_kv2c/edit"",""9!e57"")"),1374)</f>
        <v>1374</v>
      </c>
      <c r="K228" s="31">
        <f ca="1">IFERROR(__xludf.DUMMYFUNCTION("IMPORTRANGE(""https://docs.google.com/spreadsheets/d/1iuPvivSypupo44l6GtmR-2qZ3za7cTk7KzsOVp_kv2c/edit"",""9!e58"")"),17)</f>
        <v>17</v>
      </c>
      <c r="L228" s="18">
        <f t="shared" ca="1" si="613"/>
        <v>1391</v>
      </c>
      <c r="M228" s="18">
        <f t="shared" ca="1" si="614"/>
        <v>2515</v>
      </c>
      <c r="N228" s="19">
        <f t="shared" ca="1" si="615"/>
        <v>195.72713953488349</v>
      </c>
      <c r="O228" s="16">
        <v>1580</v>
      </c>
      <c r="P228" s="33">
        <f t="shared" ca="1" si="616"/>
        <v>1.5917721518987342</v>
      </c>
      <c r="Q228" s="21">
        <v>1.5</v>
      </c>
      <c r="R228" s="20">
        <f t="shared" ca="1" si="617"/>
        <v>0.19921738065898675</v>
      </c>
      <c r="S228" s="22">
        <f t="shared" ca="1" si="618"/>
        <v>0.29882607098848013</v>
      </c>
      <c r="T228" s="21">
        <f ca="1">F228/26.805</f>
        <v>313.98123484424514</v>
      </c>
      <c r="U228" s="21">
        <f t="shared" ca="1" si="619"/>
        <v>7.3018891824243051</v>
      </c>
      <c r="V228" s="18">
        <f t="shared" ca="1" si="620"/>
        <v>58.488372093023258</v>
      </c>
      <c r="W228" s="76"/>
      <c r="X228" s="8">
        <v>1</v>
      </c>
      <c r="Y228" s="8" t="s">
        <v>28</v>
      </c>
      <c r="Z228" s="8">
        <f t="shared" ref="Z228:AI228" si="631">SUM(D223)</f>
        <v>33</v>
      </c>
      <c r="AA228" s="9">
        <f t="shared" ca="1" si="631"/>
        <v>33</v>
      </c>
      <c r="AB228" s="11">
        <f t="shared" ca="1" si="631"/>
        <v>6051.1059999999898</v>
      </c>
      <c r="AC228" s="9">
        <f t="shared" ca="1" si="631"/>
        <v>2608</v>
      </c>
      <c r="AD228" s="9">
        <f t="shared" ca="1" si="631"/>
        <v>196</v>
      </c>
      <c r="AE228" s="9">
        <f t="shared" ca="1" si="631"/>
        <v>2804</v>
      </c>
      <c r="AF228" s="9">
        <f t="shared" ca="1" si="631"/>
        <v>3074</v>
      </c>
      <c r="AG228" s="9">
        <f t="shared" ca="1" si="631"/>
        <v>198</v>
      </c>
      <c r="AH228" s="9">
        <f t="shared" ca="1" si="631"/>
        <v>3272</v>
      </c>
      <c r="AI228" s="9">
        <f t="shared" ca="1" si="631"/>
        <v>6076</v>
      </c>
      <c r="AJ228" s="11">
        <f t="shared" ref="AJ228:AJ234" ca="1" si="632">AB228/AA228</f>
        <v>183.36684848484816</v>
      </c>
      <c r="AK228" s="8">
        <f t="shared" ref="AK228:AK229" si="633">SUM(O223)</f>
        <v>7315</v>
      </c>
      <c r="AL228" s="12">
        <f t="shared" ref="AL228:AL234" ca="1" si="634">AI228/AK228</f>
        <v>0.83062200956937804</v>
      </c>
      <c r="AM228" s="13">
        <f t="shared" ref="AM228:AM229" si="635">SUM(Q223)</f>
        <v>1.5</v>
      </c>
      <c r="AN228" s="12">
        <f t="shared" ref="AN228:AN234" ca="1" si="636">AO228/AM228</f>
        <v>0.66940930578090574</v>
      </c>
      <c r="AO228" s="14">
        <f t="shared" ref="AO228:AO234" ca="1" si="637">AI228/AB228</f>
        <v>1.0041139586713586</v>
      </c>
      <c r="AP228" s="13">
        <f t="shared" ref="AP228:AQ228" ca="1" si="638">SUM(T223)</f>
        <v>195.84768747774834</v>
      </c>
      <c r="AQ228" s="13">
        <f t="shared" ca="1" si="638"/>
        <v>5.9347784084166166</v>
      </c>
      <c r="AR228" s="9">
        <f t="shared" ref="AR228:AR234" ca="1" si="639">AI228/AA228</f>
        <v>184.12121212121212</v>
      </c>
      <c r="AS228" s="76"/>
      <c r="AT228" s="76"/>
    </row>
    <row r="229" spans="1:46" ht="15.75" customHeight="1" x14ac:dyDescent="0.25">
      <c r="A229" s="70"/>
      <c r="B229" s="16">
        <v>8</v>
      </c>
      <c r="C229" s="16" t="s">
        <v>25</v>
      </c>
      <c r="D229" s="34">
        <v>32</v>
      </c>
      <c r="E229" s="18">
        <f ca="1">IFERROR(__xludf.DUMMYFUNCTION("COUNT(IMPORTRANGE(""https://docs.google.com/spreadsheets/d/1sqWX7UerdR9KR_duBzDNfjwbPG-3hLgV1LiN2ZVZ6Js/edit"",""9!d2:D33""))"),32)</f>
        <v>32</v>
      </c>
      <c r="F229" s="23">
        <f ca="1">IFERROR(__xludf.DUMMYFUNCTION("SUM(IMPORTRANGE(""https://docs.google.com/spreadsheets/d/1sqWX7UerdR9KR_duBzDNfjwbPG-3hLgV1LiN2ZVZ6Js/edit"",""9!Q2:Q33""))"),6046.092)</f>
        <v>6046.0919999999996</v>
      </c>
      <c r="G229" s="18">
        <f ca="1">IFERROR(__xludf.DUMMYFUNCTION("IMPORTRANGE(""https://docs.google.com/spreadsheets/d/1sqWX7UerdR9KR_duBzDNfjwbPG-3hLgV1LiN2ZVZ6Js/edit"",""9!e40"")"),2234)</f>
        <v>2234</v>
      </c>
      <c r="H229" s="18">
        <f ca="1">IFERROR(__xludf.DUMMYFUNCTION("IMPORTRANGE(""https://docs.google.com/spreadsheets/d/1sqWX7UerdR9KR_duBzDNfjwbPG-3hLgV1LiN2ZVZ6Js/edit"",""9!e41"")"),471)</f>
        <v>471</v>
      </c>
      <c r="I229" s="18">
        <f t="shared" ca="1" si="612"/>
        <v>2705</v>
      </c>
      <c r="J229" s="18">
        <f ca="1">IFERROR(__xludf.DUMMYFUNCTION("IMPORTRANGE(""https://docs.google.com/spreadsheets/d/1sqWX7UerdR9KR_duBzDNfjwbPG-3hLgV1LiN2ZVZ6Js/edit"",""9!e44"")"),3538)</f>
        <v>3538</v>
      </c>
      <c r="K229" s="18">
        <f ca="1">IFERROR(__xludf.DUMMYFUNCTION("IMPORTRANGE(""https://docs.google.com/spreadsheets/d/1sqWX7UerdR9KR_duBzDNfjwbPG-3hLgV1LiN2ZVZ6Js/edit"",""9!e45"")"),346)</f>
        <v>346</v>
      </c>
      <c r="L229" s="18">
        <f ca="1">J229+K229</f>
        <v>3884</v>
      </c>
      <c r="M229" s="18">
        <f t="shared" ca="1" si="614"/>
        <v>6589</v>
      </c>
      <c r="N229" s="19">
        <f t="shared" ca="1" si="615"/>
        <v>188.94037499999999</v>
      </c>
      <c r="O229" s="16">
        <v>6622</v>
      </c>
      <c r="P229" s="20">
        <f t="shared" ca="1" si="616"/>
        <v>0.99501661129568109</v>
      </c>
      <c r="Q229" s="21">
        <v>1.5</v>
      </c>
      <c r="R229" s="20">
        <f t="shared" ca="1" si="617"/>
        <v>0.72652990835512699</v>
      </c>
      <c r="S229" s="22">
        <f t="shared" ca="1" si="618"/>
        <v>1.0897948625326905</v>
      </c>
      <c r="T229" s="21">
        <f ca="1">F229/23.84</f>
        <v>253.61124161073823</v>
      </c>
      <c r="U229" s="21">
        <f t="shared" ca="1" si="619"/>
        <v>7.9253513003355698</v>
      </c>
      <c r="V229" s="18">
        <f t="shared" ca="1" si="620"/>
        <v>205.90625</v>
      </c>
      <c r="W229" s="76"/>
      <c r="X229" s="8">
        <v>2</v>
      </c>
      <c r="Y229" s="8" t="s">
        <v>30</v>
      </c>
      <c r="Z229" s="8">
        <f t="shared" ref="Z229:AI229" si="640">SUM(D224)</f>
        <v>60</v>
      </c>
      <c r="AA229" s="9">
        <f t="shared" ca="1" si="640"/>
        <v>59</v>
      </c>
      <c r="AB229" s="10">
        <f t="shared" ca="1" si="640"/>
        <v>11329.4549999999</v>
      </c>
      <c r="AC229" s="9">
        <f t="shared" ca="1" si="640"/>
        <v>3669</v>
      </c>
      <c r="AD229" s="9">
        <f t="shared" ca="1" si="640"/>
        <v>0</v>
      </c>
      <c r="AE229" s="9">
        <f t="shared" ca="1" si="640"/>
        <v>3669</v>
      </c>
      <c r="AF229" s="9">
        <f t="shared" ca="1" si="640"/>
        <v>5887</v>
      </c>
      <c r="AG229" s="9">
        <f t="shared" ca="1" si="640"/>
        <v>0</v>
      </c>
      <c r="AH229" s="9">
        <f t="shared" ca="1" si="640"/>
        <v>5887</v>
      </c>
      <c r="AI229" s="9">
        <f t="shared" ca="1" si="640"/>
        <v>9556</v>
      </c>
      <c r="AJ229" s="11">
        <f t="shared" ca="1" si="632"/>
        <v>192.02466101694745</v>
      </c>
      <c r="AK229" s="8">
        <f t="shared" si="633"/>
        <v>11164</v>
      </c>
      <c r="AL229" s="12">
        <f t="shared" ca="1" si="634"/>
        <v>0.85596560372626296</v>
      </c>
      <c r="AM229" s="13">
        <f t="shared" si="635"/>
        <v>1.5</v>
      </c>
      <c r="AN229" s="12">
        <f t="shared" ca="1" si="636"/>
        <v>0.56231007287347212</v>
      </c>
      <c r="AO229" s="14">
        <f t="shared" ca="1" si="637"/>
        <v>0.84346510931020813</v>
      </c>
      <c r="AP229" s="13">
        <f t="shared" ref="AP229:AQ229" ca="1" si="641">SUM(T224)</f>
        <v>382.71306962131877</v>
      </c>
      <c r="AQ229" s="13">
        <f t="shared" ca="1" si="641"/>
        <v>6.4866621969715048</v>
      </c>
      <c r="AR229" s="9">
        <f t="shared" ca="1" si="639"/>
        <v>161.96610169491527</v>
      </c>
      <c r="AS229" s="76"/>
      <c r="AT229" s="76"/>
    </row>
    <row r="230" spans="1:46" ht="15.75" customHeight="1" x14ac:dyDescent="0.25">
      <c r="A230" s="70"/>
      <c r="B230" s="16">
        <v>9</v>
      </c>
      <c r="C230" s="16" t="s">
        <v>36</v>
      </c>
      <c r="D230" s="34">
        <v>30</v>
      </c>
      <c r="E230" s="18">
        <f ca="1">IFERROR(__xludf.DUMMYFUNCTION("COUNT(IMPORTRANGE(""https://docs.google.com/spreadsheets/d/1YNna43iTSqnwwbMJgTIPHSJEoDO8RGPRFg5pJCoQR_Y/edit"",""9!d2:d31""))"),30)</f>
        <v>30</v>
      </c>
      <c r="F230" s="23">
        <f ca="1">IFERROR(__xludf.DUMMYFUNCTION("SUM(IMPORTRANGE(""https://docs.google.com/spreadsheets/d/1YNna43iTSqnwwbMJgTIPHSJEoDO8RGPRFg5pJCoQR_Y/edit"",""9!Q2:Q31""))"),5716.362)</f>
        <v>5716.3620000000001</v>
      </c>
      <c r="G230" s="18">
        <f ca="1">IFERROR(__xludf.DUMMYFUNCTION("IMPORTRANGE(""https://docs.google.com/spreadsheets/d/1YNna43iTSqnwwbMJgTIPHSJEoDO8RGPRFg5pJCoQR_Y/edit"",""9!e38"")"),1584)</f>
        <v>1584</v>
      </c>
      <c r="H230" s="18">
        <f ca="1">IFERROR(__xludf.DUMMYFUNCTION("IMPORTRANGE(""https://docs.google.com/spreadsheets/d/1YNna43iTSqnwwbMJgTIPHSJEoDO8RGPRFg5pJCoQR_Y/edit"",""9!e39"")"),0)</f>
        <v>0</v>
      </c>
      <c r="I230" s="18">
        <f t="shared" ca="1" si="612"/>
        <v>1584</v>
      </c>
      <c r="J230" s="18">
        <f ca="1">IFERROR(__xludf.DUMMYFUNCTION("IMPORTRANGE(""https://docs.google.com/spreadsheets/d/1YNna43iTSqnwwbMJgTIPHSJEoDO8RGPRFg5pJCoQR_Y/edit"",""9!e42"")"),2249)</f>
        <v>2249</v>
      </c>
      <c r="K230" s="18">
        <f ca="1">IFERROR(__xludf.DUMMYFUNCTION("IMPORTRANGE(""https://docs.google.com/spreadsheets/d/1YNna43iTSqnwwbMJgTIPHSJEoDO8RGPRFg5pJCoQR_Y/edit"",""9!e43"")"),0)</f>
        <v>0</v>
      </c>
      <c r="L230" s="18">
        <f t="shared" ref="L230:L239" ca="1" si="642">SUM(J230:K230)</f>
        <v>2249</v>
      </c>
      <c r="M230" s="18">
        <f t="shared" ca="1" si="614"/>
        <v>3833</v>
      </c>
      <c r="N230" s="19">
        <f t="shared" ca="1" si="615"/>
        <v>190.5454</v>
      </c>
      <c r="O230" s="16">
        <v>4796</v>
      </c>
      <c r="P230" s="20">
        <f t="shared" ca="1" si="616"/>
        <v>0.79920767306088403</v>
      </c>
      <c r="Q230" s="21">
        <v>1.5</v>
      </c>
      <c r="R230" s="20">
        <f t="shared" ca="1" si="617"/>
        <v>0.44702090828630747</v>
      </c>
      <c r="S230" s="22">
        <f t="shared" ca="1" si="618"/>
        <v>0.67053136242946121</v>
      </c>
      <c r="T230" s="21">
        <f ca="1">F230/37.414</f>
        <v>152.78671085689848</v>
      </c>
      <c r="U230" s="21">
        <f t="shared" ca="1" si="619"/>
        <v>5.0928903618966164</v>
      </c>
      <c r="V230" s="18">
        <f t="shared" ca="1" si="620"/>
        <v>127.76666666666667</v>
      </c>
      <c r="W230" s="76"/>
      <c r="X230" s="8">
        <v>3</v>
      </c>
      <c r="Y230" s="8" t="s">
        <v>34</v>
      </c>
      <c r="Z230" s="8">
        <f t="shared" ref="Z230:AI230" si="643">SUM(D226)</f>
        <v>40</v>
      </c>
      <c r="AA230" s="9">
        <f t="shared" ca="1" si="643"/>
        <v>39</v>
      </c>
      <c r="AB230" s="10">
        <f t="shared" ca="1" si="643"/>
        <v>7511.9549999999999</v>
      </c>
      <c r="AC230" s="9">
        <f t="shared" ca="1" si="643"/>
        <v>2272</v>
      </c>
      <c r="AD230" s="9">
        <f t="shared" ca="1" si="643"/>
        <v>0</v>
      </c>
      <c r="AE230" s="9">
        <f t="shared" ca="1" si="643"/>
        <v>2272</v>
      </c>
      <c r="AF230" s="9">
        <f t="shared" ca="1" si="643"/>
        <v>2903</v>
      </c>
      <c r="AG230" s="9">
        <f t="shared" ca="1" si="643"/>
        <v>0</v>
      </c>
      <c r="AH230" s="9">
        <f t="shared" ca="1" si="643"/>
        <v>2903</v>
      </c>
      <c r="AI230" s="9">
        <f t="shared" ca="1" si="643"/>
        <v>5175</v>
      </c>
      <c r="AJ230" s="11">
        <f t="shared" ca="1" si="632"/>
        <v>192.61423076923077</v>
      </c>
      <c r="AK230" s="8">
        <f>SUM(O226)</f>
        <v>9354</v>
      </c>
      <c r="AL230" s="12">
        <f t="shared" ca="1" si="634"/>
        <v>0.5532392559332906</v>
      </c>
      <c r="AM230" s="13">
        <f>SUM(Q226)</f>
        <v>1.5</v>
      </c>
      <c r="AN230" s="12">
        <f t="shared" ca="1" si="636"/>
        <v>0.45926792692448237</v>
      </c>
      <c r="AO230" s="14">
        <f t="shared" ca="1" si="637"/>
        <v>0.68890189038672356</v>
      </c>
      <c r="AP230" s="13">
        <f t="shared" ref="AP230:AQ230" ca="1" si="644">SUM(T226)</f>
        <v>244.58551753329209</v>
      </c>
      <c r="AQ230" s="13">
        <f t="shared" ca="1" si="644"/>
        <v>6.2714235264946687</v>
      </c>
      <c r="AR230" s="9">
        <f t="shared" ca="1" si="639"/>
        <v>132.69230769230768</v>
      </c>
      <c r="AS230" s="76"/>
      <c r="AT230" s="76"/>
    </row>
    <row r="231" spans="1:46" ht="15.75" customHeight="1" x14ac:dyDescent="0.25">
      <c r="A231" s="70"/>
      <c r="B231" s="16">
        <v>10</v>
      </c>
      <c r="C231" s="16" t="s">
        <v>37</v>
      </c>
      <c r="D231" s="17">
        <v>30</v>
      </c>
      <c r="E231" s="18">
        <f ca="1">IFERROR(__xludf.DUMMYFUNCTION("COUNT(IMPORTRANGE(""https://docs.google.com/spreadsheets/d/1913Df5BsXS_b-nClL8LOK5w0engQYTl1mPOiyngRtO0/edit"",""9!d2:d31""))"),29)</f>
        <v>29</v>
      </c>
      <c r="F231" s="23">
        <f ca="1">IFERROR(__xludf.DUMMYFUNCTION("SUM(IMPORTRANGE(""https://docs.google.com/spreadsheets/d/1913Df5BsXS_b-nClL8LOK5w0engQYTl1mPOiyngRtO0/edit"",""9!Q2:Q31""))"),5823.498)</f>
        <v>5823.4979999999996</v>
      </c>
      <c r="G231" s="18">
        <f ca="1">IFERROR(__xludf.DUMMYFUNCTION("(IMPORTRANGE(""https://docs.google.com/spreadsheets/d/1913Df5BsXS_b-nClL8LOK5w0engQYTl1mPOiyngRtO0/edit"",""9!e38""))"),2261)</f>
        <v>2261</v>
      </c>
      <c r="H231" s="18">
        <f ca="1">IFERROR(__xludf.DUMMYFUNCTION("(IMPORTRANGE(""https://docs.google.com/spreadsheets/d/1913Df5BsXS_b-nClL8LOK5w0engQYTl1mPOiyngRtO0/edit"",""9!e39""))"),0)</f>
        <v>0</v>
      </c>
      <c r="I231" s="18">
        <f t="shared" ca="1" si="612"/>
        <v>2261</v>
      </c>
      <c r="J231" s="18">
        <f ca="1">IFERROR(__xludf.DUMMYFUNCTION("(IMPORTRANGE(""https://docs.google.com/spreadsheets/d/1913Df5BsXS_b-nClL8LOK5w0engQYTl1mPOiyngRtO0/edit"",""9!e42""))"),3023)</f>
        <v>3023</v>
      </c>
      <c r="K231" s="18">
        <f ca="1">IFERROR(__xludf.DUMMYFUNCTION("(IMPORTRANGE(""https://docs.google.com/spreadsheets/d/1913Df5BsXS_b-nClL8LOK5w0engQYTl1mPOiyngRtO0/edit"",""9!e43""))"),55)</f>
        <v>55</v>
      </c>
      <c r="L231" s="18">
        <f t="shared" ca="1" si="642"/>
        <v>3078</v>
      </c>
      <c r="M231" s="18">
        <f t="shared" ca="1" si="614"/>
        <v>5339</v>
      </c>
      <c r="N231" s="19">
        <f t="shared" ca="1" si="615"/>
        <v>200.81027586206895</v>
      </c>
      <c r="O231" s="16">
        <v>5887</v>
      </c>
      <c r="P231" s="20">
        <f t="shared" ca="1" si="616"/>
        <v>0.90691353830473931</v>
      </c>
      <c r="Q231" s="21">
        <v>1.5</v>
      </c>
      <c r="R231" s="20">
        <f t="shared" ca="1" si="617"/>
        <v>0.61120194998492894</v>
      </c>
      <c r="S231" s="22">
        <f t="shared" ca="1" si="618"/>
        <v>0.91680292497739335</v>
      </c>
      <c r="T231" s="21">
        <f ca="1">F231/24.792</f>
        <v>234.89424007744429</v>
      </c>
      <c r="U231" s="21">
        <f t="shared" ca="1" si="619"/>
        <v>8.0998013819808374</v>
      </c>
      <c r="V231" s="18">
        <f t="shared" ca="1" si="620"/>
        <v>184.10344827586206</v>
      </c>
      <c r="W231" s="76"/>
      <c r="X231" s="8">
        <v>4</v>
      </c>
      <c r="Y231" s="8" t="s">
        <v>38</v>
      </c>
      <c r="Z231" s="8">
        <f t="shared" ref="Z231:AI231" si="645">SUM(D234)</f>
        <v>30</v>
      </c>
      <c r="AA231" s="9">
        <f t="shared" ca="1" si="645"/>
        <v>30</v>
      </c>
      <c r="AB231" s="10">
        <f t="shared" ca="1" si="645"/>
        <v>6013.8679999999904</v>
      </c>
      <c r="AC231" s="9">
        <f t="shared" ca="1" si="645"/>
        <v>1881</v>
      </c>
      <c r="AD231" s="9">
        <f t="shared" ca="1" si="645"/>
        <v>0</v>
      </c>
      <c r="AE231" s="9">
        <f t="shared" ca="1" si="645"/>
        <v>1881</v>
      </c>
      <c r="AF231" s="9">
        <f t="shared" ca="1" si="645"/>
        <v>2684</v>
      </c>
      <c r="AG231" s="9">
        <f t="shared" ca="1" si="645"/>
        <v>295</v>
      </c>
      <c r="AH231" s="9">
        <f t="shared" ca="1" si="645"/>
        <v>2979</v>
      </c>
      <c r="AI231" s="9">
        <f t="shared" ca="1" si="645"/>
        <v>4860</v>
      </c>
      <c r="AJ231" s="11">
        <f t="shared" ca="1" si="632"/>
        <v>200.46226666666635</v>
      </c>
      <c r="AK231" s="8">
        <v>7324</v>
      </c>
      <c r="AL231" s="12">
        <f t="shared" ca="1" si="634"/>
        <v>0.66357181867831783</v>
      </c>
      <c r="AM231" s="13">
        <f>SUM(Q234)</f>
        <v>1.5</v>
      </c>
      <c r="AN231" s="12">
        <f t="shared" ca="1" si="636"/>
        <v>0.53875475816895302</v>
      </c>
      <c r="AO231" s="14">
        <f t="shared" ca="1" si="637"/>
        <v>0.80813213725342958</v>
      </c>
      <c r="AP231" s="13">
        <f t="shared" ref="AP231:AQ231" ca="1" si="646">SUM(T234)</f>
        <v>145.9499575294258</v>
      </c>
      <c r="AQ231" s="13">
        <f t="shared" ca="1" si="646"/>
        <v>4.8649985843141934</v>
      </c>
      <c r="AR231" s="9">
        <f t="shared" ca="1" si="639"/>
        <v>162</v>
      </c>
      <c r="AS231" s="76"/>
      <c r="AT231" s="76"/>
    </row>
    <row r="232" spans="1:46" ht="15.75" customHeight="1" x14ac:dyDescent="0.25">
      <c r="A232" s="70"/>
      <c r="B232" s="16">
        <v>12</v>
      </c>
      <c r="C232" s="16" t="s">
        <v>39</v>
      </c>
      <c r="D232" s="17">
        <v>28</v>
      </c>
      <c r="E232" s="18">
        <f ca="1">IFERROR(__xludf.DUMMYFUNCTION("COUNT(IMPORTRANGE(""https://docs.google.com/spreadsheets/d/1wMeol_MpSIcocGxt3WZGl46mJ2tc80mANPvP_YzaP18/edit"",""9!d2:d29""))"),28)</f>
        <v>28</v>
      </c>
      <c r="F232" s="23">
        <f ca="1">IFERROR(__xludf.DUMMYFUNCTION("SUM(IMPORTRANGE(""https://docs.google.com/spreadsheets/d/1wMeol_MpSIcocGxt3WZGl46mJ2tc80mANPvP_YzaP18/edit"",""9!Q2:Q29""))"),5544.73)</f>
        <v>5544.73</v>
      </c>
      <c r="G232" s="18">
        <f ca="1">IFERROR(__xludf.DUMMYFUNCTION("IMPORTRANGE(""https://docs.google.com/spreadsheets/d/1wMeol_MpSIcocGxt3WZGl46mJ2tc80mANPvP_YzaP18/edit"",""9!e36"")"),1091)</f>
        <v>1091</v>
      </c>
      <c r="H232" s="18">
        <f ca="1">IFERROR(__xludf.DUMMYFUNCTION("(IMPORTRANGE(""https://docs.google.com/spreadsheets/d/1wMeol_MpSIcocGxt3WZGl46mJ2tc80mANPvP_YzaP18/edit"",""9!e37""))"),0)</f>
        <v>0</v>
      </c>
      <c r="I232" s="18">
        <f t="shared" ca="1" si="612"/>
        <v>1091</v>
      </c>
      <c r="J232" s="18">
        <f ca="1">IFERROR(__xludf.DUMMYFUNCTION("IMPORTRANGE(""https://docs.google.com/spreadsheets/d/1wMeol_MpSIcocGxt3WZGl46mJ2tc80mANPvP_YzaP18/edit"",""9!e40"")"),1757)</f>
        <v>1757</v>
      </c>
      <c r="K232" s="18">
        <f ca="1">IFERROR(__xludf.DUMMYFUNCTION("IMPORTRANGE(""https://docs.google.com/spreadsheets/d/1wMeol_MpSIcocGxt3WZGl46mJ2tc80mANPvP_YzaP18/edit"",""9!e41"")"),79)</f>
        <v>79</v>
      </c>
      <c r="L232" s="18">
        <f t="shared" ca="1" si="642"/>
        <v>1836</v>
      </c>
      <c r="M232" s="18">
        <f t="shared" ca="1" si="614"/>
        <v>2927</v>
      </c>
      <c r="N232" s="19">
        <f t="shared" ca="1" si="615"/>
        <v>198.02607142857141</v>
      </c>
      <c r="O232" s="16">
        <v>3569</v>
      </c>
      <c r="P232" s="20">
        <f t="shared" ca="1" si="616"/>
        <v>0.82011768002241525</v>
      </c>
      <c r="Q232" s="21">
        <v>1.5</v>
      </c>
      <c r="R232" s="20">
        <f t="shared" ca="1" si="617"/>
        <v>0.3519257625408872</v>
      </c>
      <c r="S232" s="22">
        <f t="shared" ca="1" si="618"/>
        <v>0.52788864381133083</v>
      </c>
      <c r="T232" s="21">
        <f ca="1">F232/21.463</f>
        <v>258.33900200344777</v>
      </c>
      <c r="U232" s="21">
        <f t="shared" ca="1" si="619"/>
        <v>9.2263929286945636</v>
      </c>
      <c r="V232" s="18">
        <f t="shared" ca="1" si="620"/>
        <v>104.53571428571429</v>
      </c>
      <c r="W232" s="76"/>
      <c r="X232" s="8">
        <v>5</v>
      </c>
      <c r="Y232" s="8" t="s">
        <v>40</v>
      </c>
      <c r="Z232" s="8">
        <f t="shared" ref="Z232:AI232" si="647">SUM(D236)</f>
        <v>30</v>
      </c>
      <c r="AA232" s="9">
        <f t="shared" ca="1" si="647"/>
        <v>30</v>
      </c>
      <c r="AB232" s="10">
        <f t="shared" ca="1" si="647"/>
        <v>5973.0299999999897</v>
      </c>
      <c r="AC232" s="9">
        <f t="shared" ca="1" si="647"/>
        <v>3114</v>
      </c>
      <c r="AD232" s="9">
        <f t="shared" ca="1" si="647"/>
        <v>0</v>
      </c>
      <c r="AE232" s="9">
        <f t="shared" ca="1" si="647"/>
        <v>3114</v>
      </c>
      <c r="AF232" s="9">
        <f t="shared" ca="1" si="647"/>
        <v>3864</v>
      </c>
      <c r="AG232" s="9">
        <f t="shared" ca="1" si="647"/>
        <v>66</v>
      </c>
      <c r="AH232" s="9">
        <f t="shared" ca="1" si="647"/>
        <v>3930</v>
      </c>
      <c r="AI232" s="9">
        <f t="shared" ca="1" si="647"/>
        <v>7044</v>
      </c>
      <c r="AJ232" s="11">
        <f t="shared" ca="1" si="632"/>
        <v>199.10099999999966</v>
      </c>
      <c r="AK232" s="8">
        <f t="shared" ref="AK232:AK233" si="648">SUM(O236)</f>
        <v>8239</v>
      </c>
      <c r="AL232" s="12">
        <f t="shared" ca="1" si="634"/>
        <v>0.85495812598616339</v>
      </c>
      <c r="AM232" s="13">
        <f t="shared" ref="AM232:AM233" si="649">SUM(Q236)</f>
        <v>1.5</v>
      </c>
      <c r="AN232" s="12">
        <f t="shared" ca="1" si="636"/>
        <v>0.78620063853689137</v>
      </c>
      <c r="AO232" s="14">
        <f t="shared" ca="1" si="637"/>
        <v>1.1793009578053371</v>
      </c>
      <c r="AP232" s="13">
        <f t="shared" ref="AP232:AQ232" ca="1" si="650">SUM(T236)</f>
        <v>209.99999999999963</v>
      </c>
      <c r="AQ232" s="13">
        <f t="shared" ca="1" si="650"/>
        <v>6.9999999999999876</v>
      </c>
      <c r="AR232" s="9">
        <f t="shared" ca="1" si="639"/>
        <v>234.8</v>
      </c>
      <c r="AS232" s="76"/>
      <c r="AT232" s="76"/>
    </row>
    <row r="233" spans="1:46" ht="15.75" customHeight="1" x14ac:dyDescent="0.25">
      <c r="A233" s="70"/>
      <c r="B233" s="16">
        <v>12</v>
      </c>
      <c r="C233" s="16" t="s">
        <v>41</v>
      </c>
      <c r="D233" s="17">
        <v>24</v>
      </c>
      <c r="E233" s="18">
        <f ca="1">IFERROR(__xludf.DUMMYFUNCTION("COUNT(IMPORTRANGE(""https://docs.google.com/spreadsheets/d/1sHk6_yuc4kORC_xnhEeazoemV_hVUQVqRpfoNae-PLk/edit"",""9!d2:d25""))"),24)</f>
        <v>24</v>
      </c>
      <c r="F233" s="23">
        <f ca="1">IFERROR(__xludf.DUMMYFUNCTION("SUM(IMPORTRANGE(""https://docs.google.com/spreadsheets/d/1sHk6_yuc4kORC_xnhEeazoemV_hVUQVqRpfoNae-PLk/edit"",""9!Q2:Q25""))"),4776.692)</f>
        <v>4776.692</v>
      </c>
      <c r="G233" s="18">
        <f ca="1">IFERROR(__xludf.DUMMYFUNCTION("IMPORTRANGE(""https://docs.google.com/spreadsheets/d/1sHk6_yuc4kORC_xnhEeazoemV_hVUQVqRpfoNae-PLk/edit"",""9!e32"")"),1354)</f>
        <v>1354</v>
      </c>
      <c r="H233" s="18">
        <f ca="1">IFERROR(__xludf.DUMMYFUNCTION("IMPORTRANGE(""https://docs.google.com/spreadsheets/d/1sHk6_yuc4kORC_xnhEeazoemV_hVUQVqRpfoNae-PLk/edit"",""9!e33"")"),0)</f>
        <v>0</v>
      </c>
      <c r="I233" s="18">
        <f t="shared" ca="1" si="612"/>
        <v>1354</v>
      </c>
      <c r="J233" s="18">
        <f ca="1">IFERROR(__xludf.DUMMYFUNCTION("IMPORTRANGE(""https://docs.google.com/spreadsheets/d/1sHk6_yuc4kORC_xnhEeazoemV_hVUQVqRpfoNae-PLk/edit"",""9!e36"")"),1851)</f>
        <v>1851</v>
      </c>
      <c r="K233" s="18">
        <f ca="1">IFERROR(__xludf.DUMMYFUNCTION("IMPORTRANGE(""https://docs.google.com/spreadsheets/d/1sHk6_yuc4kORC_xnhEeazoemV_hVUQVqRpfoNae-PLk/edit"",""9!e37"")"),78)</f>
        <v>78</v>
      </c>
      <c r="L233" s="18">
        <f t="shared" ca="1" si="642"/>
        <v>1929</v>
      </c>
      <c r="M233" s="18">
        <f t="shared" ca="1" si="614"/>
        <v>3283</v>
      </c>
      <c r="N233" s="19">
        <f t="shared" ca="1" si="615"/>
        <v>199.02883333333332</v>
      </c>
      <c r="O233" s="16">
        <v>3801</v>
      </c>
      <c r="P233" s="20">
        <f t="shared" ca="1" si="616"/>
        <v>0.86372007366482506</v>
      </c>
      <c r="Q233" s="21">
        <v>1.5</v>
      </c>
      <c r="R233" s="20">
        <f t="shared" ca="1" si="617"/>
        <v>0.45819715122236615</v>
      </c>
      <c r="S233" s="22">
        <f t="shared" ca="1" si="618"/>
        <v>0.68729572683354923</v>
      </c>
      <c r="T233" s="21">
        <f ca="1">F233/29.628</f>
        <v>161.22222222222223</v>
      </c>
      <c r="U233" s="21">
        <f t="shared" ca="1" si="619"/>
        <v>6.7175925925925926</v>
      </c>
      <c r="V233" s="18">
        <f t="shared" ca="1" si="620"/>
        <v>136.79166666666666</v>
      </c>
      <c r="W233" s="76"/>
      <c r="X233" s="8">
        <v>6</v>
      </c>
      <c r="Y233" s="8" t="s">
        <v>42</v>
      </c>
      <c r="Z233" s="8">
        <f t="shared" ref="Z233:AI233" si="651">SUM(D237)</f>
        <v>33</v>
      </c>
      <c r="AA233" s="9">
        <f t="shared" ca="1" si="651"/>
        <v>33</v>
      </c>
      <c r="AB233" s="10">
        <f t="shared" ca="1" si="651"/>
        <v>6544.9049999999897</v>
      </c>
      <c r="AC233" s="9">
        <f t="shared" ca="1" si="651"/>
        <v>3198</v>
      </c>
      <c r="AD233" s="9">
        <f t="shared" ca="1" si="651"/>
        <v>63</v>
      </c>
      <c r="AE233" s="9">
        <f t="shared" ca="1" si="651"/>
        <v>3261</v>
      </c>
      <c r="AF233" s="9">
        <f t="shared" ca="1" si="651"/>
        <v>4509</v>
      </c>
      <c r="AG233" s="9">
        <f t="shared" ca="1" si="651"/>
        <v>45</v>
      </c>
      <c r="AH233" s="9">
        <f t="shared" ca="1" si="651"/>
        <v>4554</v>
      </c>
      <c r="AI233" s="9">
        <f t="shared" ca="1" si="651"/>
        <v>7815</v>
      </c>
      <c r="AJ233" s="11">
        <f t="shared" ca="1" si="632"/>
        <v>198.33045454545424</v>
      </c>
      <c r="AK233" s="8">
        <f t="shared" si="648"/>
        <v>9877</v>
      </c>
      <c r="AL233" s="12">
        <f t="shared" ca="1" si="634"/>
        <v>0.79123215551280757</v>
      </c>
      <c r="AM233" s="13">
        <f t="shared" si="649"/>
        <v>1.5</v>
      </c>
      <c r="AN233" s="12">
        <f t="shared" ca="1" si="636"/>
        <v>0.79603905633466165</v>
      </c>
      <c r="AO233" s="14">
        <f t="shared" ca="1" si="637"/>
        <v>1.1940585845019924</v>
      </c>
      <c r="AP233" s="13">
        <f t="shared" ref="AP233:AQ233" ca="1" si="652">SUM(T237)</f>
        <v>250.23532785318255</v>
      </c>
      <c r="AQ233" s="13">
        <f t="shared" ca="1" si="652"/>
        <v>7.5828887228237134</v>
      </c>
      <c r="AR233" s="9">
        <f t="shared" ca="1" si="639"/>
        <v>236.81818181818181</v>
      </c>
      <c r="AS233" s="76"/>
      <c r="AT233" s="76"/>
    </row>
    <row r="234" spans="1:46" ht="15.75" customHeight="1" x14ac:dyDescent="0.25">
      <c r="A234" s="70"/>
      <c r="B234" s="16">
        <v>13</v>
      </c>
      <c r="C234" s="16" t="s">
        <v>43</v>
      </c>
      <c r="D234" s="17">
        <v>30</v>
      </c>
      <c r="E234" s="18">
        <f ca="1">IFERROR(__xludf.DUMMYFUNCTION("COUNT(IMPORTRANGE(""https://docs.google.com/spreadsheets/d/1uGXvAN2jA6kmcEHUY4KqOHHewllZsujDdA6KVDfBCoA/edit"",""9!d2:d31""))"),30)</f>
        <v>30</v>
      </c>
      <c r="F234" s="23">
        <f ca="1">IFERROR(__xludf.DUMMYFUNCTION("SUM(IMPORTRANGE(""https://docs.google.com/spreadsheets/d/1uGXvAN2jA6kmcEHUY4KqOHHewllZsujDdA6KVDfBCoA/edit"",""9!Q2:Q31""))"),6013.86799999999)</f>
        <v>6013.8679999999904</v>
      </c>
      <c r="G234" s="18">
        <f ca="1">IFERROR(__xludf.DUMMYFUNCTION("IMPORTRANGE(""https://docs.google.com/spreadsheets/d/1uGXvAN2jA6kmcEHUY4KqOHHewllZsujDdA6KVDfBCoA/edit"",""9!e38"")"),1881)</f>
        <v>1881</v>
      </c>
      <c r="H234" s="18">
        <f ca="1">IFERROR(__xludf.DUMMYFUNCTION("IMPORTRANGE(""https://docs.google.com/spreadsheets/d/1uGXvAN2jA6kmcEHUY4KqOHHewllZsujDdA6KVDfBCoA/edit"",""9!e39"")"),0)</f>
        <v>0</v>
      </c>
      <c r="I234" s="18">
        <f t="shared" ca="1" si="612"/>
        <v>1881</v>
      </c>
      <c r="J234" s="18">
        <f ca="1">IFERROR(__xludf.DUMMYFUNCTION("IMPORTRANGE(""https://docs.google.com/spreadsheets/d/1uGXvAN2jA6kmcEHUY4KqOHHewllZsujDdA6KVDfBCoA/edit"",""9!e42"")"),2684)</f>
        <v>2684</v>
      </c>
      <c r="K234" s="18">
        <f ca="1">IFERROR(__xludf.DUMMYFUNCTION("IMPORTRANGE(""https://docs.google.com/spreadsheets/d/1uGXvAN2jA6kmcEHUY4KqOHHewllZsujDdA6KVDfBCoA/edit"",""9!e43"")"),295)</f>
        <v>295</v>
      </c>
      <c r="L234" s="18">
        <f t="shared" ca="1" si="642"/>
        <v>2979</v>
      </c>
      <c r="M234" s="18">
        <f t="shared" ca="1" si="614"/>
        <v>4860</v>
      </c>
      <c r="N234" s="19">
        <f t="shared" ca="1" si="615"/>
        <v>200.46226666666635</v>
      </c>
      <c r="O234" s="16">
        <v>8345</v>
      </c>
      <c r="P234" s="20">
        <f t="shared" ca="1" si="616"/>
        <v>0.58238466147393653</v>
      </c>
      <c r="Q234" s="21">
        <v>1.5</v>
      </c>
      <c r="R234" s="20">
        <f t="shared" ca="1" si="617"/>
        <v>0.53875475816895302</v>
      </c>
      <c r="S234" s="22">
        <f t="shared" ca="1" si="618"/>
        <v>0.80813213725342958</v>
      </c>
      <c r="T234" s="21">
        <f ca="1">F234/41.205</f>
        <v>145.9499575294258</v>
      </c>
      <c r="U234" s="21">
        <f t="shared" ca="1" si="619"/>
        <v>4.8649985843141934</v>
      </c>
      <c r="V234" s="18">
        <f t="shared" ca="1" si="620"/>
        <v>162</v>
      </c>
      <c r="W234" s="76"/>
      <c r="X234" s="24" t="s">
        <v>33</v>
      </c>
      <c r="Y234" s="24">
        <v>6</v>
      </c>
      <c r="Z234" s="24">
        <f t="shared" ref="Z234:AI234" si="653">SUM(Z228:Z233)</f>
        <v>226</v>
      </c>
      <c r="AA234" s="25">
        <f t="shared" ca="1" si="653"/>
        <v>224</v>
      </c>
      <c r="AB234" s="27">
        <f t="shared" ca="1" si="653"/>
        <v>43424.318999999858</v>
      </c>
      <c r="AC234" s="25">
        <f t="shared" ca="1" si="653"/>
        <v>16742</v>
      </c>
      <c r="AD234" s="25">
        <f t="shared" ca="1" si="653"/>
        <v>259</v>
      </c>
      <c r="AE234" s="25">
        <f t="shared" ca="1" si="653"/>
        <v>17001</v>
      </c>
      <c r="AF234" s="25">
        <f t="shared" ca="1" si="653"/>
        <v>22921</v>
      </c>
      <c r="AG234" s="25">
        <f t="shared" ca="1" si="653"/>
        <v>604</v>
      </c>
      <c r="AH234" s="25">
        <f t="shared" ca="1" si="653"/>
        <v>23525</v>
      </c>
      <c r="AI234" s="25">
        <f t="shared" ca="1" si="653"/>
        <v>40526</v>
      </c>
      <c r="AJ234" s="27">
        <f t="shared" ca="1" si="632"/>
        <v>193.85856696428507</v>
      </c>
      <c r="AK234" s="24">
        <f>SUM(AK228:AK233)</f>
        <v>53273</v>
      </c>
      <c r="AL234" s="28">
        <f t="shared" ca="1" si="634"/>
        <v>0.76072306797064182</v>
      </c>
      <c r="AM234" s="29">
        <v>1.5</v>
      </c>
      <c r="AN234" s="28">
        <f t="shared" ca="1" si="636"/>
        <v>0.6221705706733921</v>
      </c>
      <c r="AO234" s="30">
        <f t="shared" ca="1" si="637"/>
        <v>0.93325585601008809</v>
      </c>
      <c r="AP234" s="29">
        <f ca="1">SUM(AP228:AP233)</f>
        <v>1429.3315600149672</v>
      </c>
      <c r="AQ234" s="29">
        <f ca="1">AP234/AA234</f>
        <v>6.3809444643525319</v>
      </c>
      <c r="AR234" s="25">
        <f t="shared" ca="1" si="639"/>
        <v>180.91964285714286</v>
      </c>
      <c r="AS234" s="76"/>
      <c r="AT234" s="76"/>
    </row>
    <row r="235" spans="1:46" ht="15.75" customHeight="1" x14ac:dyDescent="0.25">
      <c r="A235" s="70"/>
      <c r="B235" s="16">
        <v>14</v>
      </c>
      <c r="C235" s="16" t="s">
        <v>27</v>
      </c>
      <c r="D235" s="17">
        <v>30</v>
      </c>
      <c r="E235" s="18">
        <f ca="1">IFERROR(__xludf.DUMMYFUNCTION("COUNT(IMPORTRANGE(""https://docs.google.com/spreadsheets/d/1iYtf3wkjJIgOL8ej0-L89wY8FLXKi6EiRbi9UqA1Bzw/edit"",""9!d2:d31""))"),30)</f>
        <v>30</v>
      </c>
      <c r="F235" s="23">
        <f ca="1">IFERROR(__xludf.DUMMYFUNCTION("SUM(IMPORTRANGE(""https://docs.google.com/spreadsheets/d/1iYtf3wkjJIgOL8ej0-L89wY8FLXKi6EiRbi9UqA1Bzw/edit"",""9!Q2:Q31""))"),5385.82)</f>
        <v>5385.82</v>
      </c>
      <c r="G235" s="18">
        <f ca="1">IFERROR(__xludf.DUMMYFUNCTION("IMPORTRANGE(""https://docs.google.com/spreadsheets/d/1iYtf3wkjJIgOL8ej0-L89wY8FLXKi6EiRbi9UqA1Bzw/edit"",""9!e38"")"),2443)</f>
        <v>2443</v>
      </c>
      <c r="H235" s="18">
        <f ca="1">IFERROR(__xludf.DUMMYFUNCTION("IMPORTRANGE(""https://docs.google.com/spreadsheets/d/1iYtf3wkjJIgOL8ej0-L89wY8FLXKi6EiRbi9UqA1Bzw/edit"",""9!e39"")"),0)</f>
        <v>0</v>
      </c>
      <c r="I235" s="18">
        <f t="shared" ca="1" si="612"/>
        <v>2443</v>
      </c>
      <c r="J235" s="18">
        <f ca="1">IFERROR(__xludf.DUMMYFUNCTION("IMPORTRANGE(""https://docs.google.com/spreadsheets/d/1iYtf3wkjJIgOL8ej0-L89wY8FLXKi6EiRbi9UqA1Bzw/edit"",""9!e42"")"),3052)</f>
        <v>3052</v>
      </c>
      <c r="K235" s="18">
        <f ca="1">IFERROR(__xludf.DUMMYFUNCTION("IMPORTRANGE(""https://docs.google.com/spreadsheets/d/1iYtf3wkjJIgOL8ej0-L89wY8FLXKi6EiRbi9UqA1Bzw/edit"",""9!e43"")"),205)</f>
        <v>205</v>
      </c>
      <c r="L235" s="18">
        <f t="shared" ca="1" si="642"/>
        <v>3257</v>
      </c>
      <c r="M235" s="18">
        <f t="shared" ca="1" si="614"/>
        <v>5700</v>
      </c>
      <c r="N235" s="19">
        <f t="shared" ca="1" si="615"/>
        <v>179.52733333333333</v>
      </c>
      <c r="O235" s="16">
        <v>8101</v>
      </c>
      <c r="P235" s="20">
        <f t="shared" ca="1" si="616"/>
        <v>0.70361683742747805</v>
      </c>
      <c r="Q235" s="21">
        <v>1.5</v>
      </c>
      <c r="R235" s="20">
        <f t="shared" ca="1" si="617"/>
        <v>0.70555644265868522</v>
      </c>
      <c r="S235" s="22">
        <f t="shared" ca="1" si="618"/>
        <v>1.0583346639880278</v>
      </c>
      <c r="T235" s="21">
        <f ca="1">F235/19.985</f>
        <v>269.49311983987991</v>
      </c>
      <c r="U235" s="21">
        <f t="shared" ca="1" si="619"/>
        <v>8.9831039946626632</v>
      </c>
      <c r="V235" s="18">
        <f t="shared" ca="1" si="620"/>
        <v>190</v>
      </c>
      <c r="W235" s="76"/>
      <c r="X235" s="97" t="s">
        <v>44</v>
      </c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9"/>
      <c r="AS235" s="76"/>
      <c r="AT235" s="76"/>
    </row>
    <row r="236" spans="1:46" ht="15.75" customHeight="1" x14ac:dyDescent="0.25">
      <c r="A236" s="70"/>
      <c r="B236" s="16">
        <v>15</v>
      </c>
      <c r="C236" s="16" t="s">
        <v>40</v>
      </c>
      <c r="D236" s="17">
        <v>30</v>
      </c>
      <c r="E236" s="18">
        <f ca="1">IFERROR(__xludf.DUMMYFUNCTION("COUNT(IMPORTRANGE(""https://docs.google.com/spreadsheets/d/1Wdf8MsoDBzMSsrzOXwaGQzbVjVqOWfKSqYmbncevZgA/edit"",""9!d2:d31""))"),30)</f>
        <v>30</v>
      </c>
      <c r="F236" s="23">
        <f ca="1">IFERROR(__xludf.DUMMYFUNCTION("SUM(IMPORTRANGE(""https://docs.google.com/spreadsheets/d/1Wdf8MsoDBzMSsrzOXwaGQzbVjVqOWfKSqYmbncevZgA/edit"",""9!Q2:Q31""))"),5973.02999999999)</f>
        <v>5973.0299999999897</v>
      </c>
      <c r="G236" s="18">
        <f ca="1">IFERROR(__xludf.DUMMYFUNCTION("IMPORTRANGE(""https://docs.google.com/spreadsheets/d/1Wdf8MsoDBzMSsrzOXwaGQzbVjVqOWfKSqYmbncevZgA/edit"",""9!e38"")"),3114)</f>
        <v>3114</v>
      </c>
      <c r="H236" s="18">
        <f ca="1">IFERROR(__xludf.DUMMYFUNCTION("IMPORTRANGE(""https://docs.google.com/spreadsheets/d/1Wdf8MsoDBzMSsrzOXwaGQzbVjVqOWfKSqYmbncevZgA/edit"",""9!e39"")"),0)</f>
        <v>0</v>
      </c>
      <c r="I236" s="18">
        <f t="shared" ca="1" si="612"/>
        <v>3114</v>
      </c>
      <c r="J236" s="18">
        <f ca="1">IFERROR(__xludf.DUMMYFUNCTION("IMPORTRANGE(""https://docs.google.com/spreadsheets/d/1Wdf8MsoDBzMSsrzOXwaGQzbVjVqOWfKSqYmbncevZgA/edit"",""9!e42"")"),3864)</f>
        <v>3864</v>
      </c>
      <c r="K236" s="18">
        <f ca="1">IFERROR(__xludf.DUMMYFUNCTION("IMPORTRANGE(""https://docs.google.com/spreadsheets/d/1Wdf8MsoDBzMSsrzOXwaGQzbVjVqOWfKSqYmbncevZgA/edit"",""9!e43"")"),66)</f>
        <v>66</v>
      </c>
      <c r="L236" s="18">
        <f t="shared" ca="1" si="642"/>
        <v>3930</v>
      </c>
      <c r="M236" s="18">
        <f t="shared" ca="1" si="614"/>
        <v>7044</v>
      </c>
      <c r="N236" s="19">
        <f t="shared" ca="1" si="615"/>
        <v>199.10099999999966</v>
      </c>
      <c r="O236" s="16">
        <v>8239</v>
      </c>
      <c r="P236" s="20">
        <f t="shared" ca="1" si="616"/>
        <v>0.85495812598616339</v>
      </c>
      <c r="Q236" s="21">
        <v>1.5</v>
      </c>
      <c r="R236" s="20">
        <f t="shared" ca="1" si="617"/>
        <v>0.78620063853689137</v>
      </c>
      <c r="S236" s="22">
        <f t="shared" ca="1" si="618"/>
        <v>1.1793009578053371</v>
      </c>
      <c r="T236" s="21">
        <f ca="1">F236/28.443</f>
        <v>209.99999999999963</v>
      </c>
      <c r="U236" s="21">
        <f t="shared" ca="1" si="619"/>
        <v>6.9999999999999876</v>
      </c>
      <c r="V236" s="18">
        <f t="shared" ca="1" si="620"/>
        <v>234.8</v>
      </c>
      <c r="W236" s="76"/>
      <c r="X236" s="1" t="s">
        <v>2</v>
      </c>
      <c r="Y236" s="1" t="s">
        <v>3</v>
      </c>
      <c r="Z236" s="1" t="s">
        <v>4</v>
      </c>
      <c r="AA236" s="1" t="s">
        <v>5</v>
      </c>
      <c r="AB236" s="2" t="s">
        <v>6</v>
      </c>
      <c r="AC236" s="1" t="s">
        <v>7</v>
      </c>
      <c r="AD236" s="1" t="s">
        <v>8</v>
      </c>
      <c r="AE236" s="1" t="s">
        <v>9</v>
      </c>
      <c r="AF236" s="1" t="s">
        <v>10</v>
      </c>
      <c r="AG236" s="1" t="s">
        <v>11</v>
      </c>
      <c r="AH236" s="1" t="s">
        <v>12</v>
      </c>
      <c r="AI236" s="1" t="s">
        <v>13</v>
      </c>
      <c r="AJ236" s="2" t="s">
        <v>14</v>
      </c>
      <c r="AK236" s="1" t="s">
        <v>15</v>
      </c>
      <c r="AL236" s="1" t="s">
        <v>16</v>
      </c>
      <c r="AM236" s="3" t="s">
        <v>17</v>
      </c>
      <c r="AN236" s="4" t="s">
        <v>18</v>
      </c>
      <c r="AO236" s="5" t="s">
        <v>19</v>
      </c>
      <c r="AP236" s="6" t="s">
        <v>20</v>
      </c>
      <c r="AQ236" s="6" t="s">
        <v>21</v>
      </c>
      <c r="AR236" s="7" t="s">
        <v>22</v>
      </c>
      <c r="AS236" s="76"/>
      <c r="AT236" s="76"/>
    </row>
    <row r="237" spans="1:46" ht="15.75" customHeight="1" x14ac:dyDescent="0.25">
      <c r="A237" s="70"/>
      <c r="B237" s="16">
        <v>16</v>
      </c>
      <c r="C237" s="16" t="s">
        <v>42</v>
      </c>
      <c r="D237" s="17">
        <v>33</v>
      </c>
      <c r="E237" s="18">
        <f ca="1">IFERROR(__xludf.DUMMYFUNCTION("COUNT(IMPORTRANGE(""https://docs.google.com/spreadsheets/d/1Z5uB5HbeAKcHmG4EOw3rf2J8NpyvDiha6RReERAMvA0/edit"",""9!d2:d34""))"),33)</f>
        <v>33</v>
      </c>
      <c r="F237" s="23">
        <f ca="1">IFERROR(__xludf.DUMMYFUNCTION("SUM(IMPORTRANGE(""https://docs.google.com/spreadsheets/d/1Z5uB5HbeAKcHmG4EOw3rf2J8NpyvDiha6RReERAMvA0/edit"",""9!Q2:Q34""))"),6544.90499999999)</f>
        <v>6544.9049999999897</v>
      </c>
      <c r="G237" s="18">
        <f ca="1">IFERROR(__xludf.DUMMYFUNCTION("IMPORTRANGE(""https://docs.google.com/spreadsheets/d/1Z5uB5HbeAKcHmG4EOw3rf2J8NpyvDiha6RReERAMvA0/edit"",""9!e41"")"),3198)</f>
        <v>3198</v>
      </c>
      <c r="H237" s="18">
        <f ca="1">IFERROR(__xludf.DUMMYFUNCTION("IMPORTRANGE(""https://docs.google.com/spreadsheets/d/1Z5uB5HbeAKcHmG4EOw3rf2J8NpyvDiha6RReERAMvA0/edit"",""9!e42"")"),63)</f>
        <v>63</v>
      </c>
      <c r="I237" s="18">
        <f t="shared" ca="1" si="612"/>
        <v>3261</v>
      </c>
      <c r="J237" s="18">
        <f ca="1">IFERROR(__xludf.DUMMYFUNCTION("IMPORTRANGE(""https://docs.google.com/spreadsheets/d/1Z5uB5HbeAKcHmG4EOw3rf2J8NpyvDiha6RReERAMvA0/edit"",""9!e45"")"),4509)</f>
        <v>4509</v>
      </c>
      <c r="K237" s="18">
        <f ca="1">IFERROR(__xludf.DUMMYFUNCTION("IMPORTRANGE(""https://docs.google.com/spreadsheets/d/1Z5uB5HbeAKcHmG4EOw3rf2J8NpyvDiha6RReERAMvA0/edit"",""9!e46"")"),45)</f>
        <v>45</v>
      </c>
      <c r="L237" s="18">
        <f t="shared" ca="1" si="642"/>
        <v>4554</v>
      </c>
      <c r="M237" s="18">
        <f t="shared" ca="1" si="614"/>
        <v>7815</v>
      </c>
      <c r="N237" s="19">
        <f t="shared" ca="1" si="615"/>
        <v>198.33045454545424</v>
      </c>
      <c r="O237" s="16">
        <v>9877</v>
      </c>
      <c r="P237" s="20">
        <f t="shared" ca="1" si="616"/>
        <v>0.79123215551280757</v>
      </c>
      <c r="Q237" s="21">
        <v>1.5</v>
      </c>
      <c r="R237" s="20">
        <f t="shared" ca="1" si="617"/>
        <v>0.79603905633466165</v>
      </c>
      <c r="S237" s="22">
        <f t="shared" ca="1" si="618"/>
        <v>1.1940585845019924</v>
      </c>
      <c r="T237" s="21">
        <f ca="1">F237/26.155</f>
        <v>250.23532785318255</v>
      </c>
      <c r="U237" s="21">
        <f t="shared" ca="1" si="619"/>
        <v>7.5828887228237134</v>
      </c>
      <c r="V237" s="18">
        <f t="shared" ca="1" si="620"/>
        <v>236.81818181818181</v>
      </c>
      <c r="W237" s="76"/>
      <c r="X237" s="8">
        <v>1</v>
      </c>
      <c r="Y237" s="8" t="s">
        <v>26</v>
      </c>
      <c r="Z237" s="8">
        <f t="shared" ref="Z237:AI237" si="654">SUM(D222)</f>
        <v>20</v>
      </c>
      <c r="AA237" s="9">
        <f t="shared" ca="1" si="654"/>
        <v>19</v>
      </c>
      <c r="AB237" s="11">
        <f t="shared" ca="1" si="654"/>
        <v>3654.7379999999998</v>
      </c>
      <c r="AC237" s="9">
        <f t="shared" ca="1" si="654"/>
        <v>1860</v>
      </c>
      <c r="AD237" s="9">
        <f t="shared" ca="1" si="654"/>
        <v>0</v>
      </c>
      <c r="AE237" s="9">
        <f t="shared" ca="1" si="654"/>
        <v>1860</v>
      </c>
      <c r="AF237" s="9">
        <f t="shared" ca="1" si="654"/>
        <v>2971</v>
      </c>
      <c r="AG237" s="9">
        <f t="shared" ca="1" si="654"/>
        <v>0</v>
      </c>
      <c r="AH237" s="9">
        <f t="shared" ca="1" si="654"/>
        <v>2971</v>
      </c>
      <c r="AI237" s="9">
        <f t="shared" ca="1" si="654"/>
        <v>4831</v>
      </c>
      <c r="AJ237" s="11">
        <f t="shared" ref="AJ237:AJ243" ca="1" si="655">AB237/AA237</f>
        <v>192.35463157894736</v>
      </c>
      <c r="AK237" s="8">
        <f>SUM(O222)</f>
        <v>5161</v>
      </c>
      <c r="AL237" s="12">
        <f t="shared" ref="AL237:AL243" ca="1" si="656">AI237/AK237</f>
        <v>0.93605890331331132</v>
      </c>
      <c r="AM237" s="13">
        <f>SUM(Q222)</f>
        <v>1.5</v>
      </c>
      <c r="AN237" s="12">
        <f t="shared" ref="AN237:AN243" ca="1" si="657">AO237/AM237</f>
        <v>0.88123051957942444</v>
      </c>
      <c r="AO237" s="14">
        <f t="shared" ref="AO237:AO243" ca="1" si="658">AI237/AB237</f>
        <v>1.3218457793691367</v>
      </c>
      <c r="AP237" s="13">
        <f t="shared" ref="AP237:AQ237" ca="1" si="659">SUM(T222)</f>
        <v>253.53714880332987</v>
      </c>
      <c r="AQ237" s="13">
        <f t="shared" ca="1" si="659"/>
        <v>13.34406046333315</v>
      </c>
      <c r="AR237" s="9">
        <f t="shared" ref="AR237:AR243" ca="1" si="660">AI237/AA237</f>
        <v>254.26315789473685</v>
      </c>
      <c r="AS237" s="76"/>
      <c r="AT237" s="76"/>
    </row>
    <row r="238" spans="1:46" ht="15.75" customHeight="1" x14ac:dyDescent="0.25">
      <c r="A238" s="70"/>
      <c r="B238" s="16">
        <v>17</v>
      </c>
      <c r="C238" s="16" t="s">
        <v>29</v>
      </c>
      <c r="D238" s="17">
        <v>30</v>
      </c>
      <c r="E238" s="18">
        <f ca="1">IFERROR(__xludf.DUMMYFUNCTION("COUNT(IMPORTRANGE(""https://docs.google.com/spreadsheets/d/1wfJqI0e9wVPqEQv3N6b8KgINjqI0OBECEyIFeY9j3i8/edit"",""9!d2:d31""))"),30)</f>
        <v>30</v>
      </c>
      <c r="F238" s="23">
        <f ca="1">IFERROR(__xludf.DUMMYFUNCTION("SUM(IMPORTRANGE(""https://docs.google.com/spreadsheets/d/1wfJqI0e9wVPqEQv3N6b8KgINjqI0OBECEyIFeY9j3i8/edit"",""9!Q2:Q31""))"),5786.09299999999)</f>
        <v>5786.0929999999898</v>
      </c>
      <c r="G238" s="18">
        <f ca="1">IFERROR(__xludf.DUMMYFUNCTION("IMPORTRANGE(""https://docs.google.com/spreadsheets/d/1wfJqI0e9wVPqEQv3N6b8KgINjqI0OBECEyIFeY9j3i8/edit"",""9!e38"")"),2842)</f>
        <v>2842</v>
      </c>
      <c r="H238" s="18">
        <f ca="1">IFERROR(__xludf.DUMMYFUNCTION("IMPORTRANGE(""https://docs.google.com/spreadsheets/d/1wfJqI0e9wVPqEQv3N6b8KgINjqI0OBECEyIFeY9j3i8/edit"",""9!e39"")"),0)</f>
        <v>0</v>
      </c>
      <c r="I238" s="18">
        <f t="shared" ca="1" si="612"/>
        <v>2842</v>
      </c>
      <c r="J238" s="18">
        <f ca="1">IFERROR(__xludf.DUMMYFUNCTION("IMPORTRANGE(""https://docs.google.com/spreadsheets/d/1wfJqI0e9wVPqEQv3N6b8KgINjqI0OBECEyIFeY9j3i8/edit"",""9!e42"")"),3999)</f>
        <v>3999</v>
      </c>
      <c r="K238" s="18">
        <f ca="1">IFERROR(__xludf.DUMMYFUNCTION("IMPORTRANGE(""https://docs.google.com/spreadsheets/d/1wfJqI0e9wVPqEQv3N6b8KgINjqI0OBECEyIFeY9j3i8/edit"",""9!e43"")"),65)</f>
        <v>65</v>
      </c>
      <c r="L238" s="18">
        <f t="shared" ca="1" si="642"/>
        <v>4064</v>
      </c>
      <c r="M238" s="18">
        <f t="shared" ca="1" si="614"/>
        <v>6906</v>
      </c>
      <c r="N238" s="19">
        <f t="shared" ca="1" si="615"/>
        <v>192.86976666666632</v>
      </c>
      <c r="O238" s="16">
        <v>9201</v>
      </c>
      <c r="P238" s="20">
        <f t="shared" ca="1" si="616"/>
        <v>0.75057059015324423</v>
      </c>
      <c r="Q238" s="21">
        <v>1.5</v>
      </c>
      <c r="R238" s="20">
        <f t="shared" ca="1" si="617"/>
        <v>0.79570100238624031</v>
      </c>
      <c r="S238" s="22">
        <f t="shared" ca="1" si="618"/>
        <v>1.1935515035793605</v>
      </c>
      <c r="T238" s="21">
        <f ca="1">F238/26.491</f>
        <v>218.41731153976784</v>
      </c>
      <c r="U238" s="21">
        <f t="shared" ca="1" si="619"/>
        <v>7.2805770513255945</v>
      </c>
      <c r="V238" s="18">
        <f t="shared" ca="1" si="620"/>
        <v>230.2</v>
      </c>
      <c r="W238" s="76"/>
      <c r="X238" s="8">
        <v>2</v>
      </c>
      <c r="Y238" s="8" t="s">
        <v>32</v>
      </c>
      <c r="Z238" s="8">
        <f t="shared" ref="Z238:AI238" si="661">SUM(D225)</f>
        <v>42</v>
      </c>
      <c r="AA238" s="9">
        <f t="shared" ca="1" si="661"/>
        <v>41</v>
      </c>
      <c r="AB238" s="10">
        <f t="shared" ca="1" si="661"/>
        <v>8153.9249999999902</v>
      </c>
      <c r="AC238" s="8">
        <f t="shared" ca="1" si="661"/>
        <v>4837</v>
      </c>
      <c r="AD238" s="8">
        <f t="shared" ca="1" si="661"/>
        <v>0</v>
      </c>
      <c r="AE238" s="9">
        <f t="shared" ca="1" si="661"/>
        <v>4837</v>
      </c>
      <c r="AF238" s="8">
        <f t="shared" ca="1" si="661"/>
        <v>5485</v>
      </c>
      <c r="AG238" s="8">
        <f t="shared" ca="1" si="661"/>
        <v>0</v>
      </c>
      <c r="AH238" s="9">
        <f t="shared" ca="1" si="661"/>
        <v>5485</v>
      </c>
      <c r="AI238" s="9">
        <f t="shared" ca="1" si="661"/>
        <v>10322</v>
      </c>
      <c r="AJ238" s="11">
        <f t="shared" ca="1" si="655"/>
        <v>198.87621951219489</v>
      </c>
      <c r="AK238" s="8">
        <f>SUM(O225)</f>
        <v>13817</v>
      </c>
      <c r="AL238" s="12">
        <f t="shared" ca="1" si="656"/>
        <v>0.74705073460230154</v>
      </c>
      <c r="AM238" s="13">
        <f>SUM(Q225)</f>
        <v>1.5</v>
      </c>
      <c r="AN238" s="12">
        <f t="shared" ca="1" si="657"/>
        <v>0.84392894628456139</v>
      </c>
      <c r="AO238" s="14">
        <f t="shared" ca="1" si="658"/>
        <v>1.2658934194268421</v>
      </c>
      <c r="AP238" s="13">
        <f t="shared" ref="AP238:AQ238" ca="1" si="662">SUM(T225)</f>
        <v>324.9999999999996</v>
      </c>
      <c r="AQ238" s="13">
        <f t="shared" ca="1" si="662"/>
        <v>7.9268292682926731</v>
      </c>
      <c r="AR238" s="9">
        <f t="shared" ca="1" si="660"/>
        <v>251.7560975609756</v>
      </c>
      <c r="AS238" s="76"/>
      <c r="AT238" s="76"/>
    </row>
    <row r="239" spans="1:46" ht="15.75" customHeight="1" x14ac:dyDescent="0.25">
      <c r="A239" s="70"/>
      <c r="B239" s="16">
        <v>18</v>
      </c>
      <c r="C239" s="16" t="s">
        <v>31</v>
      </c>
      <c r="D239" s="17">
        <v>15</v>
      </c>
      <c r="E239" s="18">
        <f ca="1">IFERROR(__xludf.DUMMYFUNCTION("COUNT(IMPORTRANGE(""https://docs.google.com/spreadsheets/d/1-y2KhTAo7d8kowgUuWUDfRQuRMUAFteRYEXorT3_wOs/edit"",""9!d2:d16""))"),13)</f>
        <v>13</v>
      </c>
      <c r="F239" s="19">
        <f ca="1">IFERROR(__xludf.DUMMYFUNCTION("SUM(IMPORTRANGE(""https://docs.google.com/spreadsheets/d/1-y2KhTAo7d8kowgUuWUDfRQuRMUAFteRYEXorT3_wOs/edit"",""9!Q2:Q16""))"),2607.9)</f>
        <v>2607.9</v>
      </c>
      <c r="G239" s="18">
        <f ca="1">IFERROR(__xludf.DUMMYFUNCTION("IMPORTRANGE(""https://docs.google.com/spreadsheets/d/1-y2KhTAo7d8kowgUuWUDfRQuRMUAFteRYEXorT3_wOs/edit"",""9!e23"")"),835)</f>
        <v>835</v>
      </c>
      <c r="H239" s="18">
        <f ca="1">IFERROR(__xludf.DUMMYFUNCTION("IMPORTRANGE(""https://docs.google.com/spreadsheets/d/1-y2KhTAo7d8kowgUuWUDfRQuRMUAFteRYEXorT3_wOs/edit"",""9!e24"")"),12)</f>
        <v>12</v>
      </c>
      <c r="I239" s="18">
        <f t="shared" ca="1" si="612"/>
        <v>847</v>
      </c>
      <c r="J239" s="18">
        <f ca="1">IFERROR(__xludf.DUMMYFUNCTION("IMPORTRANGE(""https://docs.google.com/spreadsheets/d/1-y2KhTAo7d8kowgUuWUDfRQuRMUAFteRYEXorT3_wOs/edit"",""9!e27"")"),964)</f>
        <v>964</v>
      </c>
      <c r="K239" s="18">
        <f ca="1">IFERROR(__xludf.DUMMYFUNCTION("IMPORTRANGE(""https://docs.google.com/spreadsheets/d/1-y2KhTAo7d8kowgUuWUDfRQuRMUAFteRYEXorT3_wOs/edit"",""9!e28"")"),90)</f>
        <v>90</v>
      </c>
      <c r="L239" s="18">
        <f t="shared" ca="1" si="642"/>
        <v>1054</v>
      </c>
      <c r="M239" s="18">
        <f t="shared" ca="1" si="614"/>
        <v>1901</v>
      </c>
      <c r="N239" s="19">
        <f t="shared" ca="1" si="615"/>
        <v>200.6076923076923</v>
      </c>
      <c r="O239" s="16">
        <v>2717</v>
      </c>
      <c r="P239" s="20">
        <f t="shared" ca="1" si="616"/>
        <v>0.69966875230033121</v>
      </c>
      <c r="Q239" s="21">
        <v>1.5</v>
      </c>
      <c r="R239" s="20">
        <f t="shared" ca="1" si="617"/>
        <v>0.48595932870636654</v>
      </c>
      <c r="S239" s="22">
        <f t="shared" ca="1" si="618"/>
        <v>0.72893899305954979</v>
      </c>
      <c r="T239" s="21">
        <f ca="1">F239/43.465</f>
        <v>60</v>
      </c>
      <c r="U239" s="21">
        <f t="shared" ca="1" si="619"/>
        <v>4.615384615384615</v>
      </c>
      <c r="V239" s="18">
        <f t="shared" ca="1" si="620"/>
        <v>146.23076923076923</v>
      </c>
      <c r="W239" s="76"/>
      <c r="X239" s="8">
        <v>3</v>
      </c>
      <c r="Y239" s="8" t="s">
        <v>36</v>
      </c>
      <c r="Z239" s="8">
        <f t="shared" ref="Z239:AI239" si="663">SUM(D230)</f>
        <v>30</v>
      </c>
      <c r="AA239" s="9">
        <f t="shared" ca="1" si="663"/>
        <v>30</v>
      </c>
      <c r="AB239" s="10">
        <f t="shared" ca="1" si="663"/>
        <v>5716.3620000000001</v>
      </c>
      <c r="AC239" s="9">
        <f t="shared" ca="1" si="663"/>
        <v>1584</v>
      </c>
      <c r="AD239" s="9">
        <f t="shared" ca="1" si="663"/>
        <v>0</v>
      </c>
      <c r="AE239" s="9">
        <f t="shared" ca="1" si="663"/>
        <v>1584</v>
      </c>
      <c r="AF239" s="9">
        <f t="shared" ca="1" si="663"/>
        <v>2249</v>
      </c>
      <c r="AG239" s="9">
        <f t="shared" ca="1" si="663"/>
        <v>0</v>
      </c>
      <c r="AH239" s="9">
        <f t="shared" ca="1" si="663"/>
        <v>2249</v>
      </c>
      <c r="AI239" s="9">
        <f t="shared" ca="1" si="663"/>
        <v>3833</v>
      </c>
      <c r="AJ239" s="11">
        <f t="shared" ca="1" si="655"/>
        <v>190.5454</v>
      </c>
      <c r="AK239" s="8">
        <f t="shared" ref="AK239:AK242" si="664">SUM(O230)</f>
        <v>4796</v>
      </c>
      <c r="AL239" s="12">
        <f t="shared" ca="1" si="656"/>
        <v>0.79920767306088403</v>
      </c>
      <c r="AM239" s="13">
        <f t="shared" ref="AM239:AM242" si="665">SUM(Q230)</f>
        <v>1.5</v>
      </c>
      <c r="AN239" s="12">
        <f t="shared" ca="1" si="657"/>
        <v>0.44702090828630747</v>
      </c>
      <c r="AO239" s="14">
        <f t="shared" ca="1" si="658"/>
        <v>0.67053136242946121</v>
      </c>
      <c r="AP239" s="13">
        <f t="shared" ref="AP239:AQ239" ca="1" si="666">SUM(T230)</f>
        <v>152.78671085689848</v>
      </c>
      <c r="AQ239" s="13">
        <f t="shared" ca="1" si="666"/>
        <v>5.0928903618966164</v>
      </c>
      <c r="AR239" s="9">
        <f t="shared" ca="1" si="660"/>
        <v>127.76666666666667</v>
      </c>
      <c r="AS239" s="76"/>
      <c r="AT239" s="76"/>
    </row>
    <row r="240" spans="1:46" ht="15.75" customHeight="1" x14ac:dyDescent="0.2">
      <c r="A240" s="70"/>
      <c r="B240" s="98" t="s">
        <v>33</v>
      </c>
      <c r="C240" s="98">
        <v>18</v>
      </c>
      <c r="D240" s="98">
        <f t="shared" ref="D240:M240" si="667">SUM(D222:D239)</f>
        <v>586</v>
      </c>
      <c r="E240" s="74">
        <f t="shared" ca="1" si="667"/>
        <v>578</v>
      </c>
      <c r="F240" s="99">
        <f t="shared" ca="1" si="667"/>
        <v>112320.61599999981</v>
      </c>
      <c r="G240" s="74">
        <f t="shared" ca="1" si="667"/>
        <v>40905</v>
      </c>
      <c r="H240" s="74">
        <f t="shared" ca="1" si="667"/>
        <v>742</v>
      </c>
      <c r="I240" s="74">
        <f t="shared" ca="1" si="667"/>
        <v>41647</v>
      </c>
      <c r="J240" s="74">
        <f t="shared" ca="1" si="667"/>
        <v>56320</v>
      </c>
      <c r="K240" s="74">
        <f t="shared" ca="1" si="667"/>
        <v>1539</v>
      </c>
      <c r="L240" s="74">
        <f t="shared" ca="1" si="667"/>
        <v>57859</v>
      </c>
      <c r="M240" s="74">
        <f t="shared" ca="1" si="667"/>
        <v>99506</v>
      </c>
      <c r="N240" s="99">
        <f t="shared" ca="1" si="615"/>
        <v>194.32632525951524</v>
      </c>
      <c r="O240" s="98">
        <f>SUM(O222:O239)</f>
        <v>126399</v>
      </c>
      <c r="P240" s="69">
        <f t="shared" ca="1" si="616"/>
        <v>0.7872372408009557</v>
      </c>
      <c r="Q240" s="72">
        <v>1.5</v>
      </c>
      <c r="R240" s="69">
        <f t="shared" ca="1" si="617"/>
        <v>0.59060692235994727</v>
      </c>
      <c r="S240" s="73">
        <f t="shared" ca="1" si="618"/>
        <v>0.88591038353992091</v>
      </c>
      <c r="T240" s="72">
        <f ca="1">SUM(T222:T239)</f>
        <v>4137.6137918129407</v>
      </c>
      <c r="U240" s="72">
        <f t="shared" ca="1" si="619"/>
        <v>7.1585013699185822</v>
      </c>
      <c r="V240" s="74">
        <f t="shared" ca="1" si="620"/>
        <v>172.15570934256056</v>
      </c>
      <c r="W240" s="76"/>
      <c r="X240" s="8">
        <v>4</v>
      </c>
      <c r="Y240" s="8" t="s">
        <v>37</v>
      </c>
      <c r="Z240" s="8">
        <f t="shared" ref="Z240:AI240" si="668">SUM(D231)</f>
        <v>30</v>
      </c>
      <c r="AA240" s="9">
        <f t="shared" ca="1" si="668"/>
        <v>29</v>
      </c>
      <c r="AB240" s="10">
        <f t="shared" ca="1" si="668"/>
        <v>5823.4979999999996</v>
      </c>
      <c r="AC240" s="9">
        <f t="shared" ca="1" si="668"/>
        <v>2261</v>
      </c>
      <c r="AD240" s="9">
        <f t="shared" ca="1" si="668"/>
        <v>0</v>
      </c>
      <c r="AE240" s="9">
        <f t="shared" ca="1" si="668"/>
        <v>2261</v>
      </c>
      <c r="AF240" s="9">
        <f t="shared" ca="1" si="668"/>
        <v>3023</v>
      </c>
      <c r="AG240" s="9">
        <f t="shared" ca="1" si="668"/>
        <v>55</v>
      </c>
      <c r="AH240" s="9">
        <f t="shared" ca="1" si="668"/>
        <v>3078</v>
      </c>
      <c r="AI240" s="9">
        <f t="shared" ca="1" si="668"/>
        <v>5339</v>
      </c>
      <c r="AJ240" s="11">
        <f t="shared" ca="1" si="655"/>
        <v>200.81027586206895</v>
      </c>
      <c r="AK240" s="8">
        <f t="shared" si="664"/>
        <v>5887</v>
      </c>
      <c r="AL240" s="12">
        <f t="shared" ca="1" si="656"/>
        <v>0.90691353830473931</v>
      </c>
      <c r="AM240" s="13">
        <f t="shared" si="665"/>
        <v>1.5</v>
      </c>
      <c r="AN240" s="12">
        <f t="shared" ca="1" si="657"/>
        <v>0.61120194998492894</v>
      </c>
      <c r="AO240" s="14">
        <f t="shared" ca="1" si="658"/>
        <v>0.91680292497739335</v>
      </c>
      <c r="AP240" s="13">
        <f t="shared" ref="AP240:AQ240" ca="1" si="669">SUM(T231)</f>
        <v>234.89424007744429</v>
      </c>
      <c r="AQ240" s="13">
        <f t="shared" ca="1" si="669"/>
        <v>8.0998013819808374</v>
      </c>
      <c r="AR240" s="9">
        <f t="shared" ca="1" si="660"/>
        <v>184.10344827586206</v>
      </c>
      <c r="AS240" s="76"/>
      <c r="AT240" s="76"/>
    </row>
    <row r="241" spans="1:46" ht="15.75" customHeight="1" x14ac:dyDescent="0.2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6"/>
      <c r="X241" s="8">
        <v>5</v>
      </c>
      <c r="Y241" s="8" t="s">
        <v>39</v>
      </c>
      <c r="Z241" s="8">
        <f t="shared" ref="Z241:AI241" si="670">SUM(D232)</f>
        <v>28</v>
      </c>
      <c r="AA241" s="9">
        <f t="shared" ca="1" si="670"/>
        <v>28</v>
      </c>
      <c r="AB241" s="10">
        <f t="shared" ca="1" si="670"/>
        <v>5544.73</v>
      </c>
      <c r="AC241" s="9">
        <f t="shared" ca="1" si="670"/>
        <v>1091</v>
      </c>
      <c r="AD241" s="9">
        <f t="shared" ca="1" si="670"/>
        <v>0</v>
      </c>
      <c r="AE241" s="9">
        <f t="shared" ca="1" si="670"/>
        <v>1091</v>
      </c>
      <c r="AF241" s="9">
        <f t="shared" ca="1" si="670"/>
        <v>1757</v>
      </c>
      <c r="AG241" s="9">
        <f t="shared" ca="1" si="670"/>
        <v>79</v>
      </c>
      <c r="AH241" s="9">
        <f t="shared" ca="1" si="670"/>
        <v>1836</v>
      </c>
      <c r="AI241" s="9">
        <f t="shared" ca="1" si="670"/>
        <v>2927</v>
      </c>
      <c r="AJ241" s="11">
        <f t="shared" ca="1" si="655"/>
        <v>198.02607142857141</v>
      </c>
      <c r="AK241" s="8">
        <f t="shared" si="664"/>
        <v>3569</v>
      </c>
      <c r="AL241" s="12">
        <f t="shared" ca="1" si="656"/>
        <v>0.82011768002241525</v>
      </c>
      <c r="AM241" s="13">
        <f t="shared" si="665"/>
        <v>1.5</v>
      </c>
      <c r="AN241" s="12">
        <f t="shared" ca="1" si="657"/>
        <v>0.3519257625408872</v>
      </c>
      <c r="AO241" s="14">
        <f t="shared" ca="1" si="658"/>
        <v>0.52788864381133083</v>
      </c>
      <c r="AP241" s="13">
        <f t="shared" ref="AP241:AQ241" ca="1" si="671">SUM(T232)</f>
        <v>258.33900200344777</v>
      </c>
      <c r="AQ241" s="13">
        <f t="shared" ca="1" si="671"/>
        <v>9.2263929286945636</v>
      </c>
      <c r="AR241" s="9">
        <f t="shared" ca="1" si="660"/>
        <v>104.53571428571429</v>
      </c>
      <c r="AS241" s="76"/>
      <c r="AT241" s="76"/>
    </row>
    <row r="242" spans="1:46" ht="15.75" customHeight="1" x14ac:dyDescent="0.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6"/>
      <c r="X242" s="8">
        <v>6</v>
      </c>
      <c r="Y242" s="8" t="s">
        <v>41</v>
      </c>
      <c r="Z242" s="8">
        <f t="shared" ref="Z242:AI242" si="672">SUM(D233)</f>
        <v>24</v>
      </c>
      <c r="AA242" s="9">
        <f t="shared" ca="1" si="672"/>
        <v>24</v>
      </c>
      <c r="AB242" s="10">
        <f t="shared" ca="1" si="672"/>
        <v>4776.692</v>
      </c>
      <c r="AC242" s="9">
        <f t="shared" ca="1" si="672"/>
        <v>1354</v>
      </c>
      <c r="AD242" s="9">
        <f t="shared" ca="1" si="672"/>
        <v>0</v>
      </c>
      <c r="AE242" s="9">
        <f t="shared" ca="1" si="672"/>
        <v>1354</v>
      </c>
      <c r="AF242" s="9">
        <f t="shared" ca="1" si="672"/>
        <v>1851</v>
      </c>
      <c r="AG242" s="9">
        <f t="shared" ca="1" si="672"/>
        <v>78</v>
      </c>
      <c r="AH242" s="9">
        <f t="shared" ca="1" si="672"/>
        <v>1929</v>
      </c>
      <c r="AI242" s="9">
        <f t="shared" ca="1" si="672"/>
        <v>3283</v>
      </c>
      <c r="AJ242" s="11">
        <f t="shared" ca="1" si="655"/>
        <v>199.02883333333332</v>
      </c>
      <c r="AK242" s="8">
        <f t="shared" si="664"/>
        <v>3801</v>
      </c>
      <c r="AL242" s="12">
        <f t="shared" ca="1" si="656"/>
        <v>0.86372007366482506</v>
      </c>
      <c r="AM242" s="13">
        <f t="shared" si="665"/>
        <v>1.5</v>
      </c>
      <c r="AN242" s="12">
        <f t="shared" ca="1" si="657"/>
        <v>0.45819715122236615</v>
      </c>
      <c r="AO242" s="14">
        <f t="shared" ca="1" si="658"/>
        <v>0.68729572683354923</v>
      </c>
      <c r="AP242" s="13">
        <f t="shared" ref="AP242:AQ242" ca="1" si="673">SUM(T233)</f>
        <v>161.22222222222223</v>
      </c>
      <c r="AQ242" s="13">
        <f t="shared" ca="1" si="673"/>
        <v>6.7175925925925926</v>
      </c>
      <c r="AR242" s="9">
        <f t="shared" ca="1" si="660"/>
        <v>136.79166666666666</v>
      </c>
      <c r="AS242" s="76"/>
      <c r="AT242" s="76"/>
    </row>
    <row r="243" spans="1:46" ht="15.75" customHeight="1" x14ac:dyDescent="0.25">
      <c r="A243" s="110" t="s">
        <v>45</v>
      </c>
      <c r="B243" s="76"/>
      <c r="C243" s="76"/>
      <c r="D243" s="75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24" t="s">
        <v>33</v>
      </c>
      <c r="Y243" s="24">
        <v>6</v>
      </c>
      <c r="Z243" s="24">
        <f t="shared" ref="Z243:AI243" si="674">SUM(Z237:Z242)</f>
        <v>174</v>
      </c>
      <c r="AA243" s="25">
        <f t="shared" ca="1" si="674"/>
        <v>171</v>
      </c>
      <c r="AB243" s="27">
        <f t="shared" ca="1" si="674"/>
        <v>33669.944999999992</v>
      </c>
      <c r="AC243" s="25">
        <f t="shared" ca="1" si="674"/>
        <v>12987</v>
      </c>
      <c r="AD243" s="25">
        <f t="shared" ca="1" si="674"/>
        <v>0</v>
      </c>
      <c r="AE243" s="25">
        <f t="shared" ca="1" si="674"/>
        <v>12987</v>
      </c>
      <c r="AF243" s="25">
        <f t="shared" ca="1" si="674"/>
        <v>17336</v>
      </c>
      <c r="AG243" s="25">
        <f t="shared" ca="1" si="674"/>
        <v>212</v>
      </c>
      <c r="AH243" s="25">
        <f t="shared" ca="1" si="674"/>
        <v>17548</v>
      </c>
      <c r="AI243" s="25">
        <f t="shared" ca="1" si="674"/>
        <v>30535</v>
      </c>
      <c r="AJ243" s="27">
        <f t="shared" ca="1" si="655"/>
        <v>196.9002631578947</v>
      </c>
      <c r="AK243" s="24">
        <f>SUM(AK237:AK242)</f>
        <v>37031</v>
      </c>
      <c r="AL243" s="28">
        <f t="shared" ca="1" si="656"/>
        <v>0.82457940644325023</v>
      </c>
      <c r="AM243" s="29">
        <v>1.5</v>
      </c>
      <c r="AN243" s="28">
        <f t="shared" ca="1" si="657"/>
        <v>0.60459459219985867</v>
      </c>
      <c r="AO243" s="30">
        <f t="shared" ca="1" si="658"/>
        <v>0.90689188829978806</v>
      </c>
      <c r="AP243" s="29">
        <f ca="1">SUM(AP237:AP242)</f>
        <v>1385.7793239633422</v>
      </c>
      <c r="AQ243" s="29">
        <f ca="1">AP243/AA243</f>
        <v>8.1039726547563866</v>
      </c>
      <c r="AR243" s="25">
        <f t="shared" ca="1" si="660"/>
        <v>178.56725146198829</v>
      </c>
      <c r="AS243" s="76"/>
      <c r="AT243" s="76"/>
    </row>
    <row r="244" spans="1:46" ht="15.75" customHeight="1" x14ac:dyDescent="0.2">
      <c r="A244" s="110" t="s">
        <v>45</v>
      </c>
      <c r="B244" s="76"/>
      <c r="C244" s="76"/>
      <c r="D244" s="75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7" t="s">
        <v>1</v>
      </c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9"/>
      <c r="AS244" s="76"/>
      <c r="AT244" s="76"/>
    </row>
    <row r="245" spans="1:46" ht="15.75" customHeight="1" x14ac:dyDescent="0.2">
      <c r="A245" s="109">
        <v>46275</v>
      </c>
      <c r="B245" s="80" t="s">
        <v>2</v>
      </c>
      <c r="C245" s="80" t="s">
        <v>3</v>
      </c>
      <c r="D245" s="80" t="s">
        <v>4</v>
      </c>
      <c r="E245" s="80" t="s">
        <v>5</v>
      </c>
      <c r="F245" s="81" t="s">
        <v>6</v>
      </c>
      <c r="G245" s="80" t="s">
        <v>7</v>
      </c>
      <c r="H245" s="80" t="s">
        <v>8</v>
      </c>
      <c r="I245" s="80" t="s">
        <v>9</v>
      </c>
      <c r="J245" s="80" t="s">
        <v>10</v>
      </c>
      <c r="K245" s="80" t="s">
        <v>11</v>
      </c>
      <c r="L245" s="80" t="s">
        <v>12</v>
      </c>
      <c r="M245" s="80" t="s">
        <v>13</v>
      </c>
      <c r="N245" s="81" t="s">
        <v>14</v>
      </c>
      <c r="O245" s="80" t="s">
        <v>15</v>
      </c>
      <c r="P245" s="80" t="s">
        <v>16</v>
      </c>
      <c r="Q245" s="80" t="s">
        <v>17</v>
      </c>
      <c r="R245" s="80" t="s">
        <v>18</v>
      </c>
      <c r="S245" s="106" t="s">
        <v>19</v>
      </c>
      <c r="T245" s="107" t="s">
        <v>20</v>
      </c>
      <c r="U245" s="107" t="s">
        <v>21</v>
      </c>
      <c r="V245" s="105" t="s">
        <v>22</v>
      </c>
      <c r="W245" s="76"/>
      <c r="X245" s="1" t="s">
        <v>2</v>
      </c>
      <c r="Y245" s="1" t="s">
        <v>3</v>
      </c>
      <c r="Z245" s="1" t="s">
        <v>4</v>
      </c>
      <c r="AA245" s="1" t="s">
        <v>5</v>
      </c>
      <c r="AB245" s="2" t="s">
        <v>6</v>
      </c>
      <c r="AC245" s="1" t="s">
        <v>7</v>
      </c>
      <c r="AD245" s="1" t="s">
        <v>8</v>
      </c>
      <c r="AE245" s="1" t="s">
        <v>9</v>
      </c>
      <c r="AF245" s="1" t="s">
        <v>10</v>
      </c>
      <c r="AG245" s="1" t="s">
        <v>11</v>
      </c>
      <c r="AH245" s="1" t="s">
        <v>12</v>
      </c>
      <c r="AI245" s="1" t="s">
        <v>13</v>
      </c>
      <c r="AJ245" s="2" t="s">
        <v>14</v>
      </c>
      <c r="AK245" s="1" t="s">
        <v>15</v>
      </c>
      <c r="AL245" s="1" t="s">
        <v>16</v>
      </c>
      <c r="AM245" s="3" t="s">
        <v>17</v>
      </c>
      <c r="AN245" s="4" t="s">
        <v>18</v>
      </c>
      <c r="AO245" s="5" t="s">
        <v>19</v>
      </c>
      <c r="AP245" s="6" t="s">
        <v>20</v>
      </c>
      <c r="AQ245" s="6" t="s">
        <v>21</v>
      </c>
      <c r="AR245" s="7" t="s">
        <v>22</v>
      </c>
      <c r="AS245" s="76"/>
      <c r="AT245" s="76"/>
    </row>
    <row r="246" spans="1:46" ht="15.75" customHeight="1" x14ac:dyDescent="0.2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6"/>
      <c r="X246" s="8">
        <v>1</v>
      </c>
      <c r="Y246" s="8" t="s">
        <v>23</v>
      </c>
      <c r="Z246" s="8">
        <f t="shared" ref="Z246:AI246" si="675">SUM(D254)</f>
        <v>35</v>
      </c>
      <c r="AA246" s="9">
        <f t="shared" ca="1" si="675"/>
        <v>35</v>
      </c>
      <c r="AB246" s="10">
        <f t="shared" ca="1" si="675"/>
        <v>6950.4399999999896</v>
      </c>
      <c r="AC246" s="9">
        <f t="shared" ca="1" si="675"/>
        <v>1434</v>
      </c>
      <c r="AD246" s="9">
        <f t="shared" ca="1" si="675"/>
        <v>70</v>
      </c>
      <c r="AE246" s="9">
        <f t="shared" ca="1" si="675"/>
        <v>1504</v>
      </c>
      <c r="AF246" s="9">
        <f t="shared" ca="1" si="675"/>
        <v>3746</v>
      </c>
      <c r="AG246" s="9">
        <f t="shared" ca="1" si="675"/>
        <v>0</v>
      </c>
      <c r="AH246" s="9">
        <f t="shared" ca="1" si="675"/>
        <v>3746</v>
      </c>
      <c r="AI246" s="9">
        <f t="shared" ca="1" si="675"/>
        <v>5250</v>
      </c>
      <c r="AJ246" s="11">
        <f t="shared" ref="AJ246:AJ248" ca="1" si="676">AB246/AA246</f>
        <v>198.58399999999969</v>
      </c>
      <c r="AK246" s="8">
        <f>SUM(O254)</f>
        <v>6853</v>
      </c>
      <c r="AL246" s="12">
        <f t="shared" ref="AL246:AL252" ca="1" si="677">AI246/AK246</f>
        <v>0.76608784473953018</v>
      </c>
      <c r="AM246" s="13">
        <f t="shared" ref="AM246:AM248" si="678">SUM(Q254)</f>
        <v>1.5</v>
      </c>
      <c r="AN246" s="12">
        <f t="shared" ref="AN246:AN252" ca="1" si="679">AO246/AM246</f>
        <v>0.50356524191274299</v>
      </c>
      <c r="AO246" s="14">
        <f t="shared" ref="AO246:AO252" ca="1" si="680">AI246/AB246</f>
        <v>0.75534786286911448</v>
      </c>
      <c r="AP246" s="13">
        <f t="shared" ref="AP246:AQ246" ca="1" si="681">SUM(T254)</f>
        <v>205.99999999999969</v>
      </c>
      <c r="AQ246" s="13">
        <f t="shared" ca="1" si="681"/>
        <v>5.8857142857142764</v>
      </c>
      <c r="AR246" s="9">
        <f t="shared" ref="AR246:AR252" ca="1" si="682">AI246/AA246</f>
        <v>150</v>
      </c>
      <c r="AS246" s="76"/>
      <c r="AT246" s="76"/>
    </row>
    <row r="247" spans="1:46" ht="15.75" customHeight="1" x14ac:dyDescent="0.2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6"/>
      <c r="X247" s="8">
        <v>2</v>
      </c>
      <c r="Y247" s="8" t="s">
        <v>24</v>
      </c>
      <c r="Z247" s="8">
        <f t="shared" ref="Z247:AI247" si="683">SUM(D255)</f>
        <v>44</v>
      </c>
      <c r="AA247" s="9">
        <f t="shared" ca="1" si="683"/>
        <v>42</v>
      </c>
      <c r="AB247" s="10">
        <f t="shared" ca="1" si="683"/>
        <v>8312.54899999999</v>
      </c>
      <c r="AC247" s="9">
        <f t="shared" ca="1" si="683"/>
        <v>1187</v>
      </c>
      <c r="AD247" s="9">
        <f t="shared" ca="1" si="683"/>
        <v>0</v>
      </c>
      <c r="AE247" s="9">
        <f t="shared" ca="1" si="683"/>
        <v>1187</v>
      </c>
      <c r="AF247" s="9">
        <f t="shared" ca="1" si="683"/>
        <v>1337</v>
      </c>
      <c r="AG247" s="9">
        <f t="shared" ca="1" si="683"/>
        <v>54</v>
      </c>
      <c r="AH247" s="9">
        <f t="shared" ca="1" si="683"/>
        <v>1391</v>
      </c>
      <c r="AI247" s="9">
        <f t="shared" ca="1" si="683"/>
        <v>2578</v>
      </c>
      <c r="AJ247" s="11">
        <f t="shared" ca="1" si="676"/>
        <v>197.91783333333311</v>
      </c>
      <c r="AK247" s="8">
        <v>1580</v>
      </c>
      <c r="AL247" s="15">
        <f t="shared" ca="1" si="677"/>
        <v>1.6316455696202532</v>
      </c>
      <c r="AM247" s="13">
        <f t="shared" si="678"/>
        <v>1.5</v>
      </c>
      <c r="AN247" s="12">
        <f t="shared" ca="1" si="679"/>
        <v>0.20675567346029103</v>
      </c>
      <c r="AO247" s="14">
        <f t="shared" ca="1" si="680"/>
        <v>0.31013351019043656</v>
      </c>
      <c r="AP247" s="13">
        <f t="shared" ref="AP247:AQ247" ca="1" si="684">SUM(T255)</f>
        <v>310.11188211154598</v>
      </c>
      <c r="AQ247" s="13">
        <f t="shared" ca="1" si="684"/>
        <v>7.3836162407510946</v>
      </c>
      <c r="AR247" s="9">
        <f t="shared" ca="1" si="682"/>
        <v>61.38095238095238</v>
      </c>
      <c r="AS247" s="76"/>
      <c r="AT247" s="76"/>
    </row>
    <row r="248" spans="1:46" ht="15.75" customHeight="1" x14ac:dyDescent="0.2">
      <c r="A248" s="70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6"/>
      <c r="X248" s="8">
        <v>3</v>
      </c>
      <c r="Y248" s="8" t="s">
        <v>25</v>
      </c>
      <c r="Z248" s="8">
        <f t="shared" ref="Z248:AI248" si="685">SUM(D256)</f>
        <v>32</v>
      </c>
      <c r="AA248" s="9">
        <f t="shared" ca="1" si="685"/>
        <v>30</v>
      </c>
      <c r="AB248" s="10">
        <f t="shared" ca="1" si="685"/>
        <v>5626.24</v>
      </c>
      <c r="AC248" s="9">
        <f t="shared" ca="1" si="685"/>
        <v>2345</v>
      </c>
      <c r="AD248" s="9">
        <f t="shared" ca="1" si="685"/>
        <v>462</v>
      </c>
      <c r="AE248" s="9">
        <f t="shared" ca="1" si="685"/>
        <v>2807</v>
      </c>
      <c r="AF248" s="9">
        <f t="shared" ca="1" si="685"/>
        <v>3140</v>
      </c>
      <c r="AG248" s="9">
        <f t="shared" ca="1" si="685"/>
        <v>702</v>
      </c>
      <c r="AH248" s="9">
        <f t="shared" ca="1" si="685"/>
        <v>3842</v>
      </c>
      <c r="AI248" s="9">
        <f t="shared" ca="1" si="685"/>
        <v>6649</v>
      </c>
      <c r="AJ248" s="11">
        <f t="shared" ca="1" si="676"/>
        <v>187.54133333333331</v>
      </c>
      <c r="AK248" s="8">
        <f>SUM(O256)</f>
        <v>6622</v>
      </c>
      <c r="AL248" s="15">
        <f t="shared" ca="1" si="677"/>
        <v>1.0040773180308065</v>
      </c>
      <c r="AM248" s="13">
        <f t="shared" si="678"/>
        <v>1.5</v>
      </c>
      <c r="AN248" s="12">
        <f t="shared" ca="1" si="679"/>
        <v>0.78785595116217344</v>
      </c>
      <c r="AO248" s="14">
        <f t="shared" ca="1" si="680"/>
        <v>1.1817839267432602</v>
      </c>
      <c r="AP248" s="13">
        <f t="shared" ref="AP248:AQ248" ca="1" si="686">SUM(T256)</f>
        <v>236</v>
      </c>
      <c r="AQ248" s="13">
        <f t="shared" ca="1" si="686"/>
        <v>7.8666666666666663</v>
      </c>
      <c r="AR248" s="9">
        <f t="shared" ca="1" si="682"/>
        <v>221.63333333333333</v>
      </c>
      <c r="AS248" s="76"/>
      <c r="AT248" s="76"/>
    </row>
    <row r="249" spans="1:46" ht="15.75" customHeight="1" x14ac:dyDescent="0.25">
      <c r="A249" s="70"/>
      <c r="B249" s="16">
        <v>1</v>
      </c>
      <c r="C249" s="16" t="s">
        <v>26</v>
      </c>
      <c r="D249" s="17">
        <v>20</v>
      </c>
      <c r="E249" s="18">
        <f ca="1">IFERROR(__xludf.DUMMYFUNCTION("COUNT(IMPORTRANGE(""https://docs.google.com/spreadsheets/d/1F0NpMx7WhcgPgxTWpryY3Z1CGg56FL6aiL4mHs43w4E/edit"",""10!d2:d21""))"),19)</f>
        <v>19</v>
      </c>
      <c r="F249" s="19">
        <f ca="1">IFERROR(__xludf.DUMMYFUNCTION("SUM(IMPORTRANGE(""https://docs.google.com/spreadsheets/d/1F0NpMx7WhcgPgxTWpryY3Z1CGg56FL6aiL4mHs43w4E/edit"",""10!Q2:Q21""))"),3690.852)</f>
        <v>3690.8519999999999</v>
      </c>
      <c r="G249" s="18">
        <f ca="1">IFERROR(__xludf.DUMMYFUNCTION("IMPORTRANGE(""https://docs.google.com/spreadsheets/d/1F0NpMx7WhcgPgxTWpryY3Z1CGg56FL6aiL4mHs43w4E/edit"",""10!e28"")"),1893)</f>
        <v>1893</v>
      </c>
      <c r="H249" s="18">
        <f ca="1">IFERROR(__xludf.DUMMYFUNCTION("IMPORTRANGE(""https://docs.google.com/spreadsheets/d/1F0NpMx7WhcgPgxTWpryY3Z1CGg56FL6aiL4mHs43w4E/edit"",""10!e29"")"),0)</f>
        <v>0</v>
      </c>
      <c r="I249" s="18">
        <f t="shared" ref="I249:I266" ca="1" si="687">SUM(G249:H249)</f>
        <v>1893</v>
      </c>
      <c r="J249" s="18">
        <f ca="1">IFERROR(__xludf.DUMMYFUNCTION("IMPORTRANGE(""https://docs.google.com/spreadsheets/d/1F0NpMx7WhcgPgxTWpryY3Z1CGg56FL6aiL4mHs43w4E/edit"",""10!e32"")"),3151)</f>
        <v>3151</v>
      </c>
      <c r="K249" s="18">
        <f ca="1">IFERROR(__xludf.DUMMYFUNCTION("IMPORTRANGE(""https://docs.google.com/spreadsheets/d/1F0NpMx7WhcgPgxTWpryY3Z1CGg56FL6aiL4mHs43w4E/edit"",""10!e33"")"),0)</f>
        <v>0</v>
      </c>
      <c r="L249" s="18">
        <f t="shared" ref="L249:L255" ca="1" si="688">SUM(J249:K249)</f>
        <v>3151</v>
      </c>
      <c r="M249" s="18">
        <f t="shared" ref="M249:M266" ca="1" si="689">SUM(I249+L249)</f>
        <v>5044</v>
      </c>
      <c r="N249" s="19">
        <f t="shared" ref="N249:N267" ca="1" si="690">F249/E249</f>
        <v>194.25536842105262</v>
      </c>
      <c r="O249" s="16">
        <v>5161</v>
      </c>
      <c r="P249" s="20">
        <f t="shared" ref="P249:P267" ca="1" si="691">M249/O249</f>
        <v>0.97732997481108308</v>
      </c>
      <c r="Q249" s="21">
        <v>1.5</v>
      </c>
      <c r="R249" s="20">
        <f t="shared" ref="R249:R267" ca="1" si="692">S249/Q249</f>
        <v>0.91108141607050808</v>
      </c>
      <c r="S249" s="22">
        <f t="shared" ref="S249:S267" ca="1" si="693">M249/F249</f>
        <v>1.3666221241057621</v>
      </c>
      <c r="T249" s="21">
        <f ca="1">F249/14.415</f>
        <v>256.04245577523415</v>
      </c>
      <c r="U249" s="21">
        <f t="shared" ref="U249:U267" ca="1" si="694">T249/E249</f>
        <v>13.475918725012324</v>
      </c>
      <c r="V249" s="18">
        <f t="shared" ref="V249:V267" ca="1" si="695">M249/E249</f>
        <v>265.4736842105263</v>
      </c>
      <c r="W249" s="76"/>
      <c r="X249" s="8">
        <v>4</v>
      </c>
      <c r="Y249" s="8" t="s">
        <v>27</v>
      </c>
      <c r="Z249" s="8">
        <f t="shared" ref="Z249:AK249" si="696">SUM(D262)</f>
        <v>30</v>
      </c>
      <c r="AA249" s="9">
        <f t="shared" ca="1" si="696"/>
        <v>30</v>
      </c>
      <c r="AB249" s="10">
        <f t="shared" ca="1" si="696"/>
        <v>5685.5950000000003</v>
      </c>
      <c r="AC249" s="9">
        <f t="shared" ca="1" si="696"/>
        <v>2573</v>
      </c>
      <c r="AD249" s="9">
        <f t="shared" ca="1" si="696"/>
        <v>0</v>
      </c>
      <c r="AE249" s="9">
        <f t="shared" ca="1" si="696"/>
        <v>2573</v>
      </c>
      <c r="AF249" s="9">
        <f t="shared" ca="1" si="696"/>
        <v>3315</v>
      </c>
      <c r="AG249" s="9">
        <f t="shared" ca="1" si="696"/>
        <v>48</v>
      </c>
      <c r="AH249" s="9">
        <f t="shared" ca="1" si="696"/>
        <v>3363</v>
      </c>
      <c r="AI249" s="9">
        <f t="shared" ca="1" si="696"/>
        <v>5936</v>
      </c>
      <c r="AJ249" s="11">
        <f t="shared" ca="1" si="696"/>
        <v>189.51983333333334</v>
      </c>
      <c r="AK249" s="8">
        <f t="shared" si="696"/>
        <v>8101</v>
      </c>
      <c r="AL249" s="12">
        <f t="shared" ca="1" si="677"/>
        <v>0.73274904332798418</v>
      </c>
      <c r="AM249" s="13">
        <f>SUM(Q262)</f>
        <v>1.5</v>
      </c>
      <c r="AN249" s="12">
        <f t="shared" ca="1" si="679"/>
        <v>0.69602800293255729</v>
      </c>
      <c r="AO249" s="14">
        <f t="shared" ca="1" si="680"/>
        <v>1.0440420043988359</v>
      </c>
      <c r="AP249" s="13">
        <f t="shared" ref="AP249:AQ249" ca="1" si="697">SUM(T262)</f>
        <v>284.49311983987991</v>
      </c>
      <c r="AQ249" s="13">
        <f t="shared" ca="1" si="697"/>
        <v>9.4831039946626632</v>
      </c>
      <c r="AR249" s="9">
        <f t="shared" ca="1" si="682"/>
        <v>197.86666666666667</v>
      </c>
      <c r="AS249" s="76"/>
      <c r="AT249" s="76"/>
    </row>
    <row r="250" spans="1:46" ht="15.75" customHeight="1" x14ac:dyDescent="0.25">
      <c r="A250" s="70"/>
      <c r="B250" s="16">
        <v>2</v>
      </c>
      <c r="C250" s="16" t="s">
        <v>28</v>
      </c>
      <c r="D250" s="17">
        <v>33</v>
      </c>
      <c r="E250" s="18">
        <f ca="1">IFERROR(__xludf.DUMMYFUNCTION("COUNT(IMPORTRANGE(""https://docs.google.com/spreadsheets/d/1H9vAqftAHb0OdeSGXHTnJFzoWUgpoH31sc0sHNN8y1o/edit"",""10!d2:d34""))"),33)</f>
        <v>33</v>
      </c>
      <c r="F250" s="19">
        <f ca="1">IFERROR(__xludf.DUMMYFUNCTION("SUM(IMPORTRANGE(""https://docs.google.com/spreadsheets/d/1H9vAqftAHb0OdeSGXHTnJFzoWUgpoH31sc0sHNN8y1o/edit"",""10!Q2:Q34""))"),6374.348)</f>
        <v>6374.348</v>
      </c>
      <c r="G250" s="18">
        <f ca="1">IFERROR(__xludf.DUMMYFUNCTION("IMPORTRANGE(""https://docs.google.com/spreadsheets/d/1H9vAqftAHb0OdeSGXHTnJFzoWUgpoH31sc0sHNN8y1o/edit"",""10!e41"")"),2785)</f>
        <v>2785</v>
      </c>
      <c r="H250" s="18">
        <f ca="1">IFERROR(__xludf.DUMMYFUNCTION("IMPORTRANGE(""https://docs.google.com/spreadsheets/d/1H9vAqftAHb0OdeSGXHTnJFzoWUgpoH31sc0sHNN8y1o/edit"",""10!e42"")"),233)</f>
        <v>233</v>
      </c>
      <c r="I250" s="18">
        <f t="shared" ca="1" si="687"/>
        <v>3018</v>
      </c>
      <c r="J250" s="18">
        <f ca="1">IFERROR(__xludf.DUMMYFUNCTION("IMPORTRANGE(""https://docs.google.com/spreadsheets/d/1H9vAqftAHb0OdeSGXHTnJFzoWUgpoH31sc0sHNN8y1o/edit"",""10!e45"")"),2590)</f>
        <v>2590</v>
      </c>
      <c r="K250" s="18">
        <f ca="1">IFERROR(__xludf.DUMMYFUNCTION("IMPORTRANGE(""https://docs.google.com/spreadsheets/d/1H9vAqftAHb0OdeSGXHTnJFzoWUgpoH31sc0sHNN8y1o/edit"",""10!e46"")"),252)</f>
        <v>252</v>
      </c>
      <c r="L250" s="18">
        <f t="shared" ca="1" si="688"/>
        <v>2842</v>
      </c>
      <c r="M250" s="18">
        <f t="shared" ca="1" si="689"/>
        <v>5860</v>
      </c>
      <c r="N250" s="19">
        <f t="shared" ca="1" si="690"/>
        <v>193.16206060606061</v>
      </c>
      <c r="O250" s="16">
        <v>7315</v>
      </c>
      <c r="P250" s="20">
        <f t="shared" ca="1" si="691"/>
        <v>0.8010936431989063</v>
      </c>
      <c r="Q250" s="21">
        <v>1.5</v>
      </c>
      <c r="R250" s="20">
        <f t="shared" ca="1" si="692"/>
        <v>0.61287313881618433</v>
      </c>
      <c r="S250" s="22">
        <f t="shared" ca="1" si="693"/>
        <v>0.91930970822427649</v>
      </c>
      <c r="T250" s="21">
        <f ca="1">F250/30.897</f>
        <v>206.30960934718581</v>
      </c>
      <c r="U250" s="21">
        <f t="shared" ca="1" si="694"/>
        <v>6.2518063438541152</v>
      </c>
      <c r="V250" s="18">
        <f t="shared" ca="1" si="695"/>
        <v>177.57575757575756</v>
      </c>
      <c r="W250" s="76"/>
      <c r="X250" s="8">
        <v>5</v>
      </c>
      <c r="Y250" s="8" t="s">
        <v>29</v>
      </c>
      <c r="Z250" s="8">
        <f t="shared" ref="Z250:AI250" si="698">SUM(D265)</f>
        <v>30</v>
      </c>
      <c r="AA250" s="9">
        <f t="shared" ca="1" si="698"/>
        <v>28</v>
      </c>
      <c r="AB250" s="10">
        <f t="shared" ca="1" si="698"/>
        <v>5775.0379999999896</v>
      </c>
      <c r="AC250" s="9">
        <f t="shared" ca="1" si="698"/>
        <v>1910</v>
      </c>
      <c r="AD250" s="9">
        <f t="shared" ca="1" si="698"/>
        <v>46</v>
      </c>
      <c r="AE250" s="9">
        <f t="shared" ca="1" si="698"/>
        <v>1956</v>
      </c>
      <c r="AF250" s="9">
        <f t="shared" ca="1" si="698"/>
        <v>4932</v>
      </c>
      <c r="AG250" s="9">
        <f t="shared" ca="1" si="698"/>
        <v>85</v>
      </c>
      <c r="AH250" s="9">
        <f t="shared" ca="1" si="698"/>
        <v>5017</v>
      </c>
      <c r="AI250" s="9">
        <f t="shared" ca="1" si="698"/>
        <v>6973</v>
      </c>
      <c r="AJ250" s="11">
        <f t="shared" ref="AJ250:AJ252" ca="1" si="699">AB250/AA250</f>
        <v>206.25135714285676</v>
      </c>
      <c r="AK250" s="8">
        <f t="shared" ref="AK250:AK251" si="700">SUM(O265)</f>
        <v>9201</v>
      </c>
      <c r="AL250" s="12">
        <f t="shared" ca="1" si="677"/>
        <v>0.75785240734702752</v>
      </c>
      <c r="AM250" s="13">
        <f t="shared" ref="AM250:AM251" si="701">SUM(Q265)</f>
        <v>1.5</v>
      </c>
      <c r="AN250" s="12">
        <f t="shared" ca="1" si="679"/>
        <v>0.80495862826645903</v>
      </c>
      <c r="AO250" s="14">
        <f t="shared" ca="1" si="680"/>
        <v>1.2074379423996886</v>
      </c>
      <c r="AP250" s="13">
        <f t="shared" ref="AP250:AQ250" ca="1" si="702">SUM(T265)</f>
        <v>217.9999999999996</v>
      </c>
      <c r="AQ250" s="13">
        <f t="shared" ca="1" si="702"/>
        <v>7.7857142857142714</v>
      </c>
      <c r="AR250" s="9">
        <f t="shared" ca="1" si="682"/>
        <v>249.03571428571428</v>
      </c>
      <c r="AS250" s="76"/>
      <c r="AT250" s="76"/>
    </row>
    <row r="251" spans="1:46" ht="15.75" customHeight="1" x14ac:dyDescent="0.25">
      <c r="A251" s="70"/>
      <c r="B251" s="16">
        <v>3</v>
      </c>
      <c r="C251" s="16" t="s">
        <v>30</v>
      </c>
      <c r="D251" s="17">
        <v>60</v>
      </c>
      <c r="E251" s="18">
        <f ca="1">IFERROR(__xludf.DUMMYFUNCTION("COUNT(IMPORTRANGE(""https://docs.google.com/spreadsheets/d/1EWN6nfpuVxbUE_9opjYCWaI7MTm5xsF6ssjklSbMZnA/edit"",""10!d2:d61""))"),56)</f>
        <v>56</v>
      </c>
      <c r="F251" s="23">
        <f ca="1">IFERROR(__xludf.DUMMYFUNCTION("SUM(IMPORTRANGE(""https://docs.google.com/spreadsheets/d/1EWN6nfpuVxbUE_9opjYCWaI7MTm5xsF6ssjklSbMZnA/edit"",""10!Q2:Q61""))"),10927.6279999999)</f>
        <v>10927.627999999901</v>
      </c>
      <c r="G251" s="18">
        <f ca="1">IFERROR(__xludf.DUMMYFUNCTION("IMPORTRANGE(""https://docs.google.com/spreadsheets/d/1EWN6nfpuVxbUE_9opjYCWaI7MTm5xsF6ssjklSbMZnA/edit"",""10!e68"")"),3456)</f>
        <v>3456</v>
      </c>
      <c r="H251" s="18">
        <f ca="1">IFERROR(__xludf.DUMMYFUNCTION("IMPORTRANGE(""https://docs.google.com/spreadsheets/d/1EWN6nfpuVxbUE_9opjYCWaI7MTm5xsF6ssjklSbMZnA/edit"",""10!e69"")"),0)</f>
        <v>0</v>
      </c>
      <c r="I251" s="18">
        <f t="shared" ca="1" si="687"/>
        <v>3456</v>
      </c>
      <c r="J251" s="18">
        <f ca="1">IFERROR(__xludf.DUMMYFUNCTION("IMPORTRANGE(""https://docs.google.com/spreadsheets/d/1EWN6nfpuVxbUE_9opjYCWaI7MTm5xsF6ssjklSbMZnA/edit"",""10!e72"")"),5720)</f>
        <v>5720</v>
      </c>
      <c r="K251" s="18">
        <f ca="1">IFERROR(__xludf.DUMMYFUNCTION("IMPORTRANGE(""https://docs.google.com/spreadsheets/d/1EWN6nfpuVxbUE_9opjYCWaI7MTm5xsF6ssjklSbMZnA/edit"",""10!e73"")"),0)</f>
        <v>0</v>
      </c>
      <c r="L251" s="18">
        <f t="shared" ca="1" si="688"/>
        <v>5720</v>
      </c>
      <c r="M251" s="18">
        <f t="shared" ca="1" si="689"/>
        <v>9176</v>
      </c>
      <c r="N251" s="19">
        <f t="shared" ca="1" si="690"/>
        <v>195.1362142857125</v>
      </c>
      <c r="O251" s="16">
        <v>11164</v>
      </c>
      <c r="P251" s="20">
        <f t="shared" ca="1" si="691"/>
        <v>0.82192762450734502</v>
      </c>
      <c r="Q251" s="21">
        <v>1.5</v>
      </c>
      <c r="R251" s="20">
        <f t="shared" ca="1" si="692"/>
        <v>0.55980431739929182</v>
      </c>
      <c r="S251" s="22">
        <f t="shared" ca="1" si="693"/>
        <v>0.83970647609893778</v>
      </c>
      <c r="T251" s="21">
        <f ca="1">F251/29.603</f>
        <v>369.13920886396312</v>
      </c>
      <c r="U251" s="21">
        <f t="shared" ca="1" si="694"/>
        <v>6.5917715868564839</v>
      </c>
      <c r="V251" s="18">
        <f t="shared" ca="1" si="695"/>
        <v>163.85714285714286</v>
      </c>
      <c r="W251" s="76"/>
      <c r="X251" s="8">
        <v>6</v>
      </c>
      <c r="Y251" s="8" t="s">
        <v>31</v>
      </c>
      <c r="Z251" s="8">
        <f t="shared" ref="Z251:AI251" si="703">SUM(D266)</f>
        <v>15</v>
      </c>
      <c r="AA251" s="9">
        <f t="shared" ca="1" si="703"/>
        <v>15</v>
      </c>
      <c r="AB251" s="11">
        <f t="shared" ca="1" si="703"/>
        <v>3042.5499999999902</v>
      </c>
      <c r="AC251" s="9">
        <f t="shared" ca="1" si="703"/>
        <v>844</v>
      </c>
      <c r="AD251" s="9">
        <f t="shared" ca="1" si="703"/>
        <v>64</v>
      </c>
      <c r="AE251" s="9">
        <f t="shared" ca="1" si="703"/>
        <v>908</v>
      </c>
      <c r="AF251" s="9">
        <f t="shared" ca="1" si="703"/>
        <v>1065</v>
      </c>
      <c r="AG251" s="9">
        <f t="shared" ca="1" si="703"/>
        <v>77</v>
      </c>
      <c r="AH251" s="9">
        <f t="shared" ca="1" si="703"/>
        <v>1142</v>
      </c>
      <c r="AI251" s="9">
        <f t="shared" ca="1" si="703"/>
        <v>2050</v>
      </c>
      <c r="AJ251" s="11">
        <f t="shared" ca="1" si="699"/>
        <v>202.83666666666602</v>
      </c>
      <c r="AK251" s="8">
        <f t="shared" si="700"/>
        <v>2717</v>
      </c>
      <c r="AL251" s="12">
        <f t="shared" ca="1" si="677"/>
        <v>0.75450864924549133</v>
      </c>
      <c r="AM251" s="13">
        <f t="shared" si="701"/>
        <v>1.5</v>
      </c>
      <c r="AN251" s="12">
        <f t="shared" ca="1" si="679"/>
        <v>0.44918462035682932</v>
      </c>
      <c r="AO251" s="14">
        <f t="shared" ca="1" si="680"/>
        <v>0.67377693053524401</v>
      </c>
      <c r="AP251" s="13">
        <f t="shared" ref="AP251:AQ251" ca="1" si="704">SUM(T266)</f>
        <v>69.999999999999773</v>
      </c>
      <c r="AQ251" s="13">
        <f t="shared" ca="1" si="704"/>
        <v>4.6666666666666519</v>
      </c>
      <c r="AR251" s="9">
        <f t="shared" ca="1" si="682"/>
        <v>136.66666666666666</v>
      </c>
      <c r="AS251" s="76"/>
      <c r="AT251" s="76"/>
    </row>
    <row r="252" spans="1:46" ht="15.75" customHeight="1" x14ac:dyDescent="0.25">
      <c r="A252" s="70"/>
      <c r="B252" s="16">
        <v>4</v>
      </c>
      <c r="C252" s="16" t="s">
        <v>32</v>
      </c>
      <c r="D252" s="17">
        <v>42</v>
      </c>
      <c r="E252" s="18">
        <f ca="1">IFERROR(__xludf.DUMMYFUNCTION("COUNT(IMPORTRANGE(""https://docs.google.com/spreadsheets/d/1Rmar8QqWK4XOJ-eY6xMzkAfDSw0srEXcAw89ilArun8/edit"",""10!d2:d43""))"),42)</f>
        <v>42</v>
      </c>
      <c r="F252" s="23">
        <f ca="1">IFERROR(__xludf.DUMMYFUNCTION("SUM(IMPORTRANGE(""https://docs.google.com/spreadsheets/d/1Rmar8QqWK4XOJ-eY6xMzkAfDSw0srEXcAw89ilArun8/edit"",""10!Q2:Q43""))"),8279.36999999999)</f>
        <v>8279.3699999999899</v>
      </c>
      <c r="G252" s="16">
        <f ca="1">IFERROR(__xludf.DUMMYFUNCTION("IMPORTRANGE(""https://docs.google.com/spreadsheets/d/1Rmar8QqWK4XOJ-eY6xMzkAfDSw0srEXcAw89ilArun8/edit"",""10!e50"")"),4564)</f>
        <v>4564</v>
      </c>
      <c r="H252" s="16">
        <f ca="1">IFERROR(__xludf.DUMMYFUNCTION("IMPORTRANGE(""https://docs.google.com/spreadsheets/d/1Rmar8QqWK4XOJ-eY6xMzkAfDSw0srEXcAw89ilArun8/edit"",""10!e51"")"),53)</f>
        <v>53</v>
      </c>
      <c r="I252" s="18">
        <f t="shared" ca="1" si="687"/>
        <v>4617</v>
      </c>
      <c r="J252" s="16">
        <f ca="1">IFERROR(__xludf.DUMMYFUNCTION("IMPORTRANGE(""https://docs.google.com/spreadsheets/d/1Rmar8QqWK4XOJ-eY6xMzkAfDSw0srEXcAw89ilArun8/edit"",""10!e54"")"),6049)</f>
        <v>6049</v>
      </c>
      <c r="K252" s="16">
        <f ca="1">IFERROR(__xludf.DUMMYFUNCTION("IMPORTRANGE(""https://docs.google.com/spreadsheets/d/1Rmar8QqWK4XOJ-eY6xMzkAfDSw0srEXcAw89ilArun8/edit"",""10!e55"")"),0)</f>
        <v>0</v>
      </c>
      <c r="L252" s="18">
        <f t="shared" ca="1" si="688"/>
        <v>6049</v>
      </c>
      <c r="M252" s="18">
        <f t="shared" ca="1" si="689"/>
        <v>10666</v>
      </c>
      <c r="N252" s="19">
        <f t="shared" ca="1" si="690"/>
        <v>197.1278571428569</v>
      </c>
      <c r="O252" s="16">
        <v>13817</v>
      </c>
      <c r="P252" s="20">
        <f t="shared" ca="1" si="691"/>
        <v>0.77194760078164582</v>
      </c>
      <c r="Q252" s="21">
        <v>1.5</v>
      </c>
      <c r="R252" s="20">
        <f t="shared" ca="1" si="692"/>
        <v>0.85884151410876386</v>
      </c>
      <c r="S252" s="22">
        <f t="shared" ca="1" si="693"/>
        <v>1.2882622711631457</v>
      </c>
      <c r="T252" s="21">
        <f ca="1">F252/25.089</f>
        <v>329.9999999999996</v>
      </c>
      <c r="U252" s="21">
        <f t="shared" ca="1" si="694"/>
        <v>7.8571428571428479</v>
      </c>
      <c r="V252" s="18">
        <f t="shared" ca="1" si="695"/>
        <v>253.95238095238096</v>
      </c>
      <c r="W252" s="76"/>
      <c r="X252" s="24" t="s">
        <v>33</v>
      </c>
      <c r="Y252" s="24">
        <v>6</v>
      </c>
      <c r="Z252" s="24">
        <f t="shared" ref="Z252:AI252" si="705">SUM(Z246:Z251)</f>
        <v>186</v>
      </c>
      <c r="AA252" s="25">
        <f t="shared" ca="1" si="705"/>
        <v>180</v>
      </c>
      <c r="AB252" s="26">
        <f t="shared" ca="1" si="705"/>
        <v>35392.41199999996</v>
      </c>
      <c r="AC252" s="25">
        <f t="shared" ca="1" si="705"/>
        <v>10293</v>
      </c>
      <c r="AD252" s="25">
        <f t="shared" ca="1" si="705"/>
        <v>642</v>
      </c>
      <c r="AE252" s="25">
        <f t="shared" ca="1" si="705"/>
        <v>10935</v>
      </c>
      <c r="AF252" s="25">
        <f t="shared" ca="1" si="705"/>
        <v>17535</v>
      </c>
      <c r="AG252" s="25">
        <f t="shared" ca="1" si="705"/>
        <v>966</v>
      </c>
      <c r="AH252" s="25">
        <f t="shared" ca="1" si="705"/>
        <v>18501</v>
      </c>
      <c r="AI252" s="25">
        <f t="shared" ca="1" si="705"/>
        <v>29436</v>
      </c>
      <c r="AJ252" s="27">
        <f t="shared" ca="1" si="699"/>
        <v>196.62451111111088</v>
      </c>
      <c r="AK252" s="24">
        <f>SUM(AK246:AK251)</f>
        <v>35074</v>
      </c>
      <c r="AL252" s="28">
        <f t="shared" ca="1" si="677"/>
        <v>0.83925414837201351</v>
      </c>
      <c r="AM252" s="29">
        <v>1.5</v>
      </c>
      <c r="AN252" s="28">
        <f t="shared" ca="1" si="679"/>
        <v>0.55446913310118628</v>
      </c>
      <c r="AO252" s="30">
        <f t="shared" ca="1" si="680"/>
        <v>0.83170369965177937</v>
      </c>
      <c r="AP252" s="29">
        <f ca="1">SUM(AP246:AP251)</f>
        <v>1324.6050019514248</v>
      </c>
      <c r="AQ252" s="29">
        <f ca="1">AP252/AA252</f>
        <v>7.3589166775079153</v>
      </c>
      <c r="AR252" s="25">
        <f t="shared" ca="1" si="682"/>
        <v>163.53333333333333</v>
      </c>
      <c r="AS252" s="76"/>
      <c r="AT252" s="76"/>
    </row>
    <row r="253" spans="1:46" ht="15.75" customHeight="1" x14ac:dyDescent="0.25">
      <c r="A253" s="70"/>
      <c r="B253" s="16">
        <v>5</v>
      </c>
      <c r="C253" s="16" t="s">
        <v>34</v>
      </c>
      <c r="D253" s="17">
        <v>40</v>
      </c>
      <c r="E253" s="18">
        <f ca="1">IFERROR(__xludf.DUMMYFUNCTION("COUNT(IMPORTRANGE(""https://docs.google.com/spreadsheets/d/1u99JxAoytGQQ8GcjxXl38CGdyEWy5uIbuJJHnsotyvk/edit"",""10!d2:d41""))"),40)</f>
        <v>40</v>
      </c>
      <c r="F253" s="23">
        <f ca="1">IFERROR(__xludf.DUMMYFUNCTION("SUM(IMPORTRANGE(""https://docs.google.com/spreadsheets/d/1u99JxAoytGQQ8GcjxXl38CGdyEWy5uIbuJJHnsotyvk/edit"",""10!Q2:Q41""))"),7950.63)</f>
        <v>7950.63</v>
      </c>
      <c r="G253" s="18">
        <f ca="1">IFERROR(__xludf.DUMMYFUNCTION("IMPORTRANGE(""https://docs.google.com/spreadsheets/d/1u99JxAoytGQQ8GcjxXl38CGdyEWy5uIbuJJHnsotyvk/edit"",""10!e48"")"),2874)</f>
        <v>2874</v>
      </c>
      <c r="H253" s="18">
        <f ca="1">IFERROR(__xludf.DUMMYFUNCTION("IMPORTRANGE(""https://docs.google.com/spreadsheets/d/1u99JxAoytGQQ8GcjxXl38CGdyEWy5uIbuJJHnsotyvk/edit"",""10!e49"")"),0)</f>
        <v>0</v>
      </c>
      <c r="I253" s="18">
        <f t="shared" ca="1" si="687"/>
        <v>2874</v>
      </c>
      <c r="J253" s="18">
        <f ca="1">IFERROR(__xludf.DUMMYFUNCTION("IMPORTRANGE(""https://docs.google.com/spreadsheets/d/1u99JxAoytGQQ8GcjxXl38CGdyEWy5uIbuJJHnsotyvk/edit"",""10!e52"")"),3331)</f>
        <v>3331</v>
      </c>
      <c r="K253" s="18">
        <f ca="1">IFERROR(__xludf.DUMMYFUNCTION("IMPORTRANGE(""https://docs.google.com/spreadsheets/d/1u99JxAoytGQQ8GcjxXl38CGdyEWy5uIbuJJHnsotyvk/edit"",""10!e53"")"),0)</f>
        <v>0</v>
      </c>
      <c r="L253" s="18">
        <f t="shared" ca="1" si="688"/>
        <v>3331</v>
      </c>
      <c r="M253" s="18">
        <f t="shared" ca="1" si="689"/>
        <v>6205</v>
      </c>
      <c r="N253" s="19">
        <f t="shared" ca="1" si="690"/>
        <v>198.76575</v>
      </c>
      <c r="O253" s="16">
        <v>9354</v>
      </c>
      <c r="P253" s="20">
        <f t="shared" ca="1" si="691"/>
        <v>0.66335257643788759</v>
      </c>
      <c r="Q253" s="21">
        <v>1.5</v>
      </c>
      <c r="R253" s="20">
        <f t="shared" ca="1" si="692"/>
        <v>0.52029419890834649</v>
      </c>
      <c r="S253" s="22">
        <f t="shared" ca="1" si="693"/>
        <v>0.78044129836251974</v>
      </c>
      <c r="T253" s="21">
        <f ca="1">F253/30.713</f>
        <v>258.86855728844461</v>
      </c>
      <c r="U253" s="21">
        <f t="shared" ca="1" si="694"/>
        <v>6.4717139322111148</v>
      </c>
      <c r="V253" s="18">
        <f t="shared" ca="1" si="695"/>
        <v>155.125</v>
      </c>
      <c r="W253" s="76"/>
      <c r="X253" s="100" t="s">
        <v>35</v>
      </c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9"/>
      <c r="AS253" s="76"/>
      <c r="AT253" s="76"/>
    </row>
    <row r="254" spans="1:46" ht="15.75" customHeight="1" x14ac:dyDescent="0.25">
      <c r="A254" s="70"/>
      <c r="B254" s="16">
        <v>6</v>
      </c>
      <c r="C254" s="16" t="s">
        <v>23</v>
      </c>
      <c r="D254" s="17">
        <v>35</v>
      </c>
      <c r="E254" s="18">
        <f ca="1">IFERROR(__xludf.DUMMYFUNCTION("COUNT(IMPORTRANGE(""https://docs.google.com/spreadsheets/d/1uVc-vnTn57HE53lwrUYNZP4sGKTXisrqOoZ-6EyvLzY/edit"",""10!d2:d36""))"),35)</f>
        <v>35</v>
      </c>
      <c r="F254" s="23">
        <f ca="1">IFERROR(__xludf.DUMMYFUNCTION("SUM(IMPORTRANGE(""https://docs.google.com/spreadsheets/d/1uVc-vnTn57HE53lwrUYNZP4sGKTXisrqOoZ-6EyvLzY/edit"",""10!Q2:Q36""))"),6950.43999999999)</f>
        <v>6950.4399999999896</v>
      </c>
      <c r="G254" s="18">
        <f ca="1">IFERROR(__xludf.DUMMYFUNCTION("IMPORTRANGE(""https://docs.google.com/spreadsheets/d/1uVc-vnTn57HE53lwrUYNZP4sGKTXisrqOoZ-6EyvLzY/edit"",""10!e43"")"),1434)</f>
        <v>1434</v>
      </c>
      <c r="H254" s="18">
        <f ca="1">IFERROR(__xludf.DUMMYFUNCTION("IMPORTRANGE(""https://docs.google.com/spreadsheets/d/1uVc-vnTn57HE53lwrUYNZP4sGKTXisrqOoZ-6EyvLzY/edit"",""10!e44"")"),70)</f>
        <v>70</v>
      </c>
      <c r="I254" s="18">
        <f t="shared" ca="1" si="687"/>
        <v>1504</v>
      </c>
      <c r="J254" s="18">
        <f ca="1">IFERROR(__xludf.DUMMYFUNCTION("IMPORTRANGE(""https://docs.google.com/spreadsheets/d/1uVc-vnTn57HE53lwrUYNZP4sGKTXisrqOoZ-6EyvLzY/edit"",""10!e47"")"),3746)</f>
        <v>3746</v>
      </c>
      <c r="K254" s="18">
        <f ca="1">IFERROR(__xludf.DUMMYFUNCTION("IMPORTRANGE(""https://docs.google.com/spreadsheets/d/1uVc-vnTn57HE53lwrUYNZP4sGKTXisrqOoZ-6EyvLzY/edit"",""10!e48"")"),0)</f>
        <v>0</v>
      </c>
      <c r="L254" s="18">
        <f t="shared" ca="1" si="688"/>
        <v>3746</v>
      </c>
      <c r="M254" s="18">
        <f t="shared" ca="1" si="689"/>
        <v>5250</v>
      </c>
      <c r="N254" s="19">
        <f t="shared" ca="1" si="690"/>
        <v>198.58399999999969</v>
      </c>
      <c r="O254" s="16">
        <v>6853</v>
      </c>
      <c r="P254" s="20">
        <f t="shared" ca="1" si="691"/>
        <v>0.76608784473953018</v>
      </c>
      <c r="Q254" s="21">
        <v>1.5</v>
      </c>
      <c r="R254" s="20">
        <f t="shared" ca="1" si="692"/>
        <v>0.50356524191274299</v>
      </c>
      <c r="S254" s="22">
        <f t="shared" ca="1" si="693"/>
        <v>0.75534786286911448</v>
      </c>
      <c r="T254" s="21">
        <f ca="1">F254/33.74</f>
        <v>205.99999999999969</v>
      </c>
      <c r="U254" s="21">
        <f t="shared" ca="1" si="694"/>
        <v>5.8857142857142764</v>
      </c>
      <c r="V254" s="18">
        <f t="shared" ca="1" si="695"/>
        <v>150</v>
      </c>
      <c r="W254" s="76"/>
      <c r="X254" s="1" t="s">
        <v>2</v>
      </c>
      <c r="Y254" s="1" t="s">
        <v>3</v>
      </c>
      <c r="Z254" s="1" t="s">
        <v>4</v>
      </c>
      <c r="AA254" s="1" t="s">
        <v>5</v>
      </c>
      <c r="AB254" s="2" t="s">
        <v>6</v>
      </c>
      <c r="AC254" s="1" t="s">
        <v>7</v>
      </c>
      <c r="AD254" s="1" t="s">
        <v>8</v>
      </c>
      <c r="AE254" s="1" t="s">
        <v>9</v>
      </c>
      <c r="AF254" s="1" t="s">
        <v>10</v>
      </c>
      <c r="AG254" s="1" t="s">
        <v>11</v>
      </c>
      <c r="AH254" s="1" t="s">
        <v>12</v>
      </c>
      <c r="AI254" s="1" t="s">
        <v>13</v>
      </c>
      <c r="AJ254" s="2" t="s">
        <v>14</v>
      </c>
      <c r="AK254" s="1" t="s">
        <v>15</v>
      </c>
      <c r="AL254" s="1" t="s">
        <v>16</v>
      </c>
      <c r="AM254" s="3" t="s">
        <v>17</v>
      </c>
      <c r="AN254" s="4" t="s">
        <v>18</v>
      </c>
      <c r="AO254" s="5" t="s">
        <v>19</v>
      </c>
      <c r="AP254" s="6" t="s">
        <v>20</v>
      </c>
      <c r="AQ254" s="6" t="s">
        <v>21</v>
      </c>
      <c r="AR254" s="7" t="s">
        <v>22</v>
      </c>
      <c r="AS254" s="76"/>
      <c r="AT254" s="76"/>
    </row>
    <row r="255" spans="1:46" ht="15.75" customHeight="1" x14ac:dyDescent="0.25">
      <c r="A255" s="70"/>
      <c r="B255" s="16">
        <v>7</v>
      </c>
      <c r="C255" s="16" t="s">
        <v>24</v>
      </c>
      <c r="D255" s="17">
        <v>44</v>
      </c>
      <c r="E255" s="31">
        <f ca="1">IFERROR(__xludf.DUMMYFUNCTION("COUNT(IMPORTRANGE(""https://docs.google.com/spreadsheets/d/1iuPvivSypupo44l6GtmR-2qZ3za7cTk7KzsOVp_kv2c/edit"",""10!d2:d45""))"),42)</f>
        <v>42</v>
      </c>
      <c r="F255" s="32">
        <f ca="1">IFERROR(__xludf.DUMMYFUNCTION("SUM(IMPORTRANGE(""https://docs.google.com/spreadsheets/d/1iuPvivSypupo44l6GtmR-2qZ3za7cTk7KzsOVp_kv2c/edit"",""10!Q2:Q45""))"),8312.54899999999)</f>
        <v>8312.54899999999</v>
      </c>
      <c r="G255" s="31">
        <f ca="1">IFERROR(__xludf.DUMMYFUNCTION("IMPORTRANGE(""https://docs.google.com/spreadsheets/d/1iuPvivSypupo44l6GtmR-2qZ3za7cTk7KzsOVp_kv2c/edit"",""10!e53"")"),1187)</f>
        <v>1187</v>
      </c>
      <c r="H255" s="31">
        <f ca="1">IFERROR(__xludf.DUMMYFUNCTION("IMPORTRANGE(""https://docs.google.com/spreadsheets/d/1iuPvivSypupo44l6GtmR-2qZ3za7cTk7KzsOVp_kv2c/edit"",""10!e54"")"),0)</f>
        <v>0</v>
      </c>
      <c r="I255" s="31">
        <f t="shared" ca="1" si="687"/>
        <v>1187</v>
      </c>
      <c r="J255" s="31">
        <f ca="1">IFERROR(__xludf.DUMMYFUNCTION("IMPORTRANGE(""https://docs.google.com/spreadsheets/d/1iuPvivSypupo44l6GtmR-2qZ3za7cTk7KzsOVp_kv2c/edit"",""10!e57"")"),1337)</f>
        <v>1337</v>
      </c>
      <c r="K255" s="31">
        <f ca="1">IFERROR(__xludf.DUMMYFUNCTION("IMPORTRANGE(""https://docs.google.com/spreadsheets/d/1iuPvivSypupo44l6GtmR-2qZ3za7cTk7KzsOVp_kv2c/edit"",""10!e58"")"),54)</f>
        <v>54</v>
      </c>
      <c r="L255" s="18">
        <f t="shared" ca="1" si="688"/>
        <v>1391</v>
      </c>
      <c r="M255" s="18">
        <f t="shared" ca="1" si="689"/>
        <v>2578</v>
      </c>
      <c r="N255" s="19">
        <f t="shared" ca="1" si="690"/>
        <v>197.91783333333311</v>
      </c>
      <c r="O255" s="16">
        <v>1580</v>
      </c>
      <c r="P255" s="33">
        <f t="shared" ca="1" si="691"/>
        <v>1.6316455696202532</v>
      </c>
      <c r="Q255" s="21">
        <v>1.5</v>
      </c>
      <c r="R255" s="20">
        <f t="shared" ca="1" si="692"/>
        <v>0.20675567346029103</v>
      </c>
      <c r="S255" s="22">
        <f t="shared" ca="1" si="693"/>
        <v>0.31013351019043656</v>
      </c>
      <c r="T255" s="21">
        <f ca="1">F255/26.805</f>
        <v>310.11188211154598</v>
      </c>
      <c r="U255" s="21">
        <f t="shared" ca="1" si="694"/>
        <v>7.3836162407510946</v>
      </c>
      <c r="V255" s="18">
        <f t="shared" ca="1" si="695"/>
        <v>61.38095238095238</v>
      </c>
      <c r="W255" s="76"/>
      <c r="X255" s="8">
        <v>1</v>
      </c>
      <c r="Y255" s="8" t="s">
        <v>28</v>
      </c>
      <c r="Z255" s="8">
        <f t="shared" ref="Z255:AI255" si="706">SUM(D250)</f>
        <v>33</v>
      </c>
      <c r="AA255" s="9">
        <f t="shared" ca="1" si="706"/>
        <v>33</v>
      </c>
      <c r="AB255" s="11">
        <f t="shared" ca="1" si="706"/>
        <v>6374.348</v>
      </c>
      <c r="AC255" s="9">
        <f t="shared" ca="1" si="706"/>
        <v>2785</v>
      </c>
      <c r="AD255" s="9">
        <f t="shared" ca="1" si="706"/>
        <v>233</v>
      </c>
      <c r="AE255" s="9">
        <f t="shared" ca="1" si="706"/>
        <v>3018</v>
      </c>
      <c r="AF255" s="9">
        <f t="shared" ca="1" si="706"/>
        <v>2590</v>
      </c>
      <c r="AG255" s="9">
        <f t="shared" ca="1" si="706"/>
        <v>252</v>
      </c>
      <c r="AH255" s="9">
        <f t="shared" ca="1" si="706"/>
        <v>2842</v>
      </c>
      <c r="AI255" s="9">
        <f t="shared" ca="1" si="706"/>
        <v>5860</v>
      </c>
      <c r="AJ255" s="11">
        <f t="shared" ref="AJ255:AJ261" ca="1" si="707">AB255/AA255</f>
        <v>193.16206060606061</v>
      </c>
      <c r="AK255" s="8">
        <f t="shared" ref="AK255:AK256" si="708">SUM(O250)</f>
        <v>7315</v>
      </c>
      <c r="AL255" s="12">
        <f t="shared" ref="AL255:AL261" ca="1" si="709">AI255/AK255</f>
        <v>0.8010936431989063</v>
      </c>
      <c r="AM255" s="13">
        <f t="shared" ref="AM255:AM256" si="710">SUM(Q250)</f>
        <v>1.5</v>
      </c>
      <c r="AN255" s="12">
        <f t="shared" ref="AN255:AN261" ca="1" si="711">AO255/AM255</f>
        <v>0.61287313881618433</v>
      </c>
      <c r="AO255" s="14">
        <f t="shared" ref="AO255:AO261" ca="1" si="712">AI255/AB255</f>
        <v>0.91930970822427649</v>
      </c>
      <c r="AP255" s="13">
        <f t="shared" ref="AP255:AQ255" ca="1" si="713">SUM(T250)</f>
        <v>206.30960934718581</v>
      </c>
      <c r="AQ255" s="13">
        <f t="shared" ca="1" si="713"/>
        <v>6.2518063438541152</v>
      </c>
      <c r="AR255" s="9">
        <f t="shared" ref="AR255:AR261" ca="1" si="714">AI255/AA255</f>
        <v>177.57575757575756</v>
      </c>
      <c r="AS255" s="76"/>
      <c r="AT255" s="76"/>
    </row>
    <row r="256" spans="1:46" ht="15.75" customHeight="1" x14ac:dyDescent="0.25">
      <c r="A256" s="70"/>
      <c r="B256" s="16">
        <v>8</v>
      </c>
      <c r="C256" s="16" t="s">
        <v>25</v>
      </c>
      <c r="D256" s="34">
        <v>32</v>
      </c>
      <c r="E256" s="18">
        <f ca="1">IFERROR(__xludf.DUMMYFUNCTION("COUNT(IMPORTRANGE(""https://docs.google.com/spreadsheets/d/1sqWX7UerdR9KR_duBzDNfjwbPG-3hLgV1LiN2ZVZ6Js/edit"",""10!d2:D33""))"),30)</f>
        <v>30</v>
      </c>
      <c r="F256" s="23">
        <f ca="1">IFERROR(__xludf.DUMMYFUNCTION("SUM(IMPORTRANGE(""https://docs.google.com/spreadsheets/d/1sqWX7UerdR9KR_duBzDNfjwbPG-3hLgV1LiN2ZVZ6Js/edit"",""10!Q2:Q33""))"),5626.24)</f>
        <v>5626.24</v>
      </c>
      <c r="G256" s="18">
        <f ca="1">IFERROR(__xludf.DUMMYFUNCTION("IMPORTRANGE(""https://docs.google.com/spreadsheets/d/1sqWX7UerdR9KR_duBzDNfjwbPG-3hLgV1LiN2ZVZ6Js/edit"",""10!e40"")"),2345)</f>
        <v>2345</v>
      </c>
      <c r="H256" s="18">
        <f ca="1">IFERROR(__xludf.DUMMYFUNCTION("IMPORTRANGE(""https://docs.google.com/spreadsheets/d/1sqWX7UerdR9KR_duBzDNfjwbPG-3hLgV1LiN2ZVZ6Js/edit"",""10!e41"")"),462)</f>
        <v>462</v>
      </c>
      <c r="I256" s="18">
        <f t="shared" ca="1" si="687"/>
        <v>2807</v>
      </c>
      <c r="J256" s="18">
        <f ca="1">IFERROR(__xludf.DUMMYFUNCTION("IMPORTRANGE(""https://docs.google.com/spreadsheets/d/1sqWX7UerdR9KR_duBzDNfjwbPG-3hLgV1LiN2ZVZ6Js/edit"",""10!e44"")"),3140)</f>
        <v>3140</v>
      </c>
      <c r="K256" s="18">
        <f ca="1">IFERROR(__xludf.DUMMYFUNCTION("IMPORTRANGE(""https://docs.google.com/spreadsheets/d/1sqWX7UerdR9KR_duBzDNfjwbPG-3hLgV1LiN2ZVZ6Js/edit"",""10!e45"")"),702)</f>
        <v>702</v>
      </c>
      <c r="L256" s="18">
        <f ca="1">J256+K256</f>
        <v>3842</v>
      </c>
      <c r="M256" s="18">
        <f t="shared" ca="1" si="689"/>
        <v>6649</v>
      </c>
      <c r="N256" s="19">
        <f t="shared" ca="1" si="690"/>
        <v>187.54133333333331</v>
      </c>
      <c r="O256" s="16">
        <v>6622</v>
      </c>
      <c r="P256" s="33">
        <f t="shared" ca="1" si="691"/>
        <v>1.0040773180308065</v>
      </c>
      <c r="Q256" s="21">
        <v>1.5</v>
      </c>
      <c r="R256" s="20">
        <f t="shared" ca="1" si="692"/>
        <v>0.78785595116217344</v>
      </c>
      <c r="S256" s="22">
        <f t="shared" ca="1" si="693"/>
        <v>1.1817839267432602</v>
      </c>
      <c r="T256" s="21">
        <f ca="1">F256/23.84</f>
        <v>236</v>
      </c>
      <c r="U256" s="21">
        <f t="shared" ca="1" si="694"/>
        <v>7.8666666666666663</v>
      </c>
      <c r="V256" s="18">
        <f t="shared" ca="1" si="695"/>
        <v>221.63333333333333</v>
      </c>
      <c r="W256" s="76"/>
      <c r="X256" s="8">
        <v>2</v>
      </c>
      <c r="Y256" s="8" t="s">
        <v>30</v>
      </c>
      <c r="Z256" s="8">
        <f t="shared" ref="Z256:AI256" si="715">SUM(D251)</f>
        <v>60</v>
      </c>
      <c r="AA256" s="9">
        <f t="shared" ca="1" si="715"/>
        <v>56</v>
      </c>
      <c r="AB256" s="10">
        <f t="shared" ca="1" si="715"/>
        <v>10927.627999999901</v>
      </c>
      <c r="AC256" s="9">
        <f t="shared" ca="1" si="715"/>
        <v>3456</v>
      </c>
      <c r="AD256" s="9">
        <f t="shared" ca="1" si="715"/>
        <v>0</v>
      </c>
      <c r="AE256" s="9">
        <f t="shared" ca="1" si="715"/>
        <v>3456</v>
      </c>
      <c r="AF256" s="9">
        <f t="shared" ca="1" si="715"/>
        <v>5720</v>
      </c>
      <c r="AG256" s="9">
        <f t="shared" ca="1" si="715"/>
        <v>0</v>
      </c>
      <c r="AH256" s="9">
        <f t="shared" ca="1" si="715"/>
        <v>5720</v>
      </c>
      <c r="AI256" s="9">
        <f t="shared" ca="1" si="715"/>
        <v>9176</v>
      </c>
      <c r="AJ256" s="11">
        <f t="shared" ca="1" si="707"/>
        <v>195.1362142857125</v>
      </c>
      <c r="AK256" s="8">
        <f t="shared" si="708"/>
        <v>11164</v>
      </c>
      <c r="AL256" s="12">
        <f t="shared" ca="1" si="709"/>
        <v>0.82192762450734502</v>
      </c>
      <c r="AM256" s="13">
        <f t="shared" si="710"/>
        <v>1.5</v>
      </c>
      <c r="AN256" s="12">
        <f t="shared" ca="1" si="711"/>
        <v>0.55980431739929182</v>
      </c>
      <c r="AO256" s="14">
        <f t="shared" ca="1" si="712"/>
        <v>0.83970647609893778</v>
      </c>
      <c r="AP256" s="13">
        <f t="shared" ref="AP256:AQ256" ca="1" si="716">SUM(T251)</f>
        <v>369.13920886396312</v>
      </c>
      <c r="AQ256" s="13">
        <f t="shared" ca="1" si="716"/>
        <v>6.5917715868564839</v>
      </c>
      <c r="AR256" s="9">
        <f t="shared" ca="1" si="714"/>
        <v>163.85714285714286</v>
      </c>
      <c r="AS256" s="76"/>
      <c r="AT256" s="76"/>
    </row>
    <row r="257" spans="1:46" ht="15.75" customHeight="1" x14ac:dyDescent="0.25">
      <c r="A257" s="70"/>
      <c r="B257" s="16">
        <v>9</v>
      </c>
      <c r="C257" s="16" t="s">
        <v>36</v>
      </c>
      <c r="D257" s="34">
        <v>30</v>
      </c>
      <c r="E257" s="18">
        <f ca="1">IFERROR(__xludf.DUMMYFUNCTION("COUNT(IMPORTRANGE(""https://docs.google.com/spreadsheets/d/1YNna43iTSqnwwbMJgTIPHSJEoDO8RGPRFg5pJCoQR_Y/edit"",""10!d2:d31""))"),30)</f>
        <v>30</v>
      </c>
      <c r="F257" s="23">
        <f ca="1">IFERROR(__xludf.DUMMYFUNCTION("SUM(IMPORTRANGE(""https://docs.google.com/spreadsheets/d/1YNna43iTSqnwwbMJgTIPHSJEoDO8RGPRFg5pJCoQR_Y/edit"",""10!Q2:Q31""))"),5848.109)</f>
        <v>5848.1090000000004</v>
      </c>
      <c r="G257" s="18">
        <f ca="1">IFERROR(__xludf.DUMMYFUNCTION("IMPORTRANGE(""https://docs.google.com/spreadsheets/d/1YNna43iTSqnwwbMJgTIPHSJEoDO8RGPRFg5pJCoQR_Y/edit"",""10!e38"")"),1697)</f>
        <v>1697</v>
      </c>
      <c r="H257" s="18">
        <f ca="1">IFERROR(__xludf.DUMMYFUNCTION("IMPORTRANGE(""https://docs.google.com/spreadsheets/d/1YNna43iTSqnwwbMJgTIPHSJEoDO8RGPRFg5pJCoQR_Y/edit"",""10!e39"")"),0)</f>
        <v>0</v>
      </c>
      <c r="I257" s="18">
        <f t="shared" ca="1" si="687"/>
        <v>1697</v>
      </c>
      <c r="J257" s="18">
        <f ca="1">IFERROR(__xludf.DUMMYFUNCTION("IMPORTRANGE(""https://docs.google.com/spreadsheets/d/1YNna43iTSqnwwbMJgTIPHSJEoDO8RGPRFg5pJCoQR_Y/edit"",""10!e42"")"),2342)</f>
        <v>2342</v>
      </c>
      <c r="K257" s="18">
        <f ca="1">IFERROR(__xludf.DUMMYFUNCTION("IMPORTRANGE(""https://docs.google.com/spreadsheets/d/1YNna43iTSqnwwbMJgTIPHSJEoDO8RGPRFg5pJCoQR_Y/edit"",""10!e43"")"),0)</f>
        <v>0</v>
      </c>
      <c r="L257" s="18">
        <f t="shared" ref="L257:L266" ca="1" si="717">SUM(J257:K257)</f>
        <v>2342</v>
      </c>
      <c r="M257" s="18">
        <f t="shared" ca="1" si="689"/>
        <v>4039</v>
      </c>
      <c r="N257" s="19">
        <f t="shared" ca="1" si="690"/>
        <v>194.93696666666668</v>
      </c>
      <c r="O257" s="16">
        <v>4796</v>
      </c>
      <c r="P257" s="20">
        <f t="shared" ca="1" si="691"/>
        <v>0.84216013344453711</v>
      </c>
      <c r="Q257" s="21">
        <v>1.5</v>
      </c>
      <c r="R257" s="20">
        <f t="shared" ca="1" si="692"/>
        <v>0.46043373450574648</v>
      </c>
      <c r="S257" s="22">
        <f t="shared" ca="1" si="693"/>
        <v>0.6906506017586197</v>
      </c>
      <c r="T257" s="21">
        <f ca="1">F257/37.414</f>
        <v>156.30803977120866</v>
      </c>
      <c r="U257" s="21">
        <f t="shared" ca="1" si="694"/>
        <v>5.2102679923736215</v>
      </c>
      <c r="V257" s="18">
        <f t="shared" ca="1" si="695"/>
        <v>134.63333333333333</v>
      </c>
      <c r="W257" s="76"/>
      <c r="X257" s="8">
        <v>3</v>
      </c>
      <c r="Y257" s="8" t="s">
        <v>34</v>
      </c>
      <c r="Z257" s="8">
        <f t="shared" ref="Z257:AI257" si="718">SUM(D253)</f>
        <v>40</v>
      </c>
      <c r="AA257" s="9">
        <f t="shared" ca="1" si="718"/>
        <v>40</v>
      </c>
      <c r="AB257" s="10">
        <f t="shared" ca="1" si="718"/>
        <v>7950.63</v>
      </c>
      <c r="AC257" s="9">
        <f t="shared" ca="1" si="718"/>
        <v>2874</v>
      </c>
      <c r="AD257" s="9">
        <f t="shared" ca="1" si="718"/>
        <v>0</v>
      </c>
      <c r="AE257" s="9">
        <f t="shared" ca="1" si="718"/>
        <v>2874</v>
      </c>
      <c r="AF257" s="9">
        <f t="shared" ca="1" si="718"/>
        <v>3331</v>
      </c>
      <c r="AG257" s="9">
        <f t="shared" ca="1" si="718"/>
        <v>0</v>
      </c>
      <c r="AH257" s="9">
        <f t="shared" ca="1" si="718"/>
        <v>3331</v>
      </c>
      <c r="AI257" s="9">
        <f t="shared" ca="1" si="718"/>
        <v>6205</v>
      </c>
      <c r="AJ257" s="11">
        <f t="shared" ca="1" si="707"/>
        <v>198.76575</v>
      </c>
      <c r="AK257" s="8">
        <f>SUM(O253)</f>
        <v>9354</v>
      </c>
      <c r="AL257" s="12">
        <f t="shared" ca="1" si="709"/>
        <v>0.66335257643788759</v>
      </c>
      <c r="AM257" s="13">
        <f>SUM(Q253)</f>
        <v>1.5</v>
      </c>
      <c r="AN257" s="12">
        <f t="shared" ca="1" si="711"/>
        <v>0.52029419890834649</v>
      </c>
      <c r="AO257" s="14">
        <f t="shared" ca="1" si="712"/>
        <v>0.78044129836251974</v>
      </c>
      <c r="AP257" s="13">
        <f t="shared" ref="AP257:AQ257" ca="1" si="719">SUM(T253)</f>
        <v>258.86855728844461</v>
      </c>
      <c r="AQ257" s="13">
        <f t="shared" ca="1" si="719"/>
        <v>6.4717139322111148</v>
      </c>
      <c r="AR257" s="9">
        <f t="shared" ca="1" si="714"/>
        <v>155.125</v>
      </c>
      <c r="AS257" s="76"/>
      <c r="AT257" s="76"/>
    </row>
    <row r="258" spans="1:46" ht="15.75" customHeight="1" x14ac:dyDescent="0.25">
      <c r="A258" s="70"/>
      <c r="B258" s="16">
        <v>10</v>
      </c>
      <c r="C258" s="16" t="s">
        <v>37</v>
      </c>
      <c r="D258" s="17">
        <v>30</v>
      </c>
      <c r="E258" s="18">
        <f ca="1">IFERROR(__xludf.DUMMYFUNCTION("COUNT(IMPORTRANGE(""https://docs.google.com/spreadsheets/d/1913Df5BsXS_b-nClL8LOK5w0engQYTl1mPOiyngRtO0/edit"",""10!d2:d31""))"),29)</f>
        <v>29</v>
      </c>
      <c r="F258" s="23">
        <f ca="1">IFERROR(__xludf.DUMMYFUNCTION("SUM(IMPORTRANGE(""https://docs.google.com/spreadsheets/d/1913Df5BsXS_b-nClL8LOK5w0engQYTl1mPOiyngRtO0/edit"",""10!Q2:Q31""))"),5451.61799999999)</f>
        <v>5451.6179999999904</v>
      </c>
      <c r="G258" s="18">
        <f ca="1">IFERROR(__xludf.DUMMYFUNCTION("(IMPORTRANGE(""https://docs.google.com/spreadsheets/d/1913Df5BsXS_b-nClL8LOK5w0engQYTl1mPOiyngRtO0/edit"",""10!e38""))"),2148)</f>
        <v>2148</v>
      </c>
      <c r="H258" s="18">
        <f ca="1">IFERROR(__xludf.DUMMYFUNCTION("(IMPORTRANGE(""https://docs.google.com/spreadsheets/d/1913Df5BsXS_b-nClL8LOK5w0engQYTl1mPOiyngRtO0/edit"",""10!e39""))"),0)</f>
        <v>0</v>
      </c>
      <c r="I258" s="18">
        <f t="shared" ca="1" si="687"/>
        <v>2148</v>
      </c>
      <c r="J258" s="18">
        <f ca="1">IFERROR(__xludf.DUMMYFUNCTION("(IMPORTRANGE(""https://docs.google.com/spreadsheets/d/1913Df5BsXS_b-nClL8LOK5w0engQYTl1mPOiyngRtO0/edit"",""10!e42""))"),2971)</f>
        <v>2971</v>
      </c>
      <c r="K258" s="18">
        <f ca="1">IFERROR(__xludf.DUMMYFUNCTION("(IMPORTRANGE(""https://docs.google.com/spreadsheets/d/1913Df5BsXS_b-nClL8LOK5w0engQYTl1mPOiyngRtO0/edit"",""10!e43""))"),0)</f>
        <v>0</v>
      </c>
      <c r="L258" s="18">
        <f t="shared" ca="1" si="717"/>
        <v>2971</v>
      </c>
      <c r="M258" s="18">
        <f t="shared" ca="1" si="689"/>
        <v>5119</v>
      </c>
      <c r="N258" s="19">
        <f t="shared" ca="1" si="690"/>
        <v>187.98682758620657</v>
      </c>
      <c r="O258" s="16">
        <v>5887</v>
      </c>
      <c r="P258" s="20">
        <f t="shared" ca="1" si="691"/>
        <v>0.86954306098182432</v>
      </c>
      <c r="Q258" s="21">
        <v>1.5</v>
      </c>
      <c r="R258" s="20">
        <f t="shared" ca="1" si="692"/>
        <v>0.6259915252071353</v>
      </c>
      <c r="S258" s="22">
        <f t="shared" ca="1" si="693"/>
        <v>0.93898728781070295</v>
      </c>
      <c r="T258" s="21">
        <f ca="1">F258/24.792</f>
        <v>219.89424007744392</v>
      </c>
      <c r="U258" s="21">
        <f t="shared" ca="1" si="694"/>
        <v>7.5825600026704798</v>
      </c>
      <c r="V258" s="18">
        <f t="shared" ca="1" si="695"/>
        <v>176.51724137931035</v>
      </c>
      <c r="W258" s="76"/>
      <c r="X258" s="8">
        <v>4</v>
      </c>
      <c r="Y258" s="8" t="s">
        <v>38</v>
      </c>
      <c r="Z258" s="8">
        <f t="shared" ref="Z258:AI258" si="720">SUM(D261)</f>
        <v>30</v>
      </c>
      <c r="AA258" s="9">
        <f t="shared" ca="1" si="720"/>
        <v>30</v>
      </c>
      <c r="AB258" s="10">
        <f t="shared" ca="1" si="720"/>
        <v>6354.8489999999902</v>
      </c>
      <c r="AC258" s="9">
        <f t="shared" ca="1" si="720"/>
        <v>2171</v>
      </c>
      <c r="AD258" s="9">
        <f t="shared" ca="1" si="720"/>
        <v>62</v>
      </c>
      <c r="AE258" s="9">
        <f t="shared" ca="1" si="720"/>
        <v>2233</v>
      </c>
      <c r="AF258" s="9">
        <f t="shared" ca="1" si="720"/>
        <v>2563</v>
      </c>
      <c r="AG258" s="9">
        <f t="shared" ca="1" si="720"/>
        <v>292</v>
      </c>
      <c r="AH258" s="9">
        <f t="shared" ca="1" si="720"/>
        <v>2855</v>
      </c>
      <c r="AI258" s="9">
        <f t="shared" ca="1" si="720"/>
        <v>5088</v>
      </c>
      <c r="AJ258" s="11">
        <f t="shared" ca="1" si="707"/>
        <v>211.82829999999967</v>
      </c>
      <c r="AK258" s="8">
        <v>7324</v>
      </c>
      <c r="AL258" s="12">
        <f t="shared" ca="1" si="709"/>
        <v>0.69470234844347356</v>
      </c>
      <c r="AM258" s="13">
        <f>SUM(Q261)</f>
        <v>1.5</v>
      </c>
      <c r="AN258" s="12">
        <f t="shared" ca="1" si="711"/>
        <v>0.53376563314092984</v>
      </c>
      <c r="AO258" s="14">
        <f t="shared" ca="1" si="712"/>
        <v>0.80064844971139482</v>
      </c>
      <c r="AP258" s="13">
        <f t="shared" ref="AP258:AQ258" ca="1" si="721">SUM(T261)</f>
        <v>154.2251911175826</v>
      </c>
      <c r="AQ258" s="13">
        <f t="shared" ca="1" si="721"/>
        <v>5.1408397039194202</v>
      </c>
      <c r="AR258" s="9">
        <f t="shared" ca="1" si="714"/>
        <v>169.6</v>
      </c>
      <c r="AS258" s="76"/>
      <c r="AT258" s="76"/>
    </row>
    <row r="259" spans="1:46" ht="15.75" customHeight="1" x14ac:dyDescent="0.25">
      <c r="A259" s="70"/>
      <c r="B259" s="16">
        <v>12</v>
      </c>
      <c r="C259" s="16" t="s">
        <v>39</v>
      </c>
      <c r="D259" s="17">
        <v>28</v>
      </c>
      <c r="E259" s="18">
        <f ca="1">IFERROR(__xludf.DUMMYFUNCTION("COUNT(IMPORTRANGE(""https://docs.google.com/spreadsheets/d/1wMeol_MpSIcocGxt3WZGl46mJ2tc80mANPvP_YzaP18/edit"",""10!d2:d29""))"),28)</f>
        <v>28</v>
      </c>
      <c r="F259" s="23">
        <f ca="1">IFERROR(__xludf.DUMMYFUNCTION("SUM(IMPORTRANGE(""https://docs.google.com/spreadsheets/d/1wMeol_MpSIcocGxt3WZGl46mJ2tc80mANPvP_YzaP18/edit"",""10!Q2:Q29""))"),5201.32199999999)</f>
        <v>5201.3219999999901</v>
      </c>
      <c r="G259" s="18">
        <f ca="1">IFERROR(__xludf.DUMMYFUNCTION("IMPORTRANGE(""https://docs.google.com/spreadsheets/d/1wMeol_MpSIcocGxt3WZGl46mJ2tc80mANPvP_YzaP18/edit"",""10!e36"")"),1332)</f>
        <v>1332</v>
      </c>
      <c r="H259" s="18">
        <f ca="1">IFERROR(__xludf.DUMMYFUNCTION("(IMPORTRANGE(""https://docs.google.com/spreadsheets/d/1wMeol_MpSIcocGxt3WZGl46mJ2tc80mANPvP_YzaP18/edit"",""10!e37""))"),0)</f>
        <v>0</v>
      </c>
      <c r="I259" s="18">
        <f t="shared" ca="1" si="687"/>
        <v>1332</v>
      </c>
      <c r="J259" s="18">
        <f ca="1">IFERROR(__xludf.DUMMYFUNCTION("IMPORTRANGE(""https://docs.google.com/spreadsheets/d/1wMeol_MpSIcocGxt3WZGl46mJ2tc80mANPvP_YzaP18/edit"",""10!e40"")"),1540)</f>
        <v>1540</v>
      </c>
      <c r="K259" s="18">
        <f ca="1">IFERROR(__xludf.DUMMYFUNCTION("IMPORTRANGE(""https://docs.google.com/spreadsheets/d/1wMeol_MpSIcocGxt3WZGl46mJ2tc80mANPvP_YzaP18/edit"",""10!e41"")"),140)</f>
        <v>140</v>
      </c>
      <c r="L259" s="18">
        <f t="shared" ca="1" si="717"/>
        <v>1680</v>
      </c>
      <c r="M259" s="18">
        <f t="shared" ca="1" si="689"/>
        <v>3012</v>
      </c>
      <c r="N259" s="19">
        <f t="shared" ca="1" si="690"/>
        <v>185.76149999999964</v>
      </c>
      <c r="O259" s="16">
        <v>3569</v>
      </c>
      <c r="P259" s="20">
        <f t="shared" ca="1" si="691"/>
        <v>0.84393387503502382</v>
      </c>
      <c r="Q259" s="21">
        <v>1.5</v>
      </c>
      <c r="R259" s="20">
        <f t="shared" ca="1" si="692"/>
        <v>0.3860556989165454</v>
      </c>
      <c r="S259" s="22">
        <f t="shared" ca="1" si="693"/>
        <v>0.57908354837481812</v>
      </c>
      <c r="T259" s="21">
        <f ca="1">F259/21.463</f>
        <v>242.33900200344732</v>
      </c>
      <c r="U259" s="21">
        <f t="shared" ca="1" si="694"/>
        <v>8.6549643572659765</v>
      </c>
      <c r="V259" s="18">
        <f t="shared" ca="1" si="695"/>
        <v>107.57142857142857</v>
      </c>
      <c r="W259" s="76"/>
      <c r="X259" s="8">
        <v>5</v>
      </c>
      <c r="Y259" s="8" t="s">
        <v>40</v>
      </c>
      <c r="Z259" s="8">
        <f t="shared" ref="Z259:AI259" si="722">SUM(D263)</f>
        <v>30</v>
      </c>
      <c r="AA259" s="9">
        <f t="shared" ca="1" si="722"/>
        <v>30</v>
      </c>
      <c r="AB259" s="10">
        <f t="shared" ca="1" si="722"/>
        <v>5973.0299999999897</v>
      </c>
      <c r="AC259" s="9">
        <f t="shared" ca="1" si="722"/>
        <v>3369</v>
      </c>
      <c r="AD259" s="9">
        <f t="shared" ca="1" si="722"/>
        <v>35</v>
      </c>
      <c r="AE259" s="9">
        <f t="shared" ca="1" si="722"/>
        <v>3404</v>
      </c>
      <c r="AF259" s="9">
        <f t="shared" ca="1" si="722"/>
        <v>4003</v>
      </c>
      <c r="AG259" s="9">
        <f t="shared" ca="1" si="722"/>
        <v>39</v>
      </c>
      <c r="AH259" s="9">
        <f t="shared" ca="1" si="722"/>
        <v>4042</v>
      </c>
      <c r="AI259" s="9">
        <f t="shared" ca="1" si="722"/>
        <v>7446</v>
      </c>
      <c r="AJ259" s="11">
        <f t="shared" ca="1" si="707"/>
        <v>199.10099999999966</v>
      </c>
      <c r="AK259" s="8">
        <f t="shared" ref="AK259:AK260" si="723">SUM(O263)</f>
        <v>8239</v>
      </c>
      <c r="AL259" s="12">
        <f t="shared" ca="1" si="709"/>
        <v>0.90375045515232433</v>
      </c>
      <c r="AM259" s="13">
        <f t="shared" ref="AM259:AM260" si="724">SUM(Q263)</f>
        <v>1.5</v>
      </c>
      <c r="AN259" s="12">
        <f t="shared" ca="1" si="711"/>
        <v>0.83106898843635613</v>
      </c>
      <c r="AO259" s="14">
        <f t="shared" ca="1" si="712"/>
        <v>1.2466034826545342</v>
      </c>
      <c r="AP259" s="13">
        <f t="shared" ref="AP259:AQ259" ca="1" si="725">SUM(T263)</f>
        <v>209.99999999999963</v>
      </c>
      <c r="AQ259" s="13">
        <f t="shared" ca="1" si="725"/>
        <v>6.9999999999999876</v>
      </c>
      <c r="AR259" s="9">
        <f t="shared" ca="1" si="714"/>
        <v>248.2</v>
      </c>
      <c r="AS259" s="76"/>
      <c r="AT259" s="76"/>
    </row>
    <row r="260" spans="1:46" ht="15.75" customHeight="1" x14ac:dyDescent="0.25">
      <c r="A260" s="70"/>
      <c r="B260" s="16">
        <v>12</v>
      </c>
      <c r="C260" s="16" t="s">
        <v>41</v>
      </c>
      <c r="D260" s="17">
        <v>24</v>
      </c>
      <c r="E260" s="18">
        <f ca="1">IFERROR(__xludf.DUMMYFUNCTION("COUNT(IMPORTRANGE(""https://docs.google.com/spreadsheets/d/1sHk6_yuc4kORC_xnhEeazoemV_hVUQVqRpfoNae-PLk/edit"",""10!d2:d25""))"),24)</f>
        <v>24</v>
      </c>
      <c r="F260" s="23">
        <f ca="1">IFERROR(__xludf.DUMMYFUNCTION("SUM(IMPORTRANGE(""https://docs.google.com/spreadsheets/d/1sHk6_yuc4kORC_xnhEeazoemV_hVUQVqRpfoNae-PLk/edit"",""10!Q2:Q25""))"),4806.32)</f>
        <v>4806.32</v>
      </c>
      <c r="G260" s="18">
        <f ca="1">IFERROR(__xludf.DUMMYFUNCTION("IMPORTRANGE(""https://docs.google.com/spreadsheets/d/1sHk6_yuc4kORC_xnhEeazoemV_hVUQVqRpfoNae-PLk/edit"",""10!e32"")"),1290)</f>
        <v>1290</v>
      </c>
      <c r="H260" s="18">
        <f ca="1">IFERROR(__xludf.DUMMYFUNCTION("IMPORTRANGE(""https://docs.google.com/spreadsheets/d/1sHk6_yuc4kORC_xnhEeazoemV_hVUQVqRpfoNae-PLk/edit"",""10!e33"")"),0)</f>
        <v>0</v>
      </c>
      <c r="I260" s="18">
        <f t="shared" ca="1" si="687"/>
        <v>1290</v>
      </c>
      <c r="J260" s="18">
        <f ca="1">IFERROR(__xludf.DUMMYFUNCTION("IMPORTRANGE(""https://docs.google.com/spreadsheets/d/1sHk6_yuc4kORC_xnhEeazoemV_hVUQVqRpfoNae-PLk/edit"",""10!e36"")"),1659)</f>
        <v>1659</v>
      </c>
      <c r="K260" s="18">
        <f ca="1">IFERROR(__xludf.DUMMYFUNCTION("IMPORTRANGE(""https://docs.google.com/spreadsheets/d/1sHk6_yuc4kORC_xnhEeazoemV_hVUQVqRpfoNae-PLk/edit"",""10!e37"")"),114)</f>
        <v>114</v>
      </c>
      <c r="L260" s="18">
        <f t="shared" ca="1" si="717"/>
        <v>1773</v>
      </c>
      <c r="M260" s="18">
        <f t="shared" ca="1" si="689"/>
        <v>3063</v>
      </c>
      <c r="N260" s="19">
        <f t="shared" ca="1" si="690"/>
        <v>200.26333333333332</v>
      </c>
      <c r="O260" s="16">
        <v>3801</v>
      </c>
      <c r="P260" s="20">
        <f t="shared" ca="1" si="691"/>
        <v>0.80584056827150752</v>
      </c>
      <c r="Q260" s="21">
        <v>1.5</v>
      </c>
      <c r="R260" s="20">
        <f t="shared" ca="1" si="692"/>
        <v>0.42485727125950828</v>
      </c>
      <c r="S260" s="22">
        <f t="shared" ca="1" si="693"/>
        <v>0.63728590688926245</v>
      </c>
      <c r="T260" s="21">
        <f ca="1">F260/29.628</f>
        <v>162.2222222222222</v>
      </c>
      <c r="U260" s="21">
        <f t="shared" ca="1" si="694"/>
        <v>6.7592592592592586</v>
      </c>
      <c r="V260" s="18">
        <f t="shared" ca="1" si="695"/>
        <v>127.625</v>
      </c>
      <c r="W260" s="76"/>
      <c r="X260" s="8">
        <v>6</v>
      </c>
      <c r="Y260" s="8" t="s">
        <v>42</v>
      </c>
      <c r="Z260" s="8">
        <f t="shared" ref="Z260:AI260" si="726">SUM(D264)</f>
        <v>33</v>
      </c>
      <c r="AA260" s="9">
        <f t="shared" ca="1" si="726"/>
        <v>33</v>
      </c>
      <c r="AB260" s="10">
        <f t="shared" ca="1" si="726"/>
        <v>6494.1329999999898</v>
      </c>
      <c r="AC260" s="9">
        <f t="shared" ca="1" si="726"/>
        <v>3136</v>
      </c>
      <c r="AD260" s="9">
        <f t="shared" ca="1" si="726"/>
        <v>177</v>
      </c>
      <c r="AE260" s="9">
        <f t="shared" ca="1" si="726"/>
        <v>3313</v>
      </c>
      <c r="AF260" s="9">
        <f t="shared" ca="1" si="726"/>
        <v>4554</v>
      </c>
      <c r="AG260" s="9">
        <f t="shared" ca="1" si="726"/>
        <v>0</v>
      </c>
      <c r="AH260" s="9">
        <f t="shared" ca="1" si="726"/>
        <v>4554</v>
      </c>
      <c r="AI260" s="9">
        <f t="shared" ca="1" si="726"/>
        <v>7867</v>
      </c>
      <c r="AJ260" s="11">
        <f t="shared" ca="1" si="707"/>
        <v>196.79190909090877</v>
      </c>
      <c r="AK260" s="8">
        <f t="shared" si="723"/>
        <v>9877</v>
      </c>
      <c r="AL260" s="12">
        <f t="shared" ca="1" si="709"/>
        <v>0.79649691201781914</v>
      </c>
      <c r="AM260" s="13">
        <f t="shared" si="724"/>
        <v>1.5</v>
      </c>
      <c r="AN260" s="12">
        <f t="shared" ca="1" si="711"/>
        <v>0.80760074773132529</v>
      </c>
      <c r="AO260" s="14">
        <f t="shared" ca="1" si="712"/>
        <v>1.211401121596988</v>
      </c>
      <c r="AP260" s="13">
        <f t="shared" ref="AP260:AQ260" ca="1" si="727">SUM(T264)</f>
        <v>248.29413114127277</v>
      </c>
      <c r="AQ260" s="13">
        <f t="shared" ca="1" si="727"/>
        <v>7.5240645800385693</v>
      </c>
      <c r="AR260" s="9">
        <f t="shared" ca="1" si="714"/>
        <v>238.39393939393941</v>
      </c>
      <c r="AS260" s="76"/>
      <c r="AT260" s="76"/>
    </row>
    <row r="261" spans="1:46" ht="15.75" customHeight="1" x14ac:dyDescent="0.25">
      <c r="A261" s="70"/>
      <c r="B261" s="16">
        <v>13</v>
      </c>
      <c r="C261" s="16" t="s">
        <v>43</v>
      </c>
      <c r="D261" s="17">
        <v>30</v>
      </c>
      <c r="E261" s="18">
        <f ca="1">IFERROR(__xludf.DUMMYFUNCTION("COUNT(IMPORTRANGE(""https://docs.google.com/spreadsheets/d/1uGXvAN2jA6kmcEHUY4KqOHHewllZsujDdA6KVDfBCoA/edit"",""10!d2:d31""))"),30)</f>
        <v>30</v>
      </c>
      <c r="F261" s="23">
        <f ca="1">IFERROR(__xludf.DUMMYFUNCTION("SUM(IMPORTRANGE(""https://docs.google.com/spreadsheets/d/1uGXvAN2jA6kmcEHUY4KqOHHewllZsujDdA6KVDfBCoA/edit"",""10!Q2:Q31""))"),6354.84899999999)</f>
        <v>6354.8489999999902</v>
      </c>
      <c r="G261" s="18">
        <f ca="1">IFERROR(__xludf.DUMMYFUNCTION("IMPORTRANGE(""https://docs.google.com/spreadsheets/d/1uGXvAN2jA6kmcEHUY4KqOHHewllZsujDdA6KVDfBCoA/edit"",""10!e38"")"),2171)</f>
        <v>2171</v>
      </c>
      <c r="H261" s="18">
        <f ca="1">IFERROR(__xludf.DUMMYFUNCTION("IMPORTRANGE(""https://docs.google.com/spreadsheets/d/1uGXvAN2jA6kmcEHUY4KqOHHewllZsujDdA6KVDfBCoA/edit"",""10!e39"")"),62)</f>
        <v>62</v>
      </c>
      <c r="I261" s="18">
        <f t="shared" ca="1" si="687"/>
        <v>2233</v>
      </c>
      <c r="J261" s="18">
        <f ca="1">IFERROR(__xludf.DUMMYFUNCTION("IMPORTRANGE(""https://docs.google.com/spreadsheets/d/1uGXvAN2jA6kmcEHUY4KqOHHewllZsujDdA6KVDfBCoA/edit"",""10!e42"")"),2563)</f>
        <v>2563</v>
      </c>
      <c r="K261" s="18">
        <f ca="1">IFERROR(__xludf.DUMMYFUNCTION("IMPORTRANGE(""https://docs.google.com/spreadsheets/d/1uGXvAN2jA6kmcEHUY4KqOHHewllZsujDdA6KVDfBCoA/edit"",""10!e43"")"),292)</f>
        <v>292</v>
      </c>
      <c r="L261" s="18">
        <f t="shared" ca="1" si="717"/>
        <v>2855</v>
      </c>
      <c r="M261" s="18">
        <f t="shared" ca="1" si="689"/>
        <v>5088</v>
      </c>
      <c r="N261" s="19">
        <f t="shared" ca="1" si="690"/>
        <v>211.82829999999967</v>
      </c>
      <c r="O261" s="16">
        <v>8345</v>
      </c>
      <c r="P261" s="20">
        <f t="shared" ca="1" si="691"/>
        <v>0.60970641102456558</v>
      </c>
      <c r="Q261" s="21">
        <v>1.5</v>
      </c>
      <c r="R261" s="20">
        <f t="shared" ca="1" si="692"/>
        <v>0.53376563314092984</v>
      </c>
      <c r="S261" s="22">
        <f t="shared" ca="1" si="693"/>
        <v>0.80064844971139482</v>
      </c>
      <c r="T261" s="21">
        <f ca="1">F261/41.205</f>
        <v>154.2251911175826</v>
      </c>
      <c r="U261" s="21">
        <f t="shared" ca="1" si="694"/>
        <v>5.1408397039194202</v>
      </c>
      <c r="V261" s="18">
        <f t="shared" ca="1" si="695"/>
        <v>169.6</v>
      </c>
      <c r="W261" s="76"/>
      <c r="X261" s="24" t="s">
        <v>33</v>
      </c>
      <c r="Y261" s="24">
        <v>6</v>
      </c>
      <c r="Z261" s="24">
        <f t="shared" ref="Z261:AI261" si="728">SUM(Z255:Z260)</f>
        <v>226</v>
      </c>
      <c r="AA261" s="25">
        <f t="shared" ca="1" si="728"/>
        <v>222</v>
      </c>
      <c r="AB261" s="27">
        <f t="shared" ca="1" si="728"/>
        <v>44074.617999999871</v>
      </c>
      <c r="AC261" s="25">
        <f t="shared" ca="1" si="728"/>
        <v>17791</v>
      </c>
      <c r="AD261" s="25">
        <f t="shared" ca="1" si="728"/>
        <v>507</v>
      </c>
      <c r="AE261" s="25">
        <f t="shared" ca="1" si="728"/>
        <v>18298</v>
      </c>
      <c r="AF261" s="25">
        <f t="shared" ca="1" si="728"/>
        <v>22761</v>
      </c>
      <c r="AG261" s="25">
        <f t="shared" ca="1" si="728"/>
        <v>583</v>
      </c>
      <c r="AH261" s="25">
        <f t="shared" ca="1" si="728"/>
        <v>23344</v>
      </c>
      <c r="AI261" s="25">
        <f t="shared" ca="1" si="728"/>
        <v>41642</v>
      </c>
      <c r="AJ261" s="27">
        <f t="shared" ca="1" si="707"/>
        <v>198.53431531531473</v>
      </c>
      <c r="AK261" s="24">
        <f>SUM(AK255:AK260)</f>
        <v>53273</v>
      </c>
      <c r="AL261" s="28">
        <f t="shared" ca="1" si="709"/>
        <v>0.78167176618549739</v>
      </c>
      <c r="AM261" s="29">
        <v>1.5</v>
      </c>
      <c r="AN261" s="28">
        <f t="shared" ca="1" si="711"/>
        <v>0.62987121824478243</v>
      </c>
      <c r="AO261" s="30">
        <f t="shared" ca="1" si="712"/>
        <v>0.94480682736717359</v>
      </c>
      <c r="AP261" s="29">
        <f ca="1">SUM(AP255:AP260)</f>
        <v>1446.8366977584485</v>
      </c>
      <c r="AQ261" s="29">
        <f ca="1">AP261/AA261</f>
        <v>6.517282422335354</v>
      </c>
      <c r="AR261" s="25">
        <f t="shared" ca="1" si="714"/>
        <v>187.57657657657657</v>
      </c>
      <c r="AS261" s="76"/>
      <c r="AT261" s="76"/>
    </row>
    <row r="262" spans="1:46" ht="15.75" customHeight="1" x14ac:dyDescent="0.25">
      <c r="A262" s="70"/>
      <c r="B262" s="16">
        <v>14</v>
      </c>
      <c r="C262" s="16" t="s">
        <v>27</v>
      </c>
      <c r="D262" s="17">
        <v>30</v>
      </c>
      <c r="E262" s="18">
        <f ca="1">IFERROR(__xludf.DUMMYFUNCTION("COUNT(IMPORTRANGE(""https://docs.google.com/spreadsheets/d/1iYtf3wkjJIgOL8ej0-L89wY8FLXKi6EiRbi9UqA1Bzw/edit"",""10!d2:d31""))"),30)</f>
        <v>30</v>
      </c>
      <c r="F262" s="23">
        <f ca="1">IFERROR(__xludf.DUMMYFUNCTION("SUM(IMPORTRANGE(""https://docs.google.com/spreadsheets/d/1iYtf3wkjJIgOL8ej0-L89wY8FLXKi6EiRbi9UqA1Bzw/edit"",""10!Q2:Q31""))"),5685.595)</f>
        <v>5685.5950000000003</v>
      </c>
      <c r="G262" s="18">
        <f ca="1">IFERROR(__xludf.DUMMYFUNCTION("IMPORTRANGE(""https://docs.google.com/spreadsheets/d/1iYtf3wkjJIgOL8ej0-L89wY8FLXKi6EiRbi9UqA1Bzw/edit"",""10!e38"")"),2573)</f>
        <v>2573</v>
      </c>
      <c r="H262" s="18">
        <f ca="1">IFERROR(__xludf.DUMMYFUNCTION("IMPORTRANGE(""https://docs.google.com/spreadsheets/d/1iYtf3wkjJIgOL8ej0-L89wY8FLXKi6EiRbi9UqA1Bzw/edit"",""10!e39"")"),0)</f>
        <v>0</v>
      </c>
      <c r="I262" s="18">
        <f t="shared" ca="1" si="687"/>
        <v>2573</v>
      </c>
      <c r="J262" s="18">
        <f ca="1">IFERROR(__xludf.DUMMYFUNCTION("IMPORTRANGE(""https://docs.google.com/spreadsheets/d/1iYtf3wkjJIgOL8ej0-L89wY8FLXKi6EiRbi9UqA1Bzw/edit"",""10!e42"")"),3315)</f>
        <v>3315</v>
      </c>
      <c r="K262" s="18">
        <f ca="1">IFERROR(__xludf.DUMMYFUNCTION("IMPORTRANGE(""https://docs.google.com/spreadsheets/d/1iYtf3wkjJIgOL8ej0-L89wY8FLXKi6EiRbi9UqA1Bzw/edit"",""10!e43"")"),48)</f>
        <v>48</v>
      </c>
      <c r="L262" s="18">
        <f t="shared" ca="1" si="717"/>
        <v>3363</v>
      </c>
      <c r="M262" s="18">
        <f t="shared" ca="1" si="689"/>
        <v>5936</v>
      </c>
      <c r="N262" s="19">
        <f t="shared" ca="1" si="690"/>
        <v>189.51983333333334</v>
      </c>
      <c r="O262" s="16">
        <v>8101</v>
      </c>
      <c r="P262" s="20">
        <f t="shared" ca="1" si="691"/>
        <v>0.73274904332798418</v>
      </c>
      <c r="Q262" s="21">
        <v>1.5</v>
      </c>
      <c r="R262" s="20">
        <f t="shared" ca="1" si="692"/>
        <v>0.69602800293255729</v>
      </c>
      <c r="S262" s="22">
        <f t="shared" ca="1" si="693"/>
        <v>1.0440420043988359</v>
      </c>
      <c r="T262" s="21">
        <f ca="1">F262/19.985</f>
        <v>284.49311983987991</v>
      </c>
      <c r="U262" s="21">
        <f t="shared" ca="1" si="694"/>
        <v>9.4831039946626632</v>
      </c>
      <c r="V262" s="18">
        <f t="shared" ca="1" si="695"/>
        <v>197.86666666666667</v>
      </c>
      <c r="W262" s="76"/>
      <c r="X262" s="97" t="s">
        <v>44</v>
      </c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9"/>
      <c r="AS262" s="76"/>
      <c r="AT262" s="76"/>
    </row>
    <row r="263" spans="1:46" ht="15.75" customHeight="1" x14ac:dyDescent="0.25">
      <c r="A263" s="70"/>
      <c r="B263" s="16">
        <v>15</v>
      </c>
      <c r="C263" s="16" t="s">
        <v>40</v>
      </c>
      <c r="D263" s="17">
        <v>30</v>
      </c>
      <c r="E263" s="18">
        <f ca="1">IFERROR(__xludf.DUMMYFUNCTION("COUNT(IMPORTRANGE(""https://docs.google.com/spreadsheets/d/1Wdf8MsoDBzMSsrzOXwaGQzbVjVqOWfKSqYmbncevZgA/edit"",""10!d2:d31""))"),30)</f>
        <v>30</v>
      </c>
      <c r="F263" s="23">
        <f ca="1">IFERROR(__xludf.DUMMYFUNCTION("SUM(IMPORTRANGE(""https://docs.google.com/spreadsheets/d/1Wdf8MsoDBzMSsrzOXwaGQzbVjVqOWfKSqYmbncevZgA/edit"",""10!Q2:Q31""))"),5973.02999999999)</f>
        <v>5973.0299999999897</v>
      </c>
      <c r="G263" s="18">
        <f ca="1">IFERROR(__xludf.DUMMYFUNCTION("IMPORTRANGE(""https://docs.google.com/spreadsheets/d/1Wdf8MsoDBzMSsrzOXwaGQzbVjVqOWfKSqYmbncevZgA/edit"",""10!e38"")"),3369)</f>
        <v>3369</v>
      </c>
      <c r="H263" s="18">
        <f ca="1">IFERROR(__xludf.DUMMYFUNCTION("IMPORTRANGE(""https://docs.google.com/spreadsheets/d/1Wdf8MsoDBzMSsrzOXwaGQzbVjVqOWfKSqYmbncevZgA/edit"",""10!e39"")"),35)</f>
        <v>35</v>
      </c>
      <c r="I263" s="18">
        <f t="shared" ca="1" si="687"/>
        <v>3404</v>
      </c>
      <c r="J263" s="18">
        <f ca="1">IFERROR(__xludf.DUMMYFUNCTION("IMPORTRANGE(""https://docs.google.com/spreadsheets/d/1Wdf8MsoDBzMSsrzOXwaGQzbVjVqOWfKSqYmbncevZgA/edit"",""10!e42"")"),4003)</f>
        <v>4003</v>
      </c>
      <c r="K263" s="18">
        <f ca="1">IFERROR(__xludf.DUMMYFUNCTION("IMPORTRANGE(""https://docs.google.com/spreadsheets/d/1Wdf8MsoDBzMSsrzOXwaGQzbVjVqOWfKSqYmbncevZgA/edit"",""10!e43"")"),39)</f>
        <v>39</v>
      </c>
      <c r="L263" s="18">
        <f t="shared" ca="1" si="717"/>
        <v>4042</v>
      </c>
      <c r="M263" s="18">
        <f t="shared" ca="1" si="689"/>
        <v>7446</v>
      </c>
      <c r="N263" s="19">
        <f t="shared" ca="1" si="690"/>
        <v>199.10099999999966</v>
      </c>
      <c r="O263" s="16">
        <v>8239</v>
      </c>
      <c r="P263" s="20">
        <f t="shared" ca="1" si="691"/>
        <v>0.90375045515232433</v>
      </c>
      <c r="Q263" s="21">
        <v>1.5</v>
      </c>
      <c r="R263" s="20">
        <f t="shared" ca="1" si="692"/>
        <v>0.83106898843635613</v>
      </c>
      <c r="S263" s="22">
        <f t="shared" ca="1" si="693"/>
        <v>1.2466034826545342</v>
      </c>
      <c r="T263" s="21">
        <f ca="1">F263/28.443</f>
        <v>209.99999999999963</v>
      </c>
      <c r="U263" s="21">
        <f t="shared" ca="1" si="694"/>
        <v>6.9999999999999876</v>
      </c>
      <c r="V263" s="18">
        <f t="shared" ca="1" si="695"/>
        <v>248.2</v>
      </c>
      <c r="W263" s="76"/>
      <c r="X263" s="1" t="s">
        <v>2</v>
      </c>
      <c r="Y263" s="1" t="s">
        <v>3</v>
      </c>
      <c r="Z263" s="1" t="s">
        <v>4</v>
      </c>
      <c r="AA263" s="1" t="s">
        <v>5</v>
      </c>
      <c r="AB263" s="2" t="s">
        <v>6</v>
      </c>
      <c r="AC263" s="1" t="s">
        <v>7</v>
      </c>
      <c r="AD263" s="1" t="s">
        <v>8</v>
      </c>
      <c r="AE263" s="1" t="s">
        <v>9</v>
      </c>
      <c r="AF263" s="1" t="s">
        <v>10</v>
      </c>
      <c r="AG263" s="1" t="s">
        <v>11</v>
      </c>
      <c r="AH263" s="1" t="s">
        <v>12</v>
      </c>
      <c r="AI263" s="1" t="s">
        <v>13</v>
      </c>
      <c r="AJ263" s="2" t="s">
        <v>14</v>
      </c>
      <c r="AK263" s="1" t="s">
        <v>15</v>
      </c>
      <c r="AL263" s="1" t="s">
        <v>16</v>
      </c>
      <c r="AM263" s="3" t="s">
        <v>17</v>
      </c>
      <c r="AN263" s="4" t="s">
        <v>18</v>
      </c>
      <c r="AO263" s="5" t="s">
        <v>19</v>
      </c>
      <c r="AP263" s="6" t="s">
        <v>20</v>
      </c>
      <c r="AQ263" s="6" t="s">
        <v>21</v>
      </c>
      <c r="AR263" s="7" t="s">
        <v>22</v>
      </c>
      <c r="AS263" s="76"/>
      <c r="AT263" s="76"/>
    </row>
    <row r="264" spans="1:46" ht="15.75" customHeight="1" x14ac:dyDescent="0.25">
      <c r="A264" s="70"/>
      <c r="B264" s="16">
        <v>16</v>
      </c>
      <c r="C264" s="16" t="s">
        <v>42</v>
      </c>
      <c r="D264" s="17">
        <v>33</v>
      </c>
      <c r="E264" s="18">
        <f ca="1">IFERROR(__xludf.DUMMYFUNCTION("COUNT(IMPORTRANGE(""https://docs.google.com/spreadsheets/d/1Z5uB5HbeAKcHmG4EOw3rf2J8NpyvDiha6RReERAMvA0/edit"",""10!d2:d34""))"),33)</f>
        <v>33</v>
      </c>
      <c r="F264" s="23">
        <f ca="1">IFERROR(__xludf.DUMMYFUNCTION("SUM(IMPORTRANGE(""https://docs.google.com/spreadsheets/d/1Z5uB5HbeAKcHmG4EOw3rf2J8NpyvDiha6RReERAMvA0/edit"",""10!Q2:Q34""))"),6494.13299999999)</f>
        <v>6494.1329999999898</v>
      </c>
      <c r="G264" s="18">
        <f ca="1">IFERROR(__xludf.DUMMYFUNCTION("IMPORTRANGE(""https://docs.google.com/spreadsheets/d/1Z5uB5HbeAKcHmG4EOw3rf2J8NpyvDiha6RReERAMvA0/edit"",""10!e41"")"),3136)</f>
        <v>3136</v>
      </c>
      <c r="H264" s="18">
        <f ca="1">IFERROR(__xludf.DUMMYFUNCTION("IMPORTRANGE(""https://docs.google.com/spreadsheets/d/1Z5uB5HbeAKcHmG4EOw3rf2J8NpyvDiha6RReERAMvA0/edit"",""10!e42"")"),177)</f>
        <v>177</v>
      </c>
      <c r="I264" s="18">
        <f t="shared" ca="1" si="687"/>
        <v>3313</v>
      </c>
      <c r="J264" s="18">
        <f ca="1">IFERROR(__xludf.DUMMYFUNCTION("IMPORTRANGE(""https://docs.google.com/spreadsheets/d/1Z5uB5HbeAKcHmG4EOw3rf2J8NpyvDiha6RReERAMvA0/edit"",""10!e45"")"),4554)</f>
        <v>4554</v>
      </c>
      <c r="K264" s="18">
        <f ca="1">IFERROR(__xludf.DUMMYFUNCTION("IMPORTRANGE(""https://docs.google.com/spreadsheets/d/1Z5uB5HbeAKcHmG4EOw3rf2J8NpyvDiha6RReERAMvA0/edit"",""10!e46"")"),0)</f>
        <v>0</v>
      </c>
      <c r="L264" s="18">
        <f t="shared" ca="1" si="717"/>
        <v>4554</v>
      </c>
      <c r="M264" s="18">
        <f t="shared" ca="1" si="689"/>
        <v>7867</v>
      </c>
      <c r="N264" s="19">
        <f t="shared" ca="1" si="690"/>
        <v>196.79190909090877</v>
      </c>
      <c r="O264" s="16">
        <v>9877</v>
      </c>
      <c r="P264" s="20">
        <f t="shared" ca="1" si="691"/>
        <v>0.79649691201781914</v>
      </c>
      <c r="Q264" s="21">
        <v>1.5</v>
      </c>
      <c r="R264" s="20">
        <f t="shared" ca="1" si="692"/>
        <v>0.80760074773132529</v>
      </c>
      <c r="S264" s="22">
        <f t="shared" ca="1" si="693"/>
        <v>1.211401121596988</v>
      </c>
      <c r="T264" s="21">
        <f ca="1">F264/26.155</f>
        <v>248.29413114127277</v>
      </c>
      <c r="U264" s="21">
        <f t="shared" ca="1" si="694"/>
        <v>7.5240645800385693</v>
      </c>
      <c r="V264" s="18">
        <f t="shared" ca="1" si="695"/>
        <v>238.39393939393941</v>
      </c>
      <c r="W264" s="76"/>
      <c r="X264" s="8">
        <v>1</v>
      </c>
      <c r="Y264" s="8" t="s">
        <v>26</v>
      </c>
      <c r="Z264" s="8">
        <f t="shared" ref="Z264:AI264" si="729">SUM(D249)</f>
        <v>20</v>
      </c>
      <c r="AA264" s="9">
        <f t="shared" ca="1" si="729"/>
        <v>19</v>
      </c>
      <c r="AB264" s="11">
        <f t="shared" ca="1" si="729"/>
        <v>3690.8519999999999</v>
      </c>
      <c r="AC264" s="9">
        <f t="shared" ca="1" si="729"/>
        <v>1893</v>
      </c>
      <c r="AD264" s="9">
        <f t="shared" ca="1" si="729"/>
        <v>0</v>
      </c>
      <c r="AE264" s="9">
        <f t="shared" ca="1" si="729"/>
        <v>1893</v>
      </c>
      <c r="AF264" s="9">
        <f t="shared" ca="1" si="729"/>
        <v>3151</v>
      </c>
      <c r="AG264" s="9">
        <f t="shared" ca="1" si="729"/>
        <v>0</v>
      </c>
      <c r="AH264" s="9">
        <f t="shared" ca="1" si="729"/>
        <v>3151</v>
      </c>
      <c r="AI264" s="9">
        <f t="shared" ca="1" si="729"/>
        <v>5044</v>
      </c>
      <c r="AJ264" s="11">
        <f t="shared" ref="AJ264:AJ270" ca="1" si="730">AB264/AA264</f>
        <v>194.25536842105262</v>
      </c>
      <c r="AK264" s="8">
        <f>SUM(O249)</f>
        <v>5161</v>
      </c>
      <c r="AL264" s="12">
        <f t="shared" ref="AL264:AL270" ca="1" si="731">AI264/AK264</f>
        <v>0.97732997481108308</v>
      </c>
      <c r="AM264" s="13">
        <f>SUM(Q249)</f>
        <v>1.5</v>
      </c>
      <c r="AN264" s="12">
        <f t="shared" ref="AN264:AN270" ca="1" si="732">AO264/AM264</f>
        <v>0.91108141607050808</v>
      </c>
      <c r="AO264" s="14">
        <f t="shared" ref="AO264:AO270" ca="1" si="733">AI264/AB264</f>
        <v>1.3666221241057621</v>
      </c>
      <c r="AP264" s="13">
        <f t="shared" ref="AP264:AQ264" ca="1" si="734">SUM(T249)</f>
        <v>256.04245577523415</v>
      </c>
      <c r="AQ264" s="13">
        <f t="shared" ca="1" si="734"/>
        <v>13.475918725012324</v>
      </c>
      <c r="AR264" s="9">
        <f t="shared" ref="AR264:AR270" ca="1" si="735">AI264/AA264</f>
        <v>265.4736842105263</v>
      </c>
      <c r="AS264" s="76"/>
      <c r="AT264" s="76"/>
    </row>
    <row r="265" spans="1:46" ht="15.75" customHeight="1" x14ac:dyDescent="0.25">
      <c r="A265" s="70"/>
      <c r="B265" s="16">
        <v>17</v>
      </c>
      <c r="C265" s="16" t="s">
        <v>29</v>
      </c>
      <c r="D265" s="17">
        <v>30</v>
      </c>
      <c r="E265" s="18">
        <f ca="1">IFERROR(__xludf.DUMMYFUNCTION("COUNT(IMPORTRANGE(""https://docs.google.com/spreadsheets/d/1wfJqI0e9wVPqEQv3N6b8KgINjqI0OBECEyIFeY9j3i8/edit"",""10!d2:d31""))"),28)</f>
        <v>28</v>
      </c>
      <c r="F265" s="23">
        <f ca="1">IFERROR(__xludf.DUMMYFUNCTION("SUM(IMPORTRANGE(""https://docs.google.com/spreadsheets/d/1wfJqI0e9wVPqEQv3N6b8KgINjqI0OBECEyIFeY9j3i8/edit"",""10!Q2:Q31""))"),5775.03799999999)</f>
        <v>5775.0379999999896</v>
      </c>
      <c r="G265" s="18">
        <f ca="1">IFERROR(__xludf.DUMMYFUNCTION("IMPORTRANGE(""https://docs.google.com/spreadsheets/d/1wfJqI0e9wVPqEQv3N6b8KgINjqI0OBECEyIFeY9j3i8/edit"",""10!e38"")"),1910)</f>
        <v>1910</v>
      </c>
      <c r="H265" s="18">
        <f ca="1">IFERROR(__xludf.DUMMYFUNCTION("IMPORTRANGE(""https://docs.google.com/spreadsheets/d/1wfJqI0e9wVPqEQv3N6b8KgINjqI0OBECEyIFeY9j3i8/edit"",""10!e39"")"),46)</f>
        <v>46</v>
      </c>
      <c r="I265" s="18">
        <f t="shared" ca="1" si="687"/>
        <v>1956</v>
      </c>
      <c r="J265" s="18">
        <f ca="1">IFERROR(__xludf.DUMMYFUNCTION("IMPORTRANGE(""https://docs.google.com/spreadsheets/d/1wfJqI0e9wVPqEQv3N6b8KgINjqI0OBECEyIFeY9j3i8/edit"",""10!e42"")"),4932)</f>
        <v>4932</v>
      </c>
      <c r="K265" s="18">
        <f ca="1">IFERROR(__xludf.DUMMYFUNCTION("IMPORTRANGE(""https://docs.google.com/spreadsheets/d/1wfJqI0e9wVPqEQv3N6b8KgINjqI0OBECEyIFeY9j3i8/edit"",""10!e43"")"),85)</f>
        <v>85</v>
      </c>
      <c r="L265" s="18">
        <f t="shared" ca="1" si="717"/>
        <v>5017</v>
      </c>
      <c r="M265" s="18">
        <f t="shared" ca="1" si="689"/>
        <v>6973</v>
      </c>
      <c r="N265" s="19">
        <f t="shared" ca="1" si="690"/>
        <v>206.25135714285676</v>
      </c>
      <c r="O265" s="16">
        <v>9201</v>
      </c>
      <c r="P265" s="20">
        <f t="shared" ca="1" si="691"/>
        <v>0.75785240734702752</v>
      </c>
      <c r="Q265" s="21">
        <v>1.5</v>
      </c>
      <c r="R265" s="20">
        <f t="shared" ca="1" si="692"/>
        <v>0.80495862826645903</v>
      </c>
      <c r="S265" s="22">
        <f t="shared" ca="1" si="693"/>
        <v>1.2074379423996886</v>
      </c>
      <c r="T265" s="21">
        <f ca="1">F265/26.491</f>
        <v>217.9999999999996</v>
      </c>
      <c r="U265" s="21">
        <f t="shared" ca="1" si="694"/>
        <v>7.7857142857142714</v>
      </c>
      <c r="V265" s="18">
        <f t="shared" ca="1" si="695"/>
        <v>249.03571428571428</v>
      </c>
      <c r="W265" s="76"/>
      <c r="X265" s="8">
        <v>2</v>
      </c>
      <c r="Y265" s="8" t="s">
        <v>32</v>
      </c>
      <c r="Z265" s="8">
        <f t="shared" ref="Z265:AI265" si="736">SUM(D252)</f>
        <v>42</v>
      </c>
      <c r="AA265" s="9">
        <f t="shared" ca="1" si="736"/>
        <v>42</v>
      </c>
      <c r="AB265" s="10">
        <f t="shared" ca="1" si="736"/>
        <v>8279.3699999999899</v>
      </c>
      <c r="AC265" s="8">
        <f t="shared" ca="1" si="736"/>
        <v>4564</v>
      </c>
      <c r="AD265" s="8">
        <f t="shared" ca="1" si="736"/>
        <v>53</v>
      </c>
      <c r="AE265" s="9">
        <f t="shared" ca="1" si="736"/>
        <v>4617</v>
      </c>
      <c r="AF265" s="8">
        <f t="shared" ca="1" si="736"/>
        <v>6049</v>
      </c>
      <c r="AG265" s="8">
        <f t="shared" ca="1" si="736"/>
        <v>0</v>
      </c>
      <c r="AH265" s="9">
        <f t="shared" ca="1" si="736"/>
        <v>6049</v>
      </c>
      <c r="AI265" s="9">
        <f t="shared" ca="1" si="736"/>
        <v>10666</v>
      </c>
      <c r="AJ265" s="11">
        <f t="shared" ca="1" si="730"/>
        <v>197.1278571428569</v>
      </c>
      <c r="AK265" s="8">
        <f>SUM(O252)</f>
        <v>13817</v>
      </c>
      <c r="AL265" s="12">
        <f t="shared" ca="1" si="731"/>
        <v>0.77194760078164582</v>
      </c>
      <c r="AM265" s="13">
        <f>SUM(Q252)</f>
        <v>1.5</v>
      </c>
      <c r="AN265" s="12">
        <f t="shared" ca="1" si="732"/>
        <v>0.85884151410876386</v>
      </c>
      <c r="AO265" s="14">
        <f t="shared" ca="1" si="733"/>
        <v>1.2882622711631457</v>
      </c>
      <c r="AP265" s="13">
        <f t="shared" ref="AP265:AQ265" ca="1" si="737">SUM(T252)</f>
        <v>329.9999999999996</v>
      </c>
      <c r="AQ265" s="13">
        <f t="shared" ca="1" si="737"/>
        <v>7.8571428571428479</v>
      </c>
      <c r="AR265" s="9">
        <f t="shared" ca="1" si="735"/>
        <v>253.95238095238096</v>
      </c>
      <c r="AS265" s="76"/>
      <c r="AT265" s="76"/>
    </row>
    <row r="266" spans="1:46" ht="15.75" customHeight="1" x14ac:dyDescent="0.25">
      <c r="A266" s="70"/>
      <c r="B266" s="16">
        <v>18</v>
      </c>
      <c r="C266" s="16" t="s">
        <v>31</v>
      </c>
      <c r="D266" s="17">
        <v>15</v>
      </c>
      <c r="E266" s="18">
        <f ca="1">IFERROR(__xludf.DUMMYFUNCTION("COUNT(IMPORTRANGE(""https://docs.google.com/spreadsheets/d/1-y2KhTAo7d8kowgUuWUDfRQuRMUAFteRYEXorT3_wOs/edit"",""10!d2:d16""))"),15)</f>
        <v>15</v>
      </c>
      <c r="F266" s="19">
        <f ca="1">IFERROR(__xludf.DUMMYFUNCTION("SUM(IMPORTRANGE(""https://docs.google.com/spreadsheets/d/1-y2KhTAo7d8kowgUuWUDfRQuRMUAFteRYEXorT3_wOs/edit"",""10!Q2:Q16""))"),3042.54999999999)</f>
        <v>3042.5499999999902</v>
      </c>
      <c r="G266" s="18">
        <f ca="1">IFERROR(__xludf.DUMMYFUNCTION("IMPORTRANGE(""https://docs.google.com/spreadsheets/d/1-y2KhTAo7d8kowgUuWUDfRQuRMUAFteRYEXorT3_wOs/edit"",""10!e23"")"),844)</f>
        <v>844</v>
      </c>
      <c r="H266" s="18">
        <f ca="1">IFERROR(__xludf.DUMMYFUNCTION("IMPORTRANGE(""https://docs.google.com/spreadsheets/d/1-y2KhTAo7d8kowgUuWUDfRQuRMUAFteRYEXorT3_wOs/edit"",""10!e24"")"),64)</f>
        <v>64</v>
      </c>
      <c r="I266" s="18">
        <f t="shared" ca="1" si="687"/>
        <v>908</v>
      </c>
      <c r="J266" s="18">
        <f ca="1">IFERROR(__xludf.DUMMYFUNCTION("IMPORTRANGE(""https://docs.google.com/spreadsheets/d/1-y2KhTAo7d8kowgUuWUDfRQuRMUAFteRYEXorT3_wOs/edit"",""10!e27"")"),1065)</f>
        <v>1065</v>
      </c>
      <c r="K266" s="18">
        <f ca="1">IFERROR(__xludf.DUMMYFUNCTION("IMPORTRANGE(""https://docs.google.com/spreadsheets/d/1-y2KhTAo7d8kowgUuWUDfRQuRMUAFteRYEXorT3_wOs/edit"",""10!e28"")"),77)</f>
        <v>77</v>
      </c>
      <c r="L266" s="18">
        <f t="shared" ca="1" si="717"/>
        <v>1142</v>
      </c>
      <c r="M266" s="18">
        <f t="shared" ca="1" si="689"/>
        <v>2050</v>
      </c>
      <c r="N266" s="19">
        <f t="shared" ca="1" si="690"/>
        <v>202.83666666666602</v>
      </c>
      <c r="O266" s="16">
        <v>2717</v>
      </c>
      <c r="P266" s="20">
        <f t="shared" ca="1" si="691"/>
        <v>0.75450864924549133</v>
      </c>
      <c r="Q266" s="21">
        <v>1.5</v>
      </c>
      <c r="R266" s="20">
        <f t="shared" ca="1" si="692"/>
        <v>0.44918462035682932</v>
      </c>
      <c r="S266" s="22">
        <f t="shared" ca="1" si="693"/>
        <v>0.67377693053524401</v>
      </c>
      <c r="T266" s="21">
        <f ca="1">F266/43.465</f>
        <v>69.999999999999773</v>
      </c>
      <c r="U266" s="21">
        <f t="shared" ca="1" si="694"/>
        <v>4.6666666666666519</v>
      </c>
      <c r="V266" s="18">
        <f t="shared" ca="1" si="695"/>
        <v>136.66666666666666</v>
      </c>
      <c r="W266" s="76"/>
      <c r="X266" s="8">
        <v>3</v>
      </c>
      <c r="Y266" s="8" t="s">
        <v>36</v>
      </c>
      <c r="Z266" s="8">
        <f t="shared" ref="Z266:AI266" si="738">SUM(D257)</f>
        <v>30</v>
      </c>
      <c r="AA266" s="9">
        <f t="shared" ca="1" si="738"/>
        <v>30</v>
      </c>
      <c r="AB266" s="10">
        <f t="shared" ca="1" si="738"/>
        <v>5848.1090000000004</v>
      </c>
      <c r="AC266" s="9">
        <f t="shared" ca="1" si="738"/>
        <v>1697</v>
      </c>
      <c r="AD266" s="9">
        <f t="shared" ca="1" si="738"/>
        <v>0</v>
      </c>
      <c r="AE266" s="9">
        <f t="shared" ca="1" si="738"/>
        <v>1697</v>
      </c>
      <c r="AF266" s="9">
        <f t="shared" ca="1" si="738"/>
        <v>2342</v>
      </c>
      <c r="AG266" s="9">
        <f t="shared" ca="1" si="738"/>
        <v>0</v>
      </c>
      <c r="AH266" s="9">
        <f t="shared" ca="1" si="738"/>
        <v>2342</v>
      </c>
      <c r="AI266" s="9">
        <f t="shared" ca="1" si="738"/>
        <v>4039</v>
      </c>
      <c r="AJ266" s="11">
        <f t="shared" ca="1" si="730"/>
        <v>194.93696666666668</v>
      </c>
      <c r="AK266" s="8">
        <f t="shared" ref="AK266:AK269" si="739">SUM(O257)</f>
        <v>4796</v>
      </c>
      <c r="AL266" s="12">
        <f t="shared" ca="1" si="731"/>
        <v>0.84216013344453711</v>
      </c>
      <c r="AM266" s="13">
        <f t="shared" ref="AM266:AM269" si="740">SUM(Q257)</f>
        <v>1.5</v>
      </c>
      <c r="AN266" s="12">
        <f t="shared" ca="1" si="732"/>
        <v>0.46043373450574648</v>
      </c>
      <c r="AO266" s="14">
        <f t="shared" ca="1" si="733"/>
        <v>0.6906506017586197</v>
      </c>
      <c r="AP266" s="13">
        <f t="shared" ref="AP266:AQ266" ca="1" si="741">SUM(T257)</f>
        <v>156.30803977120866</v>
      </c>
      <c r="AQ266" s="13">
        <f t="shared" ca="1" si="741"/>
        <v>5.2102679923736215</v>
      </c>
      <c r="AR266" s="9">
        <f t="shared" ca="1" si="735"/>
        <v>134.63333333333333</v>
      </c>
      <c r="AS266" s="76"/>
      <c r="AT266" s="76"/>
    </row>
    <row r="267" spans="1:46" ht="15.75" customHeight="1" x14ac:dyDescent="0.2">
      <c r="A267" s="70"/>
      <c r="B267" s="98" t="s">
        <v>33</v>
      </c>
      <c r="C267" s="98">
        <v>18</v>
      </c>
      <c r="D267" s="98">
        <f t="shared" ref="D267:M267" si="742">SUM(D249:D266)</f>
        <v>586</v>
      </c>
      <c r="E267" s="74">
        <f t="shared" ca="1" si="742"/>
        <v>574</v>
      </c>
      <c r="F267" s="99">
        <f t="shared" ca="1" si="742"/>
        <v>112744.62099999977</v>
      </c>
      <c r="G267" s="74">
        <f t="shared" ca="1" si="742"/>
        <v>41008</v>
      </c>
      <c r="H267" s="74">
        <f t="shared" ca="1" si="742"/>
        <v>1202</v>
      </c>
      <c r="I267" s="74">
        <f t="shared" ca="1" si="742"/>
        <v>42210</v>
      </c>
      <c r="J267" s="74">
        <f t="shared" ca="1" si="742"/>
        <v>58008</v>
      </c>
      <c r="K267" s="74">
        <f t="shared" ca="1" si="742"/>
        <v>1803</v>
      </c>
      <c r="L267" s="74">
        <f t="shared" ca="1" si="742"/>
        <v>59811</v>
      </c>
      <c r="M267" s="74">
        <f t="shared" ca="1" si="742"/>
        <v>102021</v>
      </c>
      <c r="N267" s="99">
        <f t="shared" ca="1" si="690"/>
        <v>196.41920034843164</v>
      </c>
      <c r="O267" s="98">
        <f>SUM(O249:O266)</f>
        <v>126399</v>
      </c>
      <c r="P267" s="69">
        <f t="shared" ca="1" si="691"/>
        <v>0.8071345501151117</v>
      </c>
      <c r="Q267" s="72">
        <v>1.5</v>
      </c>
      <c r="R267" s="69">
        <f t="shared" ca="1" si="692"/>
        <v>0.60325716115538797</v>
      </c>
      <c r="S267" s="73">
        <f t="shared" ca="1" si="693"/>
        <v>0.90488574173308201</v>
      </c>
      <c r="T267" s="72">
        <f ca="1">SUM(T249:T266)</f>
        <v>4138.2476595594298</v>
      </c>
      <c r="U267" s="72">
        <f t="shared" ca="1" si="694"/>
        <v>7.2094906960965677</v>
      </c>
      <c r="V267" s="74">
        <f t="shared" ca="1" si="695"/>
        <v>177.73693379790942</v>
      </c>
      <c r="W267" s="76"/>
      <c r="X267" s="8">
        <v>4</v>
      </c>
      <c r="Y267" s="8" t="s">
        <v>37</v>
      </c>
      <c r="Z267" s="8">
        <f t="shared" ref="Z267:AI267" si="743">SUM(D258)</f>
        <v>30</v>
      </c>
      <c r="AA267" s="9">
        <f t="shared" ca="1" si="743"/>
        <v>29</v>
      </c>
      <c r="AB267" s="10">
        <f t="shared" ca="1" si="743"/>
        <v>5451.6179999999904</v>
      </c>
      <c r="AC267" s="9">
        <f t="shared" ca="1" si="743"/>
        <v>2148</v>
      </c>
      <c r="AD267" s="9">
        <f t="shared" ca="1" si="743"/>
        <v>0</v>
      </c>
      <c r="AE267" s="9">
        <f t="shared" ca="1" si="743"/>
        <v>2148</v>
      </c>
      <c r="AF267" s="9">
        <f t="shared" ca="1" si="743"/>
        <v>2971</v>
      </c>
      <c r="AG267" s="9">
        <f t="shared" ca="1" si="743"/>
        <v>0</v>
      </c>
      <c r="AH267" s="9">
        <f t="shared" ca="1" si="743"/>
        <v>2971</v>
      </c>
      <c r="AI267" s="9">
        <f t="shared" ca="1" si="743"/>
        <v>5119</v>
      </c>
      <c r="AJ267" s="11">
        <f t="shared" ca="1" si="730"/>
        <v>187.98682758620657</v>
      </c>
      <c r="AK267" s="8">
        <f t="shared" si="739"/>
        <v>5887</v>
      </c>
      <c r="AL267" s="12">
        <f t="shared" ca="1" si="731"/>
        <v>0.86954306098182432</v>
      </c>
      <c r="AM267" s="13">
        <f t="shared" si="740"/>
        <v>1.5</v>
      </c>
      <c r="AN267" s="12">
        <f t="shared" ca="1" si="732"/>
        <v>0.6259915252071353</v>
      </c>
      <c r="AO267" s="14">
        <f t="shared" ca="1" si="733"/>
        <v>0.93898728781070295</v>
      </c>
      <c r="AP267" s="13">
        <f t="shared" ref="AP267:AQ267" ca="1" si="744">SUM(T258)</f>
        <v>219.89424007744392</v>
      </c>
      <c r="AQ267" s="13">
        <f t="shared" ca="1" si="744"/>
        <v>7.5825600026704798</v>
      </c>
      <c r="AR267" s="9">
        <f t="shared" ca="1" si="735"/>
        <v>176.51724137931035</v>
      </c>
      <c r="AS267" s="76"/>
      <c r="AT267" s="76"/>
    </row>
    <row r="268" spans="1:46" ht="15.75" customHeight="1" x14ac:dyDescent="0.2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6"/>
      <c r="X268" s="8">
        <v>5</v>
      </c>
      <c r="Y268" s="8" t="s">
        <v>39</v>
      </c>
      <c r="Z268" s="8">
        <f t="shared" ref="Z268:AI268" si="745">SUM(D259)</f>
        <v>28</v>
      </c>
      <c r="AA268" s="9">
        <f t="shared" ca="1" si="745"/>
        <v>28</v>
      </c>
      <c r="AB268" s="10">
        <f t="shared" ca="1" si="745"/>
        <v>5201.3219999999901</v>
      </c>
      <c r="AC268" s="9">
        <f t="shared" ca="1" si="745"/>
        <v>1332</v>
      </c>
      <c r="AD268" s="9">
        <f t="shared" ca="1" si="745"/>
        <v>0</v>
      </c>
      <c r="AE268" s="9">
        <f t="shared" ca="1" si="745"/>
        <v>1332</v>
      </c>
      <c r="AF268" s="9">
        <f t="shared" ca="1" si="745"/>
        <v>1540</v>
      </c>
      <c r="AG268" s="9">
        <f t="shared" ca="1" si="745"/>
        <v>140</v>
      </c>
      <c r="AH268" s="9">
        <f t="shared" ca="1" si="745"/>
        <v>1680</v>
      </c>
      <c r="AI268" s="9">
        <f t="shared" ca="1" si="745"/>
        <v>3012</v>
      </c>
      <c r="AJ268" s="11">
        <f t="shared" ca="1" si="730"/>
        <v>185.76149999999964</v>
      </c>
      <c r="AK268" s="8">
        <f t="shared" si="739"/>
        <v>3569</v>
      </c>
      <c r="AL268" s="12">
        <f t="shared" ca="1" si="731"/>
        <v>0.84393387503502382</v>
      </c>
      <c r="AM268" s="13">
        <f t="shared" si="740"/>
        <v>1.5</v>
      </c>
      <c r="AN268" s="12">
        <f t="shared" ca="1" si="732"/>
        <v>0.3860556989165454</v>
      </c>
      <c r="AO268" s="14">
        <f t="shared" ca="1" si="733"/>
        <v>0.57908354837481812</v>
      </c>
      <c r="AP268" s="13">
        <f t="shared" ref="AP268:AQ268" ca="1" si="746">SUM(T259)</f>
        <v>242.33900200344732</v>
      </c>
      <c r="AQ268" s="13">
        <f t="shared" ca="1" si="746"/>
        <v>8.6549643572659765</v>
      </c>
      <c r="AR268" s="9">
        <f t="shared" ca="1" si="735"/>
        <v>107.57142857142857</v>
      </c>
      <c r="AS268" s="76"/>
      <c r="AT268" s="76"/>
    </row>
    <row r="269" spans="1:46" ht="15.75" customHeight="1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6"/>
      <c r="X269" s="8">
        <v>6</v>
      </c>
      <c r="Y269" s="8" t="s">
        <v>41</v>
      </c>
      <c r="Z269" s="8">
        <f t="shared" ref="Z269:AI269" si="747">SUM(D260)</f>
        <v>24</v>
      </c>
      <c r="AA269" s="9">
        <f t="shared" ca="1" si="747"/>
        <v>24</v>
      </c>
      <c r="AB269" s="10">
        <f t="shared" ca="1" si="747"/>
        <v>4806.32</v>
      </c>
      <c r="AC269" s="9">
        <f t="shared" ca="1" si="747"/>
        <v>1290</v>
      </c>
      <c r="AD269" s="9">
        <f t="shared" ca="1" si="747"/>
        <v>0</v>
      </c>
      <c r="AE269" s="9">
        <f t="shared" ca="1" si="747"/>
        <v>1290</v>
      </c>
      <c r="AF269" s="9">
        <f t="shared" ca="1" si="747"/>
        <v>1659</v>
      </c>
      <c r="AG269" s="9">
        <f t="shared" ca="1" si="747"/>
        <v>114</v>
      </c>
      <c r="AH269" s="9">
        <f t="shared" ca="1" si="747"/>
        <v>1773</v>
      </c>
      <c r="AI269" s="9">
        <f t="shared" ca="1" si="747"/>
        <v>3063</v>
      </c>
      <c r="AJ269" s="11">
        <f t="shared" ca="1" si="730"/>
        <v>200.26333333333332</v>
      </c>
      <c r="AK269" s="8">
        <f t="shared" si="739"/>
        <v>3801</v>
      </c>
      <c r="AL269" s="12">
        <f t="shared" ca="1" si="731"/>
        <v>0.80584056827150752</v>
      </c>
      <c r="AM269" s="13">
        <f t="shared" si="740"/>
        <v>1.5</v>
      </c>
      <c r="AN269" s="12">
        <f t="shared" ca="1" si="732"/>
        <v>0.42485727125950828</v>
      </c>
      <c r="AO269" s="14">
        <f t="shared" ca="1" si="733"/>
        <v>0.63728590688926245</v>
      </c>
      <c r="AP269" s="13">
        <f t="shared" ref="AP269:AQ269" ca="1" si="748">SUM(T260)</f>
        <v>162.2222222222222</v>
      </c>
      <c r="AQ269" s="13">
        <f t="shared" ca="1" si="748"/>
        <v>6.7592592592592586</v>
      </c>
      <c r="AR269" s="9">
        <f t="shared" ca="1" si="735"/>
        <v>127.625</v>
      </c>
      <c r="AS269" s="76"/>
      <c r="AT269" s="76"/>
    </row>
    <row r="270" spans="1:46" ht="15.75" customHeight="1" x14ac:dyDescent="0.25">
      <c r="A270" s="110" t="s">
        <v>45</v>
      </c>
      <c r="B270" s="76"/>
      <c r="C270" s="76"/>
      <c r="D270" s="75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24" t="s">
        <v>33</v>
      </c>
      <c r="Y270" s="24">
        <v>6</v>
      </c>
      <c r="Z270" s="24">
        <f t="shared" ref="Z270:AI270" si="749">SUM(Z264:Z269)</f>
        <v>174</v>
      </c>
      <c r="AA270" s="25">
        <f t="shared" ca="1" si="749"/>
        <v>172</v>
      </c>
      <c r="AB270" s="27">
        <f t="shared" ca="1" si="749"/>
        <v>33277.590999999971</v>
      </c>
      <c r="AC270" s="25">
        <f t="shared" ca="1" si="749"/>
        <v>12924</v>
      </c>
      <c r="AD270" s="25">
        <f t="shared" ca="1" si="749"/>
        <v>53</v>
      </c>
      <c r="AE270" s="25">
        <f t="shared" ca="1" si="749"/>
        <v>12977</v>
      </c>
      <c r="AF270" s="25">
        <f t="shared" ca="1" si="749"/>
        <v>17712</v>
      </c>
      <c r="AG270" s="25">
        <f t="shared" ca="1" si="749"/>
        <v>254</v>
      </c>
      <c r="AH270" s="25">
        <f t="shared" ca="1" si="749"/>
        <v>17966</v>
      </c>
      <c r="AI270" s="25">
        <f t="shared" ca="1" si="749"/>
        <v>30943</v>
      </c>
      <c r="AJ270" s="27">
        <f t="shared" ca="1" si="730"/>
        <v>193.47436627906961</v>
      </c>
      <c r="AK270" s="24">
        <f>SUM(AK264:AK269)</f>
        <v>37031</v>
      </c>
      <c r="AL270" s="28">
        <f t="shared" ca="1" si="731"/>
        <v>0.83559720234398205</v>
      </c>
      <c r="AM270" s="29">
        <v>1.5</v>
      </c>
      <c r="AN270" s="28">
        <f t="shared" ca="1" si="732"/>
        <v>0.61989663454505117</v>
      </c>
      <c r="AO270" s="30">
        <f t="shared" ca="1" si="733"/>
        <v>0.92984495181757676</v>
      </c>
      <c r="AP270" s="29">
        <f ca="1">SUM(AP264:AP269)</f>
        <v>1366.8059598495558</v>
      </c>
      <c r="AQ270" s="29">
        <f ca="1">AP270/AA270</f>
        <v>7.9465462781950924</v>
      </c>
      <c r="AR270" s="25">
        <f t="shared" ca="1" si="735"/>
        <v>179.90116279069767</v>
      </c>
      <c r="AS270" s="76"/>
      <c r="AT270" s="76"/>
    </row>
    <row r="271" spans="1:46" ht="15.75" customHeight="1" x14ac:dyDescent="0.2">
      <c r="A271" s="110" t="s">
        <v>45</v>
      </c>
      <c r="B271" s="76"/>
      <c r="C271" s="76"/>
      <c r="D271" s="75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7" t="s">
        <v>1</v>
      </c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9"/>
      <c r="AS271" s="76"/>
      <c r="AT271" s="76"/>
    </row>
    <row r="272" spans="1:46" ht="15.75" customHeight="1" x14ac:dyDescent="0.2">
      <c r="A272" s="109">
        <v>46276</v>
      </c>
      <c r="B272" s="80" t="s">
        <v>2</v>
      </c>
      <c r="C272" s="80" t="s">
        <v>3</v>
      </c>
      <c r="D272" s="80" t="s">
        <v>4</v>
      </c>
      <c r="E272" s="80" t="s">
        <v>5</v>
      </c>
      <c r="F272" s="81" t="s">
        <v>6</v>
      </c>
      <c r="G272" s="80" t="s">
        <v>7</v>
      </c>
      <c r="H272" s="80" t="s">
        <v>8</v>
      </c>
      <c r="I272" s="80" t="s">
        <v>9</v>
      </c>
      <c r="J272" s="80" t="s">
        <v>10</v>
      </c>
      <c r="K272" s="80" t="s">
        <v>11</v>
      </c>
      <c r="L272" s="80" t="s">
        <v>12</v>
      </c>
      <c r="M272" s="80" t="s">
        <v>13</v>
      </c>
      <c r="N272" s="81" t="s">
        <v>14</v>
      </c>
      <c r="O272" s="80" t="s">
        <v>15</v>
      </c>
      <c r="P272" s="80" t="s">
        <v>16</v>
      </c>
      <c r="Q272" s="80" t="s">
        <v>17</v>
      </c>
      <c r="R272" s="80" t="s">
        <v>18</v>
      </c>
      <c r="S272" s="106" t="s">
        <v>19</v>
      </c>
      <c r="T272" s="107" t="s">
        <v>20</v>
      </c>
      <c r="U272" s="107" t="s">
        <v>21</v>
      </c>
      <c r="V272" s="105" t="s">
        <v>22</v>
      </c>
      <c r="W272" s="76"/>
      <c r="X272" s="1" t="s">
        <v>2</v>
      </c>
      <c r="Y272" s="1" t="s">
        <v>3</v>
      </c>
      <c r="Z272" s="1" t="s">
        <v>4</v>
      </c>
      <c r="AA272" s="1" t="s">
        <v>5</v>
      </c>
      <c r="AB272" s="2" t="s">
        <v>6</v>
      </c>
      <c r="AC272" s="1" t="s">
        <v>7</v>
      </c>
      <c r="AD272" s="1" t="s">
        <v>8</v>
      </c>
      <c r="AE272" s="1" t="s">
        <v>9</v>
      </c>
      <c r="AF272" s="1" t="s">
        <v>10</v>
      </c>
      <c r="AG272" s="1" t="s">
        <v>11</v>
      </c>
      <c r="AH272" s="1" t="s">
        <v>12</v>
      </c>
      <c r="AI272" s="1" t="s">
        <v>13</v>
      </c>
      <c r="AJ272" s="2" t="s">
        <v>14</v>
      </c>
      <c r="AK272" s="1" t="s">
        <v>15</v>
      </c>
      <c r="AL272" s="1" t="s">
        <v>16</v>
      </c>
      <c r="AM272" s="3" t="s">
        <v>17</v>
      </c>
      <c r="AN272" s="4" t="s">
        <v>18</v>
      </c>
      <c r="AO272" s="5" t="s">
        <v>19</v>
      </c>
      <c r="AP272" s="6" t="s">
        <v>20</v>
      </c>
      <c r="AQ272" s="6" t="s">
        <v>21</v>
      </c>
      <c r="AR272" s="7" t="s">
        <v>22</v>
      </c>
      <c r="AS272" s="76"/>
      <c r="AT272" s="76"/>
    </row>
    <row r="273" spans="1:46" ht="15.75" customHeight="1" x14ac:dyDescent="0.2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6"/>
      <c r="X273" s="8">
        <v>1</v>
      </c>
      <c r="Y273" s="8" t="s">
        <v>23</v>
      </c>
      <c r="Z273" s="8">
        <f t="shared" ref="Z273:AI273" si="750">SUM(D281)</f>
        <v>35</v>
      </c>
      <c r="AA273" s="9">
        <f t="shared" ca="1" si="750"/>
        <v>35</v>
      </c>
      <c r="AB273" s="10">
        <f t="shared" ca="1" si="750"/>
        <v>6815.4799999999896</v>
      </c>
      <c r="AC273" s="9">
        <f t="shared" ca="1" si="750"/>
        <v>1679</v>
      </c>
      <c r="AD273" s="9">
        <f t="shared" ca="1" si="750"/>
        <v>0</v>
      </c>
      <c r="AE273" s="9">
        <f t="shared" ca="1" si="750"/>
        <v>1679</v>
      </c>
      <c r="AF273" s="9">
        <f t="shared" ca="1" si="750"/>
        <v>3102</v>
      </c>
      <c r="AG273" s="9">
        <f t="shared" ca="1" si="750"/>
        <v>0</v>
      </c>
      <c r="AH273" s="9">
        <f t="shared" ca="1" si="750"/>
        <v>3102</v>
      </c>
      <c r="AI273" s="9">
        <f t="shared" ca="1" si="750"/>
        <v>4781</v>
      </c>
      <c r="AJ273" s="11">
        <f t="shared" ref="AJ273:AJ275" ca="1" si="751">AB273/AA273</f>
        <v>194.7279999999997</v>
      </c>
      <c r="AK273" s="8">
        <f>SUM(O281)</f>
        <v>6853</v>
      </c>
      <c r="AL273" s="12">
        <f t="shared" ref="AL273:AL279" ca="1" si="752">AI273/AK273</f>
        <v>0.69765066394279873</v>
      </c>
      <c r="AM273" s="13">
        <f t="shared" ref="AM273:AM275" si="753">SUM(Q281)</f>
        <v>1.5</v>
      </c>
      <c r="AN273" s="12">
        <f t="shared" ref="AN273:AN279" ca="1" si="754">AO273/AM273</f>
        <v>0.46766087397121531</v>
      </c>
      <c r="AO273" s="14">
        <f t="shared" ref="AO273:AO279" ca="1" si="755">AI273/AB273</f>
        <v>0.70149131095682293</v>
      </c>
      <c r="AP273" s="13">
        <f t="shared" ref="AP273:AQ273" ca="1" si="756">SUM(T281)</f>
        <v>201.99999999999969</v>
      </c>
      <c r="AQ273" s="13">
        <f t="shared" ca="1" si="756"/>
        <v>5.7714285714285625</v>
      </c>
      <c r="AR273" s="9">
        <f t="shared" ref="AR273:AR279" ca="1" si="757">AI273/AA273</f>
        <v>136.6</v>
      </c>
      <c r="AS273" s="76"/>
      <c r="AT273" s="76"/>
    </row>
    <row r="274" spans="1:46" ht="15.75" customHeight="1" x14ac:dyDescent="0.2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6"/>
      <c r="X274" s="8">
        <v>2</v>
      </c>
      <c r="Y274" s="8" t="s">
        <v>24</v>
      </c>
      <c r="Z274" s="8">
        <f t="shared" ref="Z274:AI274" si="758">SUM(D282)</f>
        <v>44</v>
      </c>
      <c r="AA274" s="9">
        <f t="shared" ca="1" si="758"/>
        <v>44</v>
      </c>
      <c r="AB274" s="10">
        <f t="shared" ca="1" si="758"/>
        <v>8149.9359999999897</v>
      </c>
      <c r="AC274" s="9">
        <f t="shared" ca="1" si="758"/>
        <v>1097</v>
      </c>
      <c r="AD274" s="9">
        <f t="shared" ca="1" si="758"/>
        <v>0</v>
      </c>
      <c r="AE274" s="9">
        <f t="shared" ca="1" si="758"/>
        <v>1097</v>
      </c>
      <c r="AF274" s="9">
        <f t="shared" ca="1" si="758"/>
        <v>1358</v>
      </c>
      <c r="AG274" s="9">
        <f t="shared" ca="1" si="758"/>
        <v>102</v>
      </c>
      <c r="AH274" s="9">
        <f t="shared" ca="1" si="758"/>
        <v>1460</v>
      </c>
      <c r="AI274" s="9">
        <f t="shared" ca="1" si="758"/>
        <v>2557</v>
      </c>
      <c r="AJ274" s="11">
        <f t="shared" ca="1" si="751"/>
        <v>185.22581818181794</v>
      </c>
      <c r="AK274" s="8">
        <v>1580</v>
      </c>
      <c r="AL274" s="15">
        <f t="shared" ca="1" si="752"/>
        <v>1.6183544303797468</v>
      </c>
      <c r="AM274" s="13">
        <f t="shared" si="753"/>
        <v>1.5</v>
      </c>
      <c r="AN274" s="12">
        <f t="shared" ca="1" si="754"/>
        <v>0.2091631967007678</v>
      </c>
      <c r="AO274" s="14">
        <f t="shared" ca="1" si="755"/>
        <v>0.31374479505115171</v>
      </c>
      <c r="AP274" s="13">
        <f t="shared" ref="AP274:AQ274" ca="1" si="759">SUM(T282)</f>
        <v>304.04536467076997</v>
      </c>
      <c r="AQ274" s="13">
        <f t="shared" ca="1" si="759"/>
        <v>6.9101219243356811</v>
      </c>
      <c r="AR274" s="9">
        <f t="shared" ca="1" si="757"/>
        <v>58.113636363636367</v>
      </c>
      <c r="AS274" s="76"/>
      <c r="AT274" s="76"/>
    </row>
    <row r="275" spans="1:46" ht="15.75" customHeight="1" x14ac:dyDescent="0.2">
      <c r="A275" s="70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6"/>
      <c r="X275" s="8">
        <v>3</v>
      </c>
      <c r="Y275" s="8" t="s">
        <v>25</v>
      </c>
      <c r="Z275" s="8">
        <f t="shared" ref="Z275:AI275" si="760">SUM(D283)</f>
        <v>32</v>
      </c>
      <c r="AA275" s="9">
        <f t="shared" ca="1" si="760"/>
        <v>32</v>
      </c>
      <c r="AB275" s="10">
        <f t="shared" ca="1" si="760"/>
        <v>5465.0919999999996</v>
      </c>
      <c r="AC275" s="9">
        <f t="shared" ca="1" si="760"/>
        <v>2370</v>
      </c>
      <c r="AD275" s="9">
        <f t="shared" ca="1" si="760"/>
        <v>685</v>
      </c>
      <c r="AE275" s="9">
        <f t="shared" ca="1" si="760"/>
        <v>3055</v>
      </c>
      <c r="AF275" s="9">
        <f t="shared" ca="1" si="760"/>
        <v>3107</v>
      </c>
      <c r="AG275" s="9">
        <f t="shared" ca="1" si="760"/>
        <v>625</v>
      </c>
      <c r="AH275" s="9">
        <f t="shared" ca="1" si="760"/>
        <v>3732</v>
      </c>
      <c r="AI275" s="9">
        <f t="shared" ca="1" si="760"/>
        <v>6787</v>
      </c>
      <c r="AJ275" s="11">
        <f t="shared" ca="1" si="751"/>
        <v>170.78412499999999</v>
      </c>
      <c r="AK275" s="8">
        <f>SUM(O283)</f>
        <v>6622</v>
      </c>
      <c r="AL275" s="15">
        <f t="shared" ca="1" si="752"/>
        <v>1.0249169435215948</v>
      </c>
      <c r="AM275" s="13">
        <f t="shared" si="753"/>
        <v>1.5</v>
      </c>
      <c r="AN275" s="12">
        <f t="shared" ca="1" si="754"/>
        <v>0.82792140858134999</v>
      </c>
      <c r="AO275" s="14">
        <f t="shared" ca="1" si="755"/>
        <v>1.241882112872025</v>
      </c>
      <c r="AP275" s="13">
        <f t="shared" ref="AP275:AQ275" ca="1" si="761">SUM(T283)</f>
        <v>229.24043624161072</v>
      </c>
      <c r="AQ275" s="13">
        <f t="shared" ca="1" si="761"/>
        <v>7.1637636325503351</v>
      </c>
      <c r="AR275" s="9">
        <f t="shared" ca="1" si="757"/>
        <v>212.09375</v>
      </c>
      <c r="AS275" s="76"/>
      <c r="AT275" s="76"/>
    </row>
    <row r="276" spans="1:46" ht="15.75" customHeight="1" x14ac:dyDescent="0.25">
      <c r="A276" s="70"/>
      <c r="B276" s="16">
        <v>1</v>
      </c>
      <c r="C276" s="16" t="s">
        <v>26</v>
      </c>
      <c r="D276" s="17">
        <v>20</v>
      </c>
      <c r="E276" s="18">
        <f ca="1">IFERROR(__xludf.DUMMYFUNCTION("COUNT(IMPORTRANGE(""https://docs.google.com/spreadsheets/d/1F0NpMx7WhcgPgxTWpryY3Z1CGg56FL6aiL4mHs43w4E/edit"",""11!d2:d21""))"),20)</f>
        <v>20</v>
      </c>
      <c r="F276" s="19">
        <f ca="1">IFERROR(__xludf.DUMMYFUNCTION("SUM(IMPORTRANGE(""https://docs.google.com/spreadsheets/d/1F0NpMx7WhcgPgxTWpryY3Z1CGg56FL6aiL4mHs43w4E/edit"",""11!Q2:Q21""))"),3885.378)</f>
        <v>3885.3780000000002</v>
      </c>
      <c r="G276" s="18">
        <f ca="1">IFERROR(__xludf.DUMMYFUNCTION("IMPORTRANGE(""https://docs.google.com/spreadsheets/d/1F0NpMx7WhcgPgxTWpryY3Z1CGg56FL6aiL4mHs43w4E/edit"",""11!e28"")"),2251)</f>
        <v>2251</v>
      </c>
      <c r="H276" s="18">
        <f ca="1">IFERROR(__xludf.DUMMYFUNCTION("IMPORTRANGE(""https://docs.google.com/spreadsheets/d/1F0NpMx7WhcgPgxTWpryY3Z1CGg56FL6aiL4mHs43w4E/edit"",""11!e29"")"),87)</f>
        <v>87</v>
      </c>
      <c r="I276" s="18">
        <f t="shared" ref="I276:I293" ca="1" si="762">SUM(G276:H276)</f>
        <v>2338</v>
      </c>
      <c r="J276" s="18">
        <f ca="1">IFERROR(__xludf.DUMMYFUNCTION("IMPORTRANGE(""https://docs.google.com/spreadsheets/d/1F0NpMx7WhcgPgxTWpryY3Z1CGg56FL6aiL4mHs43w4E/edit"",""11!e32"")"),2823)</f>
        <v>2823</v>
      </c>
      <c r="K276" s="18">
        <f ca="1">IFERROR(__xludf.DUMMYFUNCTION("IMPORTRANGE(""https://docs.google.com/spreadsheets/d/1F0NpMx7WhcgPgxTWpryY3Z1CGg56FL6aiL4mHs43w4E/edit"",""11!e33"")"),85)</f>
        <v>85</v>
      </c>
      <c r="L276" s="18">
        <f t="shared" ref="L276:L282" ca="1" si="763">SUM(J276:K276)</f>
        <v>2908</v>
      </c>
      <c r="M276" s="18">
        <f t="shared" ref="M276:M293" ca="1" si="764">SUM(I276+L276)</f>
        <v>5246</v>
      </c>
      <c r="N276" s="19">
        <f t="shared" ref="N276:N294" ca="1" si="765">F276/E276</f>
        <v>194.2689</v>
      </c>
      <c r="O276" s="16">
        <v>5161</v>
      </c>
      <c r="P276" s="33">
        <f t="shared" ref="P276:P294" ca="1" si="766">M276/O276</f>
        <v>1.0164696764192986</v>
      </c>
      <c r="Q276" s="21">
        <v>1.5</v>
      </c>
      <c r="R276" s="20">
        <f t="shared" ref="R276:R294" ca="1" si="767">S276/Q276</f>
        <v>0.90012692029793062</v>
      </c>
      <c r="S276" s="22">
        <f t="shared" ref="S276:S294" ca="1" si="768">M276/F276</f>
        <v>1.350190380446896</v>
      </c>
      <c r="T276" s="21">
        <f ca="1">F276/14.415</f>
        <v>269.5371488033299</v>
      </c>
      <c r="U276" s="21">
        <f t="shared" ref="U276:U294" ca="1" si="769">T276/E276</f>
        <v>13.476857440166494</v>
      </c>
      <c r="V276" s="18">
        <f t="shared" ref="V276:V294" ca="1" si="770">M276/E276</f>
        <v>262.3</v>
      </c>
      <c r="W276" s="76"/>
      <c r="X276" s="8">
        <v>4</v>
      </c>
      <c r="Y276" s="8" t="s">
        <v>27</v>
      </c>
      <c r="Z276" s="8">
        <f t="shared" ref="Z276:AK276" si="771">SUM(D289)</f>
        <v>30</v>
      </c>
      <c r="AA276" s="9">
        <f t="shared" ca="1" si="771"/>
        <v>29</v>
      </c>
      <c r="AB276" s="10">
        <f t="shared" ca="1" si="771"/>
        <v>5265.91</v>
      </c>
      <c r="AC276" s="9">
        <f t="shared" ca="1" si="771"/>
        <v>2570</v>
      </c>
      <c r="AD276" s="9">
        <f t="shared" ca="1" si="771"/>
        <v>190</v>
      </c>
      <c r="AE276" s="9">
        <f t="shared" ca="1" si="771"/>
        <v>2760</v>
      </c>
      <c r="AF276" s="9">
        <f t="shared" ca="1" si="771"/>
        <v>2725</v>
      </c>
      <c r="AG276" s="9">
        <f t="shared" ca="1" si="771"/>
        <v>200</v>
      </c>
      <c r="AH276" s="9">
        <f t="shared" ca="1" si="771"/>
        <v>2925</v>
      </c>
      <c r="AI276" s="9">
        <f t="shared" ca="1" si="771"/>
        <v>5685</v>
      </c>
      <c r="AJ276" s="11">
        <f t="shared" ca="1" si="771"/>
        <v>181.58310344827586</v>
      </c>
      <c r="AK276" s="8">
        <f t="shared" si="771"/>
        <v>8101</v>
      </c>
      <c r="AL276" s="12">
        <f t="shared" ca="1" si="752"/>
        <v>0.70176521417108995</v>
      </c>
      <c r="AM276" s="13">
        <f>SUM(Q289)</f>
        <v>1.5</v>
      </c>
      <c r="AN276" s="12">
        <f t="shared" ca="1" si="754"/>
        <v>0.71972365650001613</v>
      </c>
      <c r="AO276" s="14">
        <f t="shared" ca="1" si="755"/>
        <v>1.0795854847500241</v>
      </c>
      <c r="AP276" s="13">
        <f t="shared" ref="AP276:AQ276" ca="1" si="772">SUM(T289)</f>
        <v>263.49311983987991</v>
      </c>
      <c r="AQ276" s="13">
        <f t="shared" ca="1" si="772"/>
        <v>9.085969649651032</v>
      </c>
      <c r="AR276" s="9">
        <f t="shared" ca="1" si="757"/>
        <v>196.0344827586207</v>
      </c>
      <c r="AS276" s="76"/>
      <c r="AT276" s="76"/>
    </row>
    <row r="277" spans="1:46" ht="15.75" customHeight="1" x14ac:dyDescent="0.25">
      <c r="A277" s="70"/>
      <c r="B277" s="16">
        <v>2</v>
      </c>
      <c r="C277" s="16" t="s">
        <v>28</v>
      </c>
      <c r="D277" s="17">
        <v>33</v>
      </c>
      <c r="E277" s="18">
        <f ca="1">IFERROR(__xludf.DUMMYFUNCTION("COUNT(IMPORTRANGE(""https://docs.google.com/spreadsheets/d/1H9vAqftAHb0OdeSGXHTnJFzoWUgpoH31sc0sHNN8y1o/edit"",""11!d2:d34""))"),32)</f>
        <v>32</v>
      </c>
      <c r="F277" s="19">
        <f ca="1">IFERROR(__xludf.DUMMYFUNCTION("SUM(IMPORTRANGE(""https://docs.google.com/spreadsheets/d/1H9vAqftAHb0OdeSGXHTnJFzoWUgpoH31sc0sHNN8y1o/edit"",""11!Q2:Q34""))"),6267.385)</f>
        <v>6267.3850000000002</v>
      </c>
      <c r="G277" s="18">
        <f ca="1">IFERROR(__xludf.DUMMYFUNCTION("IMPORTRANGE(""https://docs.google.com/spreadsheets/d/1H9vAqftAHb0OdeSGXHTnJFzoWUgpoH31sc0sHNN8y1o/edit"",""11!e41"")"),2850)</f>
        <v>2850</v>
      </c>
      <c r="H277" s="18">
        <f ca="1">IFERROR(__xludf.DUMMYFUNCTION("IMPORTRANGE(""https://docs.google.com/spreadsheets/d/1H9vAqftAHb0OdeSGXHTnJFzoWUgpoH31sc0sHNN8y1o/edit"",""11!e42"")"),110)</f>
        <v>110</v>
      </c>
      <c r="I277" s="18">
        <f t="shared" ca="1" si="762"/>
        <v>2960</v>
      </c>
      <c r="J277" s="18">
        <f ca="1">IFERROR(__xludf.DUMMYFUNCTION("IMPORTRANGE(""https://docs.google.com/spreadsheets/d/1H9vAqftAHb0OdeSGXHTnJFzoWUgpoH31sc0sHNN8y1o/edit"",""11!e45"")"),2638)</f>
        <v>2638</v>
      </c>
      <c r="K277" s="18">
        <f ca="1">IFERROR(__xludf.DUMMYFUNCTION("IMPORTRANGE(""https://docs.google.com/spreadsheets/d/1H9vAqftAHb0OdeSGXHTnJFzoWUgpoH31sc0sHNN8y1o/edit"",""11!e46"")"),325)</f>
        <v>325</v>
      </c>
      <c r="L277" s="18">
        <f t="shared" ca="1" si="763"/>
        <v>2963</v>
      </c>
      <c r="M277" s="18">
        <f t="shared" ca="1" si="764"/>
        <v>5923</v>
      </c>
      <c r="N277" s="19">
        <f t="shared" ca="1" si="765"/>
        <v>195.85578125000001</v>
      </c>
      <c r="O277" s="16">
        <v>7315</v>
      </c>
      <c r="P277" s="20">
        <f t="shared" ca="1" si="766"/>
        <v>0.80970608339029393</v>
      </c>
      <c r="Q277" s="21">
        <v>1.5</v>
      </c>
      <c r="R277" s="20">
        <f t="shared" ca="1" si="767"/>
        <v>0.63003416363709375</v>
      </c>
      <c r="S277" s="22">
        <f t="shared" ca="1" si="768"/>
        <v>0.94505124545564057</v>
      </c>
      <c r="T277" s="21">
        <f ca="1">F277/30.897</f>
        <v>202.84768747774868</v>
      </c>
      <c r="U277" s="21">
        <f t="shared" ca="1" si="769"/>
        <v>6.3389902336796462</v>
      </c>
      <c r="V277" s="18">
        <f t="shared" ca="1" si="770"/>
        <v>185.09375</v>
      </c>
      <c r="W277" s="76"/>
      <c r="X277" s="8">
        <v>5</v>
      </c>
      <c r="Y277" s="8" t="s">
        <v>29</v>
      </c>
      <c r="Z277" s="8">
        <f t="shared" ref="Z277:AI277" si="773">SUM(D292)</f>
        <v>30</v>
      </c>
      <c r="AA277" s="9">
        <f t="shared" ca="1" si="773"/>
        <v>29</v>
      </c>
      <c r="AB277" s="10">
        <f t="shared" ca="1" si="773"/>
        <v>5801.5289999999904</v>
      </c>
      <c r="AC277" s="9">
        <f t="shared" ca="1" si="773"/>
        <v>3059</v>
      </c>
      <c r="AD277" s="9">
        <f t="shared" ca="1" si="773"/>
        <v>0</v>
      </c>
      <c r="AE277" s="9">
        <f t="shared" ca="1" si="773"/>
        <v>3059</v>
      </c>
      <c r="AF277" s="9">
        <f t="shared" ca="1" si="773"/>
        <v>3747</v>
      </c>
      <c r="AG277" s="9">
        <f t="shared" ca="1" si="773"/>
        <v>100</v>
      </c>
      <c r="AH277" s="9">
        <f t="shared" ca="1" si="773"/>
        <v>3847</v>
      </c>
      <c r="AI277" s="9">
        <f t="shared" ca="1" si="773"/>
        <v>6906</v>
      </c>
      <c r="AJ277" s="11">
        <f t="shared" ref="AJ277:AJ279" ca="1" si="774">AB277/AA277</f>
        <v>200.05272413793071</v>
      </c>
      <c r="AK277" s="8">
        <f t="shared" ref="AK277:AK278" si="775">SUM(O292)</f>
        <v>9201</v>
      </c>
      <c r="AL277" s="12">
        <f t="shared" ca="1" si="752"/>
        <v>0.75057059015324423</v>
      </c>
      <c r="AM277" s="13">
        <f t="shared" ref="AM277:AM278" si="776">SUM(Q292)</f>
        <v>1.5</v>
      </c>
      <c r="AN277" s="12">
        <f t="shared" ca="1" si="754"/>
        <v>0.79358389831370457</v>
      </c>
      <c r="AO277" s="14">
        <f t="shared" ca="1" si="755"/>
        <v>1.1903758474705568</v>
      </c>
      <c r="AP277" s="13">
        <f t="shared" ref="AP277:AQ277" ca="1" si="777">SUM(T292)</f>
        <v>218.99999999999963</v>
      </c>
      <c r="AQ277" s="13">
        <f t="shared" ca="1" si="777"/>
        <v>7.5517241379310214</v>
      </c>
      <c r="AR277" s="9">
        <f t="shared" ca="1" si="757"/>
        <v>238.13793103448276</v>
      </c>
      <c r="AS277" s="76"/>
      <c r="AT277" s="76"/>
    </row>
    <row r="278" spans="1:46" ht="15.75" customHeight="1" x14ac:dyDescent="0.25">
      <c r="A278" s="70"/>
      <c r="B278" s="16">
        <v>3</v>
      </c>
      <c r="C278" s="16" t="s">
        <v>30</v>
      </c>
      <c r="D278" s="17">
        <v>60</v>
      </c>
      <c r="E278" s="18">
        <f ca="1">IFERROR(__xludf.DUMMYFUNCTION("COUNT(IMPORTRANGE(""https://docs.google.com/spreadsheets/d/1EWN6nfpuVxbUE_9opjYCWaI7MTm5xsF6ssjklSbMZnA/edit"",""11!d2:d61""))"),58)</f>
        <v>58</v>
      </c>
      <c r="F278" s="23">
        <f ca="1">IFERROR(__xludf.DUMMYFUNCTION("SUM(IMPORTRANGE(""https://docs.google.com/spreadsheets/d/1EWN6nfpuVxbUE_9opjYCWaI7MTm5xsF6ssjklSbMZnA/edit"",""11!Q2:Q61""))"),10022.718)</f>
        <v>10022.718000000001</v>
      </c>
      <c r="G278" s="18">
        <f ca="1">IFERROR(__xludf.DUMMYFUNCTION("IMPORTRANGE(""https://docs.google.com/spreadsheets/d/1EWN6nfpuVxbUE_9opjYCWaI7MTm5xsF6ssjklSbMZnA/edit"",""11!e68"")"),3383)</f>
        <v>3383</v>
      </c>
      <c r="H278" s="18">
        <f ca="1">IFERROR(__xludf.DUMMYFUNCTION("IMPORTRANGE(""https://docs.google.com/spreadsheets/d/1EWN6nfpuVxbUE_9opjYCWaI7MTm5xsF6ssjklSbMZnA/edit"",""11!e69"")"),202)</f>
        <v>202</v>
      </c>
      <c r="I278" s="18">
        <f t="shared" ca="1" si="762"/>
        <v>3585</v>
      </c>
      <c r="J278" s="18">
        <f ca="1">IFERROR(__xludf.DUMMYFUNCTION("IMPORTRANGE(""https://docs.google.com/spreadsheets/d/1EWN6nfpuVxbUE_9opjYCWaI7MTm5xsF6ssjklSbMZnA/edit"",""11!e72"")"),5229)</f>
        <v>5229</v>
      </c>
      <c r="K278" s="18">
        <f ca="1">IFERROR(__xludf.DUMMYFUNCTION("IMPORTRANGE(""https://docs.google.com/spreadsheets/d/1EWN6nfpuVxbUE_9opjYCWaI7MTm5xsF6ssjklSbMZnA/edit"",""11!e73"")"),18)</f>
        <v>18</v>
      </c>
      <c r="L278" s="18">
        <f t="shared" ca="1" si="763"/>
        <v>5247</v>
      </c>
      <c r="M278" s="18">
        <f t="shared" ca="1" si="764"/>
        <v>8832</v>
      </c>
      <c r="N278" s="19">
        <f t="shared" ca="1" si="765"/>
        <v>172.80548275862071</v>
      </c>
      <c r="O278" s="16">
        <v>11164</v>
      </c>
      <c r="P278" s="20">
        <f t="shared" ca="1" si="766"/>
        <v>0.79111429595127192</v>
      </c>
      <c r="Q278" s="21">
        <v>1.5</v>
      </c>
      <c r="R278" s="20">
        <f t="shared" ca="1" si="767"/>
        <v>0.58746539611311022</v>
      </c>
      <c r="S278" s="22">
        <f t="shared" ca="1" si="768"/>
        <v>0.88119809416966532</v>
      </c>
      <c r="T278" s="21">
        <f ca="1">F278/29.603</f>
        <v>338.57102320710737</v>
      </c>
      <c r="U278" s="21">
        <f t="shared" ca="1" si="769"/>
        <v>5.8374314346052998</v>
      </c>
      <c r="V278" s="18">
        <f t="shared" ca="1" si="770"/>
        <v>152.27586206896552</v>
      </c>
      <c r="W278" s="76"/>
      <c r="X278" s="8">
        <v>6</v>
      </c>
      <c r="Y278" s="8" t="s">
        <v>31</v>
      </c>
      <c r="Z278" s="8">
        <f t="shared" ref="Z278:AI278" si="778">SUM(D293)</f>
        <v>15</v>
      </c>
      <c r="AA278" s="9">
        <f t="shared" ca="1" si="778"/>
        <v>15</v>
      </c>
      <c r="AB278" s="11">
        <f t="shared" ca="1" si="778"/>
        <v>2955.62</v>
      </c>
      <c r="AC278" s="9">
        <f t="shared" ca="1" si="778"/>
        <v>840</v>
      </c>
      <c r="AD278" s="9">
        <f t="shared" ca="1" si="778"/>
        <v>63</v>
      </c>
      <c r="AE278" s="9">
        <f t="shared" ca="1" si="778"/>
        <v>903</v>
      </c>
      <c r="AF278" s="9">
        <f t="shared" ca="1" si="778"/>
        <v>1068</v>
      </c>
      <c r="AG278" s="9">
        <f t="shared" ca="1" si="778"/>
        <v>66</v>
      </c>
      <c r="AH278" s="9">
        <f t="shared" ca="1" si="778"/>
        <v>1134</v>
      </c>
      <c r="AI278" s="9">
        <f t="shared" ca="1" si="778"/>
        <v>2037</v>
      </c>
      <c r="AJ278" s="11">
        <f t="shared" ca="1" si="774"/>
        <v>197.04133333333331</v>
      </c>
      <c r="AK278" s="8">
        <f t="shared" si="775"/>
        <v>2717</v>
      </c>
      <c r="AL278" s="12">
        <f t="shared" ca="1" si="752"/>
        <v>0.74972396025027599</v>
      </c>
      <c r="AM278" s="13">
        <f t="shared" si="776"/>
        <v>1.5</v>
      </c>
      <c r="AN278" s="12">
        <f t="shared" ca="1" si="754"/>
        <v>0.45946366582984283</v>
      </c>
      <c r="AO278" s="14">
        <f t="shared" ca="1" si="755"/>
        <v>0.68919549874476427</v>
      </c>
      <c r="AP278" s="13">
        <f t="shared" ref="AP278:AQ278" ca="1" si="779">SUM(T293)</f>
        <v>67.999999999999986</v>
      </c>
      <c r="AQ278" s="13">
        <f t="shared" ca="1" si="779"/>
        <v>4.5333333333333323</v>
      </c>
      <c r="AR278" s="9">
        <f t="shared" ca="1" si="757"/>
        <v>135.80000000000001</v>
      </c>
      <c r="AS278" s="76"/>
      <c r="AT278" s="76"/>
    </row>
    <row r="279" spans="1:46" ht="15.75" customHeight="1" x14ac:dyDescent="0.25">
      <c r="A279" s="70"/>
      <c r="B279" s="16">
        <v>4</v>
      </c>
      <c r="C279" s="16" t="s">
        <v>32</v>
      </c>
      <c r="D279" s="17">
        <v>42</v>
      </c>
      <c r="E279" s="18">
        <f ca="1">IFERROR(__xludf.DUMMYFUNCTION("COUNT(IMPORTRANGE(""https://docs.google.com/spreadsheets/d/1Rmar8QqWK4XOJ-eY6xMzkAfDSw0srEXcAw89ilArun8/edit"",""11!d2:d43""))"),42)</f>
        <v>42</v>
      </c>
      <c r="F279" s="23">
        <f ca="1">IFERROR(__xludf.DUMMYFUNCTION("SUM(IMPORTRANGE(""https://docs.google.com/spreadsheets/d/1Rmar8QqWK4XOJ-eY6xMzkAfDSw0srEXcAw89ilArun8/edit"",""11!Q2:Q43""))"),8429.90399999999)</f>
        <v>8429.9039999999895</v>
      </c>
      <c r="G279" s="16">
        <f ca="1">IFERROR(__xludf.DUMMYFUNCTION("IMPORTRANGE(""https://docs.google.com/spreadsheets/d/1Rmar8QqWK4XOJ-eY6xMzkAfDSw0srEXcAw89ilArun8/edit"",""11!e50"")"),4509)</f>
        <v>4509</v>
      </c>
      <c r="H279" s="16">
        <f ca="1">IFERROR(__xludf.DUMMYFUNCTION("IMPORTRANGE(""https://docs.google.com/spreadsheets/d/1Rmar8QqWK4XOJ-eY6xMzkAfDSw0srEXcAw89ilArun8/edit"",""11!e51"")"),115)</f>
        <v>115</v>
      </c>
      <c r="I279" s="18">
        <f t="shared" ca="1" si="762"/>
        <v>4624</v>
      </c>
      <c r="J279" s="16">
        <f ca="1">IFERROR(__xludf.DUMMYFUNCTION("IMPORTRANGE(""https://docs.google.com/spreadsheets/d/1Rmar8QqWK4XOJ-eY6xMzkAfDSw0srEXcAw89ilArun8/edit"",""11!e54"")"),5547)</f>
        <v>5547</v>
      </c>
      <c r="K279" s="16">
        <f ca="1">IFERROR(__xludf.DUMMYFUNCTION("IMPORTRANGE(""https://docs.google.com/spreadsheets/d/1Rmar8QqWK4XOJ-eY6xMzkAfDSw0srEXcAw89ilArun8/edit"",""11!e55"")"),120)</f>
        <v>120</v>
      </c>
      <c r="L279" s="18">
        <f t="shared" ca="1" si="763"/>
        <v>5667</v>
      </c>
      <c r="M279" s="18">
        <f t="shared" ca="1" si="764"/>
        <v>10291</v>
      </c>
      <c r="N279" s="19">
        <f t="shared" ca="1" si="765"/>
        <v>200.71199999999976</v>
      </c>
      <c r="O279" s="16">
        <v>13817</v>
      </c>
      <c r="P279" s="20">
        <f t="shared" ca="1" si="766"/>
        <v>0.74480712166172103</v>
      </c>
      <c r="Q279" s="21">
        <v>1.5</v>
      </c>
      <c r="R279" s="20">
        <f t="shared" ca="1" si="767"/>
        <v>0.81384873026628479</v>
      </c>
      <c r="S279" s="22">
        <f t="shared" ca="1" si="768"/>
        <v>1.2207730953994271</v>
      </c>
      <c r="T279" s="21">
        <f ca="1">F279/25.089</f>
        <v>335.9999999999996</v>
      </c>
      <c r="U279" s="21">
        <f t="shared" ca="1" si="769"/>
        <v>7.9999999999999902</v>
      </c>
      <c r="V279" s="18">
        <f t="shared" ca="1" si="770"/>
        <v>245.02380952380952</v>
      </c>
      <c r="W279" s="76"/>
      <c r="X279" s="24" t="s">
        <v>33</v>
      </c>
      <c r="Y279" s="24">
        <v>6</v>
      </c>
      <c r="Z279" s="24">
        <f t="shared" ref="Z279:AI279" si="780">SUM(Z273:Z278)</f>
        <v>186</v>
      </c>
      <c r="AA279" s="25">
        <f t="shared" ca="1" si="780"/>
        <v>184</v>
      </c>
      <c r="AB279" s="26">
        <f t="shared" ca="1" si="780"/>
        <v>34453.566999999974</v>
      </c>
      <c r="AC279" s="25">
        <f t="shared" ca="1" si="780"/>
        <v>11615</v>
      </c>
      <c r="AD279" s="25">
        <f t="shared" ca="1" si="780"/>
        <v>938</v>
      </c>
      <c r="AE279" s="25">
        <f t="shared" ca="1" si="780"/>
        <v>12553</v>
      </c>
      <c r="AF279" s="25">
        <f t="shared" ca="1" si="780"/>
        <v>15107</v>
      </c>
      <c r="AG279" s="25">
        <f t="shared" ca="1" si="780"/>
        <v>1093</v>
      </c>
      <c r="AH279" s="25">
        <f t="shared" ca="1" si="780"/>
        <v>16200</v>
      </c>
      <c r="AI279" s="25">
        <f t="shared" ca="1" si="780"/>
        <v>28753</v>
      </c>
      <c r="AJ279" s="27">
        <f t="shared" ca="1" si="774"/>
        <v>187.24764673913029</v>
      </c>
      <c r="AK279" s="24">
        <f>SUM(AK273:AK278)</f>
        <v>35074</v>
      </c>
      <c r="AL279" s="28">
        <f t="shared" ca="1" si="752"/>
        <v>0.81978103438444427</v>
      </c>
      <c r="AM279" s="29">
        <v>1.5</v>
      </c>
      <c r="AN279" s="28">
        <f t="shared" ca="1" si="754"/>
        <v>0.55636232575473776</v>
      </c>
      <c r="AO279" s="30">
        <f t="shared" ca="1" si="755"/>
        <v>0.83454348863210659</v>
      </c>
      <c r="AP279" s="29">
        <f ca="1">SUM(AP273:AP278)</f>
        <v>1285.7789207522599</v>
      </c>
      <c r="AQ279" s="29">
        <f ca="1">AP279/AA279</f>
        <v>6.9879289171318471</v>
      </c>
      <c r="AR279" s="25">
        <f t="shared" ca="1" si="757"/>
        <v>156.26630434782609</v>
      </c>
      <c r="AS279" s="76"/>
      <c r="AT279" s="76"/>
    </row>
    <row r="280" spans="1:46" ht="15.75" customHeight="1" x14ac:dyDescent="0.25">
      <c r="A280" s="70"/>
      <c r="B280" s="16">
        <v>5</v>
      </c>
      <c r="C280" s="16" t="s">
        <v>34</v>
      </c>
      <c r="D280" s="17">
        <v>40</v>
      </c>
      <c r="E280" s="18">
        <f ca="1">IFERROR(__xludf.DUMMYFUNCTION("COUNT(IMPORTRANGE(""https://docs.google.com/spreadsheets/d/1u99JxAoytGQQ8GcjxXl38CGdyEWy5uIbuJJHnsotyvk/edit"",""11!d2:d41""))"),38)</f>
        <v>38</v>
      </c>
      <c r="F280" s="23">
        <f ca="1">IFERROR(__xludf.DUMMYFUNCTION("SUM(IMPORTRANGE(""https://docs.google.com/spreadsheets/d/1u99JxAoytGQQ8GcjxXl38CGdyEWy5uIbuJJHnsotyvk/edit"",""11!Q2:Q41""))"),7453.854)</f>
        <v>7453.8540000000003</v>
      </c>
      <c r="G280" s="18">
        <f ca="1">IFERROR(__xludf.DUMMYFUNCTION("IMPORTRANGE(""https://docs.google.com/spreadsheets/d/1u99JxAoytGQQ8GcjxXl38CGdyEWy5uIbuJJHnsotyvk/edit"",""11!e48"")"),2685)</f>
        <v>2685</v>
      </c>
      <c r="H280" s="18">
        <f ca="1">IFERROR(__xludf.DUMMYFUNCTION("IMPORTRANGE(""https://docs.google.com/spreadsheets/d/1u99JxAoytGQQ8GcjxXl38CGdyEWy5uIbuJJHnsotyvk/edit"",""11!e49"")"),0)</f>
        <v>0</v>
      </c>
      <c r="I280" s="18">
        <f t="shared" ca="1" si="762"/>
        <v>2685</v>
      </c>
      <c r="J280" s="18">
        <f ca="1">IFERROR(__xludf.DUMMYFUNCTION("IMPORTRANGE(""https://docs.google.com/spreadsheets/d/1u99JxAoytGQQ8GcjxXl38CGdyEWy5uIbuJJHnsotyvk/edit"",""11!e52"")"),2867)</f>
        <v>2867</v>
      </c>
      <c r="K280" s="18">
        <f ca="1">IFERROR(__xludf.DUMMYFUNCTION("IMPORTRANGE(""https://docs.google.com/spreadsheets/d/1u99JxAoytGQQ8GcjxXl38CGdyEWy5uIbuJJHnsotyvk/edit"",""11!e53"")"),0)</f>
        <v>0</v>
      </c>
      <c r="L280" s="18">
        <f t="shared" ca="1" si="763"/>
        <v>2867</v>
      </c>
      <c r="M280" s="18">
        <f t="shared" ca="1" si="764"/>
        <v>5552</v>
      </c>
      <c r="N280" s="19">
        <f t="shared" ca="1" si="765"/>
        <v>196.15405263157896</v>
      </c>
      <c r="O280" s="16">
        <v>9354</v>
      </c>
      <c r="P280" s="20">
        <f t="shared" ca="1" si="766"/>
        <v>0.59354286936070133</v>
      </c>
      <c r="Q280" s="21">
        <v>1.5</v>
      </c>
      <c r="R280" s="20">
        <f t="shared" ca="1" si="767"/>
        <v>0.49656638476328263</v>
      </c>
      <c r="S280" s="22">
        <f t="shared" ca="1" si="768"/>
        <v>0.74484957714492395</v>
      </c>
      <c r="T280" s="21">
        <f ca="1">F280/30.713</f>
        <v>242.69377787907402</v>
      </c>
      <c r="U280" s="21">
        <f t="shared" ca="1" si="769"/>
        <v>6.3866783652387902</v>
      </c>
      <c r="V280" s="18">
        <f t="shared" ca="1" si="770"/>
        <v>146.10526315789474</v>
      </c>
      <c r="W280" s="76"/>
      <c r="X280" s="100" t="s">
        <v>35</v>
      </c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9"/>
      <c r="AS280" s="76"/>
      <c r="AT280" s="76"/>
    </row>
    <row r="281" spans="1:46" ht="15.75" customHeight="1" x14ac:dyDescent="0.25">
      <c r="A281" s="70"/>
      <c r="B281" s="16">
        <v>6</v>
      </c>
      <c r="C281" s="16" t="s">
        <v>23</v>
      </c>
      <c r="D281" s="17">
        <v>35</v>
      </c>
      <c r="E281" s="18">
        <f ca="1">IFERROR(__xludf.DUMMYFUNCTION("COUNT(IMPORTRANGE(""https://docs.google.com/spreadsheets/d/1uVc-vnTn57HE53lwrUYNZP4sGKTXisrqOoZ-6EyvLzY/edit"",""11!d2:d36""))"),35)</f>
        <v>35</v>
      </c>
      <c r="F281" s="23">
        <f ca="1">IFERROR(__xludf.DUMMYFUNCTION("SUM(IMPORTRANGE(""https://docs.google.com/spreadsheets/d/1uVc-vnTn57HE53lwrUYNZP4sGKTXisrqOoZ-6EyvLzY/edit"",""11!Q2:Q36""))"),6815.47999999999)</f>
        <v>6815.4799999999896</v>
      </c>
      <c r="G281" s="18">
        <f ca="1">IFERROR(__xludf.DUMMYFUNCTION("IMPORTRANGE(""https://docs.google.com/spreadsheets/d/1uVc-vnTn57HE53lwrUYNZP4sGKTXisrqOoZ-6EyvLzY/edit"",""11!e43"")"),1679)</f>
        <v>1679</v>
      </c>
      <c r="H281" s="18">
        <f ca="1">IFERROR(__xludf.DUMMYFUNCTION("IMPORTRANGE(""https://docs.google.com/spreadsheets/d/1uVc-vnTn57HE53lwrUYNZP4sGKTXisrqOoZ-6EyvLzY/edit"",""11!e44"")"),0)</f>
        <v>0</v>
      </c>
      <c r="I281" s="18">
        <f t="shared" ca="1" si="762"/>
        <v>1679</v>
      </c>
      <c r="J281" s="18">
        <f ca="1">IFERROR(__xludf.DUMMYFUNCTION("IMPORTRANGE(""https://docs.google.com/spreadsheets/d/1uVc-vnTn57HE53lwrUYNZP4sGKTXisrqOoZ-6EyvLzY/edit"",""11!e47"")"),3102)</f>
        <v>3102</v>
      </c>
      <c r="K281" s="18">
        <f ca="1">IFERROR(__xludf.DUMMYFUNCTION("IMPORTRANGE(""https://docs.google.com/spreadsheets/d/1uVc-vnTn57HE53lwrUYNZP4sGKTXisrqOoZ-6EyvLzY/edit"",""11!e48"")"),0)</f>
        <v>0</v>
      </c>
      <c r="L281" s="18">
        <f t="shared" ca="1" si="763"/>
        <v>3102</v>
      </c>
      <c r="M281" s="18">
        <f t="shared" ca="1" si="764"/>
        <v>4781</v>
      </c>
      <c r="N281" s="19">
        <f t="shared" ca="1" si="765"/>
        <v>194.7279999999997</v>
      </c>
      <c r="O281" s="16">
        <v>6853</v>
      </c>
      <c r="P281" s="20">
        <f t="shared" ca="1" si="766"/>
        <v>0.69765066394279873</v>
      </c>
      <c r="Q281" s="21">
        <v>1.5</v>
      </c>
      <c r="R281" s="20">
        <f t="shared" ca="1" si="767"/>
        <v>0.46766087397121531</v>
      </c>
      <c r="S281" s="22">
        <f t="shared" ca="1" si="768"/>
        <v>0.70149131095682293</v>
      </c>
      <c r="T281" s="21">
        <f ca="1">F281/33.74</f>
        <v>201.99999999999969</v>
      </c>
      <c r="U281" s="21">
        <f t="shared" ca="1" si="769"/>
        <v>5.7714285714285625</v>
      </c>
      <c r="V281" s="18">
        <f t="shared" ca="1" si="770"/>
        <v>136.6</v>
      </c>
      <c r="W281" s="76"/>
      <c r="X281" s="1" t="s">
        <v>2</v>
      </c>
      <c r="Y281" s="1" t="s">
        <v>3</v>
      </c>
      <c r="Z281" s="1" t="s">
        <v>4</v>
      </c>
      <c r="AA281" s="1" t="s">
        <v>5</v>
      </c>
      <c r="AB281" s="2" t="s">
        <v>6</v>
      </c>
      <c r="AC281" s="1" t="s">
        <v>7</v>
      </c>
      <c r="AD281" s="1" t="s">
        <v>8</v>
      </c>
      <c r="AE281" s="1" t="s">
        <v>9</v>
      </c>
      <c r="AF281" s="1" t="s">
        <v>10</v>
      </c>
      <c r="AG281" s="1" t="s">
        <v>11</v>
      </c>
      <c r="AH281" s="1" t="s">
        <v>12</v>
      </c>
      <c r="AI281" s="1" t="s">
        <v>13</v>
      </c>
      <c r="AJ281" s="2" t="s">
        <v>14</v>
      </c>
      <c r="AK281" s="1" t="s">
        <v>15</v>
      </c>
      <c r="AL281" s="1" t="s">
        <v>16</v>
      </c>
      <c r="AM281" s="3" t="s">
        <v>17</v>
      </c>
      <c r="AN281" s="4" t="s">
        <v>18</v>
      </c>
      <c r="AO281" s="5" t="s">
        <v>19</v>
      </c>
      <c r="AP281" s="6" t="s">
        <v>20</v>
      </c>
      <c r="AQ281" s="6" t="s">
        <v>21</v>
      </c>
      <c r="AR281" s="7" t="s">
        <v>22</v>
      </c>
      <c r="AS281" s="76"/>
      <c r="AT281" s="76"/>
    </row>
    <row r="282" spans="1:46" ht="15.75" customHeight="1" x14ac:dyDescent="0.25">
      <c r="A282" s="70"/>
      <c r="B282" s="16">
        <v>7</v>
      </c>
      <c r="C282" s="16" t="s">
        <v>24</v>
      </c>
      <c r="D282" s="17">
        <v>44</v>
      </c>
      <c r="E282" s="31">
        <f ca="1">IFERROR(__xludf.DUMMYFUNCTION("COUNT(IMPORTRANGE(""https://docs.google.com/spreadsheets/d/1iuPvivSypupo44l6GtmR-2qZ3za7cTk7KzsOVp_kv2c/edit"",""11!d2:d45""))"),44)</f>
        <v>44</v>
      </c>
      <c r="F282" s="32">
        <f ca="1">IFERROR(__xludf.DUMMYFUNCTION("SUM(IMPORTRANGE(""https://docs.google.com/spreadsheets/d/1iuPvivSypupo44l6GtmR-2qZ3za7cTk7KzsOVp_kv2c/edit"",""11!Q2:Q45""))"),8149.93599999999)</f>
        <v>8149.9359999999897</v>
      </c>
      <c r="G282" s="31">
        <f ca="1">IFERROR(__xludf.DUMMYFUNCTION("IMPORTRANGE(""https://docs.google.com/spreadsheets/d/1iuPvivSypupo44l6GtmR-2qZ3za7cTk7KzsOVp_kv2c/edit"",""11!e53"")"),1097)</f>
        <v>1097</v>
      </c>
      <c r="H282" s="31">
        <f ca="1">IFERROR(__xludf.DUMMYFUNCTION("IMPORTRANGE(""https://docs.google.com/spreadsheets/d/1iuPvivSypupo44l6GtmR-2qZ3za7cTk7KzsOVp_kv2c/edit"",""11!e54"")"),0)</f>
        <v>0</v>
      </c>
      <c r="I282" s="31">
        <f t="shared" ca="1" si="762"/>
        <v>1097</v>
      </c>
      <c r="J282" s="31">
        <f ca="1">IFERROR(__xludf.DUMMYFUNCTION("IMPORTRANGE(""https://docs.google.com/spreadsheets/d/1iuPvivSypupo44l6GtmR-2qZ3za7cTk7KzsOVp_kv2c/edit"",""11!e57"")"),1358)</f>
        <v>1358</v>
      </c>
      <c r="K282" s="31">
        <f ca="1">IFERROR(__xludf.DUMMYFUNCTION("IMPORTRANGE(""https://docs.google.com/spreadsheets/d/1iuPvivSypupo44l6GtmR-2qZ3za7cTk7KzsOVp_kv2c/edit"",""11!e58"")"),102)</f>
        <v>102</v>
      </c>
      <c r="L282" s="18">
        <f t="shared" ca="1" si="763"/>
        <v>1460</v>
      </c>
      <c r="M282" s="18">
        <f t="shared" ca="1" si="764"/>
        <v>2557</v>
      </c>
      <c r="N282" s="19">
        <f t="shared" ca="1" si="765"/>
        <v>185.22581818181794</v>
      </c>
      <c r="O282" s="16">
        <v>1580</v>
      </c>
      <c r="P282" s="33">
        <f t="shared" ca="1" si="766"/>
        <v>1.6183544303797468</v>
      </c>
      <c r="Q282" s="21">
        <v>1.5</v>
      </c>
      <c r="R282" s="20">
        <f t="shared" ca="1" si="767"/>
        <v>0.2091631967007678</v>
      </c>
      <c r="S282" s="22">
        <f t="shared" ca="1" si="768"/>
        <v>0.31374479505115171</v>
      </c>
      <c r="T282" s="21">
        <f ca="1">F282/26.805</f>
        <v>304.04536467076997</v>
      </c>
      <c r="U282" s="21">
        <f t="shared" ca="1" si="769"/>
        <v>6.9101219243356811</v>
      </c>
      <c r="V282" s="18">
        <f t="shared" ca="1" si="770"/>
        <v>58.113636363636367</v>
      </c>
      <c r="W282" s="76"/>
      <c r="X282" s="8">
        <v>1</v>
      </c>
      <c r="Y282" s="8" t="s">
        <v>28</v>
      </c>
      <c r="Z282" s="8">
        <f t="shared" ref="Z282:AI282" si="781">SUM(D277)</f>
        <v>33</v>
      </c>
      <c r="AA282" s="9">
        <f t="shared" ca="1" si="781"/>
        <v>32</v>
      </c>
      <c r="AB282" s="11">
        <f t="shared" ca="1" si="781"/>
        <v>6267.3850000000002</v>
      </c>
      <c r="AC282" s="9">
        <f t="shared" ca="1" si="781"/>
        <v>2850</v>
      </c>
      <c r="AD282" s="9">
        <f t="shared" ca="1" si="781"/>
        <v>110</v>
      </c>
      <c r="AE282" s="9">
        <f t="shared" ca="1" si="781"/>
        <v>2960</v>
      </c>
      <c r="AF282" s="9">
        <f t="shared" ca="1" si="781"/>
        <v>2638</v>
      </c>
      <c r="AG282" s="9">
        <f t="shared" ca="1" si="781"/>
        <v>325</v>
      </c>
      <c r="AH282" s="9">
        <f t="shared" ca="1" si="781"/>
        <v>2963</v>
      </c>
      <c r="AI282" s="9">
        <f t="shared" ca="1" si="781"/>
        <v>5923</v>
      </c>
      <c r="AJ282" s="11">
        <f t="shared" ref="AJ282:AJ288" ca="1" si="782">AB282/AA282</f>
        <v>195.85578125000001</v>
      </c>
      <c r="AK282" s="8">
        <f t="shared" ref="AK282:AK283" si="783">SUM(O277)</f>
        <v>7315</v>
      </c>
      <c r="AL282" s="12">
        <f t="shared" ref="AL282:AL288" ca="1" si="784">AI282/AK282</f>
        <v>0.80970608339029393</v>
      </c>
      <c r="AM282" s="13">
        <f t="shared" ref="AM282:AM283" si="785">SUM(Q277)</f>
        <v>1.5</v>
      </c>
      <c r="AN282" s="12">
        <f t="shared" ref="AN282:AN288" ca="1" si="786">AO282/AM282</f>
        <v>0.63003416363709375</v>
      </c>
      <c r="AO282" s="14">
        <f t="shared" ref="AO282:AO288" ca="1" si="787">AI282/AB282</f>
        <v>0.94505124545564057</v>
      </c>
      <c r="AP282" s="13">
        <f t="shared" ref="AP282:AQ282" ca="1" si="788">SUM(T277)</f>
        <v>202.84768747774868</v>
      </c>
      <c r="AQ282" s="13">
        <f t="shared" ca="1" si="788"/>
        <v>6.3389902336796462</v>
      </c>
      <c r="AR282" s="9">
        <f t="shared" ref="AR282:AR288" ca="1" si="789">AI282/AA282</f>
        <v>185.09375</v>
      </c>
      <c r="AS282" s="76"/>
      <c r="AT282" s="76"/>
    </row>
    <row r="283" spans="1:46" ht="15.75" customHeight="1" x14ac:dyDescent="0.25">
      <c r="A283" s="70"/>
      <c r="B283" s="16">
        <v>8</v>
      </c>
      <c r="C283" s="16" t="s">
        <v>25</v>
      </c>
      <c r="D283" s="34">
        <v>32</v>
      </c>
      <c r="E283" s="18">
        <f ca="1">IFERROR(__xludf.DUMMYFUNCTION("COUNT(IMPORTRANGE(""https://docs.google.com/spreadsheets/d/1sqWX7UerdR9KR_duBzDNfjwbPG-3hLgV1LiN2ZVZ6Js/edit"",""11!d2:D33""))"),32)</f>
        <v>32</v>
      </c>
      <c r="F283" s="23">
        <f ca="1">IFERROR(__xludf.DUMMYFUNCTION("SUM(IMPORTRANGE(""https://docs.google.com/spreadsheets/d/1sqWX7UerdR9KR_duBzDNfjwbPG-3hLgV1LiN2ZVZ6Js/edit"",""11!Q2:Q33""))"),5465.092)</f>
        <v>5465.0919999999996</v>
      </c>
      <c r="G283" s="18">
        <f ca="1">IFERROR(__xludf.DUMMYFUNCTION("IMPORTRANGE(""https://docs.google.com/spreadsheets/d/1sqWX7UerdR9KR_duBzDNfjwbPG-3hLgV1LiN2ZVZ6Js/edit"",""11!e40"")"),2370)</f>
        <v>2370</v>
      </c>
      <c r="H283" s="18">
        <f ca="1">IFERROR(__xludf.DUMMYFUNCTION("IMPORTRANGE(""https://docs.google.com/spreadsheets/d/1sqWX7UerdR9KR_duBzDNfjwbPG-3hLgV1LiN2ZVZ6Js/edit"",""11!e41"")"),685)</f>
        <v>685</v>
      </c>
      <c r="I283" s="18">
        <f t="shared" ca="1" si="762"/>
        <v>3055</v>
      </c>
      <c r="J283" s="18">
        <f ca="1">IFERROR(__xludf.DUMMYFUNCTION("IMPORTRANGE(""https://docs.google.com/spreadsheets/d/1sqWX7UerdR9KR_duBzDNfjwbPG-3hLgV1LiN2ZVZ6Js/edit"",""11!e44"")"),3107)</f>
        <v>3107</v>
      </c>
      <c r="K283" s="18">
        <f ca="1">IFERROR(__xludf.DUMMYFUNCTION("IMPORTRANGE(""https://docs.google.com/spreadsheets/d/1sqWX7UerdR9KR_duBzDNfjwbPG-3hLgV1LiN2ZVZ6Js/edit"",""11!e45"")"),625)</f>
        <v>625</v>
      </c>
      <c r="L283" s="18">
        <f ca="1">J283+K283</f>
        <v>3732</v>
      </c>
      <c r="M283" s="18">
        <f t="shared" ca="1" si="764"/>
        <v>6787</v>
      </c>
      <c r="N283" s="19">
        <f t="shared" ca="1" si="765"/>
        <v>170.78412499999999</v>
      </c>
      <c r="O283" s="16">
        <v>6622</v>
      </c>
      <c r="P283" s="33">
        <f t="shared" ca="1" si="766"/>
        <v>1.0249169435215948</v>
      </c>
      <c r="Q283" s="21">
        <v>1.5</v>
      </c>
      <c r="R283" s="20">
        <f t="shared" ca="1" si="767"/>
        <v>0.82792140858134999</v>
      </c>
      <c r="S283" s="22">
        <f t="shared" ca="1" si="768"/>
        <v>1.241882112872025</v>
      </c>
      <c r="T283" s="21">
        <f ca="1">F283/23.84</f>
        <v>229.24043624161072</v>
      </c>
      <c r="U283" s="21">
        <f t="shared" ca="1" si="769"/>
        <v>7.1637636325503351</v>
      </c>
      <c r="V283" s="18">
        <f t="shared" ca="1" si="770"/>
        <v>212.09375</v>
      </c>
      <c r="W283" s="76"/>
      <c r="X283" s="8">
        <v>2</v>
      </c>
      <c r="Y283" s="8" t="s">
        <v>30</v>
      </c>
      <c r="Z283" s="8">
        <f t="shared" ref="Z283:AI283" si="790">SUM(D278)</f>
        <v>60</v>
      </c>
      <c r="AA283" s="9">
        <f t="shared" ca="1" si="790"/>
        <v>58</v>
      </c>
      <c r="AB283" s="10">
        <f t="shared" ca="1" si="790"/>
        <v>10022.718000000001</v>
      </c>
      <c r="AC283" s="9">
        <f t="shared" ca="1" si="790"/>
        <v>3383</v>
      </c>
      <c r="AD283" s="9">
        <f t="shared" ca="1" si="790"/>
        <v>202</v>
      </c>
      <c r="AE283" s="9">
        <f t="shared" ca="1" si="790"/>
        <v>3585</v>
      </c>
      <c r="AF283" s="9">
        <f t="shared" ca="1" si="790"/>
        <v>5229</v>
      </c>
      <c r="AG283" s="9">
        <f t="shared" ca="1" si="790"/>
        <v>18</v>
      </c>
      <c r="AH283" s="9">
        <f t="shared" ca="1" si="790"/>
        <v>5247</v>
      </c>
      <c r="AI283" s="9">
        <f t="shared" ca="1" si="790"/>
        <v>8832</v>
      </c>
      <c r="AJ283" s="11">
        <f t="shared" ca="1" si="782"/>
        <v>172.80548275862071</v>
      </c>
      <c r="AK283" s="8">
        <f t="shared" si="783"/>
        <v>11164</v>
      </c>
      <c r="AL283" s="12">
        <f t="shared" ca="1" si="784"/>
        <v>0.79111429595127192</v>
      </c>
      <c r="AM283" s="13">
        <f t="shared" si="785"/>
        <v>1.5</v>
      </c>
      <c r="AN283" s="12">
        <f t="shared" ca="1" si="786"/>
        <v>0.58746539611311022</v>
      </c>
      <c r="AO283" s="14">
        <f t="shared" ca="1" si="787"/>
        <v>0.88119809416966532</v>
      </c>
      <c r="AP283" s="13">
        <f t="shared" ref="AP283:AQ283" ca="1" si="791">SUM(T278)</f>
        <v>338.57102320710737</v>
      </c>
      <c r="AQ283" s="13">
        <f t="shared" ca="1" si="791"/>
        <v>5.8374314346052998</v>
      </c>
      <c r="AR283" s="9">
        <f t="shared" ca="1" si="789"/>
        <v>152.27586206896552</v>
      </c>
      <c r="AS283" s="76"/>
      <c r="AT283" s="76"/>
    </row>
    <row r="284" spans="1:46" ht="15.75" customHeight="1" x14ac:dyDescent="0.25">
      <c r="A284" s="70"/>
      <c r="B284" s="16">
        <v>9</v>
      </c>
      <c r="C284" s="16" t="s">
        <v>36</v>
      </c>
      <c r="D284" s="34">
        <v>30</v>
      </c>
      <c r="E284" s="18">
        <f ca="1">IFERROR(__xludf.DUMMYFUNCTION("COUNT(IMPORTRANGE(""https://docs.google.com/spreadsheets/d/1YNna43iTSqnwwbMJgTIPHSJEoDO8RGPRFg5pJCoQR_Y/edit"",""11!d2:d31""))"),30)</f>
        <v>30</v>
      </c>
      <c r="F284" s="23">
        <f ca="1">IFERROR(__xludf.DUMMYFUNCTION("SUM(IMPORTRANGE(""https://docs.google.com/spreadsheets/d/1YNna43iTSqnwwbMJgTIPHSJEoDO8RGPRFg5pJCoQR_Y/edit"",""11!Q2:Q31""))"),5885.523)</f>
        <v>5885.5230000000001</v>
      </c>
      <c r="G284" s="18">
        <f ca="1">IFERROR(__xludf.DUMMYFUNCTION("IMPORTRANGE(""https://docs.google.com/spreadsheets/d/1YNna43iTSqnwwbMJgTIPHSJEoDO8RGPRFg5pJCoQR_Y/edit"",""11!e38"")"),1653)</f>
        <v>1653</v>
      </c>
      <c r="H284" s="18">
        <f ca="1">IFERROR(__xludf.DUMMYFUNCTION("IMPORTRANGE(""https://docs.google.com/spreadsheets/d/1YNna43iTSqnwwbMJgTIPHSJEoDO8RGPRFg5pJCoQR_Y/edit"",""11!e39"")"),0)</f>
        <v>0</v>
      </c>
      <c r="I284" s="18">
        <f t="shared" ca="1" si="762"/>
        <v>1653</v>
      </c>
      <c r="J284" s="18">
        <f ca="1">IFERROR(__xludf.DUMMYFUNCTION("IMPORTRANGE(""https://docs.google.com/spreadsheets/d/1YNna43iTSqnwwbMJgTIPHSJEoDO8RGPRFg5pJCoQR_Y/edit"",""11!e42"")"),2401)</f>
        <v>2401</v>
      </c>
      <c r="K284" s="18">
        <f ca="1">IFERROR(__xludf.DUMMYFUNCTION("IMPORTRANGE(""https://docs.google.com/spreadsheets/d/1YNna43iTSqnwwbMJgTIPHSJEoDO8RGPRFg5pJCoQR_Y/edit"",""11!e43"")"),0)</f>
        <v>0</v>
      </c>
      <c r="L284" s="18">
        <f t="shared" ref="L284:L293" ca="1" si="792">SUM(J284:K284)</f>
        <v>2401</v>
      </c>
      <c r="M284" s="18">
        <f t="shared" ca="1" si="764"/>
        <v>4054</v>
      </c>
      <c r="N284" s="19">
        <f t="shared" ca="1" si="765"/>
        <v>196.1841</v>
      </c>
      <c r="O284" s="16">
        <v>4796</v>
      </c>
      <c r="P284" s="20">
        <f t="shared" ca="1" si="766"/>
        <v>0.84528773978315264</v>
      </c>
      <c r="Q284" s="21">
        <v>1.5</v>
      </c>
      <c r="R284" s="20">
        <f t="shared" ca="1" si="767"/>
        <v>0.45920586270186464</v>
      </c>
      <c r="S284" s="22">
        <f t="shared" ca="1" si="768"/>
        <v>0.68880879405279694</v>
      </c>
      <c r="T284" s="21">
        <f ca="1">F284/37.414</f>
        <v>157.30803977120863</v>
      </c>
      <c r="U284" s="21">
        <f t="shared" ca="1" si="769"/>
        <v>5.2436013257069538</v>
      </c>
      <c r="V284" s="18">
        <f t="shared" ca="1" si="770"/>
        <v>135.13333333333333</v>
      </c>
      <c r="W284" s="76"/>
      <c r="X284" s="8">
        <v>3</v>
      </c>
      <c r="Y284" s="8" t="s">
        <v>34</v>
      </c>
      <c r="Z284" s="8">
        <f t="shared" ref="Z284:AI284" si="793">SUM(D280)</f>
        <v>40</v>
      </c>
      <c r="AA284" s="9">
        <f t="shared" ca="1" si="793"/>
        <v>38</v>
      </c>
      <c r="AB284" s="10">
        <f t="shared" ca="1" si="793"/>
        <v>7453.8540000000003</v>
      </c>
      <c r="AC284" s="9">
        <f t="shared" ca="1" si="793"/>
        <v>2685</v>
      </c>
      <c r="AD284" s="9">
        <f t="shared" ca="1" si="793"/>
        <v>0</v>
      </c>
      <c r="AE284" s="9">
        <f t="shared" ca="1" si="793"/>
        <v>2685</v>
      </c>
      <c r="AF284" s="9">
        <f t="shared" ca="1" si="793"/>
        <v>2867</v>
      </c>
      <c r="AG284" s="9">
        <f t="shared" ca="1" si="793"/>
        <v>0</v>
      </c>
      <c r="AH284" s="9">
        <f t="shared" ca="1" si="793"/>
        <v>2867</v>
      </c>
      <c r="AI284" s="9">
        <f t="shared" ca="1" si="793"/>
        <v>5552</v>
      </c>
      <c r="AJ284" s="11">
        <f t="shared" ca="1" si="782"/>
        <v>196.15405263157896</v>
      </c>
      <c r="AK284" s="8">
        <f>SUM(O280)</f>
        <v>9354</v>
      </c>
      <c r="AL284" s="12">
        <f t="shared" ca="1" si="784"/>
        <v>0.59354286936070133</v>
      </c>
      <c r="AM284" s="13">
        <f>SUM(Q280)</f>
        <v>1.5</v>
      </c>
      <c r="AN284" s="12">
        <f t="shared" ca="1" si="786"/>
        <v>0.49656638476328263</v>
      </c>
      <c r="AO284" s="14">
        <f t="shared" ca="1" si="787"/>
        <v>0.74484957714492395</v>
      </c>
      <c r="AP284" s="13">
        <f t="shared" ref="AP284:AQ284" ca="1" si="794">SUM(T280)</f>
        <v>242.69377787907402</v>
      </c>
      <c r="AQ284" s="13">
        <f t="shared" ca="1" si="794"/>
        <v>6.3866783652387902</v>
      </c>
      <c r="AR284" s="9">
        <f t="shared" ca="1" si="789"/>
        <v>146.10526315789474</v>
      </c>
      <c r="AS284" s="76"/>
      <c r="AT284" s="76"/>
    </row>
    <row r="285" spans="1:46" ht="15.75" customHeight="1" x14ac:dyDescent="0.25">
      <c r="A285" s="70"/>
      <c r="B285" s="16">
        <v>10</v>
      </c>
      <c r="C285" s="16" t="s">
        <v>37</v>
      </c>
      <c r="D285" s="17">
        <v>30</v>
      </c>
      <c r="E285" s="18">
        <f ca="1">IFERROR(__xludf.DUMMYFUNCTION("COUNT(IMPORTRANGE(""https://docs.google.com/spreadsheets/d/1913Df5BsXS_b-nClL8LOK5w0engQYTl1mPOiyngRtO0/edit"",""11!d2:d31""))"),30)</f>
        <v>30</v>
      </c>
      <c r="F285" s="23">
        <f ca="1">IFERROR(__xludf.DUMMYFUNCTION("SUM(IMPORTRANGE(""https://docs.google.com/spreadsheets/d/1913Df5BsXS_b-nClL8LOK5w0engQYTl1mPOiyngRtO0/edit"",""11!Q2:Q31""))"),5638.64399999999)</f>
        <v>5638.6439999999902</v>
      </c>
      <c r="G285" s="18">
        <f ca="1">IFERROR(__xludf.DUMMYFUNCTION("(IMPORTRANGE(""https://docs.google.com/spreadsheets/d/1913Df5BsXS_b-nClL8LOK5w0engQYTl1mPOiyngRtO0/edit"",""11!e38""))"),2049)</f>
        <v>2049</v>
      </c>
      <c r="H285" s="18">
        <f ca="1">IFERROR(__xludf.DUMMYFUNCTION("(IMPORTRANGE(""https://docs.google.com/spreadsheets/d/1913Df5BsXS_b-nClL8LOK5w0engQYTl1mPOiyngRtO0/edit"",""1!e39""))"),0)</f>
        <v>0</v>
      </c>
      <c r="I285" s="18">
        <f t="shared" ca="1" si="762"/>
        <v>2049</v>
      </c>
      <c r="J285" s="18">
        <f ca="1">IFERROR(__xludf.DUMMYFUNCTION("(IMPORTRANGE(""https://docs.google.com/spreadsheets/d/1913Df5BsXS_b-nClL8LOK5w0engQYTl1mPOiyngRtO0/edit"",""11!e42""))"),3087)</f>
        <v>3087</v>
      </c>
      <c r="K285" s="18">
        <f ca="1">IFERROR(__xludf.DUMMYFUNCTION("(IMPORTRANGE(""https://docs.google.com/spreadsheets/d/1913Df5BsXS_b-nClL8LOK5w0engQYTl1mPOiyngRtO0/edit"",""11!e43""))"),0)</f>
        <v>0</v>
      </c>
      <c r="L285" s="18">
        <f t="shared" ca="1" si="792"/>
        <v>3087</v>
      </c>
      <c r="M285" s="18">
        <f t="shared" ca="1" si="764"/>
        <v>5136</v>
      </c>
      <c r="N285" s="19">
        <f t="shared" ca="1" si="765"/>
        <v>187.95479999999966</v>
      </c>
      <c r="O285" s="16">
        <v>5887</v>
      </c>
      <c r="P285" s="20">
        <f t="shared" ca="1" si="766"/>
        <v>0.87243077968404958</v>
      </c>
      <c r="Q285" s="21">
        <v>1.5</v>
      </c>
      <c r="R285" s="20">
        <f t="shared" ca="1" si="767"/>
        <v>0.60723819414738822</v>
      </c>
      <c r="S285" s="22">
        <f t="shared" ca="1" si="768"/>
        <v>0.91085729122108239</v>
      </c>
      <c r="T285" s="21">
        <f ca="1">F285/24.792</f>
        <v>227.4380445304933</v>
      </c>
      <c r="U285" s="21">
        <f t="shared" ca="1" si="769"/>
        <v>7.5812681510164435</v>
      </c>
      <c r="V285" s="18">
        <f t="shared" ca="1" si="770"/>
        <v>171.2</v>
      </c>
      <c r="W285" s="76"/>
      <c r="X285" s="8">
        <v>4</v>
      </c>
      <c r="Y285" s="8" t="s">
        <v>38</v>
      </c>
      <c r="Z285" s="8">
        <f t="shared" ref="Z285:AI285" si="795">SUM(D288)</f>
        <v>30</v>
      </c>
      <c r="AA285" s="9">
        <f t="shared" ca="1" si="795"/>
        <v>30</v>
      </c>
      <c r="AB285" s="10">
        <f t="shared" ca="1" si="795"/>
        <v>6034.9859999999899</v>
      </c>
      <c r="AC285" s="9">
        <f t="shared" ca="1" si="795"/>
        <v>1974</v>
      </c>
      <c r="AD285" s="9">
        <f t="shared" ca="1" si="795"/>
        <v>53</v>
      </c>
      <c r="AE285" s="9">
        <f t="shared" ca="1" si="795"/>
        <v>2027</v>
      </c>
      <c r="AF285" s="9">
        <f t="shared" ca="1" si="795"/>
        <v>2733</v>
      </c>
      <c r="AG285" s="9">
        <f t="shared" ca="1" si="795"/>
        <v>161</v>
      </c>
      <c r="AH285" s="9">
        <f t="shared" ca="1" si="795"/>
        <v>2894</v>
      </c>
      <c r="AI285" s="9">
        <f t="shared" ca="1" si="795"/>
        <v>4921</v>
      </c>
      <c r="AJ285" s="11">
        <f t="shared" ca="1" si="782"/>
        <v>201.16619999999966</v>
      </c>
      <c r="AK285" s="8">
        <v>7324</v>
      </c>
      <c r="AL285" s="12">
        <f t="shared" ca="1" si="784"/>
        <v>0.67190060076460956</v>
      </c>
      <c r="AM285" s="13">
        <f>SUM(Q288)</f>
        <v>1.5</v>
      </c>
      <c r="AN285" s="12">
        <f t="shared" ca="1" si="786"/>
        <v>0.5436079995325046</v>
      </c>
      <c r="AO285" s="14">
        <f t="shared" ca="1" si="787"/>
        <v>0.81541199929875696</v>
      </c>
      <c r="AP285" s="13">
        <f t="shared" ref="AP285:AQ285" ca="1" si="796">SUM(T288)</f>
        <v>146.4624681470693</v>
      </c>
      <c r="AQ285" s="13">
        <f t="shared" ca="1" si="796"/>
        <v>4.8820822715689767</v>
      </c>
      <c r="AR285" s="9">
        <f t="shared" ca="1" si="789"/>
        <v>164.03333333333333</v>
      </c>
      <c r="AS285" s="76"/>
      <c r="AT285" s="76"/>
    </row>
    <row r="286" spans="1:46" ht="15.75" customHeight="1" x14ac:dyDescent="0.25">
      <c r="A286" s="70"/>
      <c r="B286" s="16">
        <v>12</v>
      </c>
      <c r="C286" s="16" t="s">
        <v>39</v>
      </c>
      <c r="D286" s="17">
        <v>28</v>
      </c>
      <c r="E286" s="18">
        <f ca="1">IFERROR(__xludf.DUMMYFUNCTION("COUNT(IMPORTRANGE(""https://docs.google.com/spreadsheets/d/1wMeol_MpSIcocGxt3WZGl46mJ2tc80mANPvP_YzaP18/edit"",""11!d2:d29""))"),28)</f>
        <v>28</v>
      </c>
      <c r="F286" s="23">
        <f ca="1">IFERROR(__xludf.DUMMYFUNCTION("SUM(IMPORTRANGE(""https://docs.google.com/spreadsheets/d/1wMeol_MpSIcocGxt3WZGl46mJ2tc80mANPvP_YzaP18/edit"",""11!Q2:Q29""))"),5308.637)</f>
        <v>5308.6369999999997</v>
      </c>
      <c r="G286" s="18">
        <f ca="1">IFERROR(__xludf.DUMMYFUNCTION("IMPORTRANGE(""https://docs.google.com/spreadsheets/d/1wMeol_MpSIcocGxt3WZGl46mJ2tc80mANPvP_YzaP18/edit"",""11!e36"")"),1260)</f>
        <v>1260</v>
      </c>
      <c r="H286" s="18">
        <f ca="1">IFERROR(__xludf.DUMMYFUNCTION("(IMPORTRANGE(""https://docs.google.com/spreadsheets/d/1wMeol_MpSIcocGxt3WZGl46mJ2tc80mANPvP_YzaP18/edit"",""11!e37""))"),0)</f>
        <v>0</v>
      </c>
      <c r="I286" s="18">
        <f t="shared" ca="1" si="762"/>
        <v>1260</v>
      </c>
      <c r="J286" s="18">
        <f ca="1">IFERROR(__xludf.DUMMYFUNCTION("IMPORTRANGE(""https://docs.google.com/spreadsheets/d/1wMeol_MpSIcocGxt3WZGl46mJ2tc80mANPvP_YzaP18/edit"",""11!e40"")"),1811)</f>
        <v>1811</v>
      </c>
      <c r="K286" s="18">
        <f ca="1">IFERROR(__xludf.DUMMYFUNCTION("IMPORTRANGE(""https://docs.google.com/spreadsheets/d/1wMeol_MpSIcocGxt3WZGl46mJ2tc80mANPvP_YzaP18/edit"",""11!e41"")"),63)</f>
        <v>63</v>
      </c>
      <c r="L286" s="18">
        <f t="shared" ca="1" si="792"/>
        <v>1874</v>
      </c>
      <c r="M286" s="18">
        <f t="shared" ca="1" si="764"/>
        <v>3134</v>
      </c>
      <c r="N286" s="19">
        <f t="shared" ca="1" si="765"/>
        <v>189.59417857142856</v>
      </c>
      <c r="O286" s="16">
        <v>3569</v>
      </c>
      <c r="P286" s="20">
        <f t="shared" ca="1" si="766"/>
        <v>0.87811711964135608</v>
      </c>
      <c r="Q286" s="21">
        <v>1.5</v>
      </c>
      <c r="R286" s="20">
        <f t="shared" ca="1" si="767"/>
        <v>0.39357246188302825</v>
      </c>
      <c r="S286" s="22">
        <f t="shared" ca="1" si="768"/>
        <v>0.59035869282454234</v>
      </c>
      <c r="T286" s="21">
        <f ca="1">F286/21.463</f>
        <v>247.33900200344777</v>
      </c>
      <c r="U286" s="21">
        <f t="shared" ca="1" si="769"/>
        <v>8.8335357858374213</v>
      </c>
      <c r="V286" s="18">
        <f t="shared" ca="1" si="770"/>
        <v>111.92857142857143</v>
      </c>
      <c r="W286" s="76"/>
      <c r="X286" s="8">
        <v>5</v>
      </c>
      <c r="Y286" s="8" t="s">
        <v>40</v>
      </c>
      <c r="Z286" s="8">
        <f t="shared" ref="Z286:AI286" si="797">SUM(D290)</f>
        <v>30</v>
      </c>
      <c r="AA286" s="9">
        <f t="shared" ca="1" si="797"/>
        <v>30</v>
      </c>
      <c r="AB286" s="10">
        <f t="shared" ca="1" si="797"/>
        <v>5731.9309999999896</v>
      </c>
      <c r="AC286" s="9">
        <f t="shared" ca="1" si="797"/>
        <v>3639</v>
      </c>
      <c r="AD286" s="9">
        <f t="shared" ca="1" si="797"/>
        <v>26</v>
      </c>
      <c r="AE286" s="9">
        <f t="shared" ca="1" si="797"/>
        <v>3665</v>
      </c>
      <c r="AF286" s="9">
        <f t="shared" ca="1" si="797"/>
        <v>3667</v>
      </c>
      <c r="AG286" s="9">
        <f t="shared" ca="1" si="797"/>
        <v>0</v>
      </c>
      <c r="AH286" s="9">
        <f t="shared" ca="1" si="797"/>
        <v>3667</v>
      </c>
      <c r="AI286" s="9">
        <f t="shared" ca="1" si="797"/>
        <v>7332</v>
      </c>
      <c r="AJ286" s="11">
        <f t="shared" ca="1" si="782"/>
        <v>191.06436666666633</v>
      </c>
      <c r="AK286" s="8">
        <f t="shared" ref="AK286:AK287" si="798">SUM(O290)</f>
        <v>8239</v>
      </c>
      <c r="AL286" s="12">
        <f t="shared" ca="1" si="784"/>
        <v>0.88991382449326373</v>
      </c>
      <c r="AM286" s="13">
        <f t="shared" ref="AM286:AM287" si="799">SUM(Q290)</f>
        <v>1.5</v>
      </c>
      <c r="AN286" s="12">
        <f t="shared" ca="1" si="786"/>
        <v>0.85276672032514156</v>
      </c>
      <c r="AO286" s="14">
        <f t="shared" ca="1" si="787"/>
        <v>1.2791500804877123</v>
      </c>
      <c r="AP286" s="13">
        <f t="shared" ref="AP286:AQ286" ca="1" si="800">SUM(T290)</f>
        <v>201.52343283057306</v>
      </c>
      <c r="AQ286" s="13">
        <f t="shared" ca="1" si="800"/>
        <v>6.7174477610191019</v>
      </c>
      <c r="AR286" s="9">
        <f t="shared" ca="1" si="789"/>
        <v>244.4</v>
      </c>
      <c r="AS286" s="76"/>
      <c r="AT286" s="76"/>
    </row>
    <row r="287" spans="1:46" ht="15.75" customHeight="1" x14ac:dyDescent="0.25">
      <c r="A287" s="70"/>
      <c r="B287" s="16">
        <v>12</v>
      </c>
      <c r="C287" s="16" t="s">
        <v>41</v>
      </c>
      <c r="D287" s="17">
        <v>24</v>
      </c>
      <c r="E287" s="18">
        <f ca="1">IFERROR(__xludf.DUMMYFUNCTION("COUNT(IMPORTRANGE(""https://docs.google.com/spreadsheets/d/1sHk6_yuc4kORC_xnhEeazoemV_hVUQVqRpfoNae-PLk/edit"",""11!d2:d25""))"),24)</f>
        <v>24</v>
      </c>
      <c r="F287" s="23">
        <f ca="1">IFERROR(__xludf.DUMMYFUNCTION("SUM(IMPORTRANGE(""https://docs.google.com/spreadsheets/d/1sHk6_yuc4kORC_xnhEeazoemV_hVUQVqRpfoNae-PLk/edit"",""11!Q2:Q25""))"),4259.848)</f>
        <v>4259.848</v>
      </c>
      <c r="G287" s="18">
        <f ca="1">IFERROR(__xludf.DUMMYFUNCTION("IMPORTRANGE(""https://docs.google.com/spreadsheets/d/1sHk6_yuc4kORC_xnhEeazoemV_hVUQVqRpfoNae-PLk/edit"",""11!e32"")"),992)</f>
        <v>992</v>
      </c>
      <c r="H287" s="18">
        <f ca="1">IFERROR(__xludf.DUMMYFUNCTION("IMPORTRANGE(""https://docs.google.com/spreadsheets/d/1sHk6_yuc4kORC_xnhEeazoemV_hVUQVqRpfoNae-PLk/edit"",""11!e33"")"),0)</f>
        <v>0</v>
      </c>
      <c r="I287" s="18">
        <f t="shared" ca="1" si="762"/>
        <v>992</v>
      </c>
      <c r="J287" s="18">
        <f ca="1">IFERROR(__xludf.DUMMYFUNCTION("IMPORTRANGE(""https://docs.google.com/spreadsheets/d/1sHk6_yuc4kORC_xnhEeazoemV_hVUQVqRpfoNae-PLk/edit"",""11!e36"")"),1727)</f>
        <v>1727</v>
      </c>
      <c r="K287" s="18">
        <f ca="1">IFERROR(__xludf.DUMMYFUNCTION("IMPORTRANGE(""https://docs.google.com/spreadsheets/d/1sHk6_yuc4kORC_xnhEeazoemV_hVUQVqRpfoNae-PLk/edit"",""11!e37"")"),32)</f>
        <v>32</v>
      </c>
      <c r="L287" s="18">
        <f t="shared" ca="1" si="792"/>
        <v>1759</v>
      </c>
      <c r="M287" s="18">
        <f t="shared" ca="1" si="764"/>
        <v>2751</v>
      </c>
      <c r="N287" s="19">
        <f t="shared" ca="1" si="765"/>
        <v>177.49366666666666</v>
      </c>
      <c r="O287" s="16">
        <v>3801</v>
      </c>
      <c r="P287" s="20">
        <f t="shared" ca="1" si="766"/>
        <v>0.72375690607734811</v>
      </c>
      <c r="Q287" s="21">
        <v>1.5</v>
      </c>
      <c r="R287" s="20">
        <f t="shared" ca="1" si="767"/>
        <v>0.43053179362268329</v>
      </c>
      <c r="S287" s="22">
        <f t="shared" ca="1" si="768"/>
        <v>0.64579769043402491</v>
      </c>
      <c r="T287" s="21">
        <f ca="1">F287/29.628</f>
        <v>143.77777777777777</v>
      </c>
      <c r="U287" s="21">
        <f t="shared" ca="1" si="769"/>
        <v>5.9907407407407405</v>
      </c>
      <c r="V287" s="18">
        <f t="shared" ca="1" si="770"/>
        <v>114.625</v>
      </c>
      <c r="W287" s="76"/>
      <c r="X287" s="8">
        <v>6</v>
      </c>
      <c r="Y287" s="8" t="s">
        <v>42</v>
      </c>
      <c r="Z287" s="8">
        <f t="shared" ref="Z287:AI287" si="801">SUM(D291)</f>
        <v>33</v>
      </c>
      <c r="AA287" s="9">
        <f t="shared" ca="1" si="801"/>
        <v>33</v>
      </c>
      <c r="AB287" s="10">
        <f t="shared" ca="1" si="801"/>
        <v>6329.5099999999902</v>
      </c>
      <c r="AC287" s="9">
        <f t="shared" ca="1" si="801"/>
        <v>3335</v>
      </c>
      <c r="AD287" s="9">
        <f t="shared" ca="1" si="801"/>
        <v>0</v>
      </c>
      <c r="AE287" s="9">
        <f t="shared" ca="1" si="801"/>
        <v>3335</v>
      </c>
      <c r="AF287" s="9">
        <f t="shared" ca="1" si="801"/>
        <v>3913</v>
      </c>
      <c r="AG287" s="9">
        <f t="shared" ca="1" si="801"/>
        <v>200</v>
      </c>
      <c r="AH287" s="9">
        <f t="shared" ca="1" si="801"/>
        <v>4113</v>
      </c>
      <c r="AI287" s="9">
        <f t="shared" ca="1" si="801"/>
        <v>7448</v>
      </c>
      <c r="AJ287" s="11">
        <f t="shared" ca="1" si="782"/>
        <v>191.80333333333303</v>
      </c>
      <c r="AK287" s="8">
        <f t="shared" si="798"/>
        <v>9877</v>
      </c>
      <c r="AL287" s="12">
        <f t="shared" ca="1" si="784"/>
        <v>0.7540751240255138</v>
      </c>
      <c r="AM287" s="13">
        <f t="shared" si="799"/>
        <v>1.5</v>
      </c>
      <c r="AN287" s="12">
        <f t="shared" ca="1" si="786"/>
        <v>0.78447357431038756</v>
      </c>
      <c r="AO287" s="14">
        <f t="shared" ca="1" si="787"/>
        <v>1.1767103614655814</v>
      </c>
      <c r="AP287" s="13">
        <f t="shared" ref="AP287:AQ287" ca="1" si="802">SUM(T291)</f>
        <v>241.9999999999996</v>
      </c>
      <c r="AQ287" s="13">
        <f t="shared" ca="1" si="802"/>
        <v>7.3333333333333215</v>
      </c>
      <c r="AR287" s="9">
        <f t="shared" ca="1" si="789"/>
        <v>225.69696969696969</v>
      </c>
      <c r="AS287" s="76"/>
      <c r="AT287" s="76"/>
    </row>
    <row r="288" spans="1:46" ht="15.75" customHeight="1" x14ac:dyDescent="0.25">
      <c r="A288" s="70"/>
      <c r="B288" s="16">
        <v>13</v>
      </c>
      <c r="C288" s="16" t="s">
        <v>43</v>
      </c>
      <c r="D288" s="17">
        <v>30</v>
      </c>
      <c r="E288" s="18">
        <f ca="1">IFERROR(__xludf.DUMMYFUNCTION("COUNT(IMPORTRANGE(""https://docs.google.com/spreadsheets/d/1uGXvAN2jA6kmcEHUY4KqOHHewllZsujDdA6KVDfBCoA/edit"",""11!d2:d31""))"),30)</f>
        <v>30</v>
      </c>
      <c r="F288" s="23">
        <f ca="1">IFERROR(__xludf.DUMMYFUNCTION("SUM(IMPORTRANGE(""https://docs.google.com/spreadsheets/d/1uGXvAN2jA6kmcEHUY4KqOHHewllZsujDdA6KVDfBCoA/edit"",""11!Q2:Q31""))"),6034.98599999999)</f>
        <v>6034.9859999999899</v>
      </c>
      <c r="G288" s="18">
        <f ca="1">IFERROR(__xludf.DUMMYFUNCTION("IMPORTRANGE(""https://docs.google.com/spreadsheets/d/1uGXvAN2jA6kmcEHUY4KqOHHewllZsujDdA6KVDfBCoA/edit"",""11!e38"")"),1974)</f>
        <v>1974</v>
      </c>
      <c r="H288" s="18">
        <f ca="1">IFERROR(__xludf.DUMMYFUNCTION("IMPORTRANGE(""https://docs.google.com/spreadsheets/d/1uGXvAN2jA6kmcEHUY4KqOHHewllZsujDdA6KVDfBCoA/edit"",""11!e39"")"),53)</f>
        <v>53</v>
      </c>
      <c r="I288" s="18">
        <f t="shared" ca="1" si="762"/>
        <v>2027</v>
      </c>
      <c r="J288" s="18">
        <f ca="1">IFERROR(__xludf.DUMMYFUNCTION("IMPORTRANGE(""https://docs.google.com/spreadsheets/d/1uGXvAN2jA6kmcEHUY4KqOHHewllZsujDdA6KVDfBCoA/edit"",""11!e42"")"),2733)</f>
        <v>2733</v>
      </c>
      <c r="K288" s="18">
        <f ca="1">IFERROR(__xludf.DUMMYFUNCTION("IMPORTRANGE(""https://docs.google.com/spreadsheets/d/1uGXvAN2jA6kmcEHUY4KqOHHewllZsujDdA6KVDfBCoA/edit"",""11!e43"")"),161)</f>
        <v>161</v>
      </c>
      <c r="L288" s="18">
        <f t="shared" ca="1" si="792"/>
        <v>2894</v>
      </c>
      <c r="M288" s="18">
        <f t="shared" ca="1" si="764"/>
        <v>4921</v>
      </c>
      <c r="N288" s="19">
        <f t="shared" ca="1" si="765"/>
        <v>201.16619999999966</v>
      </c>
      <c r="O288" s="16">
        <v>8345</v>
      </c>
      <c r="P288" s="20">
        <f t="shared" ca="1" si="766"/>
        <v>0.5896944278010785</v>
      </c>
      <c r="Q288" s="21">
        <v>1.5</v>
      </c>
      <c r="R288" s="20">
        <f t="shared" ca="1" si="767"/>
        <v>0.5436079995325046</v>
      </c>
      <c r="S288" s="22">
        <f t="shared" ca="1" si="768"/>
        <v>0.81541199929875696</v>
      </c>
      <c r="T288" s="21">
        <f ca="1">F288/41.205</f>
        <v>146.4624681470693</v>
      </c>
      <c r="U288" s="21">
        <f t="shared" ca="1" si="769"/>
        <v>4.8820822715689767</v>
      </c>
      <c r="V288" s="18">
        <f t="shared" ca="1" si="770"/>
        <v>164.03333333333333</v>
      </c>
      <c r="W288" s="76"/>
      <c r="X288" s="24" t="s">
        <v>33</v>
      </c>
      <c r="Y288" s="24">
        <v>6</v>
      </c>
      <c r="Z288" s="24">
        <f t="shared" ref="Z288:AI288" si="803">SUM(Z282:Z287)</f>
        <v>226</v>
      </c>
      <c r="AA288" s="25">
        <f t="shared" ca="1" si="803"/>
        <v>221</v>
      </c>
      <c r="AB288" s="27">
        <f t="shared" ca="1" si="803"/>
        <v>41840.383999999969</v>
      </c>
      <c r="AC288" s="25">
        <f t="shared" ca="1" si="803"/>
        <v>17866</v>
      </c>
      <c r="AD288" s="25">
        <f t="shared" ca="1" si="803"/>
        <v>391</v>
      </c>
      <c r="AE288" s="25">
        <f t="shared" ca="1" si="803"/>
        <v>18257</v>
      </c>
      <c r="AF288" s="25">
        <f t="shared" ca="1" si="803"/>
        <v>21047</v>
      </c>
      <c r="AG288" s="25">
        <f t="shared" ca="1" si="803"/>
        <v>704</v>
      </c>
      <c r="AH288" s="25">
        <f t="shared" ca="1" si="803"/>
        <v>21751</v>
      </c>
      <c r="AI288" s="25">
        <f t="shared" ca="1" si="803"/>
        <v>40008</v>
      </c>
      <c r="AJ288" s="27">
        <f t="shared" ca="1" si="782"/>
        <v>189.32300452488673</v>
      </c>
      <c r="AK288" s="24">
        <f>SUM(AK282:AK287)</f>
        <v>53273</v>
      </c>
      <c r="AL288" s="28">
        <f t="shared" ca="1" si="784"/>
        <v>0.75099956826159597</v>
      </c>
      <c r="AM288" s="29">
        <v>1.5</v>
      </c>
      <c r="AN288" s="28">
        <f t="shared" ca="1" si="786"/>
        <v>0.63747024883901682</v>
      </c>
      <c r="AO288" s="30">
        <f t="shared" ca="1" si="787"/>
        <v>0.95620537325852528</v>
      </c>
      <c r="AP288" s="29">
        <f ca="1">SUM(AP282:AP287)</f>
        <v>1374.098389541572</v>
      </c>
      <c r="AQ288" s="29">
        <f ca="1">AP288/AA288</f>
        <v>6.2176397716813216</v>
      </c>
      <c r="AR288" s="25">
        <f t="shared" ca="1" si="789"/>
        <v>181.03167420814481</v>
      </c>
      <c r="AS288" s="76"/>
      <c r="AT288" s="76"/>
    </row>
    <row r="289" spans="1:46" ht="15.75" customHeight="1" x14ac:dyDescent="0.25">
      <c r="A289" s="70"/>
      <c r="B289" s="16">
        <v>14</v>
      </c>
      <c r="C289" s="16" t="s">
        <v>27</v>
      </c>
      <c r="D289" s="17">
        <v>30</v>
      </c>
      <c r="E289" s="18">
        <f ca="1">IFERROR(__xludf.DUMMYFUNCTION("COUNT(IMPORTRANGE(""https://docs.google.com/spreadsheets/d/1iYtf3wkjJIgOL8ej0-L89wY8FLXKi6EiRbi9UqA1Bzw/edit"",""11!d2:d31""))"),29)</f>
        <v>29</v>
      </c>
      <c r="F289" s="23">
        <f ca="1">IFERROR(__xludf.DUMMYFUNCTION("SUM(IMPORTRANGE(""https://docs.google.com/spreadsheets/d/1iYtf3wkjJIgOL8ej0-L89wY8FLXKi6EiRbi9UqA1Bzw/edit"",""11!Q2:Q31""))"),5265.91)</f>
        <v>5265.91</v>
      </c>
      <c r="G289" s="18">
        <f ca="1">IFERROR(__xludf.DUMMYFUNCTION("IMPORTRANGE(""https://docs.google.com/spreadsheets/d/1iYtf3wkjJIgOL8ej0-L89wY8FLXKi6EiRbi9UqA1Bzw/edit"",""11!e38"")"),2570)</f>
        <v>2570</v>
      </c>
      <c r="H289" s="18">
        <f ca="1">IFERROR(__xludf.DUMMYFUNCTION("IMPORTRANGE(""https://docs.google.com/spreadsheets/d/1iYtf3wkjJIgOL8ej0-L89wY8FLXKi6EiRbi9UqA1Bzw/edit"",""11!e39"")"),190)</f>
        <v>190</v>
      </c>
      <c r="I289" s="18">
        <f t="shared" ca="1" si="762"/>
        <v>2760</v>
      </c>
      <c r="J289" s="18">
        <f ca="1">IFERROR(__xludf.DUMMYFUNCTION("IMPORTRANGE(""https://docs.google.com/spreadsheets/d/1iYtf3wkjJIgOL8ej0-L89wY8FLXKi6EiRbi9UqA1Bzw/edit"",""11!e42"")"),2725)</f>
        <v>2725</v>
      </c>
      <c r="K289" s="18">
        <f ca="1">IFERROR(__xludf.DUMMYFUNCTION("IMPORTRANGE(""https://docs.google.com/spreadsheets/d/1iYtf3wkjJIgOL8ej0-L89wY8FLXKi6EiRbi9UqA1Bzw/edit"",""11!e43"")"),200)</f>
        <v>200</v>
      </c>
      <c r="L289" s="18">
        <f t="shared" ca="1" si="792"/>
        <v>2925</v>
      </c>
      <c r="M289" s="18">
        <f t="shared" ca="1" si="764"/>
        <v>5685</v>
      </c>
      <c r="N289" s="19">
        <f t="shared" ca="1" si="765"/>
        <v>181.58310344827586</v>
      </c>
      <c r="O289" s="16">
        <v>8101</v>
      </c>
      <c r="P289" s="20">
        <f t="shared" ca="1" si="766"/>
        <v>0.70176521417108995</v>
      </c>
      <c r="Q289" s="21">
        <v>1.5</v>
      </c>
      <c r="R289" s="20">
        <f t="shared" ca="1" si="767"/>
        <v>0.71972365650001613</v>
      </c>
      <c r="S289" s="22">
        <f t="shared" ca="1" si="768"/>
        <v>1.0795854847500241</v>
      </c>
      <c r="T289" s="21">
        <f ca="1">F289/19.985</f>
        <v>263.49311983987991</v>
      </c>
      <c r="U289" s="21">
        <f t="shared" ca="1" si="769"/>
        <v>9.085969649651032</v>
      </c>
      <c r="V289" s="18">
        <f t="shared" ca="1" si="770"/>
        <v>196.0344827586207</v>
      </c>
      <c r="W289" s="76"/>
      <c r="X289" s="97" t="s">
        <v>44</v>
      </c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9"/>
      <c r="AS289" s="76"/>
      <c r="AT289" s="76"/>
    </row>
    <row r="290" spans="1:46" ht="15.75" customHeight="1" x14ac:dyDescent="0.25">
      <c r="A290" s="70"/>
      <c r="B290" s="16">
        <v>15</v>
      </c>
      <c r="C290" s="16" t="s">
        <v>40</v>
      </c>
      <c r="D290" s="17">
        <v>30</v>
      </c>
      <c r="E290" s="18">
        <f ca="1">IFERROR(__xludf.DUMMYFUNCTION("COUNT(IMPORTRANGE(""https://docs.google.com/spreadsheets/d/1Wdf8MsoDBzMSsrzOXwaGQzbVjVqOWfKSqYmbncevZgA/edit"",""11!d2:d31""))"),30)</f>
        <v>30</v>
      </c>
      <c r="F290" s="23">
        <f ca="1">IFERROR(__xludf.DUMMYFUNCTION("SUM(IMPORTRANGE(""https://docs.google.com/spreadsheets/d/1Wdf8MsoDBzMSsrzOXwaGQzbVjVqOWfKSqYmbncevZgA/edit"",""11!Q2:Q31""))"),5731.93099999999)</f>
        <v>5731.9309999999896</v>
      </c>
      <c r="G290" s="18">
        <f ca="1">IFERROR(__xludf.DUMMYFUNCTION("IMPORTRANGE(""https://docs.google.com/spreadsheets/d/1Wdf8MsoDBzMSsrzOXwaGQzbVjVqOWfKSqYmbncevZgA/edit"",""11!e38"")"),3639)</f>
        <v>3639</v>
      </c>
      <c r="H290" s="18">
        <f ca="1">IFERROR(__xludf.DUMMYFUNCTION("IMPORTRANGE(""https://docs.google.com/spreadsheets/d/1Wdf8MsoDBzMSsrzOXwaGQzbVjVqOWfKSqYmbncevZgA/edit"",""11!e39"")"),26)</f>
        <v>26</v>
      </c>
      <c r="I290" s="18">
        <f t="shared" ca="1" si="762"/>
        <v>3665</v>
      </c>
      <c r="J290" s="18">
        <f ca="1">IFERROR(__xludf.DUMMYFUNCTION("IMPORTRANGE(""https://docs.google.com/spreadsheets/d/1Wdf8MsoDBzMSsrzOXwaGQzbVjVqOWfKSqYmbncevZgA/edit"",""11!e42"")"),3667)</f>
        <v>3667</v>
      </c>
      <c r="K290" s="18">
        <f ca="1">IFERROR(__xludf.DUMMYFUNCTION("IMPORTRANGE(""https://docs.google.com/spreadsheets/d/1Wdf8MsoDBzMSsrzOXwaGQzbVjVqOWfKSqYmbncevZgA/edit"",""11!e43"")"),0)</f>
        <v>0</v>
      </c>
      <c r="L290" s="18">
        <f t="shared" ca="1" si="792"/>
        <v>3667</v>
      </c>
      <c r="M290" s="18">
        <f t="shared" ca="1" si="764"/>
        <v>7332</v>
      </c>
      <c r="N290" s="19">
        <f t="shared" ca="1" si="765"/>
        <v>191.06436666666633</v>
      </c>
      <c r="O290" s="16">
        <v>8239</v>
      </c>
      <c r="P290" s="20">
        <f t="shared" ca="1" si="766"/>
        <v>0.88991382449326373</v>
      </c>
      <c r="Q290" s="21">
        <v>1.5</v>
      </c>
      <c r="R290" s="20">
        <f t="shared" ca="1" si="767"/>
        <v>0.85276672032514156</v>
      </c>
      <c r="S290" s="22">
        <f t="shared" ca="1" si="768"/>
        <v>1.2791500804877123</v>
      </c>
      <c r="T290" s="21">
        <f ca="1">F290/28.443</f>
        <v>201.52343283057306</v>
      </c>
      <c r="U290" s="21">
        <f t="shared" ca="1" si="769"/>
        <v>6.7174477610191019</v>
      </c>
      <c r="V290" s="18">
        <f t="shared" ca="1" si="770"/>
        <v>244.4</v>
      </c>
      <c r="W290" s="76"/>
      <c r="X290" s="1" t="s">
        <v>2</v>
      </c>
      <c r="Y290" s="1" t="s">
        <v>3</v>
      </c>
      <c r="Z290" s="1" t="s">
        <v>4</v>
      </c>
      <c r="AA290" s="1" t="s">
        <v>5</v>
      </c>
      <c r="AB290" s="2" t="s">
        <v>6</v>
      </c>
      <c r="AC290" s="1" t="s">
        <v>7</v>
      </c>
      <c r="AD290" s="1" t="s">
        <v>8</v>
      </c>
      <c r="AE290" s="1" t="s">
        <v>9</v>
      </c>
      <c r="AF290" s="1" t="s">
        <v>10</v>
      </c>
      <c r="AG290" s="1" t="s">
        <v>11</v>
      </c>
      <c r="AH290" s="1" t="s">
        <v>12</v>
      </c>
      <c r="AI290" s="1" t="s">
        <v>13</v>
      </c>
      <c r="AJ290" s="2" t="s">
        <v>14</v>
      </c>
      <c r="AK290" s="1" t="s">
        <v>15</v>
      </c>
      <c r="AL290" s="1" t="s">
        <v>16</v>
      </c>
      <c r="AM290" s="3" t="s">
        <v>17</v>
      </c>
      <c r="AN290" s="4" t="s">
        <v>18</v>
      </c>
      <c r="AO290" s="5" t="s">
        <v>19</v>
      </c>
      <c r="AP290" s="6" t="s">
        <v>20</v>
      </c>
      <c r="AQ290" s="6" t="s">
        <v>21</v>
      </c>
      <c r="AR290" s="7" t="s">
        <v>22</v>
      </c>
      <c r="AS290" s="76"/>
      <c r="AT290" s="76"/>
    </row>
    <row r="291" spans="1:46" ht="15.75" customHeight="1" x14ac:dyDescent="0.25">
      <c r="A291" s="70"/>
      <c r="B291" s="16">
        <v>16</v>
      </c>
      <c r="C291" s="16" t="s">
        <v>42</v>
      </c>
      <c r="D291" s="17">
        <v>33</v>
      </c>
      <c r="E291" s="18">
        <f ca="1">IFERROR(__xludf.DUMMYFUNCTION("COUNT(IMPORTRANGE(""https://docs.google.com/spreadsheets/d/1Z5uB5HbeAKcHmG4EOw3rf2J8NpyvDiha6RReERAMvA0/edit"",""11!d2:d34""))"),33)</f>
        <v>33</v>
      </c>
      <c r="F291" s="23">
        <f ca="1">IFERROR(__xludf.DUMMYFUNCTION("SUM(IMPORTRANGE(""https://docs.google.com/spreadsheets/d/1Z5uB5HbeAKcHmG4EOw3rf2J8NpyvDiha6RReERAMvA0/edit"",""11!Q2:Q34""))"),6329.50999999999)</f>
        <v>6329.5099999999902</v>
      </c>
      <c r="G291" s="18">
        <f ca="1">IFERROR(__xludf.DUMMYFUNCTION("IMPORTRANGE(""https://docs.google.com/spreadsheets/d/1Z5uB5HbeAKcHmG4EOw3rf2J8NpyvDiha6RReERAMvA0/edit"",""11!e41"")"),3335)</f>
        <v>3335</v>
      </c>
      <c r="H291" s="18">
        <f ca="1">IFERROR(__xludf.DUMMYFUNCTION("IMPORTRANGE(""https://docs.google.com/spreadsheets/d/1Z5uB5HbeAKcHmG4EOw3rf2J8NpyvDiha6RReERAMvA0/edit"",""11!e42"")"),0)</f>
        <v>0</v>
      </c>
      <c r="I291" s="18">
        <f t="shared" ca="1" si="762"/>
        <v>3335</v>
      </c>
      <c r="J291" s="18">
        <f ca="1">IFERROR(__xludf.DUMMYFUNCTION("IMPORTRANGE(""https://docs.google.com/spreadsheets/d/1Z5uB5HbeAKcHmG4EOw3rf2J8NpyvDiha6RReERAMvA0/edit"",""11!e45"")"),3913)</f>
        <v>3913</v>
      </c>
      <c r="K291" s="18">
        <f ca="1">IFERROR(__xludf.DUMMYFUNCTION("IMPORTRANGE(""https://docs.google.com/spreadsheets/d/1Z5uB5HbeAKcHmG4EOw3rf2J8NpyvDiha6RReERAMvA0/edit"",""11!e46"")"),200)</f>
        <v>200</v>
      </c>
      <c r="L291" s="18">
        <f t="shared" ca="1" si="792"/>
        <v>4113</v>
      </c>
      <c r="M291" s="18">
        <f t="shared" ca="1" si="764"/>
        <v>7448</v>
      </c>
      <c r="N291" s="19">
        <f t="shared" ca="1" si="765"/>
        <v>191.80333333333303</v>
      </c>
      <c r="O291" s="16">
        <v>9877</v>
      </c>
      <c r="P291" s="20">
        <f t="shared" ca="1" si="766"/>
        <v>0.7540751240255138</v>
      </c>
      <c r="Q291" s="21">
        <v>1.5</v>
      </c>
      <c r="R291" s="20">
        <f t="shared" ca="1" si="767"/>
        <v>0.78447357431038756</v>
      </c>
      <c r="S291" s="22">
        <f t="shared" ca="1" si="768"/>
        <v>1.1767103614655814</v>
      </c>
      <c r="T291" s="21">
        <f ca="1">F291/26.155</f>
        <v>241.9999999999996</v>
      </c>
      <c r="U291" s="21">
        <f t="shared" ca="1" si="769"/>
        <v>7.3333333333333215</v>
      </c>
      <c r="V291" s="18">
        <f t="shared" ca="1" si="770"/>
        <v>225.69696969696969</v>
      </c>
      <c r="W291" s="76"/>
      <c r="X291" s="8">
        <v>1</v>
      </c>
      <c r="Y291" s="8" t="s">
        <v>26</v>
      </c>
      <c r="Z291" s="8">
        <f t="shared" ref="Z291:AI291" si="804">SUM(D276)</f>
        <v>20</v>
      </c>
      <c r="AA291" s="9">
        <f t="shared" ca="1" si="804"/>
        <v>20</v>
      </c>
      <c r="AB291" s="11">
        <f t="shared" ca="1" si="804"/>
        <v>3885.3780000000002</v>
      </c>
      <c r="AC291" s="9">
        <f t="shared" ca="1" si="804"/>
        <v>2251</v>
      </c>
      <c r="AD291" s="9">
        <f t="shared" ca="1" si="804"/>
        <v>87</v>
      </c>
      <c r="AE291" s="9">
        <f t="shared" ca="1" si="804"/>
        <v>2338</v>
      </c>
      <c r="AF291" s="9">
        <f t="shared" ca="1" si="804"/>
        <v>2823</v>
      </c>
      <c r="AG291" s="9">
        <f t="shared" ca="1" si="804"/>
        <v>85</v>
      </c>
      <c r="AH291" s="9">
        <f t="shared" ca="1" si="804"/>
        <v>2908</v>
      </c>
      <c r="AI291" s="9">
        <f t="shared" ca="1" si="804"/>
        <v>5246</v>
      </c>
      <c r="AJ291" s="11">
        <f t="shared" ref="AJ291:AJ297" ca="1" si="805">AB291/AA291</f>
        <v>194.2689</v>
      </c>
      <c r="AK291" s="8">
        <f>SUM(O276)</f>
        <v>5161</v>
      </c>
      <c r="AL291" s="15">
        <f t="shared" ref="AL291:AL297" ca="1" si="806">AI291/AK291</f>
        <v>1.0164696764192986</v>
      </c>
      <c r="AM291" s="13">
        <f>SUM(Q276)</f>
        <v>1.5</v>
      </c>
      <c r="AN291" s="12">
        <f t="shared" ref="AN291:AN297" ca="1" si="807">AO291/AM291</f>
        <v>0.90012692029793062</v>
      </c>
      <c r="AO291" s="14">
        <f t="shared" ref="AO291:AO297" ca="1" si="808">AI291/AB291</f>
        <v>1.350190380446896</v>
      </c>
      <c r="AP291" s="13">
        <f t="shared" ref="AP291:AQ291" ca="1" si="809">SUM(T276)</f>
        <v>269.5371488033299</v>
      </c>
      <c r="AQ291" s="13">
        <f t="shared" ca="1" si="809"/>
        <v>13.476857440166494</v>
      </c>
      <c r="AR291" s="9">
        <f t="shared" ref="AR291:AR297" ca="1" si="810">AI291/AA291</f>
        <v>262.3</v>
      </c>
      <c r="AS291" s="76"/>
      <c r="AT291" s="76"/>
    </row>
    <row r="292" spans="1:46" ht="15.75" customHeight="1" x14ac:dyDescent="0.25">
      <c r="A292" s="70"/>
      <c r="B292" s="16">
        <v>17</v>
      </c>
      <c r="C292" s="16" t="s">
        <v>29</v>
      </c>
      <c r="D292" s="17">
        <v>30</v>
      </c>
      <c r="E292" s="18">
        <f ca="1">IFERROR(__xludf.DUMMYFUNCTION("COUNT(IMPORTRANGE(""https://docs.google.com/spreadsheets/d/1wfJqI0e9wVPqEQv3N6b8KgINjqI0OBECEyIFeY9j3i8/edit"",""11!d2:d31""))"),29)</f>
        <v>29</v>
      </c>
      <c r="F292" s="23">
        <f ca="1">IFERROR(__xludf.DUMMYFUNCTION("SUM(IMPORTRANGE(""https://docs.google.com/spreadsheets/d/1wfJqI0e9wVPqEQv3N6b8KgINjqI0OBECEyIFeY9j3i8/edit"",""11!Q2:Q31""))"),5801.52899999999)</f>
        <v>5801.5289999999904</v>
      </c>
      <c r="G292" s="18">
        <f ca="1">IFERROR(__xludf.DUMMYFUNCTION("IMPORTRANGE(""https://docs.google.com/spreadsheets/d/1wfJqI0e9wVPqEQv3N6b8KgINjqI0OBECEyIFeY9j3i8/edit"",""11!e38"")"),3059)</f>
        <v>3059</v>
      </c>
      <c r="H292" s="18">
        <f ca="1">IFERROR(__xludf.DUMMYFUNCTION("IMPORTRANGE(""https://docs.google.com/spreadsheets/d/1wfJqI0e9wVPqEQv3N6b8KgINjqI0OBECEyIFeY9j3i8/edit"",""11!e39"")"),0)</f>
        <v>0</v>
      </c>
      <c r="I292" s="18">
        <f t="shared" ca="1" si="762"/>
        <v>3059</v>
      </c>
      <c r="J292" s="18">
        <f ca="1">IFERROR(__xludf.DUMMYFUNCTION("IMPORTRANGE(""https://docs.google.com/spreadsheets/d/1wfJqI0e9wVPqEQv3N6b8KgINjqI0OBECEyIFeY9j3i8/edit"",""11!e42"")"),3747)</f>
        <v>3747</v>
      </c>
      <c r="K292" s="18">
        <f ca="1">IFERROR(__xludf.DUMMYFUNCTION("IMPORTRANGE(""https://docs.google.com/spreadsheets/d/1wfJqI0e9wVPqEQv3N6b8KgINjqI0OBECEyIFeY9j3i8/edit"",""11!e43"")"),100)</f>
        <v>100</v>
      </c>
      <c r="L292" s="18">
        <f t="shared" ca="1" si="792"/>
        <v>3847</v>
      </c>
      <c r="M292" s="18">
        <f t="shared" ca="1" si="764"/>
        <v>6906</v>
      </c>
      <c r="N292" s="19">
        <f t="shared" ca="1" si="765"/>
        <v>200.05272413793071</v>
      </c>
      <c r="O292" s="16">
        <v>9201</v>
      </c>
      <c r="P292" s="20">
        <f t="shared" ca="1" si="766"/>
        <v>0.75057059015324423</v>
      </c>
      <c r="Q292" s="21">
        <v>1.5</v>
      </c>
      <c r="R292" s="20">
        <f t="shared" ca="1" si="767"/>
        <v>0.79358389831370457</v>
      </c>
      <c r="S292" s="22">
        <f t="shared" ca="1" si="768"/>
        <v>1.1903758474705568</v>
      </c>
      <c r="T292" s="21">
        <f ca="1">F292/26.491</f>
        <v>218.99999999999963</v>
      </c>
      <c r="U292" s="21">
        <f t="shared" ca="1" si="769"/>
        <v>7.5517241379310214</v>
      </c>
      <c r="V292" s="18">
        <f t="shared" ca="1" si="770"/>
        <v>238.13793103448276</v>
      </c>
      <c r="W292" s="76"/>
      <c r="X292" s="8">
        <v>2</v>
      </c>
      <c r="Y292" s="8" t="s">
        <v>32</v>
      </c>
      <c r="Z292" s="8">
        <f t="shared" ref="Z292:AI292" si="811">SUM(D279)</f>
        <v>42</v>
      </c>
      <c r="AA292" s="9">
        <f t="shared" ca="1" si="811"/>
        <v>42</v>
      </c>
      <c r="AB292" s="10">
        <f t="shared" ca="1" si="811"/>
        <v>8429.9039999999895</v>
      </c>
      <c r="AC292" s="8">
        <f t="shared" ca="1" si="811"/>
        <v>4509</v>
      </c>
      <c r="AD292" s="8">
        <f t="shared" ca="1" si="811"/>
        <v>115</v>
      </c>
      <c r="AE292" s="9">
        <f t="shared" ca="1" si="811"/>
        <v>4624</v>
      </c>
      <c r="AF292" s="8">
        <f t="shared" ca="1" si="811"/>
        <v>5547</v>
      </c>
      <c r="AG292" s="8">
        <f t="shared" ca="1" si="811"/>
        <v>120</v>
      </c>
      <c r="AH292" s="9">
        <f t="shared" ca="1" si="811"/>
        <v>5667</v>
      </c>
      <c r="AI292" s="9">
        <f t="shared" ca="1" si="811"/>
        <v>10291</v>
      </c>
      <c r="AJ292" s="11">
        <f t="shared" ca="1" si="805"/>
        <v>200.71199999999976</v>
      </c>
      <c r="AK292" s="8">
        <f>SUM(O279)</f>
        <v>13817</v>
      </c>
      <c r="AL292" s="12">
        <f t="shared" ca="1" si="806"/>
        <v>0.74480712166172103</v>
      </c>
      <c r="AM292" s="13">
        <f>SUM(Q279)</f>
        <v>1.5</v>
      </c>
      <c r="AN292" s="12">
        <f t="shared" ca="1" si="807"/>
        <v>0.81384873026628479</v>
      </c>
      <c r="AO292" s="14">
        <f t="shared" ca="1" si="808"/>
        <v>1.2207730953994271</v>
      </c>
      <c r="AP292" s="13">
        <f t="shared" ref="AP292:AQ292" ca="1" si="812">SUM(T279)</f>
        <v>335.9999999999996</v>
      </c>
      <c r="AQ292" s="13">
        <f t="shared" ca="1" si="812"/>
        <v>7.9999999999999902</v>
      </c>
      <c r="AR292" s="9">
        <f t="shared" ca="1" si="810"/>
        <v>245.02380952380952</v>
      </c>
      <c r="AS292" s="76"/>
      <c r="AT292" s="76"/>
    </row>
    <row r="293" spans="1:46" ht="15.75" customHeight="1" x14ac:dyDescent="0.25">
      <c r="A293" s="70"/>
      <c r="B293" s="16">
        <v>18</v>
      </c>
      <c r="C293" s="16" t="s">
        <v>31</v>
      </c>
      <c r="D293" s="17">
        <v>15</v>
      </c>
      <c r="E293" s="18">
        <f ca="1">IFERROR(__xludf.DUMMYFUNCTION("COUNT(IMPORTRANGE(""https://docs.google.com/spreadsheets/d/1-y2KhTAo7d8kowgUuWUDfRQuRMUAFteRYEXorT3_wOs/edit"",""11!d2:d16""))"),15)</f>
        <v>15</v>
      </c>
      <c r="F293" s="19">
        <f ca="1">IFERROR(__xludf.DUMMYFUNCTION("SUM(IMPORTRANGE(""https://docs.google.com/spreadsheets/d/1-y2KhTAo7d8kowgUuWUDfRQuRMUAFteRYEXorT3_wOs/edit"",""11!Q2:Q16""))"),2955.62)</f>
        <v>2955.62</v>
      </c>
      <c r="G293" s="18">
        <f ca="1">IFERROR(__xludf.DUMMYFUNCTION("IMPORTRANGE(""https://docs.google.com/spreadsheets/d/1-y2KhTAo7d8kowgUuWUDfRQuRMUAFteRYEXorT3_wOs/edit"",""11!e23"")"),840)</f>
        <v>840</v>
      </c>
      <c r="H293" s="18">
        <f ca="1">IFERROR(__xludf.DUMMYFUNCTION("IMPORTRANGE(""https://docs.google.com/spreadsheets/d/1-y2KhTAo7d8kowgUuWUDfRQuRMUAFteRYEXorT3_wOs/edit"",""11!e24"")"),63)</f>
        <v>63</v>
      </c>
      <c r="I293" s="18">
        <f t="shared" ca="1" si="762"/>
        <v>903</v>
      </c>
      <c r="J293" s="18">
        <f ca="1">IFERROR(__xludf.DUMMYFUNCTION("IMPORTRANGE(""https://docs.google.com/spreadsheets/d/1-y2KhTAo7d8kowgUuWUDfRQuRMUAFteRYEXorT3_wOs/edit"",""11!e27"")"),1068)</f>
        <v>1068</v>
      </c>
      <c r="K293" s="18">
        <f ca="1">IFERROR(__xludf.DUMMYFUNCTION("IMPORTRANGE(""https://docs.google.com/spreadsheets/d/1-y2KhTAo7d8kowgUuWUDfRQuRMUAFteRYEXorT3_wOs/edit"",""11!e28"")"),66)</f>
        <v>66</v>
      </c>
      <c r="L293" s="18">
        <f t="shared" ca="1" si="792"/>
        <v>1134</v>
      </c>
      <c r="M293" s="18">
        <f t="shared" ca="1" si="764"/>
        <v>2037</v>
      </c>
      <c r="N293" s="19">
        <f t="shared" ca="1" si="765"/>
        <v>197.04133333333331</v>
      </c>
      <c r="O293" s="16">
        <v>2717</v>
      </c>
      <c r="P293" s="20">
        <f t="shared" ca="1" si="766"/>
        <v>0.74972396025027599</v>
      </c>
      <c r="Q293" s="21">
        <v>1.5</v>
      </c>
      <c r="R293" s="20">
        <f t="shared" ca="1" si="767"/>
        <v>0.45946366582984283</v>
      </c>
      <c r="S293" s="22">
        <f t="shared" ca="1" si="768"/>
        <v>0.68919549874476427</v>
      </c>
      <c r="T293" s="21">
        <f ca="1">F293/43.465</f>
        <v>67.999999999999986</v>
      </c>
      <c r="U293" s="21">
        <f t="shared" ca="1" si="769"/>
        <v>4.5333333333333323</v>
      </c>
      <c r="V293" s="18">
        <f t="shared" ca="1" si="770"/>
        <v>135.80000000000001</v>
      </c>
      <c r="W293" s="76"/>
      <c r="X293" s="8">
        <v>3</v>
      </c>
      <c r="Y293" s="8" t="s">
        <v>36</v>
      </c>
      <c r="Z293" s="8">
        <f t="shared" ref="Z293:AI293" si="813">SUM(D284)</f>
        <v>30</v>
      </c>
      <c r="AA293" s="9">
        <f t="shared" ca="1" si="813"/>
        <v>30</v>
      </c>
      <c r="AB293" s="10">
        <f t="shared" ca="1" si="813"/>
        <v>5885.5230000000001</v>
      </c>
      <c r="AC293" s="9">
        <f t="shared" ca="1" si="813"/>
        <v>1653</v>
      </c>
      <c r="AD293" s="9">
        <f t="shared" ca="1" si="813"/>
        <v>0</v>
      </c>
      <c r="AE293" s="9">
        <f t="shared" ca="1" si="813"/>
        <v>1653</v>
      </c>
      <c r="AF293" s="9">
        <f t="shared" ca="1" si="813"/>
        <v>2401</v>
      </c>
      <c r="AG293" s="9">
        <f t="shared" ca="1" si="813"/>
        <v>0</v>
      </c>
      <c r="AH293" s="9">
        <f t="shared" ca="1" si="813"/>
        <v>2401</v>
      </c>
      <c r="AI293" s="9">
        <f t="shared" ca="1" si="813"/>
        <v>4054</v>
      </c>
      <c r="AJ293" s="11">
        <f t="shared" ca="1" si="805"/>
        <v>196.1841</v>
      </c>
      <c r="AK293" s="8">
        <f t="shared" ref="AK293:AK296" si="814">SUM(O284)</f>
        <v>4796</v>
      </c>
      <c r="AL293" s="12">
        <f t="shared" ca="1" si="806"/>
        <v>0.84528773978315264</v>
      </c>
      <c r="AM293" s="13">
        <f t="shared" ref="AM293:AM296" si="815">SUM(Q284)</f>
        <v>1.5</v>
      </c>
      <c r="AN293" s="12">
        <f t="shared" ca="1" si="807"/>
        <v>0.45920586270186464</v>
      </c>
      <c r="AO293" s="14">
        <f t="shared" ca="1" si="808"/>
        <v>0.68880879405279694</v>
      </c>
      <c r="AP293" s="13">
        <f t="shared" ref="AP293:AQ293" ca="1" si="816">SUM(T284)</f>
        <v>157.30803977120863</v>
      </c>
      <c r="AQ293" s="13">
        <f t="shared" ca="1" si="816"/>
        <v>5.2436013257069538</v>
      </c>
      <c r="AR293" s="9">
        <f t="shared" ca="1" si="810"/>
        <v>135.13333333333333</v>
      </c>
      <c r="AS293" s="76"/>
      <c r="AT293" s="76"/>
    </row>
    <row r="294" spans="1:46" ht="15.75" customHeight="1" x14ac:dyDescent="0.2">
      <c r="A294" s="70"/>
      <c r="B294" s="98" t="s">
        <v>33</v>
      </c>
      <c r="C294" s="98">
        <v>18</v>
      </c>
      <c r="D294" s="98">
        <f t="shared" ref="D294:M294" si="817">SUM(D276:D293)</f>
        <v>586</v>
      </c>
      <c r="E294" s="74">
        <f t="shared" ca="1" si="817"/>
        <v>579</v>
      </c>
      <c r="F294" s="99">
        <f t="shared" ca="1" si="817"/>
        <v>109701.88499999992</v>
      </c>
      <c r="G294" s="74">
        <f t="shared" ca="1" si="817"/>
        <v>42195</v>
      </c>
      <c r="H294" s="74">
        <f t="shared" ca="1" si="817"/>
        <v>1531</v>
      </c>
      <c r="I294" s="74">
        <f t="shared" ca="1" si="817"/>
        <v>43726</v>
      </c>
      <c r="J294" s="74">
        <f t="shared" ca="1" si="817"/>
        <v>53550</v>
      </c>
      <c r="K294" s="74">
        <f t="shared" ca="1" si="817"/>
        <v>2097</v>
      </c>
      <c r="L294" s="74">
        <f t="shared" ca="1" si="817"/>
        <v>55647</v>
      </c>
      <c r="M294" s="74">
        <f t="shared" ca="1" si="817"/>
        <v>99373</v>
      </c>
      <c r="N294" s="99">
        <f t="shared" ca="1" si="765"/>
        <v>189.46784974093251</v>
      </c>
      <c r="O294" s="98">
        <f>SUM(O276:O293)</f>
        <v>126399</v>
      </c>
      <c r="P294" s="69">
        <f t="shared" ca="1" si="766"/>
        <v>0.78618501728652912</v>
      </c>
      <c r="Q294" s="72">
        <v>1.5</v>
      </c>
      <c r="R294" s="69">
        <f t="shared" ca="1" si="767"/>
        <v>0.60389724995761662</v>
      </c>
      <c r="S294" s="73">
        <f t="shared" ca="1" si="768"/>
        <v>0.90584587493642499</v>
      </c>
      <c r="T294" s="72">
        <f ca="1">SUM(T276:T293)</f>
        <v>4041.2773231800888</v>
      </c>
      <c r="U294" s="72">
        <f t="shared" ca="1" si="769"/>
        <v>6.9797535806219155</v>
      </c>
      <c r="V294" s="74">
        <f t="shared" ca="1" si="770"/>
        <v>171.62867012089811</v>
      </c>
      <c r="W294" s="76"/>
      <c r="X294" s="8">
        <v>4</v>
      </c>
      <c r="Y294" s="8" t="s">
        <v>37</v>
      </c>
      <c r="Z294" s="8">
        <f t="shared" ref="Z294:AI294" si="818">SUM(D285)</f>
        <v>30</v>
      </c>
      <c r="AA294" s="9">
        <f t="shared" ca="1" si="818"/>
        <v>30</v>
      </c>
      <c r="AB294" s="10">
        <f t="shared" ca="1" si="818"/>
        <v>5638.6439999999902</v>
      </c>
      <c r="AC294" s="9">
        <f t="shared" ca="1" si="818"/>
        <v>2049</v>
      </c>
      <c r="AD294" s="9">
        <f t="shared" ca="1" si="818"/>
        <v>0</v>
      </c>
      <c r="AE294" s="9">
        <f t="shared" ca="1" si="818"/>
        <v>2049</v>
      </c>
      <c r="AF294" s="9">
        <f t="shared" ca="1" si="818"/>
        <v>3087</v>
      </c>
      <c r="AG294" s="9">
        <f t="shared" ca="1" si="818"/>
        <v>0</v>
      </c>
      <c r="AH294" s="9">
        <f t="shared" ca="1" si="818"/>
        <v>3087</v>
      </c>
      <c r="AI294" s="9">
        <f t="shared" ca="1" si="818"/>
        <v>5136</v>
      </c>
      <c r="AJ294" s="11">
        <f t="shared" ca="1" si="805"/>
        <v>187.95479999999966</v>
      </c>
      <c r="AK294" s="8">
        <f t="shared" si="814"/>
        <v>5887</v>
      </c>
      <c r="AL294" s="12">
        <f t="shared" ca="1" si="806"/>
        <v>0.87243077968404958</v>
      </c>
      <c r="AM294" s="13">
        <f t="shared" si="815"/>
        <v>1.5</v>
      </c>
      <c r="AN294" s="12">
        <f t="shared" ca="1" si="807"/>
        <v>0.60723819414738822</v>
      </c>
      <c r="AO294" s="14">
        <f t="shared" ca="1" si="808"/>
        <v>0.91085729122108239</v>
      </c>
      <c r="AP294" s="13">
        <f t="shared" ref="AP294:AQ294" ca="1" si="819">SUM(T285)</f>
        <v>227.4380445304933</v>
      </c>
      <c r="AQ294" s="13">
        <f t="shared" ca="1" si="819"/>
        <v>7.5812681510164435</v>
      </c>
      <c r="AR294" s="9">
        <f t="shared" ca="1" si="810"/>
        <v>171.2</v>
      </c>
      <c r="AS294" s="76"/>
      <c r="AT294" s="76"/>
    </row>
    <row r="295" spans="1:46" ht="15.75" customHeight="1" x14ac:dyDescent="0.2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6"/>
      <c r="X295" s="8">
        <v>5</v>
      </c>
      <c r="Y295" s="8" t="s">
        <v>39</v>
      </c>
      <c r="Z295" s="8">
        <f t="shared" ref="Z295:AI295" si="820">SUM(D286)</f>
        <v>28</v>
      </c>
      <c r="AA295" s="9">
        <f t="shared" ca="1" si="820"/>
        <v>28</v>
      </c>
      <c r="AB295" s="10">
        <f t="shared" ca="1" si="820"/>
        <v>5308.6369999999997</v>
      </c>
      <c r="AC295" s="9">
        <f t="shared" ca="1" si="820"/>
        <v>1260</v>
      </c>
      <c r="AD295" s="9">
        <f t="shared" ca="1" si="820"/>
        <v>0</v>
      </c>
      <c r="AE295" s="9">
        <f t="shared" ca="1" si="820"/>
        <v>1260</v>
      </c>
      <c r="AF295" s="9">
        <f t="shared" ca="1" si="820"/>
        <v>1811</v>
      </c>
      <c r="AG295" s="9">
        <f t="shared" ca="1" si="820"/>
        <v>63</v>
      </c>
      <c r="AH295" s="9">
        <f t="shared" ca="1" si="820"/>
        <v>1874</v>
      </c>
      <c r="AI295" s="9">
        <f t="shared" ca="1" si="820"/>
        <v>3134</v>
      </c>
      <c r="AJ295" s="11">
        <f t="shared" ca="1" si="805"/>
        <v>189.59417857142856</v>
      </c>
      <c r="AK295" s="8">
        <f t="shared" si="814"/>
        <v>3569</v>
      </c>
      <c r="AL295" s="12">
        <f t="shared" ca="1" si="806"/>
        <v>0.87811711964135608</v>
      </c>
      <c r="AM295" s="13">
        <f t="shared" si="815"/>
        <v>1.5</v>
      </c>
      <c r="AN295" s="12">
        <f t="shared" ca="1" si="807"/>
        <v>0.39357246188302825</v>
      </c>
      <c r="AO295" s="14">
        <f t="shared" ca="1" si="808"/>
        <v>0.59035869282454234</v>
      </c>
      <c r="AP295" s="13">
        <f t="shared" ref="AP295:AQ295" ca="1" si="821">SUM(T286)</f>
        <v>247.33900200344777</v>
      </c>
      <c r="AQ295" s="13">
        <f t="shared" ca="1" si="821"/>
        <v>8.8335357858374213</v>
      </c>
      <c r="AR295" s="9">
        <f t="shared" ca="1" si="810"/>
        <v>111.92857142857143</v>
      </c>
      <c r="AS295" s="76"/>
      <c r="AT295" s="76"/>
    </row>
    <row r="296" spans="1:46" ht="15.75" customHeight="1" x14ac:dyDescent="0.2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6"/>
      <c r="X296" s="8">
        <v>6</v>
      </c>
      <c r="Y296" s="8" t="s">
        <v>41</v>
      </c>
      <c r="Z296" s="8">
        <f t="shared" ref="Z296:AI296" si="822">SUM(D287)</f>
        <v>24</v>
      </c>
      <c r="AA296" s="9">
        <f t="shared" ca="1" si="822"/>
        <v>24</v>
      </c>
      <c r="AB296" s="10">
        <f t="shared" ca="1" si="822"/>
        <v>4259.848</v>
      </c>
      <c r="AC296" s="9">
        <f t="shared" ca="1" si="822"/>
        <v>992</v>
      </c>
      <c r="AD296" s="9">
        <f t="shared" ca="1" si="822"/>
        <v>0</v>
      </c>
      <c r="AE296" s="9">
        <f t="shared" ca="1" si="822"/>
        <v>992</v>
      </c>
      <c r="AF296" s="9">
        <f t="shared" ca="1" si="822"/>
        <v>1727</v>
      </c>
      <c r="AG296" s="9">
        <f t="shared" ca="1" si="822"/>
        <v>32</v>
      </c>
      <c r="AH296" s="9">
        <f t="shared" ca="1" si="822"/>
        <v>1759</v>
      </c>
      <c r="AI296" s="9">
        <f t="shared" ca="1" si="822"/>
        <v>2751</v>
      </c>
      <c r="AJ296" s="11">
        <f t="shared" ca="1" si="805"/>
        <v>177.49366666666666</v>
      </c>
      <c r="AK296" s="8">
        <f t="shared" si="814"/>
        <v>3801</v>
      </c>
      <c r="AL296" s="12">
        <f t="shared" ca="1" si="806"/>
        <v>0.72375690607734811</v>
      </c>
      <c r="AM296" s="13">
        <f t="shared" si="815"/>
        <v>1.5</v>
      </c>
      <c r="AN296" s="12">
        <f t="shared" ca="1" si="807"/>
        <v>0.43053179362268329</v>
      </c>
      <c r="AO296" s="14">
        <f t="shared" ca="1" si="808"/>
        <v>0.64579769043402491</v>
      </c>
      <c r="AP296" s="13">
        <f t="shared" ref="AP296:AQ296" ca="1" si="823">SUM(T287)</f>
        <v>143.77777777777777</v>
      </c>
      <c r="AQ296" s="13">
        <f t="shared" ca="1" si="823"/>
        <v>5.9907407407407405</v>
      </c>
      <c r="AR296" s="9">
        <f t="shared" ca="1" si="810"/>
        <v>114.625</v>
      </c>
      <c r="AS296" s="76"/>
      <c r="AT296" s="76"/>
    </row>
    <row r="297" spans="1:46" ht="15.75" customHeight="1" x14ac:dyDescent="0.25">
      <c r="A297" s="110" t="s">
        <v>45</v>
      </c>
      <c r="B297" s="76"/>
      <c r="C297" s="76"/>
      <c r="D297" s="75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24" t="s">
        <v>33</v>
      </c>
      <c r="Y297" s="24">
        <v>6</v>
      </c>
      <c r="Z297" s="24">
        <f t="shared" ref="Z297:AI297" si="824">SUM(Z291:Z296)</f>
        <v>174</v>
      </c>
      <c r="AA297" s="25">
        <f t="shared" ca="1" si="824"/>
        <v>174</v>
      </c>
      <c r="AB297" s="27">
        <f t="shared" ca="1" si="824"/>
        <v>33407.933999999979</v>
      </c>
      <c r="AC297" s="25">
        <f t="shared" ca="1" si="824"/>
        <v>12714</v>
      </c>
      <c r="AD297" s="25">
        <f t="shared" ca="1" si="824"/>
        <v>202</v>
      </c>
      <c r="AE297" s="25">
        <f t="shared" ca="1" si="824"/>
        <v>12916</v>
      </c>
      <c r="AF297" s="25">
        <f t="shared" ca="1" si="824"/>
        <v>17396</v>
      </c>
      <c r="AG297" s="25">
        <f t="shared" ca="1" si="824"/>
        <v>300</v>
      </c>
      <c r="AH297" s="25">
        <f t="shared" ca="1" si="824"/>
        <v>17696</v>
      </c>
      <c r="AI297" s="25">
        <f t="shared" ca="1" si="824"/>
        <v>30612</v>
      </c>
      <c r="AJ297" s="27">
        <f t="shared" ca="1" si="805"/>
        <v>191.99962068965505</v>
      </c>
      <c r="AK297" s="24">
        <f>SUM(AK291:AK296)</f>
        <v>37031</v>
      </c>
      <c r="AL297" s="28">
        <f t="shared" ca="1" si="806"/>
        <v>0.82665874537549622</v>
      </c>
      <c r="AM297" s="29">
        <v>1.5</v>
      </c>
      <c r="AN297" s="28">
        <f t="shared" ca="1" si="807"/>
        <v>0.61087285433454264</v>
      </c>
      <c r="AO297" s="30">
        <f t="shared" ca="1" si="808"/>
        <v>0.9163092815018139</v>
      </c>
      <c r="AP297" s="29">
        <f ca="1">SUM(AP291:AP296)</f>
        <v>1381.4000128862572</v>
      </c>
      <c r="AQ297" s="29">
        <f ca="1">AP297/AA297</f>
        <v>7.9390805338290642</v>
      </c>
      <c r="AR297" s="25">
        <f t="shared" ca="1" si="810"/>
        <v>175.93103448275863</v>
      </c>
      <c r="AS297" s="76"/>
      <c r="AT297" s="76"/>
    </row>
    <row r="298" spans="1:46" ht="15.75" customHeight="1" x14ac:dyDescent="0.2">
      <c r="A298" s="110" t="s">
        <v>45</v>
      </c>
      <c r="B298" s="76"/>
      <c r="C298" s="76"/>
      <c r="D298" s="75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7" t="s">
        <v>1</v>
      </c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9"/>
      <c r="AS298" s="76"/>
      <c r="AT298" s="76"/>
    </row>
    <row r="299" spans="1:46" ht="15.75" customHeight="1" x14ac:dyDescent="0.2">
      <c r="A299" s="113">
        <v>46277</v>
      </c>
      <c r="B299" s="80" t="s">
        <v>2</v>
      </c>
      <c r="C299" s="80" t="s">
        <v>3</v>
      </c>
      <c r="D299" s="80" t="s">
        <v>4</v>
      </c>
      <c r="E299" s="80" t="s">
        <v>5</v>
      </c>
      <c r="F299" s="81" t="s">
        <v>6</v>
      </c>
      <c r="G299" s="80" t="s">
        <v>7</v>
      </c>
      <c r="H299" s="80" t="s">
        <v>8</v>
      </c>
      <c r="I299" s="80" t="s">
        <v>9</v>
      </c>
      <c r="J299" s="80" t="s">
        <v>10</v>
      </c>
      <c r="K299" s="80" t="s">
        <v>11</v>
      </c>
      <c r="L299" s="80" t="s">
        <v>12</v>
      </c>
      <c r="M299" s="80" t="s">
        <v>13</v>
      </c>
      <c r="N299" s="81" t="s">
        <v>14</v>
      </c>
      <c r="O299" s="80" t="s">
        <v>15</v>
      </c>
      <c r="P299" s="80" t="s">
        <v>16</v>
      </c>
      <c r="Q299" s="80" t="s">
        <v>17</v>
      </c>
      <c r="R299" s="80" t="s">
        <v>18</v>
      </c>
      <c r="S299" s="106" t="s">
        <v>19</v>
      </c>
      <c r="T299" s="107" t="s">
        <v>20</v>
      </c>
      <c r="U299" s="107" t="s">
        <v>21</v>
      </c>
      <c r="V299" s="105" t="s">
        <v>22</v>
      </c>
      <c r="W299" s="76"/>
      <c r="X299" s="1" t="s">
        <v>2</v>
      </c>
      <c r="Y299" s="1" t="s">
        <v>3</v>
      </c>
      <c r="Z299" s="1" t="s">
        <v>4</v>
      </c>
      <c r="AA299" s="1" t="s">
        <v>5</v>
      </c>
      <c r="AB299" s="2" t="s">
        <v>6</v>
      </c>
      <c r="AC299" s="1" t="s">
        <v>7</v>
      </c>
      <c r="AD299" s="1" t="s">
        <v>8</v>
      </c>
      <c r="AE299" s="1" t="s">
        <v>9</v>
      </c>
      <c r="AF299" s="1" t="s">
        <v>10</v>
      </c>
      <c r="AG299" s="1" t="s">
        <v>11</v>
      </c>
      <c r="AH299" s="1" t="s">
        <v>12</v>
      </c>
      <c r="AI299" s="1" t="s">
        <v>13</v>
      </c>
      <c r="AJ299" s="2" t="s">
        <v>14</v>
      </c>
      <c r="AK299" s="1" t="s">
        <v>15</v>
      </c>
      <c r="AL299" s="1" t="s">
        <v>16</v>
      </c>
      <c r="AM299" s="3" t="s">
        <v>17</v>
      </c>
      <c r="AN299" s="4" t="s">
        <v>18</v>
      </c>
      <c r="AO299" s="5" t="s">
        <v>19</v>
      </c>
      <c r="AP299" s="6" t="s">
        <v>20</v>
      </c>
      <c r="AQ299" s="6" t="s">
        <v>21</v>
      </c>
      <c r="AR299" s="7" t="s">
        <v>22</v>
      </c>
      <c r="AS299" s="76"/>
      <c r="AT299" s="76"/>
    </row>
    <row r="300" spans="1:46" ht="15.75" customHeight="1" x14ac:dyDescent="0.2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6"/>
      <c r="X300" s="8">
        <v>1</v>
      </c>
      <c r="Y300" s="8" t="s">
        <v>23</v>
      </c>
      <c r="Z300" s="8">
        <f t="shared" ref="Z300:AI300" si="825">SUM(D308)</f>
        <v>28</v>
      </c>
      <c r="AA300" s="9">
        <f t="shared" ca="1" si="825"/>
        <v>28</v>
      </c>
      <c r="AB300" s="10">
        <f t="shared" ca="1" si="825"/>
        <v>5465.8799999999901</v>
      </c>
      <c r="AC300" s="9">
        <f t="shared" ca="1" si="825"/>
        <v>1113</v>
      </c>
      <c r="AD300" s="9">
        <f t="shared" ca="1" si="825"/>
        <v>0</v>
      </c>
      <c r="AE300" s="9">
        <f t="shared" ca="1" si="825"/>
        <v>1113</v>
      </c>
      <c r="AF300" s="9">
        <f t="shared" ca="1" si="825"/>
        <v>2382</v>
      </c>
      <c r="AG300" s="9">
        <f t="shared" ca="1" si="825"/>
        <v>0</v>
      </c>
      <c r="AH300" s="9">
        <f t="shared" ca="1" si="825"/>
        <v>2382</v>
      </c>
      <c r="AI300" s="9">
        <f t="shared" ca="1" si="825"/>
        <v>3495</v>
      </c>
      <c r="AJ300" s="11">
        <f t="shared" ref="AJ300:AJ302" ca="1" si="826">AB300/AA300</f>
        <v>195.20999999999964</v>
      </c>
      <c r="AK300" s="8">
        <f>SUM(O308)</f>
        <v>6853</v>
      </c>
      <c r="AL300" s="12">
        <f t="shared" ref="AL300:AL306" ca="1" si="827">AI300/AK300</f>
        <v>0.50999562235517293</v>
      </c>
      <c r="AM300" s="13">
        <f t="shared" ref="AM300:AM302" si="828">SUM(Q308)</f>
        <v>1.5</v>
      </c>
      <c r="AN300" s="12">
        <f t="shared" ref="AN300:AN306" ca="1" si="829">AO300/AM300</f>
        <v>0.42628085504987379</v>
      </c>
      <c r="AO300" s="14">
        <f t="shared" ref="AO300:AO306" ca="1" si="830">AI300/AB300</f>
        <v>0.63942128257481068</v>
      </c>
      <c r="AP300" s="13">
        <f t="shared" ref="AP300:AQ300" ca="1" si="831">SUM(T308)</f>
        <v>161.99999999999969</v>
      </c>
      <c r="AQ300" s="13">
        <f t="shared" ca="1" si="831"/>
        <v>5.7857142857142749</v>
      </c>
      <c r="AR300" s="9">
        <f t="shared" ref="AR300:AR306" ca="1" si="832">AI300/AA300</f>
        <v>124.82142857142857</v>
      </c>
      <c r="AS300" s="76"/>
      <c r="AT300" s="76"/>
    </row>
    <row r="301" spans="1:46" ht="15.75" customHeight="1" x14ac:dyDescent="0.2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6"/>
      <c r="X301" s="8">
        <v>2</v>
      </c>
      <c r="Y301" s="8" t="s">
        <v>24</v>
      </c>
      <c r="Z301" s="8">
        <f t="shared" ref="Z301:AI301" si="833">SUM(D309)</f>
        <v>37</v>
      </c>
      <c r="AA301" s="9">
        <f t="shared" ca="1" si="833"/>
        <v>36</v>
      </c>
      <c r="AB301" s="10">
        <f t="shared" ca="1" si="833"/>
        <v>6964.0319999999901</v>
      </c>
      <c r="AC301" s="9">
        <f t="shared" ca="1" si="833"/>
        <v>804</v>
      </c>
      <c r="AD301" s="9">
        <f t="shared" ca="1" si="833"/>
        <v>0</v>
      </c>
      <c r="AE301" s="9">
        <f t="shared" ca="1" si="833"/>
        <v>804</v>
      </c>
      <c r="AF301" s="9">
        <f t="shared" ca="1" si="833"/>
        <v>1222</v>
      </c>
      <c r="AG301" s="9">
        <f t="shared" ca="1" si="833"/>
        <v>3</v>
      </c>
      <c r="AH301" s="9">
        <f t="shared" ca="1" si="833"/>
        <v>1225</v>
      </c>
      <c r="AI301" s="9">
        <f t="shared" ca="1" si="833"/>
        <v>2029</v>
      </c>
      <c r="AJ301" s="11">
        <f t="shared" ca="1" si="826"/>
        <v>193.44533333333305</v>
      </c>
      <c r="AK301" s="8">
        <v>1580</v>
      </c>
      <c r="AL301" s="15">
        <f t="shared" ca="1" si="827"/>
        <v>1.2841772151898734</v>
      </c>
      <c r="AM301" s="13">
        <f t="shared" si="828"/>
        <v>1.5</v>
      </c>
      <c r="AN301" s="12">
        <f t="shared" ca="1" si="829"/>
        <v>0.19423613600090703</v>
      </c>
      <c r="AO301" s="14">
        <f t="shared" ca="1" si="830"/>
        <v>0.29135420400136053</v>
      </c>
      <c r="AP301" s="13">
        <f t="shared" ref="AP301:AQ301" ca="1" si="834">SUM(T309)</f>
        <v>259.8034695019582</v>
      </c>
      <c r="AQ301" s="13">
        <f t="shared" ca="1" si="834"/>
        <v>7.2167630417210615</v>
      </c>
      <c r="AR301" s="9">
        <f t="shared" ca="1" si="832"/>
        <v>56.361111111111114</v>
      </c>
      <c r="AS301" s="76"/>
      <c r="AT301" s="76"/>
    </row>
    <row r="302" spans="1:46" ht="15.75" customHeight="1" x14ac:dyDescent="0.2">
      <c r="A302" s="70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6"/>
      <c r="X302" s="8">
        <v>3</v>
      </c>
      <c r="Y302" s="8" t="s">
        <v>25</v>
      </c>
      <c r="Z302" s="8">
        <f t="shared" ref="Z302:AI302" si="835">SUM(D310)</f>
        <v>27</v>
      </c>
      <c r="AA302" s="9">
        <f t="shared" ca="1" si="835"/>
        <v>24</v>
      </c>
      <c r="AB302" s="10">
        <f t="shared" ca="1" si="835"/>
        <v>4647.0320000000002</v>
      </c>
      <c r="AC302" s="9">
        <f t="shared" ca="1" si="835"/>
        <v>1648</v>
      </c>
      <c r="AD302" s="9">
        <f t="shared" ca="1" si="835"/>
        <v>315</v>
      </c>
      <c r="AE302" s="9">
        <f t="shared" ca="1" si="835"/>
        <v>1963</v>
      </c>
      <c r="AF302" s="9">
        <f t="shared" ca="1" si="835"/>
        <v>2814</v>
      </c>
      <c r="AG302" s="9">
        <f t="shared" ca="1" si="835"/>
        <v>205</v>
      </c>
      <c r="AH302" s="9">
        <f t="shared" ca="1" si="835"/>
        <v>3019</v>
      </c>
      <c r="AI302" s="9">
        <f t="shared" ca="1" si="835"/>
        <v>4982</v>
      </c>
      <c r="AJ302" s="11">
        <f t="shared" ca="1" si="826"/>
        <v>193.62633333333335</v>
      </c>
      <c r="AK302" s="8">
        <f>SUM(O310)</f>
        <v>6622</v>
      </c>
      <c r="AL302" s="12">
        <f t="shared" ca="1" si="827"/>
        <v>0.75234068257324072</v>
      </c>
      <c r="AM302" s="13">
        <f t="shared" si="828"/>
        <v>1.5</v>
      </c>
      <c r="AN302" s="12">
        <f t="shared" ca="1" si="829"/>
        <v>0.71472142505868985</v>
      </c>
      <c r="AO302" s="14">
        <f t="shared" ca="1" si="830"/>
        <v>1.0720821375880347</v>
      </c>
      <c r="AP302" s="13">
        <f t="shared" ref="AP302:AQ302" ca="1" si="836">SUM(T310)</f>
        <v>194.92583892617449</v>
      </c>
      <c r="AQ302" s="13">
        <f t="shared" ca="1" si="836"/>
        <v>8.1219099552572711</v>
      </c>
      <c r="AR302" s="9">
        <f t="shared" ca="1" si="832"/>
        <v>207.58333333333334</v>
      </c>
      <c r="AS302" s="76"/>
      <c r="AT302" s="76"/>
    </row>
    <row r="303" spans="1:46" ht="15.75" customHeight="1" x14ac:dyDescent="0.25">
      <c r="A303" s="70"/>
      <c r="B303" s="16">
        <v>1</v>
      </c>
      <c r="C303" s="16" t="s">
        <v>26</v>
      </c>
      <c r="D303" s="17">
        <v>16</v>
      </c>
      <c r="E303" s="18">
        <f ca="1">IFERROR(__xludf.DUMMYFUNCTION("COUNT(IMPORTRANGE(""https://docs.google.com/spreadsheets/d/1F0NpMx7WhcgPgxTWpryY3Z1CGg56FL6aiL4mHs43w4E/edit"",""12!d2:d21""))"),16)</f>
        <v>16</v>
      </c>
      <c r="F303" s="19">
        <f ca="1">IFERROR(__xludf.DUMMYFUNCTION("SUM(IMPORTRANGE(""https://docs.google.com/spreadsheets/d/1F0NpMx7WhcgPgxTWpryY3Z1CGg56FL6aiL4mHs43w4E/edit"",""12!Q2:Q21""))"),2847.345)</f>
        <v>2847.3449999999998</v>
      </c>
      <c r="G303" s="18">
        <f ca="1">IFERROR(__xludf.DUMMYFUNCTION("IMPORTRANGE(""https://docs.google.com/spreadsheets/d/1F0NpMx7WhcgPgxTWpryY3Z1CGg56FL6aiL4mHs43w4E/edit"",""12!e28"")"),1356)</f>
        <v>1356</v>
      </c>
      <c r="H303" s="18">
        <f ca="1">IFERROR(__xludf.DUMMYFUNCTION("IMPORTRANGE(""https://docs.google.com/spreadsheets/d/1F0NpMx7WhcgPgxTWpryY3Z1CGg56FL6aiL4mHs43w4E/edit"",""12!e29"")"),89)</f>
        <v>89</v>
      </c>
      <c r="I303" s="18">
        <f t="shared" ref="I303:I320" ca="1" si="837">SUM(G303:H303)</f>
        <v>1445</v>
      </c>
      <c r="J303" s="18">
        <f ca="1">IFERROR(__xludf.DUMMYFUNCTION("IMPORTRANGE(""https://docs.google.com/spreadsheets/d/1F0NpMx7WhcgPgxTWpryY3Z1CGg56FL6aiL4mHs43w4E/edit"",""12!e32"")"),2091)</f>
        <v>2091</v>
      </c>
      <c r="K303" s="18">
        <f ca="1">IFERROR(__xludf.DUMMYFUNCTION("IMPORTRANGE(""https://docs.google.com/spreadsheets/d/1F0NpMx7WhcgPgxTWpryY3Z1CGg56FL6aiL4mHs43w4E/edit"",""12!e33"")"),0)</f>
        <v>0</v>
      </c>
      <c r="L303" s="18">
        <f t="shared" ref="L303:L309" ca="1" si="838">SUM(J303:K303)</f>
        <v>2091</v>
      </c>
      <c r="M303" s="18">
        <f t="shared" ref="M303:M320" ca="1" si="839">SUM(I303+L303)</f>
        <v>3536</v>
      </c>
      <c r="N303" s="19">
        <f t="shared" ref="N303:N321" ca="1" si="840">F303/E303</f>
        <v>177.95906249999999</v>
      </c>
      <c r="O303" s="16">
        <v>5161</v>
      </c>
      <c r="P303" s="20">
        <f t="shared" ref="P303:P321" ca="1" si="841">M303/O303</f>
        <v>0.68513853904282118</v>
      </c>
      <c r="Q303" s="21">
        <v>1.5</v>
      </c>
      <c r="R303" s="20">
        <f t="shared" ref="R303:R321" ca="1" si="842">S303/Q303</f>
        <v>0.82790576250272918</v>
      </c>
      <c r="S303" s="22">
        <f t="shared" ref="S303:S321" ca="1" si="843">M303/F303</f>
        <v>1.2418586437540937</v>
      </c>
      <c r="T303" s="21">
        <f ca="1">F303/14.415</f>
        <v>197.52653485952132</v>
      </c>
      <c r="U303" s="21">
        <f t="shared" ref="U303:U321" ca="1" si="844">T303/E303</f>
        <v>12.345408428720082</v>
      </c>
      <c r="V303" s="18">
        <f t="shared" ref="V303:V321" ca="1" si="845">M303/E303</f>
        <v>221</v>
      </c>
      <c r="W303" s="76"/>
      <c r="X303" s="8">
        <v>4</v>
      </c>
      <c r="Y303" s="8" t="s">
        <v>27</v>
      </c>
      <c r="Z303" s="8">
        <f t="shared" ref="Z303:AK303" si="846">SUM(D316)</f>
        <v>24</v>
      </c>
      <c r="AA303" s="9">
        <f t="shared" ca="1" si="846"/>
        <v>23</v>
      </c>
      <c r="AB303" s="10">
        <f t="shared" ca="1" si="846"/>
        <v>4406.5549999999903</v>
      </c>
      <c r="AC303" s="9">
        <f t="shared" ca="1" si="846"/>
        <v>1639</v>
      </c>
      <c r="AD303" s="9">
        <f t="shared" ca="1" si="846"/>
        <v>164</v>
      </c>
      <c r="AE303" s="9">
        <f t="shared" ca="1" si="846"/>
        <v>1803</v>
      </c>
      <c r="AF303" s="9">
        <f t="shared" ca="1" si="846"/>
        <v>2326</v>
      </c>
      <c r="AG303" s="9">
        <f t="shared" ca="1" si="846"/>
        <v>254</v>
      </c>
      <c r="AH303" s="9">
        <f t="shared" ca="1" si="846"/>
        <v>2580</v>
      </c>
      <c r="AI303" s="9">
        <f t="shared" ca="1" si="846"/>
        <v>4383</v>
      </c>
      <c r="AJ303" s="11">
        <f t="shared" ca="1" si="846"/>
        <v>191.58934782608654</v>
      </c>
      <c r="AK303" s="8">
        <f t="shared" si="846"/>
        <v>8101</v>
      </c>
      <c r="AL303" s="12">
        <f t="shared" ca="1" si="827"/>
        <v>0.54104431551660292</v>
      </c>
      <c r="AM303" s="13">
        <f>SUM(Q316)</f>
        <v>1.5</v>
      </c>
      <c r="AN303" s="12">
        <f t="shared" ca="1" si="829"/>
        <v>0.66310303627210065</v>
      </c>
      <c r="AO303" s="14">
        <f t="shared" ca="1" si="830"/>
        <v>0.99465455440815098</v>
      </c>
      <c r="AP303" s="13">
        <f t="shared" ref="AP303:AQ303" ca="1" si="847">SUM(T316)</f>
        <v>220.49311983987943</v>
      </c>
      <c r="AQ303" s="13">
        <f t="shared" ca="1" si="847"/>
        <v>9.5866573843425833</v>
      </c>
      <c r="AR303" s="9">
        <f t="shared" ca="1" si="832"/>
        <v>190.56521739130434</v>
      </c>
      <c r="AS303" s="76"/>
      <c r="AT303" s="76"/>
    </row>
    <row r="304" spans="1:46" ht="15.75" customHeight="1" x14ac:dyDescent="0.25">
      <c r="A304" s="70"/>
      <c r="B304" s="16">
        <v>2</v>
      </c>
      <c r="C304" s="16" t="s">
        <v>28</v>
      </c>
      <c r="D304" s="17">
        <v>26</v>
      </c>
      <c r="E304" s="18">
        <f ca="1">IFERROR(__xludf.DUMMYFUNCTION("COUNT(IMPORTRANGE(""https://docs.google.com/spreadsheets/d/1H9vAqftAHb0OdeSGXHTnJFzoWUgpoH31sc0sHNN8y1o/edit"",""12!d2:d34""))"),26)</f>
        <v>26</v>
      </c>
      <c r="F304" s="19">
        <f ca="1">IFERROR(__xludf.DUMMYFUNCTION("SUM(IMPORTRANGE(""https://docs.google.com/spreadsheets/d/1H9vAqftAHb0OdeSGXHTnJFzoWUgpoH31sc0sHNN8y1o/edit"",""12!Q2:Q34""))"),5138.46799999999)</f>
        <v>5138.4679999999898</v>
      </c>
      <c r="G304" s="18">
        <f ca="1">IFERROR(__xludf.DUMMYFUNCTION("IMPORTRANGE(""https://docs.google.com/spreadsheets/d/1H9vAqftAHb0OdeSGXHTnJFzoWUgpoH31sc0sHNN8y1o/edit"",""12!e41"")"),1878)</f>
        <v>1878</v>
      </c>
      <c r="H304" s="18">
        <f ca="1">IFERROR(__xludf.DUMMYFUNCTION("IMPORTRANGE(""https://docs.google.com/spreadsheets/d/1H9vAqftAHb0OdeSGXHTnJFzoWUgpoH31sc0sHNN8y1o/edit"",""12!e42"")"),125)</f>
        <v>125</v>
      </c>
      <c r="I304" s="18">
        <f t="shared" ca="1" si="837"/>
        <v>2003</v>
      </c>
      <c r="J304" s="18">
        <f ca="1">IFERROR(__xludf.DUMMYFUNCTION("IMPORTRANGE(""https://docs.google.com/spreadsheets/d/1H9vAqftAHb0OdeSGXHTnJFzoWUgpoH31sc0sHNN8y1o/edit"",""12!e45"")"),1950)</f>
        <v>1950</v>
      </c>
      <c r="K304" s="18">
        <f ca="1">IFERROR(__xludf.DUMMYFUNCTION("IMPORTRANGE(""https://docs.google.com/spreadsheets/d/1H9vAqftAHb0OdeSGXHTnJFzoWUgpoH31sc0sHNN8y1o/edit"",""12!e46"")"),169)</f>
        <v>169</v>
      </c>
      <c r="L304" s="18">
        <f t="shared" ca="1" si="838"/>
        <v>2119</v>
      </c>
      <c r="M304" s="18">
        <f t="shared" ca="1" si="839"/>
        <v>4122</v>
      </c>
      <c r="N304" s="19">
        <f t="shared" ca="1" si="840"/>
        <v>197.63338461538422</v>
      </c>
      <c r="O304" s="16">
        <v>7315</v>
      </c>
      <c r="P304" s="20">
        <f t="shared" ca="1" si="841"/>
        <v>0.56349965823650039</v>
      </c>
      <c r="Q304" s="21">
        <v>1.5</v>
      </c>
      <c r="R304" s="20">
        <f t="shared" ca="1" si="842"/>
        <v>0.53478974667157708</v>
      </c>
      <c r="S304" s="22">
        <f t="shared" ca="1" si="843"/>
        <v>0.80218462000736568</v>
      </c>
      <c r="T304" s="21">
        <f ca="1">F304/30.897</f>
        <v>166.3096093471855</v>
      </c>
      <c r="U304" s="21">
        <f t="shared" ca="1" si="844"/>
        <v>6.3965234364302113</v>
      </c>
      <c r="V304" s="18">
        <f t="shared" ca="1" si="845"/>
        <v>158.53846153846155</v>
      </c>
      <c r="W304" s="76"/>
      <c r="X304" s="8">
        <v>5</v>
      </c>
      <c r="Y304" s="8" t="s">
        <v>29</v>
      </c>
      <c r="Z304" s="8">
        <f t="shared" ref="Z304:AI304" si="848">SUM(D319)</f>
        <v>24</v>
      </c>
      <c r="AA304" s="9">
        <f t="shared" ca="1" si="848"/>
        <v>23</v>
      </c>
      <c r="AB304" s="10">
        <f t="shared" ca="1" si="848"/>
        <v>4688.9069999999901</v>
      </c>
      <c r="AC304" s="9">
        <f t="shared" ca="1" si="848"/>
        <v>1926</v>
      </c>
      <c r="AD304" s="9">
        <f t="shared" ca="1" si="848"/>
        <v>65</v>
      </c>
      <c r="AE304" s="9">
        <f t="shared" ca="1" si="848"/>
        <v>1991</v>
      </c>
      <c r="AF304" s="9">
        <f t="shared" ca="1" si="848"/>
        <v>2900</v>
      </c>
      <c r="AG304" s="9">
        <f t="shared" ca="1" si="848"/>
        <v>100</v>
      </c>
      <c r="AH304" s="9">
        <f t="shared" ca="1" si="848"/>
        <v>3000</v>
      </c>
      <c r="AI304" s="9">
        <f t="shared" ca="1" si="848"/>
        <v>4991</v>
      </c>
      <c r="AJ304" s="11">
        <f t="shared" ref="AJ304:AJ306" ca="1" si="849">AB304/AA304</f>
        <v>203.86552173913</v>
      </c>
      <c r="AK304" s="8">
        <f t="shared" ref="AK304:AK305" si="850">SUM(O319)</f>
        <v>9201</v>
      </c>
      <c r="AL304" s="12">
        <f t="shared" ca="1" si="827"/>
        <v>0.54244103901749807</v>
      </c>
      <c r="AM304" s="13">
        <f t="shared" ref="AM304:AM305" si="851">SUM(Q319)</f>
        <v>1.5</v>
      </c>
      <c r="AN304" s="12">
        <f t="shared" ca="1" si="829"/>
        <v>0.70961811213857307</v>
      </c>
      <c r="AO304" s="14">
        <f t="shared" ca="1" si="830"/>
        <v>1.0644271682078597</v>
      </c>
      <c r="AP304" s="13">
        <f t="shared" ref="AP304:AQ304" ca="1" si="852">SUM(T319)</f>
        <v>176.99999999999963</v>
      </c>
      <c r="AQ304" s="13">
        <f t="shared" ca="1" si="852"/>
        <v>7.695652173913027</v>
      </c>
      <c r="AR304" s="9">
        <f t="shared" ca="1" si="832"/>
        <v>217</v>
      </c>
      <c r="AS304" s="76"/>
      <c r="AT304" s="76"/>
    </row>
    <row r="305" spans="1:46" ht="15.75" customHeight="1" x14ac:dyDescent="0.25">
      <c r="A305" s="70"/>
      <c r="B305" s="16">
        <v>3</v>
      </c>
      <c r="C305" s="16" t="s">
        <v>30</v>
      </c>
      <c r="D305" s="17">
        <v>48</v>
      </c>
      <c r="E305" s="18">
        <f ca="1">IFERROR(__xludf.DUMMYFUNCTION("COUNT(IMPORTRANGE(""https://docs.google.com/spreadsheets/d/1EWN6nfpuVxbUE_9opjYCWaI7MTm5xsF6ssjklSbMZnA/edit"",""12!d2:d61""))"),48)</f>
        <v>48</v>
      </c>
      <c r="F305" s="23">
        <f ca="1">IFERROR(__xludf.DUMMYFUNCTION("SUM(IMPORTRANGE(""https://docs.google.com/spreadsheets/d/1EWN6nfpuVxbUE_9opjYCWaI7MTm5xsF6ssjklSbMZnA/edit"",""12!Q2:Q61""))"),9426.45299999999)</f>
        <v>9426.4529999999904</v>
      </c>
      <c r="G305" s="18">
        <f ca="1">IFERROR(__xludf.DUMMYFUNCTION("IMPORTRANGE(""https://docs.google.com/spreadsheets/d/1EWN6nfpuVxbUE_9opjYCWaI7MTm5xsF6ssjklSbMZnA/edit"",""12!e68"")"),2313)</f>
        <v>2313</v>
      </c>
      <c r="H305" s="18">
        <f ca="1">IFERROR(__xludf.DUMMYFUNCTION("IMPORTRANGE(""https://docs.google.com/spreadsheets/d/1EWN6nfpuVxbUE_9opjYCWaI7MTm5xsF6ssjklSbMZnA/edit"",""12!e69"")"),56)</f>
        <v>56</v>
      </c>
      <c r="I305" s="18">
        <f t="shared" ca="1" si="837"/>
        <v>2369</v>
      </c>
      <c r="J305" s="18">
        <f ca="1">IFERROR(__xludf.DUMMYFUNCTION("IMPORTRANGE(""https://docs.google.com/spreadsheets/d/1EWN6nfpuVxbUE_9opjYCWaI7MTm5xsF6ssjklSbMZnA/edit"",""12!e72"")"),4599)</f>
        <v>4599</v>
      </c>
      <c r="K305" s="18">
        <f ca="1">IFERROR(__xludf.DUMMYFUNCTION("IMPORTRANGE(""https://docs.google.com/spreadsheets/d/1EWN6nfpuVxbUE_9opjYCWaI7MTm5xsF6ssjklSbMZnA/edit"",""12!e73"")"),20)</f>
        <v>20</v>
      </c>
      <c r="L305" s="18">
        <f t="shared" ca="1" si="838"/>
        <v>4619</v>
      </c>
      <c r="M305" s="18">
        <f t="shared" ca="1" si="839"/>
        <v>6988</v>
      </c>
      <c r="N305" s="19">
        <f t="shared" ca="1" si="840"/>
        <v>196.38443749999979</v>
      </c>
      <c r="O305" s="16">
        <v>11164</v>
      </c>
      <c r="P305" s="20">
        <f t="shared" ca="1" si="841"/>
        <v>0.62594052310999637</v>
      </c>
      <c r="Q305" s="21">
        <v>1.5</v>
      </c>
      <c r="R305" s="20">
        <f t="shared" ca="1" si="842"/>
        <v>0.49421205056309847</v>
      </c>
      <c r="S305" s="22">
        <f t="shared" ca="1" si="843"/>
        <v>0.74131807584464771</v>
      </c>
      <c r="T305" s="21">
        <f ca="1">F305/29.603</f>
        <v>318.42897679289229</v>
      </c>
      <c r="U305" s="21">
        <f t="shared" ca="1" si="844"/>
        <v>6.6339370165185896</v>
      </c>
      <c r="V305" s="18">
        <f t="shared" ca="1" si="845"/>
        <v>145.58333333333334</v>
      </c>
      <c r="W305" s="76"/>
      <c r="X305" s="8">
        <v>6</v>
      </c>
      <c r="Y305" s="8" t="s">
        <v>31</v>
      </c>
      <c r="Z305" s="8">
        <f t="shared" ref="Z305:AI305" si="853">SUM(D320)</f>
        <v>12</v>
      </c>
      <c r="AA305" s="9">
        <f t="shared" ca="1" si="853"/>
        <v>12</v>
      </c>
      <c r="AB305" s="11">
        <f t="shared" ca="1" si="853"/>
        <v>2303.64499999999</v>
      </c>
      <c r="AC305" s="9">
        <f t="shared" si="853"/>
        <v>536</v>
      </c>
      <c r="AD305" s="9">
        <f t="shared" si="853"/>
        <v>21</v>
      </c>
      <c r="AE305" s="9">
        <f t="shared" si="853"/>
        <v>557</v>
      </c>
      <c r="AF305" s="9">
        <f t="shared" si="853"/>
        <v>826</v>
      </c>
      <c r="AG305" s="9">
        <f t="shared" si="853"/>
        <v>0</v>
      </c>
      <c r="AH305" s="9">
        <f t="shared" si="853"/>
        <v>826</v>
      </c>
      <c r="AI305" s="9">
        <f t="shared" si="853"/>
        <v>1383</v>
      </c>
      <c r="AJ305" s="11">
        <f t="shared" ca="1" si="849"/>
        <v>191.97041666666584</v>
      </c>
      <c r="AK305" s="8">
        <f t="shared" si="850"/>
        <v>2717</v>
      </c>
      <c r="AL305" s="12">
        <f t="shared" si="827"/>
        <v>0.50901729849098265</v>
      </c>
      <c r="AM305" s="13">
        <f t="shared" si="851"/>
        <v>1.5</v>
      </c>
      <c r="AN305" s="12">
        <f t="shared" ca="1" si="829"/>
        <v>0.4002352793073603</v>
      </c>
      <c r="AO305" s="14">
        <f t="shared" ca="1" si="830"/>
        <v>0.60035291896104048</v>
      </c>
      <c r="AP305" s="13">
        <f t="shared" ref="AP305:AQ305" ca="1" si="854">SUM(T320)</f>
        <v>52.999999999999766</v>
      </c>
      <c r="AQ305" s="13">
        <f t="shared" ca="1" si="854"/>
        <v>4.4166666666666474</v>
      </c>
      <c r="AR305" s="9">
        <f t="shared" ca="1" si="832"/>
        <v>115.25</v>
      </c>
      <c r="AS305" s="76"/>
      <c r="AT305" s="76"/>
    </row>
    <row r="306" spans="1:46" ht="15.75" customHeight="1" x14ac:dyDescent="0.25">
      <c r="A306" s="70"/>
      <c r="B306" s="16">
        <v>4</v>
      </c>
      <c r="C306" s="16" t="s">
        <v>32</v>
      </c>
      <c r="D306" s="17">
        <v>33</v>
      </c>
      <c r="E306" s="18">
        <f ca="1">IFERROR(__xludf.DUMMYFUNCTION("COUNT(IMPORTRANGE(""https://docs.google.com/spreadsheets/d/1Rmar8QqWK4XOJ-eY6xMzkAfDSw0srEXcAw89ilArun8/edit"",""12!d2:d43""))"),33)</f>
        <v>33</v>
      </c>
      <c r="F306" s="23">
        <f ca="1">IFERROR(__xludf.DUMMYFUNCTION("SUM(IMPORTRANGE(""https://docs.google.com/spreadsheets/d/1Rmar8QqWK4XOJ-eY6xMzkAfDSw0srEXcAw89ilArun8/edit"",""12!Q2:Q43""))"),6573.31799999999)</f>
        <v>6573.3179999999902</v>
      </c>
      <c r="G306" s="16">
        <f ca="1">IFERROR(__xludf.DUMMYFUNCTION("IMPORTRANGE(""https://docs.google.com/spreadsheets/d/1Rmar8QqWK4XOJ-eY6xMzkAfDSw0srEXcAw89ilArun8/edit"",""12!e50"")"),3632)</f>
        <v>3632</v>
      </c>
      <c r="H306" s="16">
        <f ca="1">IFERROR(__xludf.DUMMYFUNCTION("IMPORTRANGE(""https://docs.google.com/spreadsheets/d/1Rmar8QqWK4XOJ-eY6xMzkAfDSw0srEXcAw89ilArun8/edit"",""12!e51"")"),0)</f>
        <v>0</v>
      </c>
      <c r="I306" s="18">
        <f t="shared" ca="1" si="837"/>
        <v>3632</v>
      </c>
      <c r="J306" s="16">
        <f ca="1">IFERROR(__xludf.DUMMYFUNCTION("IMPORTRANGE(""https://docs.google.com/spreadsheets/d/1Rmar8QqWK4XOJ-eY6xMzkAfDSw0srEXcAw89ilArun8/edit"",""12!e54"")"),4217)</f>
        <v>4217</v>
      </c>
      <c r="K306" s="16">
        <f ca="1">IFERROR(__xludf.DUMMYFUNCTION("IMPORTRANGE(""https://docs.google.com/spreadsheets/d/1Rmar8QqWK4XOJ-eY6xMzkAfDSw0srEXcAw89ilArun8/edit"",""12!e55"")"),30)</f>
        <v>30</v>
      </c>
      <c r="L306" s="18">
        <f t="shared" ca="1" si="838"/>
        <v>4247</v>
      </c>
      <c r="M306" s="18">
        <f t="shared" ca="1" si="839"/>
        <v>7879</v>
      </c>
      <c r="N306" s="19">
        <f t="shared" ca="1" si="840"/>
        <v>199.19145454545423</v>
      </c>
      <c r="O306" s="16">
        <v>13817</v>
      </c>
      <c r="P306" s="20">
        <f t="shared" ca="1" si="841"/>
        <v>0.57023955996236519</v>
      </c>
      <c r="Q306" s="21">
        <v>1.5</v>
      </c>
      <c r="R306" s="20">
        <f t="shared" ca="1" si="842"/>
        <v>0.79908908509624432</v>
      </c>
      <c r="S306" s="22">
        <f t="shared" ca="1" si="843"/>
        <v>1.1986336276443665</v>
      </c>
      <c r="T306" s="21">
        <f ca="1">F306/25.089</f>
        <v>261.9999999999996</v>
      </c>
      <c r="U306" s="21">
        <f t="shared" ca="1" si="844"/>
        <v>7.939393939393927</v>
      </c>
      <c r="V306" s="18">
        <f t="shared" ca="1" si="845"/>
        <v>238.75757575757575</v>
      </c>
      <c r="W306" s="76"/>
      <c r="X306" s="35" t="s">
        <v>33</v>
      </c>
      <c r="Y306" s="24">
        <v>6</v>
      </c>
      <c r="Z306" s="24">
        <f t="shared" ref="Z306:AI306" si="855">SUM(Z300:Z305)</f>
        <v>152</v>
      </c>
      <c r="AA306" s="25">
        <f t="shared" ca="1" si="855"/>
        <v>146</v>
      </c>
      <c r="AB306" s="26">
        <f t="shared" ca="1" si="855"/>
        <v>28476.050999999949</v>
      </c>
      <c r="AC306" s="25">
        <f t="shared" ca="1" si="855"/>
        <v>7666</v>
      </c>
      <c r="AD306" s="25">
        <f t="shared" ca="1" si="855"/>
        <v>565</v>
      </c>
      <c r="AE306" s="25">
        <f t="shared" ca="1" si="855"/>
        <v>8231</v>
      </c>
      <c r="AF306" s="25">
        <f t="shared" ca="1" si="855"/>
        <v>12470</v>
      </c>
      <c r="AG306" s="25">
        <f t="shared" ca="1" si="855"/>
        <v>562</v>
      </c>
      <c r="AH306" s="25">
        <f t="shared" ca="1" si="855"/>
        <v>13032</v>
      </c>
      <c r="AI306" s="25">
        <f t="shared" ca="1" si="855"/>
        <v>21263</v>
      </c>
      <c r="AJ306" s="27">
        <f t="shared" ca="1" si="849"/>
        <v>195.04144520547911</v>
      </c>
      <c r="AK306" s="24">
        <f>SUM(AK300:AK305)</f>
        <v>35074</v>
      </c>
      <c r="AL306" s="28">
        <f t="shared" ca="1" si="827"/>
        <v>0.60623253692193646</v>
      </c>
      <c r="AM306" s="29">
        <v>1.5</v>
      </c>
      <c r="AN306" s="28">
        <f t="shared" ca="1" si="829"/>
        <v>0.49779842483542952</v>
      </c>
      <c r="AO306" s="30">
        <f t="shared" ca="1" si="830"/>
        <v>0.74669763725314431</v>
      </c>
      <c r="AP306" s="29">
        <f ca="1">SUM(AP300:AP305)</f>
        <v>1067.2224282680113</v>
      </c>
      <c r="AQ306" s="29">
        <f ca="1">AP306/AA306</f>
        <v>7.3097426593699408</v>
      </c>
      <c r="AR306" s="25">
        <f t="shared" ca="1" si="832"/>
        <v>145.63698630136986</v>
      </c>
      <c r="AS306" s="76"/>
      <c r="AT306" s="76"/>
    </row>
    <row r="307" spans="1:46" ht="15.75" customHeight="1" x14ac:dyDescent="0.25">
      <c r="A307" s="70"/>
      <c r="B307" s="16">
        <v>5</v>
      </c>
      <c r="C307" s="16" t="s">
        <v>34</v>
      </c>
      <c r="D307" s="17">
        <v>32</v>
      </c>
      <c r="E307" s="18">
        <f ca="1">IFERROR(__xludf.DUMMYFUNCTION("COUNT(IMPORTRANGE(""https://docs.google.com/spreadsheets/d/1u99JxAoytGQQ8GcjxXl38CGdyEWy5uIbuJJHnsotyvk/edit"",""12!d2:d41""))"),32)</f>
        <v>32</v>
      </c>
      <c r="F307" s="23">
        <f ca="1">IFERROR(__xludf.DUMMYFUNCTION("SUM(IMPORTRANGE(""https://docs.google.com/spreadsheets/d/1u99JxAoytGQQ8GcjxXl38CGdyEWy5uIbuJJHnsotyvk/edit"",""12!Q2:Q41""))"),6021.627)</f>
        <v>6021.6270000000004</v>
      </c>
      <c r="G307" s="18">
        <f ca="1">IFERROR(__xludf.DUMMYFUNCTION("IMPORTRANGE(""https://docs.google.com/spreadsheets/d/1u99JxAoytGQQ8GcjxXl38CGdyEWy5uIbuJJHnsotyvk/edit"",""12!e48"")"),1865)</f>
        <v>1865</v>
      </c>
      <c r="H307" s="18">
        <f ca="1">IFERROR(__xludf.DUMMYFUNCTION("IMPORTRANGE(""https://docs.google.com/spreadsheets/d/1u99JxAoytGQQ8GcjxXl38CGdyEWy5uIbuJJHnsotyvk/edit"",""12!e49"")"),0)</f>
        <v>0</v>
      </c>
      <c r="I307" s="18">
        <f t="shared" ca="1" si="837"/>
        <v>1865</v>
      </c>
      <c r="J307" s="18">
        <f ca="1">IFERROR(__xludf.DUMMYFUNCTION("IMPORTRANGE(""https://docs.google.com/spreadsheets/d/1u99JxAoytGQQ8GcjxXl38CGdyEWy5uIbuJJHnsotyvk/edit"",""12!e52"")"),2467)</f>
        <v>2467</v>
      </c>
      <c r="K307" s="18">
        <f ca="1">IFERROR(__xludf.DUMMYFUNCTION("IMPORTRANGE(""https://docs.google.com/spreadsheets/d/1u99JxAoytGQQ8GcjxXl38CGdyEWy5uIbuJJHnsotyvk/edit"",""12!e53"")"),0)</f>
        <v>0</v>
      </c>
      <c r="L307" s="18">
        <f t="shared" ca="1" si="838"/>
        <v>2467</v>
      </c>
      <c r="M307" s="18">
        <f t="shared" ca="1" si="839"/>
        <v>4332</v>
      </c>
      <c r="N307" s="19">
        <f t="shared" ca="1" si="840"/>
        <v>188.17584375000001</v>
      </c>
      <c r="O307" s="16">
        <v>9354</v>
      </c>
      <c r="P307" s="20">
        <f t="shared" ca="1" si="841"/>
        <v>0.46311738293778065</v>
      </c>
      <c r="Q307" s="21">
        <v>1.5</v>
      </c>
      <c r="R307" s="20">
        <f t="shared" ca="1" si="842"/>
        <v>0.47960459855783161</v>
      </c>
      <c r="S307" s="22">
        <f t="shared" ca="1" si="843"/>
        <v>0.71940689783674738</v>
      </c>
      <c r="T307" s="21">
        <f ca="1">F307/30.713</f>
        <v>196.06117930518022</v>
      </c>
      <c r="U307" s="21">
        <f t="shared" ca="1" si="844"/>
        <v>6.1269118532868818</v>
      </c>
      <c r="V307" s="18">
        <f t="shared" ca="1" si="845"/>
        <v>135.375</v>
      </c>
      <c r="W307" s="76"/>
      <c r="X307" s="100" t="s">
        <v>35</v>
      </c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9"/>
      <c r="AS307" s="76"/>
      <c r="AT307" s="76"/>
    </row>
    <row r="308" spans="1:46" ht="15.75" customHeight="1" x14ac:dyDescent="0.25">
      <c r="A308" s="70"/>
      <c r="B308" s="16">
        <v>6</v>
      </c>
      <c r="C308" s="16" t="s">
        <v>23</v>
      </c>
      <c r="D308" s="17">
        <v>28</v>
      </c>
      <c r="E308" s="18">
        <f ca="1">IFERROR(__xludf.DUMMYFUNCTION("COUNT(IMPORTRANGE(""https://docs.google.com/spreadsheets/d/1uVc-vnTn57HE53lwrUYNZP4sGKTXisrqOoZ-6EyvLzY/edit"",""12!d2:d36""))"),28)</f>
        <v>28</v>
      </c>
      <c r="F308" s="23">
        <f ca="1">IFERROR(__xludf.DUMMYFUNCTION("SUM(IMPORTRANGE(""https://docs.google.com/spreadsheets/d/1uVc-vnTn57HE53lwrUYNZP4sGKTXisrqOoZ-6EyvLzY/edit"",""12!Q2:Q36""))"),5465.87999999999)</f>
        <v>5465.8799999999901</v>
      </c>
      <c r="G308" s="18">
        <f ca="1">IFERROR(__xludf.DUMMYFUNCTION("IMPORTRANGE(""https://docs.google.com/spreadsheets/d/1uVc-vnTn57HE53lwrUYNZP4sGKTXisrqOoZ-6EyvLzY/edit"",""12!e43"")"),1113)</f>
        <v>1113</v>
      </c>
      <c r="H308" s="18">
        <f ca="1">IFERROR(__xludf.DUMMYFUNCTION("IMPORTRANGE(""https://docs.google.com/spreadsheets/d/1uVc-vnTn57HE53lwrUYNZP4sGKTXisrqOoZ-6EyvLzY/edit"",""12!e44"")"),0)</f>
        <v>0</v>
      </c>
      <c r="I308" s="18">
        <f t="shared" ca="1" si="837"/>
        <v>1113</v>
      </c>
      <c r="J308" s="18">
        <f ca="1">IFERROR(__xludf.DUMMYFUNCTION("IMPORTRANGE(""https://docs.google.com/spreadsheets/d/1uVc-vnTn57HE53lwrUYNZP4sGKTXisrqOoZ-6EyvLzY/edit"",""12!e47"")"),2382)</f>
        <v>2382</v>
      </c>
      <c r="K308" s="18">
        <f ca="1">IFERROR(__xludf.DUMMYFUNCTION("IMPORTRANGE(""https://docs.google.com/spreadsheets/d/1uVc-vnTn57HE53lwrUYNZP4sGKTXisrqOoZ-6EyvLzY/edit"",""12!e48"")"),0)</f>
        <v>0</v>
      </c>
      <c r="L308" s="18">
        <f t="shared" ca="1" si="838"/>
        <v>2382</v>
      </c>
      <c r="M308" s="18">
        <f t="shared" ca="1" si="839"/>
        <v>3495</v>
      </c>
      <c r="N308" s="19">
        <f t="shared" ca="1" si="840"/>
        <v>195.20999999999964</v>
      </c>
      <c r="O308" s="16">
        <v>6853</v>
      </c>
      <c r="P308" s="20">
        <f t="shared" ca="1" si="841"/>
        <v>0.50999562235517293</v>
      </c>
      <c r="Q308" s="21">
        <v>1.5</v>
      </c>
      <c r="R308" s="20">
        <f t="shared" ca="1" si="842"/>
        <v>0.42628085504987379</v>
      </c>
      <c r="S308" s="22">
        <f t="shared" ca="1" si="843"/>
        <v>0.63942128257481068</v>
      </c>
      <c r="T308" s="21">
        <f ca="1">F308/33.74</f>
        <v>161.99999999999969</v>
      </c>
      <c r="U308" s="21">
        <f t="shared" ca="1" si="844"/>
        <v>5.7857142857142749</v>
      </c>
      <c r="V308" s="18">
        <f t="shared" ca="1" si="845"/>
        <v>124.82142857142857</v>
      </c>
      <c r="W308" s="76"/>
      <c r="X308" s="1" t="s">
        <v>2</v>
      </c>
      <c r="Y308" s="1" t="s">
        <v>3</v>
      </c>
      <c r="Z308" s="1" t="s">
        <v>4</v>
      </c>
      <c r="AA308" s="1" t="s">
        <v>5</v>
      </c>
      <c r="AB308" s="2" t="s">
        <v>6</v>
      </c>
      <c r="AC308" s="1" t="s">
        <v>7</v>
      </c>
      <c r="AD308" s="1" t="s">
        <v>8</v>
      </c>
      <c r="AE308" s="1" t="s">
        <v>9</v>
      </c>
      <c r="AF308" s="1" t="s">
        <v>10</v>
      </c>
      <c r="AG308" s="1" t="s">
        <v>11</v>
      </c>
      <c r="AH308" s="1" t="s">
        <v>12</v>
      </c>
      <c r="AI308" s="1" t="s">
        <v>13</v>
      </c>
      <c r="AJ308" s="2" t="s">
        <v>14</v>
      </c>
      <c r="AK308" s="1" t="s">
        <v>15</v>
      </c>
      <c r="AL308" s="1" t="s">
        <v>16</v>
      </c>
      <c r="AM308" s="3" t="s">
        <v>17</v>
      </c>
      <c r="AN308" s="4" t="s">
        <v>18</v>
      </c>
      <c r="AO308" s="5" t="s">
        <v>19</v>
      </c>
      <c r="AP308" s="6" t="s">
        <v>20</v>
      </c>
      <c r="AQ308" s="6" t="s">
        <v>21</v>
      </c>
      <c r="AR308" s="7" t="s">
        <v>22</v>
      </c>
      <c r="AS308" s="76"/>
      <c r="AT308" s="76"/>
    </row>
    <row r="309" spans="1:46" ht="15.75" customHeight="1" x14ac:dyDescent="0.25">
      <c r="A309" s="70"/>
      <c r="B309" s="16">
        <v>7</v>
      </c>
      <c r="C309" s="16" t="s">
        <v>24</v>
      </c>
      <c r="D309" s="17">
        <v>37</v>
      </c>
      <c r="E309" s="31">
        <f ca="1">IFERROR(__xludf.DUMMYFUNCTION("COUNT(IMPORTRANGE(""https://docs.google.com/spreadsheets/d/1iuPvivSypupo44l6GtmR-2qZ3za7cTk7KzsOVp_kv2c/edit"",""12!d2:d45""))"),36)</f>
        <v>36</v>
      </c>
      <c r="F309" s="32">
        <f ca="1">IFERROR(__xludf.DUMMYFUNCTION("SUM(IMPORTRANGE(""https://docs.google.com/spreadsheets/d/1iuPvivSypupo44l6GtmR-2qZ3za7cTk7KzsOVp_kv2c/edit"",""12!Q2:Q45""))"),6964.03199999999)</f>
        <v>6964.0319999999901</v>
      </c>
      <c r="G309" s="31">
        <f ca="1">IFERROR(__xludf.DUMMYFUNCTION("IMPORTRANGE(""https://docs.google.com/spreadsheets/d/1iuPvivSypupo44l6GtmR-2qZ3za7cTk7KzsOVp_kv2c/edit"",""12!e53"")"),804)</f>
        <v>804</v>
      </c>
      <c r="H309" s="31">
        <f ca="1">IFERROR(__xludf.DUMMYFUNCTION("IMPORTRANGE(""https://docs.google.com/spreadsheets/d/1iuPvivSypupo44l6GtmR-2qZ3za7cTk7KzsOVp_kv2c/edit"",""12!e54"")"),0)</f>
        <v>0</v>
      </c>
      <c r="I309" s="31">
        <f t="shared" ca="1" si="837"/>
        <v>804</v>
      </c>
      <c r="J309" s="31">
        <f ca="1">IFERROR(__xludf.DUMMYFUNCTION("IMPORTRANGE(""https://docs.google.com/spreadsheets/d/1iuPvivSypupo44l6GtmR-2qZ3za7cTk7KzsOVp_kv2c/edit"",""12!e57"")"),1222)</f>
        <v>1222</v>
      </c>
      <c r="K309" s="31">
        <f ca="1">IFERROR(__xludf.DUMMYFUNCTION("IMPORTRANGE(""https://docs.google.com/spreadsheets/d/1iuPvivSypupo44l6GtmR-2qZ3za7cTk7KzsOVp_kv2c/edit"",""12!e58"")"),3)</f>
        <v>3</v>
      </c>
      <c r="L309" s="18">
        <f t="shared" ca="1" si="838"/>
        <v>1225</v>
      </c>
      <c r="M309" s="18">
        <f t="shared" ca="1" si="839"/>
        <v>2029</v>
      </c>
      <c r="N309" s="19">
        <f t="shared" ca="1" si="840"/>
        <v>193.44533333333305</v>
      </c>
      <c r="O309" s="16">
        <v>1580</v>
      </c>
      <c r="P309" s="33">
        <f t="shared" ca="1" si="841"/>
        <v>1.2841772151898734</v>
      </c>
      <c r="Q309" s="21">
        <v>1.5</v>
      </c>
      <c r="R309" s="20">
        <f t="shared" ca="1" si="842"/>
        <v>0.19423613600090703</v>
      </c>
      <c r="S309" s="22">
        <f t="shared" ca="1" si="843"/>
        <v>0.29135420400136053</v>
      </c>
      <c r="T309" s="21">
        <f ca="1">F309/26.805</f>
        <v>259.8034695019582</v>
      </c>
      <c r="U309" s="21">
        <f t="shared" ca="1" si="844"/>
        <v>7.2167630417210615</v>
      </c>
      <c r="V309" s="18">
        <f t="shared" ca="1" si="845"/>
        <v>56.361111111111114</v>
      </c>
      <c r="W309" s="76"/>
      <c r="X309" s="8">
        <v>1</v>
      </c>
      <c r="Y309" s="8" t="s">
        <v>28</v>
      </c>
      <c r="Z309" s="8">
        <f t="shared" ref="Z309:AI309" si="856">SUM(D304)</f>
        <v>26</v>
      </c>
      <c r="AA309" s="9">
        <f t="shared" ca="1" si="856"/>
        <v>26</v>
      </c>
      <c r="AB309" s="11">
        <f t="shared" ca="1" si="856"/>
        <v>5138.4679999999898</v>
      </c>
      <c r="AC309" s="9">
        <f t="shared" ca="1" si="856"/>
        <v>1878</v>
      </c>
      <c r="AD309" s="9">
        <f t="shared" ca="1" si="856"/>
        <v>125</v>
      </c>
      <c r="AE309" s="9">
        <f t="shared" ca="1" si="856"/>
        <v>2003</v>
      </c>
      <c r="AF309" s="9">
        <f t="shared" ca="1" si="856"/>
        <v>1950</v>
      </c>
      <c r="AG309" s="9">
        <f t="shared" ca="1" si="856"/>
        <v>169</v>
      </c>
      <c r="AH309" s="9">
        <f t="shared" ca="1" si="856"/>
        <v>2119</v>
      </c>
      <c r="AI309" s="9">
        <f t="shared" ca="1" si="856"/>
        <v>4122</v>
      </c>
      <c r="AJ309" s="11">
        <f t="shared" ref="AJ309:AJ315" ca="1" si="857">AB309/AA309</f>
        <v>197.63338461538422</v>
      </c>
      <c r="AK309" s="8">
        <f t="shared" ref="AK309:AK310" si="858">SUM(O304)</f>
        <v>7315</v>
      </c>
      <c r="AL309" s="12">
        <f t="shared" ref="AL309:AL315" ca="1" si="859">AI309/AK309</f>
        <v>0.56349965823650039</v>
      </c>
      <c r="AM309" s="13">
        <f t="shared" ref="AM309:AM310" si="860">SUM(Q304)</f>
        <v>1.5</v>
      </c>
      <c r="AN309" s="12">
        <f t="shared" ref="AN309:AN315" ca="1" si="861">AO309/AM309</f>
        <v>0.53478974667157708</v>
      </c>
      <c r="AO309" s="14">
        <f t="shared" ref="AO309:AO315" ca="1" si="862">AI309/AB309</f>
        <v>0.80218462000736568</v>
      </c>
      <c r="AP309" s="13">
        <f t="shared" ref="AP309:AQ309" ca="1" si="863">SUM(T304)</f>
        <v>166.3096093471855</v>
      </c>
      <c r="AQ309" s="13">
        <f t="shared" ca="1" si="863"/>
        <v>6.3965234364302113</v>
      </c>
      <c r="AR309" s="9">
        <f t="shared" ref="AR309:AR315" ca="1" si="864">AI309/AA309</f>
        <v>158.53846153846155</v>
      </c>
      <c r="AS309" s="76"/>
      <c r="AT309" s="76"/>
    </row>
    <row r="310" spans="1:46" ht="15.75" customHeight="1" x14ac:dyDescent="0.25">
      <c r="A310" s="70"/>
      <c r="B310" s="16">
        <v>8</v>
      </c>
      <c r="C310" s="16" t="s">
        <v>25</v>
      </c>
      <c r="D310" s="34">
        <v>27</v>
      </c>
      <c r="E310" s="18">
        <f ca="1">IFERROR(__xludf.DUMMYFUNCTION("COUNT(IMPORTRANGE(""https://docs.google.com/spreadsheets/d/1sqWX7UerdR9KR_duBzDNfjwbPG-3hLgV1LiN2ZVZ6Js/edit"",""12!d2:D33""))"),24)</f>
        <v>24</v>
      </c>
      <c r="F310" s="23">
        <f ca="1">IFERROR(__xludf.DUMMYFUNCTION("SUM(IMPORTRANGE(""https://docs.google.com/spreadsheets/d/1sqWX7UerdR9KR_duBzDNfjwbPG-3hLgV1LiN2ZVZ6Js/edit"",""12!Q2:Q33""))"),4647.032)</f>
        <v>4647.0320000000002</v>
      </c>
      <c r="G310" s="18">
        <f ca="1">IFERROR(__xludf.DUMMYFUNCTION("IMPORTRANGE(""https://docs.google.com/spreadsheets/d/1sqWX7UerdR9KR_duBzDNfjwbPG-3hLgV1LiN2ZVZ6Js/edit"",""12!e40"")"),1648)</f>
        <v>1648</v>
      </c>
      <c r="H310" s="18">
        <f ca="1">IFERROR(__xludf.DUMMYFUNCTION("IMPORTRANGE(""https://docs.google.com/spreadsheets/d/1sqWX7UerdR9KR_duBzDNfjwbPG-3hLgV1LiN2ZVZ6Js/edit"",""12!e41"")"),315)</f>
        <v>315</v>
      </c>
      <c r="I310" s="18">
        <f t="shared" ca="1" si="837"/>
        <v>1963</v>
      </c>
      <c r="J310" s="18">
        <f ca="1">IFERROR(__xludf.DUMMYFUNCTION("IMPORTRANGE(""https://docs.google.com/spreadsheets/d/1sqWX7UerdR9KR_duBzDNfjwbPG-3hLgV1LiN2ZVZ6Js/edit"",""12!e44"")"),2814)</f>
        <v>2814</v>
      </c>
      <c r="K310" s="18">
        <f ca="1">IFERROR(__xludf.DUMMYFUNCTION("IMPORTRANGE(""https://docs.google.com/spreadsheets/d/1sqWX7UerdR9KR_duBzDNfjwbPG-3hLgV1LiN2ZVZ6Js/edit"",""12!e45"")"),205)</f>
        <v>205</v>
      </c>
      <c r="L310" s="18">
        <f ca="1">J310+K310</f>
        <v>3019</v>
      </c>
      <c r="M310" s="18">
        <f t="shared" ca="1" si="839"/>
        <v>4982</v>
      </c>
      <c r="N310" s="19">
        <f t="shared" ca="1" si="840"/>
        <v>193.62633333333335</v>
      </c>
      <c r="O310" s="16">
        <v>6622</v>
      </c>
      <c r="P310" s="20">
        <f t="shared" ca="1" si="841"/>
        <v>0.75234068257324072</v>
      </c>
      <c r="Q310" s="21">
        <v>1.5</v>
      </c>
      <c r="R310" s="20">
        <f t="shared" ca="1" si="842"/>
        <v>0.71472142505868985</v>
      </c>
      <c r="S310" s="22">
        <f t="shared" ca="1" si="843"/>
        <v>1.0720821375880347</v>
      </c>
      <c r="T310" s="21">
        <f ca="1">F310/23.84</f>
        <v>194.92583892617449</v>
      </c>
      <c r="U310" s="21">
        <f t="shared" ca="1" si="844"/>
        <v>8.1219099552572711</v>
      </c>
      <c r="V310" s="18">
        <f t="shared" ca="1" si="845"/>
        <v>207.58333333333334</v>
      </c>
      <c r="W310" s="76"/>
      <c r="X310" s="8">
        <v>2</v>
      </c>
      <c r="Y310" s="8" t="s">
        <v>30</v>
      </c>
      <c r="Z310" s="8">
        <f t="shared" ref="Z310:AI310" si="865">SUM(D305)</f>
        <v>48</v>
      </c>
      <c r="AA310" s="9">
        <f t="shared" ca="1" si="865"/>
        <v>48</v>
      </c>
      <c r="AB310" s="10">
        <f t="shared" ca="1" si="865"/>
        <v>9426.4529999999904</v>
      </c>
      <c r="AC310" s="9">
        <f t="shared" ca="1" si="865"/>
        <v>2313</v>
      </c>
      <c r="AD310" s="9">
        <f t="shared" ca="1" si="865"/>
        <v>56</v>
      </c>
      <c r="AE310" s="9">
        <f t="shared" ca="1" si="865"/>
        <v>2369</v>
      </c>
      <c r="AF310" s="9">
        <f t="shared" ca="1" si="865"/>
        <v>4599</v>
      </c>
      <c r="AG310" s="9">
        <f t="shared" ca="1" si="865"/>
        <v>20</v>
      </c>
      <c r="AH310" s="9">
        <f t="shared" ca="1" si="865"/>
        <v>4619</v>
      </c>
      <c r="AI310" s="9">
        <f t="shared" ca="1" si="865"/>
        <v>6988</v>
      </c>
      <c r="AJ310" s="11">
        <f t="shared" ca="1" si="857"/>
        <v>196.38443749999979</v>
      </c>
      <c r="AK310" s="8">
        <f t="shared" si="858"/>
        <v>11164</v>
      </c>
      <c r="AL310" s="12">
        <f t="shared" ca="1" si="859"/>
        <v>0.62594052310999637</v>
      </c>
      <c r="AM310" s="13">
        <f t="shared" si="860"/>
        <v>1.5</v>
      </c>
      <c r="AN310" s="12">
        <f t="shared" ca="1" si="861"/>
        <v>0.49421205056309847</v>
      </c>
      <c r="AO310" s="14">
        <f t="shared" ca="1" si="862"/>
        <v>0.74131807584464771</v>
      </c>
      <c r="AP310" s="13">
        <f t="shared" ref="AP310:AQ310" ca="1" si="866">SUM(T305)</f>
        <v>318.42897679289229</v>
      </c>
      <c r="AQ310" s="13">
        <f t="shared" ca="1" si="866"/>
        <v>6.6339370165185896</v>
      </c>
      <c r="AR310" s="9">
        <f t="shared" ca="1" si="864"/>
        <v>145.58333333333334</v>
      </c>
      <c r="AS310" s="76"/>
      <c r="AT310" s="76"/>
    </row>
    <row r="311" spans="1:46" ht="15.75" customHeight="1" x14ac:dyDescent="0.25">
      <c r="A311" s="70"/>
      <c r="B311" s="16">
        <v>9</v>
      </c>
      <c r="C311" s="16" t="s">
        <v>36</v>
      </c>
      <c r="D311" s="34">
        <v>24</v>
      </c>
      <c r="E311" s="18">
        <f ca="1">IFERROR(__xludf.DUMMYFUNCTION("COUNT(IMPORTRANGE(""https://docs.google.com/spreadsheets/d/1YNna43iTSqnwwbMJgTIPHSJEoDO8RGPRFg5pJCoQR_Y/edit"",""12!d2:d31""))"),24)</f>
        <v>24</v>
      </c>
      <c r="F311" s="23">
        <f ca="1">IFERROR(__xludf.DUMMYFUNCTION("SUM(IMPORTRANGE(""https://docs.google.com/spreadsheets/d/1YNna43iTSqnwwbMJgTIPHSJEoDO8RGPRFg5pJCoQR_Y/edit"",""12!Q2:Q31""))"),4709.376)</f>
        <v>4709.3760000000002</v>
      </c>
      <c r="G311" s="18">
        <f ca="1">IFERROR(__xludf.DUMMYFUNCTION("IMPORTRANGE(""https://docs.google.com/spreadsheets/d/1YNna43iTSqnwwbMJgTIPHSJEoDO8RGPRFg5pJCoQR_Y/edit"",""12!e38"")"),1117)</f>
        <v>1117</v>
      </c>
      <c r="H311" s="18">
        <f ca="1">IFERROR(__xludf.DUMMYFUNCTION("IMPORTRANGE(""https://docs.google.com/spreadsheets/d/1YNna43iTSqnwwbMJgTIPHSJEoDO8RGPRFg5pJCoQR_Y/edit"",""12!e39"")"),0)</f>
        <v>0</v>
      </c>
      <c r="I311" s="18">
        <f t="shared" ca="1" si="837"/>
        <v>1117</v>
      </c>
      <c r="J311" s="18">
        <f ca="1">IFERROR(__xludf.DUMMYFUNCTION("IMPORTRANGE(""https://docs.google.com/spreadsheets/d/1YNna43iTSqnwwbMJgTIPHSJEoDO8RGPRFg5pJCoQR_Y/edit"",""12!e42"")"),1714)</f>
        <v>1714</v>
      </c>
      <c r="K311" s="18">
        <f ca="1">IFERROR(__xludf.DUMMYFUNCTION("IMPORTRANGE(""https://docs.google.com/spreadsheets/d/1YNna43iTSqnwwbMJgTIPHSJEoDO8RGPRFg5pJCoQR_Y/edit"",""12!e43"")"),0)</f>
        <v>0</v>
      </c>
      <c r="L311" s="18">
        <f t="shared" ref="L311:L320" ca="1" si="867">SUM(J311:K311)</f>
        <v>1714</v>
      </c>
      <c r="M311" s="18">
        <f t="shared" ca="1" si="839"/>
        <v>2831</v>
      </c>
      <c r="N311" s="19">
        <f t="shared" ca="1" si="840"/>
        <v>196.22400000000002</v>
      </c>
      <c r="O311" s="16">
        <v>4796</v>
      </c>
      <c r="P311" s="20">
        <f t="shared" ca="1" si="841"/>
        <v>0.59028356964136786</v>
      </c>
      <c r="Q311" s="21">
        <v>1.5</v>
      </c>
      <c r="R311" s="20">
        <f t="shared" ca="1" si="842"/>
        <v>0.40076080850909618</v>
      </c>
      <c r="S311" s="22">
        <f t="shared" ca="1" si="843"/>
        <v>0.60114121276364429</v>
      </c>
      <c r="T311" s="21">
        <f ca="1">F311/37.414</f>
        <v>125.87202651413909</v>
      </c>
      <c r="U311" s="21">
        <f t="shared" ca="1" si="844"/>
        <v>5.2446677714224625</v>
      </c>
      <c r="V311" s="18">
        <f t="shared" ca="1" si="845"/>
        <v>117.95833333333333</v>
      </c>
      <c r="W311" s="76"/>
      <c r="X311" s="8">
        <v>3</v>
      </c>
      <c r="Y311" s="8" t="s">
        <v>34</v>
      </c>
      <c r="Z311" s="8">
        <f t="shared" ref="Z311:AI311" si="868">SUM(D307)</f>
        <v>32</v>
      </c>
      <c r="AA311" s="9">
        <f t="shared" ca="1" si="868"/>
        <v>32</v>
      </c>
      <c r="AB311" s="10">
        <f t="shared" ca="1" si="868"/>
        <v>6021.6270000000004</v>
      </c>
      <c r="AC311" s="9">
        <f t="shared" ca="1" si="868"/>
        <v>1865</v>
      </c>
      <c r="AD311" s="9">
        <f t="shared" ca="1" si="868"/>
        <v>0</v>
      </c>
      <c r="AE311" s="9">
        <f t="shared" ca="1" si="868"/>
        <v>1865</v>
      </c>
      <c r="AF311" s="9">
        <f t="shared" ca="1" si="868"/>
        <v>2467</v>
      </c>
      <c r="AG311" s="9">
        <f t="shared" ca="1" si="868"/>
        <v>0</v>
      </c>
      <c r="AH311" s="9">
        <f t="shared" ca="1" si="868"/>
        <v>2467</v>
      </c>
      <c r="AI311" s="9">
        <f t="shared" ca="1" si="868"/>
        <v>4332</v>
      </c>
      <c r="AJ311" s="11">
        <f t="shared" ca="1" si="857"/>
        <v>188.17584375000001</v>
      </c>
      <c r="AK311" s="8">
        <f>SUM(O307)</f>
        <v>9354</v>
      </c>
      <c r="AL311" s="12">
        <f t="shared" ca="1" si="859"/>
        <v>0.46311738293778065</v>
      </c>
      <c r="AM311" s="13">
        <f>SUM(Q307)</f>
        <v>1.5</v>
      </c>
      <c r="AN311" s="12">
        <f t="shared" ca="1" si="861"/>
        <v>0.47960459855783161</v>
      </c>
      <c r="AO311" s="14">
        <f t="shared" ca="1" si="862"/>
        <v>0.71940689783674738</v>
      </c>
      <c r="AP311" s="13">
        <f t="shared" ref="AP311:AQ311" ca="1" si="869">SUM(T307)</f>
        <v>196.06117930518022</v>
      </c>
      <c r="AQ311" s="13">
        <f t="shared" ca="1" si="869"/>
        <v>6.1269118532868818</v>
      </c>
      <c r="AR311" s="9">
        <f t="shared" ca="1" si="864"/>
        <v>135.375</v>
      </c>
      <c r="AS311" s="76"/>
      <c r="AT311" s="76"/>
    </row>
    <row r="312" spans="1:46" ht="15.75" customHeight="1" x14ac:dyDescent="0.25">
      <c r="A312" s="70"/>
      <c r="B312" s="16">
        <v>10</v>
      </c>
      <c r="C312" s="16" t="s">
        <v>37</v>
      </c>
      <c r="D312" s="17">
        <v>24</v>
      </c>
      <c r="E312" s="18">
        <f ca="1">IFERROR(__xludf.DUMMYFUNCTION("COUNT(IMPORTRANGE(""https://docs.google.com/spreadsheets/d/1913Df5BsXS_b-nClL8LOK5w0engQYTl1mPOiyngRtO0/edit"",""12!d2:d31""))"),23)</f>
        <v>23</v>
      </c>
      <c r="F312" s="23">
        <f ca="1">IFERROR(__xludf.DUMMYFUNCTION("SUM(IMPORTRANGE(""https://docs.google.com/spreadsheets/d/1913Df5BsXS_b-nClL8LOK5w0engQYTl1mPOiyngRtO0/edit"",""12!Q2:Q31""))"),4583.89799999999)</f>
        <v>4583.8979999999901</v>
      </c>
      <c r="G312" s="18">
        <f ca="1">IFERROR(__xludf.DUMMYFUNCTION("(IMPORTRANGE(""https://docs.google.com/spreadsheets/d/1913Df5BsXS_b-nClL8LOK5w0engQYTl1mPOiyngRtO0/edit"",""12!e38""))"),1428)</f>
        <v>1428</v>
      </c>
      <c r="H312" s="18">
        <f ca="1">IFERROR(__xludf.DUMMYFUNCTION("(IMPORTRANGE(""https://docs.google.com/spreadsheets/d/1913Df5BsXS_b-nClL8LOK5w0engQYTl1mPOiyngRtO0/edit"",""12!e39""))"),0)</f>
        <v>0</v>
      </c>
      <c r="I312" s="18">
        <f t="shared" ca="1" si="837"/>
        <v>1428</v>
      </c>
      <c r="J312" s="18">
        <f ca="1">IFERROR(__xludf.DUMMYFUNCTION("(IMPORTRANGE(""https://docs.google.com/spreadsheets/d/1913Df5BsXS_b-nClL8LOK5w0engQYTl1mPOiyngRtO0/edit"",""12!e42""))"),2405)</f>
        <v>2405</v>
      </c>
      <c r="K312" s="18">
        <f ca="1">IFERROR(__xludf.DUMMYFUNCTION("(IMPORTRANGE(""https://docs.google.com/spreadsheets/d/1913Df5BsXS_b-nClL8LOK5w0engQYTl1mPOiyngRtO0/edit"",""12!e43""))"),0)</f>
        <v>0</v>
      </c>
      <c r="L312" s="18">
        <f t="shared" ca="1" si="867"/>
        <v>2405</v>
      </c>
      <c r="M312" s="18">
        <f t="shared" ca="1" si="839"/>
        <v>3833</v>
      </c>
      <c r="N312" s="19">
        <f t="shared" ca="1" si="840"/>
        <v>199.29991304347783</v>
      </c>
      <c r="O312" s="16">
        <v>5887</v>
      </c>
      <c r="P312" s="20">
        <f t="shared" ca="1" si="841"/>
        <v>0.65109563444878549</v>
      </c>
      <c r="Q312" s="21">
        <v>1.5</v>
      </c>
      <c r="R312" s="20">
        <f t="shared" ca="1" si="842"/>
        <v>0.55745859382851426</v>
      </c>
      <c r="S312" s="22">
        <f t="shared" ca="1" si="843"/>
        <v>0.83618789074277133</v>
      </c>
      <c r="T312" s="21">
        <f ca="1">F312/24.792</f>
        <v>184.89424007744392</v>
      </c>
      <c r="U312" s="21">
        <f t="shared" ca="1" si="844"/>
        <v>8.0388800033671277</v>
      </c>
      <c r="V312" s="18">
        <f t="shared" ca="1" si="845"/>
        <v>166.65217391304347</v>
      </c>
      <c r="W312" s="76"/>
      <c r="X312" s="8">
        <v>4</v>
      </c>
      <c r="Y312" s="8" t="s">
        <v>38</v>
      </c>
      <c r="Z312" s="8">
        <f t="shared" ref="Z312:AI312" si="870">SUM(D315)</f>
        <v>24</v>
      </c>
      <c r="AA312" s="9">
        <f t="shared" ca="1" si="870"/>
        <v>23</v>
      </c>
      <c r="AB312" s="10">
        <f t="shared" ca="1" si="870"/>
        <v>4574.7860000000001</v>
      </c>
      <c r="AC312" s="9">
        <f t="shared" ca="1" si="870"/>
        <v>1413</v>
      </c>
      <c r="AD312" s="9">
        <f t="shared" ca="1" si="870"/>
        <v>95</v>
      </c>
      <c r="AE312" s="9">
        <f t="shared" ca="1" si="870"/>
        <v>1508</v>
      </c>
      <c r="AF312" s="9">
        <f t="shared" ca="1" si="870"/>
        <v>1945</v>
      </c>
      <c r="AG312" s="9">
        <f t="shared" ca="1" si="870"/>
        <v>35</v>
      </c>
      <c r="AH312" s="9">
        <f t="shared" ca="1" si="870"/>
        <v>1980</v>
      </c>
      <c r="AI312" s="9">
        <f t="shared" ca="1" si="870"/>
        <v>3488</v>
      </c>
      <c r="AJ312" s="11">
        <f t="shared" ca="1" si="857"/>
        <v>198.90373913043479</v>
      </c>
      <c r="AK312" s="8">
        <v>7324</v>
      </c>
      <c r="AL312" s="12">
        <f t="shared" ca="1" si="859"/>
        <v>0.47624249044238121</v>
      </c>
      <c r="AM312" s="13">
        <f>SUM(Q315)</f>
        <v>1.5</v>
      </c>
      <c r="AN312" s="12">
        <f t="shared" ca="1" si="861"/>
        <v>0.50829335696431122</v>
      </c>
      <c r="AO312" s="14">
        <f t="shared" ca="1" si="862"/>
        <v>0.76244003544646677</v>
      </c>
      <c r="AP312" s="13">
        <f t="shared" ref="AP312:AQ312" ca="1" si="871">SUM(T315)</f>
        <v>111.02502123528699</v>
      </c>
      <c r="AQ312" s="13">
        <f t="shared" ca="1" si="871"/>
        <v>4.8271748363168259</v>
      </c>
      <c r="AR312" s="9">
        <f t="shared" ca="1" si="864"/>
        <v>151.65217391304347</v>
      </c>
      <c r="AS312" s="76"/>
      <c r="AT312" s="76"/>
    </row>
    <row r="313" spans="1:46" ht="15.75" customHeight="1" x14ac:dyDescent="0.25">
      <c r="A313" s="70"/>
      <c r="B313" s="16">
        <v>12</v>
      </c>
      <c r="C313" s="16" t="s">
        <v>39</v>
      </c>
      <c r="D313" s="17">
        <v>22</v>
      </c>
      <c r="E313" s="18">
        <f ca="1">IFERROR(__xludf.DUMMYFUNCTION("COUNT(IMPORTRANGE(""https://docs.google.com/spreadsheets/d/1wMeol_MpSIcocGxt3WZGl46mJ2tc80mANPvP_YzaP18/edit"",""12!d2:d29""))"),22)</f>
        <v>22</v>
      </c>
      <c r="F313" s="23">
        <f ca="1">IFERROR(__xludf.DUMMYFUNCTION("SUM(IMPORTRANGE(""https://docs.google.com/spreadsheets/d/1wMeol_MpSIcocGxt3WZGl46mJ2tc80mANPvP_YzaP18/edit"",""12!Q2:Q29""))"),4405.37199999999)</f>
        <v>4405.3719999999903</v>
      </c>
      <c r="G313" s="18">
        <f ca="1">IFERROR(__xludf.DUMMYFUNCTION("IMPORTRANGE(""https://docs.google.com/spreadsheets/d/1wMeol_MpSIcocGxt3WZGl46mJ2tc80mANPvP_YzaP18/edit"",""12!e36"")"),1051)</f>
        <v>1051</v>
      </c>
      <c r="H313" s="18">
        <f ca="1">IFERROR(__xludf.DUMMYFUNCTION("(IMPORTRANGE(""https://docs.google.com/spreadsheets/d/1wMeol_MpSIcocGxt3WZGl46mJ2tc80mANPvP_YzaP18/edit"",""12!e37""))"),14)</f>
        <v>14</v>
      </c>
      <c r="I313" s="18">
        <f t="shared" ca="1" si="837"/>
        <v>1065</v>
      </c>
      <c r="J313" s="18">
        <f ca="1">IFERROR(__xludf.DUMMYFUNCTION("IMPORTRANGE(""https://docs.google.com/spreadsheets/d/1wMeol_MpSIcocGxt3WZGl46mJ2tc80mANPvP_YzaP18/edit"",""12!e40"")"),2016)</f>
        <v>2016</v>
      </c>
      <c r="K313" s="18">
        <f ca="1">IFERROR(__xludf.DUMMYFUNCTION("IMPORTRANGE(""https://docs.google.com/spreadsheets/d/1wMeol_MpSIcocGxt3WZGl46mJ2tc80mANPvP_YzaP18/edit"",""12!e41"")"),0)</f>
        <v>0</v>
      </c>
      <c r="L313" s="18">
        <f t="shared" ca="1" si="867"/>
        <v>2016</v>
      </c>
      <c r="M313" s="18">
        <f t="shared" ca="1" si="839"/>
        <v>3081</v>
      </c>
      <c r="N313" s="19">
        <f t="shared" ca="1" si="840"/>
        <v>200.24418181818137</v>
      </c>
      <c r="O313" s="16">
        <v>3569</v>
      </c>
      <c r="P313" s="20">
        <f t="shared" ca="1" si="841"/>
        <v>0.86326702157467072</v>
      </c>
      <c r="Q313" s="21">
        <v>1.5</v>
      </c>
      <c r="R313" s="20">
        <f t="shared" ca="1" si="842"/>
        <v>0.46624893425572339</v>
      </c>
      <c r="S313" s="22">
        <f t="shared" ca="1" si="843"/>
        <v>0.69937340138358506</v>
      </c>
      <c r="T313" s="21">
        <f ca="1">F313/21.463</f>
        <v>205.25425150258539</v>
      </c>
      <c r="U313" s="21">
        <f t="shared" ca="1" si="844"/>
        <v>9.3297387046629723</v>
      </c>
      <c r="V313" s="18">
        <f t="shared" ca="1" si="845"/>
        <v>140.04545454545453</v>
      </c>
      <c r="W313" s="76"/>
      <c r="X313" s="8">
        <v>5</v>
      </c>
      <c r="Y313" s="8" t="s">
        <v>40</v>
      </c>
      <c r="Z313" s="8">
        <f t="shared" ref="Z313:AI313" si="872">SUM(D317)</f>
        <v>24</v>
      </c>
      <c r="AA313" s="9">
        <f t="shared" ca="1" si="872"/>
        <v>23</v>
      </c>
      <c r="AB313" s="10">
        <f t="shared" ca="1" si="872"/>
        <v>4480.4390000000003</v>
      </c>
      <c r="AC313" s="9">
        <f t="shared" ca="1" si="872"/>
        <v>2524</v>
      </c>
      <c r="AD313" s="9">
        <f t="shared" ca="1" si="872"/>
        <v>38</v>
      </c>
      <c r="AE313" s="9">
        <f t="shared" ca="1" si="872"/>
        <v>2562</v>
      </c>
      <c r="AF313" s="9">
        <f t="shared" ca="1" si="872"/>
        <v>3118</v>
      </c>
      <c r="AG313" s="9">
        <f t="shared" ca="1" si="872"/>
        <v>0</v>
      </c>
      <c r="AH313" s="9">
        <f t="shared" ca="1" si="872"/>
        <v>3118</v>
      </c>
      <c r="AI313" s="9">
        <f t="shared" ca="1" si="872"/>
        <v>5680</v>
      </c>
      <c r="AJ313" s="11">
        <f t="shared" ca="1" si="857"/>
        <v>194.80169565217392</v>
      </c>
      <c r="AK313" s="8">
        <f t="shared" ref="AK313:AK314" si="873">SUM(O317)</f>
        <v>8239</v>
      </c>
      <c r="AL313" s="12">
        <f t="shared" ca="1" si="859"/>
        <v>0.68940405389003523</v>
      </c>
      <c r="AM313" s="13">
        <f t="shared" ref="AM313:AM314" si="874">SUM(Q317)</f>
        <v>1.5</v>
      </c>
      <c r="AN313" s="12">
        <f t="shared" ca="1" si="861"/>
        <v>0.84515527756692288</v>
      </c>
      <c r="AO313" s="14">
        <f t="shared" ca="1" si="862"/>
        <v>1.2677329163503843</v>
      </c>
      <c r="AP313" s="13">
        <f t="shared" ref="AP313:AQ313" ca="1" si="875">SUM(T317)</f>
        <v>157.52343283057343</v>
      </c>
      <c r="AQ313" s="13">
        <f t="shared" ca="1" si="875"/>
        <v>6.8488449056771055</v>
      </c>
      <c r="AR313" s="9">
        <f t="shared" ca="1" si="864"/>
        <v>246.95652173913044</v>
      </c>
      <c r="AS313" s="76"/>
      <c r="AT313" s="76"/>
    </row>
    <row r="314" spans="1:46" ht="15.75" customHeight="1" x14ac:dyDescent="0.25">
      <c r="A314" s="70"/>
      <c r="B314" s="16">
        <v>12</v>
      </c>
      <c r="C314" s="16" t="s">
        <v>41</v>
      </c>
      <c r="D314" s="17">
        <v>20</v>
      </c>
      <c r="E314" s="18">
        <f ca="1">IFERROR(__xludf.DUMMYFUNCTION("COUNT(IMPORTRANGE(""https://docs.google.com/spreadsheets/d/1sHk6_yuc4kORC_xnhEeazoemV_hVUQVqRpfoNae-PLk/edit"",""12!d2:d25""))"),20)</f>
        <v>20</v>
      </c>
      <c r="F314" s="23">
        <f ca="1">IFERROR(__xludf.DUMMYFUNCTION("SUM(IMPORTRANGE(""https://docs.google.com/spreadsheets/d/1sHk6_yuc4kORC_xnhEeazoemV_hVUQVqRpfoNae-PLk/edit"",""12!Q2:Q25""))"),3815.428)</f>
        <v>3815.4279999999999</v>
      </c>
      <c r="G314" s="18">
        <f ca="1">IFERROR(__xludf.DUMMYFUNCTION("IMPORTRANGE(""https://docs.google.com/spreadsheets/d/1sHk6_yuc4kORC_xnhEeazoemV_hVUQVqRpfoNae-PLk/edit"",""12!e32"")"),901)</f>
        <v>901</v>
      </c>
      <c r="H314" s="18">
        <f ca="1">IFERROR(__xludf.DUMMYFUNCTION("IMPORTRANGE(""https://docs.google.com/spreadsheets/d/1sHk6_yuc4kORC_xnhEeazoemV_hVUQVqRpfoNae-PLk/edit"",""12!e33"")"),0)</f>
        <v>0</v>
      </c>
      <c r="I314" s="18">
        <f t="shared" ca="1" si="837"/>
        <v>901</v>
      </c>
      <c r="J314" s="18">
        <f ca="1">IFERROR(__xludf.DUMMYFUNCTION("IMPORTRANGE(""https://docs.google.com/spreadsheets/d/1sHk6_yuc4kORC_xnhEeazoemV_hVUQVqRpfoNae-PLk/edit"",""12!e36"")"),1460)</f>
        <v>1460</v>
      </c>
      <c r="K314" s="18">
        <f ca="1">IFERROR(__xludf.DUMMYFUNCTION("IMPORTRANGE(""https://docs.google.com/spreadsheets/d/1sHk6_yuc4kORC_xnhEeazoemV_hVUQVqRpfoNae-PLk/edit"",""12!e37"")"),0)</f>
        <v>0</v>
      </c>
      <c r="L314" s="18">
        <f t="shared" ca="1" si="867"/>
        <v>1460</v>
      </c>
      <c r="M314" s="18">
        <f t="shared" ca="1" si="839"/>
        <v>2361</v>
      </c>
      <c r="N314" s="19">
        <f t="shared" ca="1" si="840"/>
        <v>190.7714</v>
      </c>
      <c r="O314" s="16">
        <v>3801</v>
      </c>
      <c r="P314" s="20">
        <f t="shared" ca="1" si="841"/>
        <v>0.62115232833464873</v>
      </c>
      <c r="Q314" s="21">
        <v>1.5</v>
      </c>
      <c r="R314" s="20">
        <f t="shared" ca="1" si="842"/>
        <v>0.41253563165128532</v>
      </c>
      <c r="S314" s="22">
        <f t="shared" ca="1" si="843"/>
        <v>0.61880344747692795</v>
      </c>
      <c r="T314" s="21">
        <f ca="1">F314/29.628</f>
        <v>128.77777777777777</v>
      </c>
      <c r="U314" s="21">
        <f t="shared" ca="1" si="844"/>
        <v>6.4388888888888882</v>
      </c>
      <c r="V314" s="18">
        <f t="shared" ca="1" si="845"/>
        <v>118.05</v>
      </c>
      <c r="W314" s="76"/>
      <c r="X314" s="8">
        <v>6</v>
      </c>
      <c r="Y314" s="8" t="s">
        <v>42</v>
      </c>
      <c r="Z314" s="8">
        <f t="shared" ref="Z314:AI314" si="876">SUM(D318)</f>
        <v>26</v>
      </c>
      <c r="AA314" s="9">
        <f t="shared" ca="1" si="876"/>
        <v>26</v>
      </c>
      <c r="AB314" s="10">
        <f t="shared" ca="1" si="876"/>
        <v>4866.3679999999904</v>
      </c>
      <c r="AC314" s="9">
        <f t="shared" ca="1" si="876"/>
        <v>2462</v>
      </c>
      <c r="AD314" s="9">
        <f t="shared" ca="1" si="876"/>
        <v>95</v>
      </c>
      <c r="AE314" s="9">
        <f t="shared" ca="1" si="876"/>
        <v>2557</v>
      </c>
      <c r="AF314" s="9">
        <f t="shared" ca="1" si="876"/>
        <v>3361</v>
      </c>
      <c r="AG314" s="9">
        <f t="shared" ca="1" si="876"/>
        <v>80</v>
      </c>
      <c r="AH314" s="9">
        <f t="shared" ca="1" si="876"/>
        <v>3441</v>
      </c>
      <c r="AI314" s="9">
        <f t="shared" ca="1" si="876"/>
        <v>5998</v>
      </c>
      <c r="AJ314" s="11">
        <f t="shared" ca="1" si="857"/>
        <v>187.16799999999964</v>
      </c>
      <c r="AK314" s="8">
        <f t="shared" si="873"/>
        <v>9877</v>
      </c>
      <c r="AL314" s="12">
        <f t="shared" ca="1" si="859"/>
        <v>0.60726941378961219</v>
      </c>
      <c r="AM314" s="13">
        <f t="shared" si="874"/>
        <v>1.5</v>
      </c>
      <c r="AN314" s="12">
        <f t="shared" ca="1" si="861"/>
        <v>0.82169426288079217</v>
      </c>
      <c r="AO314" s="14">
        <f t="shared" ca="1" si="862"/>
        <v>1.2325413943211883</v>
      </c>
      <c r="AP314" s="13">
        <f t="shared" ref="AP314:AQ314" ca="1" si="877">SUM(T318)</f>
        <v>186.05880328808985</v>
      </c>
      <c r="AQ314" s="13">
        <f t="shared" ca="1" si="877"/>
        <v>7.1561078187726865</v>
      </c>
      <c r="AR314" s="9">
        <f t="shared" ca="1" si="864"/>
        <v>230.69230769230768</v>
      </c>
      <c r="AS314" s="76"/>
      <c r="AT314" s="76"/>
    </row>
    <row r="315" spans="1:46" ht="15.75" customHeight="1" x14ac:dyDescent="0.25">
      <c r="A315" s="70"/>
      <c r="B315" s="16">
        <v>13</v>
      </c>
      <c r="C315" s="16" t="s">
        <v>43</v>
      </c>
      <c r="D315" s="17">
        <v>24</v>
      </c>
      <c r="E315" s="18">
        <f ca="1">IFERROR(__xludf.DUMMYFUNCTION("COUNT(IMPORTRANGE(""https://docs.google.com/spreadsheets/d/1uGXvAN2jA6kmcEHUY4KqOHHewllZsujDdA6KVDfBCoA/edit"",""12!d2:d31""))"),23)</f>
        <v>23</v>
      </c>
      <c r="F315" s="23">
        <f ca="1">IFERROR(__xludf.DUMMYFUNCTION("SUM(IMPORTRANGE(""https://docs.google.com/spreadsheets/d/1uGXvAN2jA6kmcEHUY4KqOHHewllZsujDdA6KVDfBCoA/edit"",""12!Q2:Q31""))"),4574.786)</f>
        <v>4574.7860000000001</v>
      </c>
      <c r="G315" s="18">
        <f ca="1">IFERROR(__xludf.DUMMYFUNCTION("IMPORTRANGE(""https://docs.google.com/spreadsheets/d/1uGXvAN2jA6kmcEHUY4KqOHHewllZsujDdA6KVDfBCoA/edit"",""12!e38"")"),1413)</f>
        <v>1413</v>
      </c>
      <c r="H315" s="18">
        <f ca="1">IFERROR(__xludf.DUMMYFUNCTION("IMPORTRANGE(""https://docs.google.com/spreadsheets/d/1uGXvAN2jA6kmcEHUY4KqOHHewllZsujDdA6KVDfBCoA/edit"",""12!e39"")"),95)</f>
        <v>95</v>
      </c>
      <c r="I315" s="18">
        <f t="shared" ca="1" si="837"/>
        <v>1508</v>
      </c>
      <c r="J315" s="18">
        <f ca="1">IFERROR(__xludf.DUMMYFUNCTION("IMPORTRANGE(""https://docs.google.com/spreadsheets/d/1uGXvAN2jA6kmcEHUY4KqOHHewllZsujDdA6KVDfBCoA/edit"",""12!e42"")"),1945)</f>
        <v>1945</v>
      </c>
      <c r="K315" s="18">
        <f ca="1">IFERROR(__xludf.DUMMYFUNCTION("IMPORTRANGE(""https://docs.google.com/spreadsheets/d/1uGXvAN2jA6kmcEHUY4KqOHHewllZsujDdA6KVDfBCoA/edit"",""12!e43"")"),35)</f>
        <v>35</v>
      </c>
      <c r="L315" s="18">
        <f t="shared" ca="1" si="867"/>
        <v>1980</v>
      </c>
      <c r="M315" s="18">
        <f t="shared" ca="1" si="839"/>
        <v>3488</v>
      </c>
      <c r="N315" s="19">
        <f t="shared" ca="1" si="840"/>
        <v>198.90373913043479</v>
      </c>
      <c r="O315" s="16">
        <v>8345</v>
      </c>
      <c r="P315" s="20">
        <f t="shared" ca="1" si="841"/>
        <v>0.41797483523067708</v>
      </c>
      <c r="Q315" s="21">
        <v>1.5</v>
      </c>
      <c r="R315" s="20">
        <f t="shared" ca="1" si="842"/>
        <v>0.50829335696431122</v>
      </c>
      <c r="S315" s="22">
        <f t="shared" ca="1" si="843"/>
        <v>0.76244003544646677</v>
      </c>
      <c r="T315" s="21">
        <f ca="1">F315/41.205</f>
        <v>111.02502123528699</v>
      </c>
      <c r="U315" s="21">
        <f t="shared" ca="1" si="844"/>
        <v>4.8271748363168259</v>
      </c>
      <c r="V315" s="18">
        <f t="shared" ca="1" si="845"/>
        <v>151.65217391304347</v>
      </c>
      <c r="W315" s="76"/>
      <c r="X315" s="24" t="s">
        <v>33</v>
      </c>
      <c r="Y315" s="24">
        <v>6</v>
      </c>
      <c r="Z315" s="24">
        <f t="shared" ref="Z315:AI315" si="878">SUM(Z309:Z314)</f>
        <v>180</v>
      </c>
      <c r="AA315" s="25">
        <f t="shared" ca="1" si="878"/>
        <v>178</v>
      </c>
      <c r="AB315" s="27">
        <f t="shared" ca="1" si="878"/>
        <v>34508.140999999967</v>
      </c>
      <c r="AC315" s="25">
        <f t="shared" ca="1" si="878"/>
        <v>12455</v>
      </c>
      <c r="AD315" s="25">
        <f t="shared" ca="1" si="878"/>
        <v>409</v>
      </c>
      <c r="AE315" s="25">
        <f t="shared" ca="1" si="878"/>
        <v>12864</v>
      </c>
      <c r="AF315" s="25">
        <f t="shared" ca="1" si="878"/>
        <v>17440</v>
      </c>
      <c r="AG315" s="25">
        <f t="shared" ca="1" si="878"/>
        <v>304</v>
      </c>
      <c r="AH315" s="25">
        <f t="shared" ca="1" si="878"/>
        <v>17744</v>
      </c>
      <c r="AI315" s="25">
        <f t="shared" ca="1" si="878"/>
        <v>30608</v>
      </c>
      <c r="AJ315" s="27">
        <f t="shared" ca="1" si="857"/>
        <v>193.86596067415712</v>
      </c>
      <c r="AK315" s="24">
        <f>SUM(AK309:AK314)</f>
        <v>53273</v>
      </c>
      <c r="AL315" s="28">
        <f t="shared" ca="1" si="859"/>
        <v>0.57454995964184485</v>
      </c>
      <c r="AM315" s="29">
        <v>1.5</v>
      </c>
      <c r="AN315" s="28">
        <f t="shared" ca="1" si="861"/>
        <v>0.59131940295866281</v>
      </c>
      <c r="AO315" s="30">
        <f t="shared" ca="1" si="862"/>
        <v>0.88697910443799421</v>
      </c>
      <c r="AP315" s="29">
        <f ca="1">SUM(AP309:AP314)</f>
        <v>1135.4070227992083</v>
      </c>
      <c r="AQ315" s="29">
        <f ca="1">AP315/AA315</f>
        <v>6.3786911393213952</v>
      </c>
      <c r="AR315" s="25">
        <f t="shared" ca="1" si="864"/>
        <v>171.95505617977528</v>
      </c>
      <c r="AS315" s="76"/>
      <c r="AT315" s="76"/>
    </row>
    <row r="316" spans="1:46" ht="15.75" customHeight="1" x14ac:dyDescent="0.25">
      <c r="A316" s="70"/>
      <c r="B316" s="16">
        <v>14</v>
      </c>
      <c r="C316" s="16" t="s">
        <v>27</v>
      </c>
      <c r="D316" s="17">
        <v>24</v>
      </c>
      <c r="E316" s="18">
        <f ca="1">IFERROR(__xludf.DUMMYFUNCTION("COUNT(IMPORTRANGE(""https://docs.google.com/spreadsheets/d/1iYtf3wkjJIgOL8ej0-L89wY8FLXKi6EiRbi9UqA1Bzw/edit"",""12!d2:d31""))"),23)</f>
        <v>23</v>
      </c>
      <c r="F316" s="23">
        <f ca="1">IFERROR(__xludf.DUMMYFUNCTION("SUM(IMPORTRANGE(""https://docs.google.com/spreadsheets/d/1iYtf3wkjJIgOL8ej0-L89wY8FLXKi6EiRbi9UqA1Bzw/edit"",""12!Q2:Q31""))"),4406.55499999999)</f>
        <v>4406.5549999999903</v>
      </c>
      <c r="G316" s="18">
        <f ca="1">IFERROR(__xludf.DUMMYFUNCTION("IMPORTRANGE(""https://docs.google.com/spreadsheets/d/1iYtf3wkjJIgOL8ej0-L89wY8FLXKi6EiRbi9UqA1Bzw/edit"",""12!e38"")"),1639)</f>
        <v>1639</v>
      </c>
      <c r="H316" s="18">
        <f ca="1">IFERROR(__xludf.DUMMYFUNCTION("IMPORTRANGE(""https://docs.google.com/spreadsheets/d/1iYtf3wkjJIgOL8ej0-L89wY8FLXKi6EiRbi9UqA1Bzw/edit"",""12!e39"")"),164)</f>
        <v>164</v>
      </c>
      <c r="I316" s="18">
        <f t="shared" ca="1" si="837"/>
        <v>1803</v>
      </c>
      <c r="J316" s="18">
        <f ca="1">IFERROR(__xludf.DUMMYFUNCTION("IMPORTRANGE(""https://docs.google.com/spreadsheets/d/1iYtf3wkjJIgOL8ej0-L89wY8FLXKi6EiRbi9UqA1Bzw/edit"",""12!e42"")"),2326)</f>
        <v>2326</v>
      </c>
      <c r="K316" s="18">
        <f ca="1">IFERROR(__xludf.DUMMYFUNCTION("IMPORTRANGE(""https://docs.google.com/spreadsheets/d/1iYtf3wkjJIgOL8ej0-L89wY8FLXKi6EiRbi9UqA1Bzw/edit"",""12!e43"")"),254)</f>
        <v>254</v>
      </c>
      <c r="L316" s="18">
        <f t="shared" ca="1" si="867"/>
        <v>2580</v>
      </c>
      <c r="M316" s="18">
        <f t="shared" ca="1" si="839"/>
        <v>4383</v>
      </c>
      <c r="N316" s="19">
        <f t="shared" ca="1" si="840"/>
        <v>191.58934782608654</v>
      </c>
      <c r="O316" s="16">
        <v>8101</v>
      </c>
      <c r="P316" s="20">
        <f t="shared" ca="1" si="841"/>
        <v>0.54104431551660292</v>
      </c>
      <c r="Q316" s="21">
        <v>1.5</v>
      </c>
      <c r="R316" s="20">
        <f t="shared" ca="1" si="842"/>
        <v>0.66310303627210065</v>
      </c>
      <c r="S316" s="22">
        <f t="shared" ca="1" si="843"/>
        <v>0.99465455440815098</v>
      </c>
      <c r="T316" s="21">
        <f ca="1">F316/19.985</f>
        <v>220.49311983987943</v>
      </c>
      <c r="U316" s="21">
        <f t="shared" ca="1" si="844"/>
        <v>9.5866573843425833</v>
      </c>
      <c r="V316" s="18">
        <f t="shared" ca="1" si="845"/>
        <v>190.56521739130434</v>
      </c>
      <c r="W316" s="76"/>
      <c r="X316" s="97" t="s">
        <v>44</v>
      </c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9"/>
      <c r="AS316" s="76"/>
      <c r="AT316" s="76"/>
    </row>
    <row r="317" spans="1:46" ht="15.75" customHeight="1" x14ac:dyDescent="0.25">
      <c r="A317" s="70"/>
      <c r="B317" s="16">
        <v>15</v>
      </c>
      <c r="C317" s="16" t="s">
        <v>40</v>
      </c>
      <c r="D317" s="17">
        <v>24</v>
      </c>
      <c r="E317" s="18">
        <f ca="1">IFERROR(__xludf.DUMMYFUNCTION("COUNT(IMPORTRANGE(""https://docs.google.com/spreadsheets/d/1Wdf8MsoDBzMSsrzOXwaGQzbVjVqOWfKSqYmbncevZgA/edit"",""12!d2:d31""))"),23)</f>
        <v>23</v>
      </c>
      <c r="F317" s="23">
        <f ca="1">IFERROR(__xludf.DUMMYFUNCTION("SUM(IMPORTRANGE(""https://docs.google.com/spreadsheets/d/1Wdf8MsoDBzMSsrzOXwaGQzbVjVqOWfKSqYmbncevZgA/edit"",""12!Q2:Q31""))"),4480.439)</f>
        <v>4480.4390000000003</v>
      </c>
      <c r="G317" s="18">
        <f ca="1">IFERROR(__xludf.DUMMYFUNCTION("IMPORTRANGE(""https://docs.google.com/spreadsheets/d/1Wdf8MsoDBzMSsrzOXwaGQzbVjVqOWfKSqYmbncevZgA/edit"",""12!e38"")"),2524)</f>
        <v>2524</v>
      </c>
      <c r="H317" s="18">
        <f ca="1">IFERROR(__xludf.DUMMYFUNCTION("IMPORTRANGE(""https://docs.google.com/spreadsheets/d/1Wdf8MsoDBzMSsrzOXwaGQzbVjVqOWfKSqYmbncevZgA/edit"",""12!e39"")"),38)</f>
        <v>38</v>
      </c>
      <c r="I317" s="18">
        <f t="shared" ca="1" si="837"/>
        <v>2562</v>
      </c>
      <c r="J317" s="18">
        <f ca="1">IFERROR(__xludf.DUMMYFUNCTION("IMPORTRANGE(""https://docs.google.com/spreadsheets/d/1Wdf8MsoDBzMSsrzOXwaGQzbVjVqOWfKSqYmbncevZgA/edit"",""12!e42"")"),3118)</f>
        <v>3118</v>
      </c>
      <c r="K317" s="18">
        <f ca="1">IFERROR(__xludf.DUMMYFUNCTION("IMPORTRANGE(""https://docs.google.com/spreadsheets/d/1Wdf8MsoDBzMSsrzOXwaGQzbVjVqOWfKSqYmbncevZgA/edit"",""12!e43"")"),0)</f>
        <v>0</v>
      </c>
      <c r="L317" s="18">
        <f t="shared" ca="1" si="867"/>
        <v>3118</v>
      </c>
      <c r="M317" s="18">
        <f t="shared" ca="1" si="839"/>
        <v>5680</v>
      </c>
      <c r="N317" s="19">
        <f t="shared" ca="1" si="840"/>
        <v>194.80169565217392</v>
      </c>
      <c r="O317" s="16">
        <v>8239</v>
      </c>
      <c r="P317" s="20">
        <f t="shared" ca="1" si="841"/>
        <v>0.68940405389003523</v>
      </c>
      <c r="Q317" s="21">
        <v>1.5</v>
      </c>
      <c r="R317" s="20">
        <f t="shared" ca="1" si="842"/>
        <v>0.84515527756692288</v>
      </c>
      <c r="S317" s="22">
        <f t="shared" ca="1" si="843"/>
        <v>1.2677329163503843</v>
      </c>
      <c r="T317" s="21">
        <f ca="1">F317/28.443</f>
        <v>157.52343283057343</v>
      </c>
      <c r="U317" s="21">
        <f t="shared" ca="1" si="844"/>
        <v>6.8488449056771055</v>
      </c>
      <c r="V317" s="18">
        <f t="shared" ca="1" si="845"/>
        <v>246.95652173913044</v>
      </c>
      <c r="W317" s="76"/>
      <c r="X317" s="1" t="s">
        <v>2</v>
      </c>
      <c r="Y317" s="1" t="s">
        <v>3</v>
      </c>
      <c r="Z317" s="1" t="s">
        <v>4</v>
      </c>
      <c r="AA317" s="1" t="s">
        <v>5</v>
      </c>
      <c r="AB317" s="2" t="s">
        <v>6</v>
      </c>
      <c r="AC317" s="1" t="s">
        <v>7</v>
      </c>
      <c r="AD317" s="1" t="s">
        <v>8</v>
      </c>
      <c r="AE317" s="1" t="s">
        <v>9</v>
      </c>
      <c r="AF317" s="1" t="s">
        <v>10</v>
      </c>
      <c r="AG317" s="1" t="s">
        <v>11</v>
      </c>
      <c r="AH317" s="1" t="s">
        <v>12</v>
      </c>
      <c r="AI317" s="1" t="s">
        <v>13</v>
      </c>
      <c r="AJ317" s="2" t="s">
        <v>14</v>
      </c>
      <c r="AK317" s="1" t="s">
        <v>15</v>
      </c>
      <c r="AL317" s="1" t="s">
        <v>16</v>
      </c>
      <c r="AM317" s="3" t="s">
        <v>17</v>
      </c>
      <c r="AN317" s="4" t="s">
        <v>18</v>
      </c>
      <c r="AO317" s="5" t="s">
        <v>19</v>
      </c>
      <c r="AP317" s="6" t="s">
        <v>20</v>
      </c>
      <c r="AQ317" s="6" t="s">
        <v>21</v>
      </c>
      <c r="AR317" s="7" t="s">
        <v>22</v>
      </c>
      <c r="AS317" s="76"/>
      <c r="AT317" s="76"/>
    </row>
    <row r="318" spans="1:46" ht="15.75" customHeight="1" x14ac:dyDescent="0.25">
      <c r="A318" s="70"/>
      <c r="B318" s="16">
        <v>16</v>
      </c>
      <c r="C318" s="16" t="s">
        <v>42</v>
      </c>
      <c r="D318" s="17">
        <v>26</v>
      </c>
      <c r="E318" s="18">
        <f ca="1">IFERROR(__xludf.DUMMYFUNCTION("COUNT(IMPORTRANGE(""https://docs.google.com/spreadsheets/d/1Z5uB5HbeAKcHmG4EOw3rf2J8NpyvDiha6RReERAMvA0/edit"",""12!d2:d34""))"),26)</f>
        <v>26</v>
      </c>
      <c r="F318" s="23">
        <f ca="1">IFERROR(__xludf.DUMMYFUNCTION("SUM(IMPORTRANGE(""https://docs.google.com/spreadsheets/d/1Z5uB5HbeAKcHmG4EOw3rf2J8NpyvDiha6RReERAMvA0/edit"",""12!Q2:Q34""))"),4866.36799999999)</f>
        <v>4866.3679999999904</v>
      </c>
      <c r="G318" s="18">
        <f ca="1">IFERROR(__xludf.DUMMYFUNCTION("IMPORTRANGE(""https://docs.google.com/spreadsheets/d/1Z5uB5HbeAKcHmG4EOw3rf2J8NpyvDiha6RReERAMvA0/edit"",""12!e41"")"),2462)</f>
        <v>2462</v>
      </c>
      <c r="H318" s="18">
        <f ca="1">IFERROR(__xludf.DUMMYFUNCTION("IMPORTRANGE(""https://docs.google.com/spreadsheets/d/1Z5uB5HbeAKcHmG4EOw3rf2J8NpyvDiha6RReERAMvA0/edit"",""12!e42"")"),95)</f>
        <v>95</v>
      </c>
      <c r="I318" s="18">
        <f t="shared" ca="1" si="837"/>
        <v>2557</v>
      </c>
      <c r="J318" s="18">
        <f ca="1">IFERROR(__xludf.DUMMYFUNCTION("IMPORTRANGE(""https://docs.google.com/spreadsheets/d/1Z5uB5HbeAKcHmG4EOw3rf2J8NpyvDiha6RReERAMvA0/edit"",""12!e45"")"),3361)</f>
        <v>3361</v>
      </c>
      <c r="K318" s="18">
        <f ca="1">IFERROR(__xludf.DUMMYFUNCTION("IMPORTRANGE(""https://docs.google.com/spreadsheets/d/1Z5uB5HbeAKcHmG4EOw3rf2J8NpyvDiha6RReERAMvA0/edit"",""12!e46"")"),80)</f>
        <v>80</v>
      </c>
      <c r="L318" s="18">
        <f t="shared" ca="1" si="867"/>
        <v>3441</v>
      </c>
      <c r="M318" s="18">
        <f t="shared" ca="1" si="839"/>
        <v>5998</v>
      </c>
      <c r="N318" s="19">
        <f t="shared" ca="1" si="840"/>
        <v>187.16799999999964</v>
      </c>
      <c r="O318" s="16">
        <v>9877</v>
      </c>
      <c r="P318" s="20">
        <f t="shared" ca="1" si="841"/>
        <v>0.60726941378961219</v>
      </c>
      <c r="Q318" s="21">
        <v>1.5</v>
      </c>
      <c r="R318" s="20">
        <f t="shared" ca="1" si="842"/>
        <v>0.82169426288079217</v>
      </c>
      <c r="S318" s="22">
        <f t="shared" ca="1" si="843"/>
        <v>1.2325413943211883</v>
      </c>
      <c r="T318" s="21">
        <f ca="1">F318/26.155</f>
        <v>186.05880328808985</v>
      </c>
      <c r="U318" s="21">
        <f t="shared" ca="1" si="844"/>
        <v>7.1561078187726865</v>
      </c>
      <c r="V318" s="18">
        <f t="shared" ca="1" si="845"/>
        <v>230.69230769230768</v>
      </c>
      <c r="W318" s="76"/>
      <c r="X318" s="8">
        <v>1</v>
      </c>
      <c r="Y318" s="8" t="s">
        <v>26</v>
      </c>
      <c r="Z318" s="8">
        <f t="shared" ref="Z318:AI318" si="879">SUM(D303)</f>
        <v>16</v>
      </c>
      <c r="AA318" s="9">
        <f t="shared" ca="1" si="879"/>
        <v>16</v>
      </c>
      <c r="AB318" s="11">
        <f t="shared" ca="1" si="879"/>
        <v>2847.3449999999998</v>
      </c>
      <c r="AC318" s="9">
        <f t="shared" ca="1" si="879"/>
        <v>1356</v>
      </c>
      <c r="AD318" s="9">
        <f t="shared" ca="1" si="879"/>
        <v>89</v>
      </c>
      <c r="AE318" s="9">
        <f t="shared" ca="1" si="879"/>
        <v>1445</v>
      </c>
      <c r="AF318" s="9">
        <f t="shared" ca="1" si="879"/>
        <v>2091</v>
      </c>
      <c r="AG318" s="9">
        <f t="shared" ca="1" si="879"/>
        <v>0</v>
      </c>
      <c r="AH318" s="9">
        <f t="shared" ca="1" si="879"/>
        <v>2091</v>
      </c>
      <c r="AI318" s="9">
        <f t="shared" ca="1" si="879"/>
        <v>3536</v>
      </c>
      <c r="AJ318" s="11">
        <f t="shared" ref="AJ318:AJ324" ca="1" si="880">AB318/AA318</f>
        <v>177.95906249999999</v>
      </c>
      <c r="AK318" s="8">
        <f>SUM(O303)</f>
        <v>5161</v>
      </c>
      <c r="AL318" s="12">
        <f t="shared" ref="AL318:AL324" ca="1" si="881">AI318/AK318</f>
        <v>0.68513853904282118</v>
      </c>
      <c r="AM318" s="13">
        <f>SUM(Q303)</f>
        <v>1.5</v>
      </c>
      <c r="AN318" s="12">
        <f t="shared" ref="AN318:AN324" ca="1" si="882">AO318/AM318</f>
        <v>0.82790576250272918</v>
      </c>
      <c r="AO318" s="14">
        <f t="shared" ref="AO318:AO324" ca="1" si="883">AI318/AB318</f>
        <v>1.2418586437540937</v>
      </c>
      <c r="AP318" s="13">
        <f t="shared" ref="AP318:AQ318" ca="1" si="884">SUM(T303)</f>
        <v>197.52653485952132</v>
      </c>
      <c r="AQ318" s="13">
        <f t="shared" ca="1" si="884"/>
        <v>12.345408428720082</v>
      </c>
      <c r="AR318" s="9">
        <f t="shared" ref="AR318:AR324" ca="1" si="885">AI318/AA318</f>
        <v>221</v>
      </c>
      <c r="AS318" s="76"/>
      <c r="AT318" s="76"/>
    </row>
    <row r="319" spans="1:46" ht="15.75" customHeight="1" x14ac:dyDescent="0.25">
      <c r="A319" s="70"/>
      <c r="B319" s="16">
        <v>17</v>
      </c>
      <c r="C319" s="16" t="s">
        <v>29</v>
      </c>
      <c r="D319" s="17">
        <v>24</v>
      </c>
      <c r="E319" s="18">
        <f ca="1">IFERROR(__xludf.DUMMYFUNCTION("COUNT(IMPORTRANGE(""https://docs.google.com/spreadsheets/d/1wfJqI0e9wVPqEQv3N6b8KgINjqI0OBECEyIFeY9j3i8/edit"",""12!d2:d31""))"),23)</f>
        <v>23</v>
      </c>
      <c r="F319" s="23">
        <f ca="1">IFERROR(__xludf.DUMMYFUNCTION("SUM(IMPORTRANGE(""https://docs.google.com/spreadsheets/d/1wfJqI0e9wVPqEQv3N6b8KgINjqI0OBECEyIFeY9j3i8/edit"",""12!Q2:Q31""))"),4688.90699999999)</f>
        <v>4688.9069999999901</v>
      </c>
      <c r="G319" s="18">
        <f ca="1">IFERROR(__xludf.DUMMYFUNCTION("IMPORTRANGE(""https://docs.google.com/spreadsheets/d/1wfJqI0e9wVPqEQv3N6b8KgINjqI0OBECEyIFeY9j3i8/edit"",""12!e38"")"),1926)</f>
        <v>1926</v>
      </c>
      <c r="H319" s="18">
        <f ca="1">IFERROR(__xludf.DUMMYFUNCTION("IMPORTRANGE(""https://docs.google.com/spreadsheets/d/1wfJqI0e9wVPqEQv3N6b8KgINjqI0OBECEyIFeY9j3i8/edit"",""12!e39"")"),65)</f>
        <v>65</v>
      </c>
      <c r="I319" s="18">
        <f t="shared" ca="1" si="837"/>
        <v>1991</v>
      </c>
      <c r="J319" s="18">
        <f ca="1">IFERROR(__xludf.DUMMYFUNCTION("IMPORTRANGE(""https://docs.google.com/spreadsheets/d/1wfJqI0e9wVPqEQv3N6b8KgINjqI0OBECEyIFeY9j3i8/edit"",""12!e42"")"),2900)</f>
        <v>2900</v>
      </c>
      <c r="K319" s="18">
        <f ca="1">IFERROR(__xludf.DUMMYFUNCTION("IMPORTRANGE(""https://docs.google.com/spreadsheets/d/1wfJqI0e9wVPqEQv3N6b8KgINjqI0OBECEyIFeY9j3i8/edit"",""12!e43"")"),100)</f>
        <v>100</v>
      </c>
      <c r="L319" s="18">
        <f t="shared" ca="1" si="867"/>
        <v>3000</v>
      </c>
      <c r="M319" s="18">
        <f t="shared" ca="1" si="839"/>
        <v>4991</v>
      </c>
      <c r="N319" s="19">
        <f t="shared" ca="1" si="840"/>
        <v>203.86552173913</v>
      </c>
      <c r="O319" s="16">
        <v>9201</v>
      </c>
      <c r="P319" s="20">
        <f t="shared" ca="1" si="841"/>
        <v>0.54244103901749807</v>
      </c>
      <c r="Q319" s="21">
        <v>1.5</v>
      </c>
      <c r="R319" s="20">
        <f t="shared" ca="1" si="842"/>
        <v>0.70961811213857307</v>
      </c>
      <c r="S319" s="22">
        <f t="shared" ca="1" si="843"/>
        <v>1.0644271682078597</v>
      </c>
      <c r="T319" s="21">
        <f ca="1">F319/26.491</f>
        <v>176.99999999999963</v>
      </c>
      <c r="U319" s="21">
        <f t="shared" ca="1" si="844"/>
        <v>7.695652173913027</v>
      </c>
      <c r="V319" s="18">
        <f t="shared" ca="1" si="845"/>
        <v>217</v>
      </c>
      <c r="W319" s="76"/>
      <c r="X319" s="8">
        <v>2</v>
      </c>
      <c r="Y319" s="8" t="s">
        <v>32</v>
      </c>
      <c r="Z319" s="8">
        <f t="shared" ref="Z319:AI319" si="886">SUM(D306)</f>
        <v>33</v>
      </c>
      <c r="AA319" s="9">
        <f t="shared" ca="1" si="886"/>
        <v>33</v>
      </c>
      <c r="AB319" s="10">
        <f t="shared" ca="1" si="886"/>
        <v>6573.3179999999902</v>
      </c>
      <c r="AC319" s="8">
        <f t="shared" ca="1" si="886"/>
        <v>3632</v>
      </c>
      <c r="AD319" s="8">
        <f t="shared" ca="1" si="886"/>
        <v>0</v>
      </c>
      <c r="AE319" s="9">
        <f t="shared" ca="1" si="886"/>
        <v>3632</v>
      </c>
      <c r="AF319" s="8">
        <f t="shared" ca="1" si="886"/>
        <v>4217</v>
      </c>
      <c r="AG319" s="8">
        <f t="shared" ca="1" si="886"/>
        <v>30</v>
      </c>
      <c r="AH319" s="9">
        <f t="shared" ca="1" si="886"/>
        <v>4247</v>
      </c>
      <c r="AI319" s="9">
        <f t="shared" ca="1" si="886"/>
        <v>7879</v>
      </c>
      <c r="AJ319" s="11">
        <f t="shared" ca="1" si="880"/>
        <v>199.19145454545423</v>
      </c>
      <c r="AK319" s="8">
        <f>SUM(O306)</f>
        <v>13817</v>
      </c>
      <c r="AL319" s="12">
        <f t="shared" ca="1" si="881"/>
        <v>0.57023955996236519</v>
      </c>
      <c r="AM319" s="13">
        <f>SUM(Q306)</f>
        <v>1.5</v>
      </c>
      <c r="AN319" s="12">
        <f t="shared" ca="1" si="882"/>
        <v>0.79908908509624432</v>
      </c>
      <c r="AO319" s="14">
        <f t="shared" ca="1" si="883"/>
        <v>1.1986336276443665</v>
      </c>
      <c r="AP319" s="13">
        <f t="shared" ref="AP319:AQ319" ca="1" si="887">SUM(T306)</f>
        <v>261.9999999999996</v>
      </c>
      <c r="AQ319" s="13">
        <f t="shared" ca="1" si="887"/>
        <v>7.939393939393927</v>
      </c>
      <c r="AR319" s="9">
        <f t="shared" ca="1" si="885"/>
        <v>238.75757575757575</v>
      </c>
      <c r="AS319" s="76"/>
      <c r="AT319" s="76"/>
    </row>
    <row r="320" spans="1:46" ht="15.75" customHeight="1" x14ac:dyDescent="0.25">
      <c r="A320" s="70"/>
      <c r="B320" s="16">
        <v>18</v>
      </c>
      <c r="C320" s="16" t="s">
        <v>31</v>
      </c>
      <c r="D320" s="17">
        <v>12</v>
      </c>
      <c r="E320" s="18">
        <f ca="1">IFERROR(__xludf.DUMMYFUNCTION("COUNT(IMPORTRANGE(""https://docs.google.com/spreadsheets/d/1-y2KhTAo7d8kowgUuWUDfRQuRMUAFteRYEXorT3_wOs/edit"",""12!d2:d16""))"),12)</f>
        <v>12</v>
      </c>
      <c r="F320" s="19">
        <f ca="1">IFERROR(__xludf.DUMMYFUNCTION("SUM(IMPORTRANGE(""https://docs.google.com/spreadsheets/d/1-y2KhTAo7d8kowgUuWUDfRQuRMUAFteRYEXorT3_wOs/edit"",""12!Q2:Q16""))"),2303.64499999999)</f>
        <v>2303.64499999999</v>
      </c>
      <c r="G320" s="18">
        <v>536</v>
      </c>
      <c r="H320" s="18">
        <v>21</v>
      </c>
      <c r="I320" s="18">
        <f t="shared" si="837"/>
        <v>557</v>
      </c>
      <c r="J320" s="18">
        <v>826</v>
      </c>
      <c r="K320" s="18">
        <v>0</v>
      </c>
      <c r="L320" s="18">
        <f t="shared" si="867"/>
        <v>826</v>
      </c>
      <c r="M320" s="18">
        <f t="shared" si="839"/>
        <v>1383</v>
      </c>
      <c r="N320" s="19">
        <f t="shared" ca="1" si="840"/>
        <v>191.97041666666584</v>
      </c>
      <c r="O320" s="16">
        <v>2717</v>
      </c>
      <c r="P320" s="20">
        <f t="shared" si="841"/>
        <v>0.50901729849098265</v>
      </c>
      <c r="Q320" s="21">
        <v>1.5</v>
      </c>
      <c r="R320" s="20">
        <f t="shared" ca="1" si="842"/>
        <v>0.4002352793073603</v>
      </c>
      <c r="S320" s="22">
        <f t="shared" ca="1" si="843"/>
        <v>0.60035291896104048</v>
      </c>
      <c r="T320" s="21">
        <f ca="1">F320/43.465</f>
        <v>52.999999999999766</v>
      </c>
      <c r="U320" s="21">
        <f t="shared" ca="1" si="844"/>
        <v>4.4166666666666474</v>
      </c>
      <c r="V320" s="18">
        <f t="shared" ca="1" si="845"/>
        <v>115.25</v>
      </c>
      <c r="W320" s="76"/>
      <c r="X320" s="8">
        <v>3</v>
      </c>
      <c r="Y320" s="8" t="s">
        <v>36</v>
      </c>
      <c r="Z320" s="8">
        <f t="shared" ref="Z320:AI320" si="888">SUM(D311)</f>
        <v>24</v>
      </c>
      <c r="AA320" s="9">
        <f t="shared" ca="1" si="888"/>
        <v>24</v>
      </c>
      <c r="AB320" s="10">
        <f t="shared" ca="1" si="888"/>
        <v>4709.3760000000002</v>
      </c>
      <c r="AC320" s="9">
        <f t="shared" ca="1" si="888"/>
        <v>1117</v>
      </c>
      <c r="AD320" s="9">
        <f t="shared" ca="1" si="888"/>
        <v>0</v>
      </c>
      <c r="AE320" s="9">
        <f t="shared" ca="1" si="888"/>
        <v>1117</v>
      </c>
      <c r="AF320" s="9">
        <f t="shared" ca="1" si="888"/>
        <v>1714</v>
      </c>
      <c r="AG320" s="9">
        <f t="shared" ca="1" si="888"/>
        <v>0</v>
      </c>
      <c r="AH320" s="9">
        <f t="shared" ca="1" si="888"/>
        <v>1714</v>
      </c>
      <c r="AI320" s="9">
        <f t="shared" ca="1" si="888"/>
        <v>2831</v>
      </c>
      <c r="AJ320" s="11">
        <f t="shared" ca="1" si="880"/>
        <v>196.22400000000002</v>
      </c>
      <c r="AK320" s="8">
        <f t="shared" ref="AK320:AK323" si="889">SUM(O311)</f>
        <v>4796</v>
      </c>
      <c r="AL320" s="12">
        <f t="shared" ca="1" si="881"/>
        <v>0.59028356964136786</v>
      </c>
      <c r="AM320" s="13">
        <f t="shared" ref="AM320:AM323" si="890">SUM(Q311)</f>
        <v>1.5</v>
      </c>
      <c r="AN320" s="12">
        <f t="shared" ca="1" si="882"/>
        <v>0.40076080850909618</v>
      </c>
      <c r="AO320" s="14">
        <f t="shared" ca="1" si="883"/>
        <v>0.60114121276364429</v>
      </c>
      <c r="AP320" s="13">
        <f t="shared" ref="AP320:AQ320" ca="1" si="891">SUM(T311)</f>
        <v>125.87202651413909</v>
      </c>
      <c r="AQ320" s="13">
        <f t="shared" ca="1" si="891"/>
        <v>5.2446677714224625</v>
      </c>
      <c r="AR320" s="9">
        <f t="shared" ca="1" si="885"/>
        <v>117.95833333333333</v>
      </c>
      <c r="AS320" s="76"/>
      <c r="AT320" s="76"/>
    </row>
    <row r="321" spans="1:46" ht="15.75" customHeight="1" x14ac:dyDescent="0.2">
      <c r="A321" s="70"/>
      <c r="B321" s="98" t="s">
        <v>33</v>
      </c>
      <c r="C321" s="98">
        <v>18</v>
      </c>
      <c r="D321" s="98">
        <f t="shared" ref="D321:M321" si="892">SUM(D303:D320)</f>
        <v>471</v>
      </c>
      <c r="E321" s="74">
        <f t="shared" ca="1" si="892"/>
        <v>462</v>
      </c>
      <c r="F321" s="99">
        <f t="shared" ca="1" si="892"/>
        <v>89918.928999999887</v>
      </c>
      <c r="G321" s="74">
        <f t="shared" ca="1" si="892"/>
        <v>29606</v>
      </c>
      <c r="H321" s="74">
        <f t="shared" ca="1" si="892"/>
        <v>1077</v>
      </c>
      <c r="I321" s="74">
        <f t="shared" ca="1" si="892"/>
        <v>30683</v>
      </c>
      <c r="J321" s="74">
        <f t="shared" ca="1" si="892"/>
        <v>43813</v>
      </c>
      <c r="K321" s="74">
        <f t="shared" ca="1" si="892"/>
        <v>896</v>
      </c>
      <c r="L321" s="74">
        <f t="shared" ca="1" si="892"/>
        <v>44709</v>
      </c>
      <c r="M321" s="74">
        <f t="shared" ca="1" si="892"/>
        <v>75392</v>
      </c>
      <c r="N321" s="99">
        <f t="shared" ca="1" si="840"/>
        <v>194.62971645021619</v>
      </c>
      <c r="O321" s="98">
        <f>SUM(O303:O320)</f>
        <v>126399</v>
      </c>
      <c r="P321" s="69">
        <f t="shared" ca="1" si="841"/>
        <v>0.59646041503492908</v>
      </c>
      <c r="Q321" s="72">
        <v>1.5</v>
      </c>
      <c r="R321" s="69">
        <f t="shared" ca="1" si="842"/>
        <v>0.55896276670881384</v>
      </c>
      <c r="S321" s="73">
        <f t="shared" ca="1" si="843"/>
        <v>0.83844415006322082</v>
      </c>
      <c r="T321" s="72">
        <f ca="1">SUM(T303:T320)</f>
        <v>3306.9542817986867</v>
      </c>
      <c r="U321" s="72">
        <f t="shared" ca="1" si="844"/>
        <v>7.157909700862958</v>
      </c>
      <c r="V321" s="74">
        <f t="shared" ca="1" si="845"/>
        <v>163.1861471861472</v>
      </c>
      <c r="W321" s="76"/>
      <c r="X321" s="8">
        <v>4</v>
      </c>
      <c r="Y321" s="8" t="s">
        <v>37</v>
      </c>
      <c r="Z321" s="8">
        <f t="shared" ref="Z321:AI321" si="893">SUM(D312)</f>
        <v>24</v>
      </c>
      <c r="AA321" s="9">
        <f t="shared" ca="1" si="893"/>
        <v>23</v>
      </c>
      <c r="AB321" s="10">
        <f t="shared" ca="1" si="893"/>
        <v>4583.8979999999901</v>
      </c>
      <c r="AC321" s="9">
        <f t="shared" ca="1" si="893"/>
        <v>1428</v>
      </c>
      <c r="AD321" s="9">
        <f t="shared" ca="1" si="893"/>
        <v>0</v>
      </c>
      <c r="AE321" s="9">
        <f t="shared" ca="1" si="893"/>
        <v>1428</v>
      </c>
      <c r="AF321" s="9">
        <f t="shared" ca="1" si="893"/>
        <v>2405</v>
      </c>
      <c r="AG321" s="9">
        <f t="shared" ca="1" si="893"/>
        <v>0</v>
      </c>
      <c r="AH321" s="9">
        <f t="shared" ca="1" si="893"/>
        <v>2405</v>
      </c>
      <c r="AI321" s="9">
        <f t="shared" ca="1" si="893"/>
        <v>3833</v>
      </c>
      <c r="AJ321" s="11">
        <f t="shared" ca="1" si="880"/>
        <v>199.29991304347783</v>
      </c>
      <c r="AK321" s="8">
        <f t="shared" si="889"/>
        <v>5887</v>
      </c>
      <c r="AL321" s="12">
        <f t="shared" ca="1" si="881"/>
        <v>0.65109563444878549</v>
      </c>
      <c r="AM321" s="13">
        <f t="shared" si="890"/>
        <v>1.5</v>
      </c>
      <c r="AN321" s="12">
        <f t="shared" ca="1" si="882"/>
        <v>0.55745859382851426</v>
      </c>
      <c r="AO321" s="14">
        <f t="shared" ca="1" si="883"/>
        <v>0.83618789074277133</v>
      </c>
      <c r="AP321" s="13">
        <f t="shared" ref="AP321:AQ321" ca="1" si="894">SUM(T312)</f>
        <v>184.89424007744392</v>
      </c>
      <c r="AQ321" s="13">
        <f t="shared" ca="1" si="894"/>
        <v>8.0388800033671277</v>
      </c>
      <c r="AR321" s="9">
        <f t="shared" ca="1" si="885"/>
        <v>166.65217391304347</v>
      </c>
      <c r="AS321" s="76"/>
      <c r="AT321" s="76"/>
    </row>
    <row r="322" spans="1:46" ht="15.75" customHeight="1" x14ac:dyDescent="0.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6"/>
      <c r="X322" s="8">
        <v>5</v>
      </c>
      <c r="Y322" s="8" t="s">
        <v>39</v>
      </c>
      <c r="Z322" s="8">
        <f t="shared" ref="Z322:AI322" si="895">SUM(D313)</f>
        <v>22</v>
      </c>
      <c r="AA322" s="9">
        <f t="shared" ca="1" si="895"/>
        <v>22</v>
      </c>
      <c r="AB322" s="10">
        <f t="shared" ca="1" si="895"/>
        <v>4405.3719999999903</v>
      </c>
      <c r="AC322" s="9">
        <f t="shared" ca="1" si="895"/>
        <v>1051</v>
      </c>
      <c r="AD322" s="9">
        <f t="shared" ca="1" si="895"/>
        <v>14</v>
      </c>
      <c r="AE322" s="9">
        <f t="shared" ca="1" si="895"/>
        <v>1065</v>
      </c>
      <c r="AF322" s="9">
        <f t="shared" ca="1" si="895"/>
        <v>2016</v>
      </c>
      <c r="AG322" s="9">
        <f t="shared" ca="1" si="895"/>
        <v>0</v>
      </c>
      <c r="AH322" s="9">
        <f t="shared" ca="1" si="895"/>
        <v>2016</v>
      </c>
      <c r="AI322" s="9">
        <f t="shared" ca="1" si="895"/>
        <v>3081</v>
      </c>
      <c r="AJ322" s="11">
        <f t="shared" ca="1" si="880"/>
        <v>200.24418181818137</v>
      </c>
      <c r="AK322" s="8">
        <f t="shared" si="889"/>
        <v>3569</v>
      </c>
      <c r="AL322" s="12">
        <f t="shared" ca="1" si="881"/>
        <v>0.86326702157467072</v>
      </c>
      <c r="AM322" s="13">
        <f t="shared" si="890"/>
        <v>1.5</v>
      </c>
      <c r="AN322" s="12">
        <f t="shared" ca="1" si="882"/>
        <v>0.46624893425572339</v>
      </c>
      <c r="AO322" s="14">
        <f t="shared" ca="1" si="883"/>
        <v>0.69937340138358506</v>
      </c>
      <c r="AP322" s="13">
        <f t="shared" ref="AP322:AQ322" ca="1" si="896">SUM(T313)</f>
        <v>205.25425150258539</v>
      </c>
      <c r="AQ322" s="13">
        <f t="shared" ca="1" si="896"/>
        <v>9.3297387046629723</v>
      </c>
      <c r="AR322" s="9">
        <f t="shared" ca="1" si="885"/>
        <v>140.04545454545453</v>
      </c>
      <c r="AS322" s="76"/>
      <c r="AT322" s="76"/>
    </row>
    <row r="323" spans="1:46" ht="15.75" customHeight="1" x14ac:dyDescent="0.2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6"/>
      <c r="X323" s="8">
        <v>6</v>
      </c>
      <c r="Y323" s="8" t="s">
        <v>41</v>
      </c>
      <c r="Z323" s="8">
        <f t="shared" ref="Z323:AI323" si="897">SUM(D314)</f>
        <v>20</v>
      </c>
      <c r="AA323" s="9">
        <f t="shared" ca="1" si="897"/>
        <v>20</v>
      </c>
      <c r="AB323" s="10">
        <f t="shared" ca="1" si="897"/>
        <v>3815.4279999999999</v>
      </c>
      <c r="AC323" s="9">
        <f t="shared" ca="1" si="897"/>
        <v>901</v>
      </c>
      <c r="AD323" s="9">
        <f t="shared" ca="1" si="897"/>
        <v>0</v>
      </c>
      <c r="AE323" s="9">
        <f t="shared" ca="1" si="897"/>
        <v>901</v>
      </c>
      <c r="AF323" s="9">
        <f t="shared" ca="1" si="897"/>
        <v>1460</v>
      </c>
      <c r="AG323" s="9">
        <f t="shared" ca="1" si="897"/>
        <v>0</v>
      </c>
      <c r="AH323" s="9">
        <f t="shared" ca="1" si="897"/>
        <v>1460</v>
      </c>
      <c r="AI323" s="9">
        <f t="shared" ca="1" si="897"/>
        <v>2361</v>
      </c>
      <c r="AJ323" s="11">
        <f t="shared" ca="1" si="880"/>
        <v>190.7714</v>
      </c>
      <c r="AK323" s="8">
        <f t="shared" si="889"/>
        <v>3801</v>
      </c>
      <c r="AL323" s="12">
        <f t="shared" ca="1" si="881"/>
        <v>0.62115232833464873</v>
      </c>
      <c r="AM323" s="13">
        <f t="shared" si="890"/>
        <v>1.5</v>
      </c>
      <c r="AN323" s="12">
        <f t="shared" ca="1" si="882"/>
        <v>0.41253563165128532</v>
      </c>
      <c r="AO323" s="14">
        <f t="shared" ca="1" si="883"/>
        <v>0.61880344747692795</v>
      </c>
      <c r="AP323" s="13">
        <f t="shared" ref="AP323:AQ323" ca="1" si="898">SUM(T314)</f>
        <v>128.77777777777777</v>
      </c>
      <c r="AQ323" s="13">
        <f t="shared" ca="1" si="898"/>
        <v>6.4388888888888882</v>
      </c>
      <c r="AR323" s="9">
        <f t="shared" ca="1" si="885"/>
        <v>118.05</v>
      </c>
      <c r="AS323" s="76"/>
      <c r="AT323" s="76"/>
    </row>
    <row r="324" spans="1:46" ht="15.75" customHeight="1" x14ac:dyDescent="0.25">
      <c r="A324" s="110" t="s">
        <v>45</v>
      </c>
      <c r="B324" s="76"/>
      <c r="C324" s="76"/>
      <c r="D324" s="75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24" t="s">
        <v>33</v>
      </c>
      <c r="Y324" s="24">
        <v>6</v>
      </c>
      <c r="Z324" s="24">
        <f t="shared" ref="Z324:AI324" si="899">SUM(Z318:Z323)</f>
        <v>139</v>
      </c>
      <c r="AA324" s="25">
        <f t="shared" ca="1" si="899"/>
        <v>138</v>
      </c>
      <c r="AB324" s="27">
        <f t="shared" ca="1" si="899"/>
        <v>26934.736999999972</v>
      </c>
      <c r="AC324" s="25">
        <f t="shared" ca="1" si="899"/>
        <v>9485</v>
      </c>
      <c r="AD324" s="25">
        <f t="shared" ca="1" si="899"/>
        <v>103</v>
      </c>
      <c r="AE324" s="25">
        <f t="shared" ca="1" si="899"/>
        <v>9588</v>
      </c>
      <c r="AF324" s="25">
        <f t="shared" ca="1" si="899"/>
        <v>13903</v>
      </c>
      <c r="AG324" s="25">
        <f t="shared" ca="1" si="899"/>
        <v>30</v>
      </c>
      <c r="AH324" s="25">
        <f t="shared" ca="1" si="899"/>
        <v>13933</v>
      </c>
      <c r="AI324" s="25">
        <f t="shared" ca="1" si="899"/>
        <v>23521</v>
      </c>
      <c r="AJ324" s="27">
        <f t="shared" ca="1" si="880"/>
        <v>195.1792536231882</v>
      </c>
      <c r="AK324" s="24">
        <f>SUM(AK318:AK323)</f>
        <v>37031</v>
      </c>
      <c r="AL324" s="28">
        <f t="shared" ca="1" si="881"/>
        <v>0.63517053279684588</v>
      </c>
      <c r="AM324" s="29">
        <v>1.5</v>
      </c>
      <c r="AN324" s="28">
        <f t="shared" ca="1" si="882"/>
        <v>0.58217262959228755</v>
      </c>
      <c r="AO324" s="30">
        <f t="shared" ca="1" si="883"/>
        <v>0.87325894438843132</v>
      </c>
      <c r="AP324" s="29">
        <f ca="1">SUM(AP318:AP323)</f>
        <v>1104.324830731467</v>
      </c>
      <c r="AQ324" s="29">
        <f ca="1">AP324/AA324</f>
        <v>8.0023538458801955</v>
      </c>
      <c r="AR324" s="25">
        <f t="shared" ca="1" si="885"/>
        <v>170.44202898550725</v>
      </c>
      <c r="AS324" s="76"/>
      <c r="AT324" s="76"/>
    </row>
    <row r="325" spans="1:46" ht="15.75" customHeight="1" x14ac:dyDescent="0.2">
      <c r="A325" s="110" t="s">
        <v>45</v>
      </c>
      <c r="B325" s="76"/>
      <c r="C325" s="76"/>
      <c r="D325" s="75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7" t="s">
        <v>1</v>
      </c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9"/>
      <c r="AS325" s="76"/>
      <c r="AT325" s="76"/>
    </row>
    <row r="326" spans="1:46" ht="15.75" customHeight="1" x14ac:dyDescent="0.2">
      <c r="A326" s="113">
        <v>46278</v>
      </c>
      <c r="B326" s="80" t="s">
        <v>2</v>
      </c>
      <c r="C326" s="80" t="s">
        <v>3</v>
      </c>
      <c r="D326" s="80" t="s">
        <v>4</v>
      </c>
      <c r="E326" s="80" t="s">
        <v>5</v>
      </c>
      <c r="F326" s="81" t="s">
        <v>6</v>
      </c>
      <c r="G326" s="80" t="s">
        <v>7</v>
      </c>
      <c r="H326" s="80" t="s">
        <v>8</v>
      </c>
      <c r="I326" s="80" t="s">
        <v>9</v>
      </c>
      <c r="J326" s="80" t="s">
        <v>10</v>
      </c>
      <c r="K326" s="80" t="s">
        <v>11</v>
      </c>
      <c r="L326" s="80" t="s">
        <v>12</v>
      </c>
      <c r="M326" s="80" t="s">
        <v>13</v>
      </c>
      <c r="N326" s="81" t="s">
        <v>14</v>
      </c>
      <c r="O326" s="80" t="s">
        <v>15</v>
      </c>
      <c r="P326" s="80" t="s">
        <v>16</v>
      </c>
      <c r="Q326" s="80" t="s">
        <v>17</v>
      </c>
      <c r="R326" s="80" t="s">
        <v>18</v>
      </c>
      <c r="S326" s="106" t="s">
        <v>19</v>
      </c>
      <c r="T326" s="107" t="s">
        <v>20</v>
      </c>
      <c r="U326" s="107" t="s">
        <v>21</v>
      </c>
      <c r="V326" s="105" t="s">
        <v>22</v>
      </c>
      <c r="W326" s="76"/>
      <c r="X326" s="1" t="s">
        <v>2</v>
      </c>
      <c r="Y326" s="1" t="s">
        <v>3</v>
      </c>
      <c r="Z326" s="1" t="s">
        <v>4</v>
      </c>
      <c r="AA326" s="1" t="s">
        <v>5</v>
      </c>
      <c r="AB326" s="2" t="s">
        <v>6</v>
      </c>
      <c r="AC326" s="1" t="s">
        <v>7</v>
      </c>
      <c r="AD326" s="1" t="s">
        <v>8</v>
      </c>
      <c r="AE326" s="1" t="s">
        <v>9</v>
      </c>
      <c r="AF326" s="1" t="s">
        <v>10</v>
      </c>
      <c r="AG326" s="1" t="s">
        <v>11</v>
      </c>
      <c r="AH326" s="1" t="s">
        <v>12</v>
      </c>
      <c r="AI326" s="1" t="s">
        <v>13</v>
      </c>
      <c r="AJ326" s="2" t="s">
        <v>14</v>
      </c>
      <c r="AK326" s="1" t="s">
        <v>15</v>
      </c>
      <c r="AL326" s="1" t="s">
        <v>16</v>
      </c>
      <c r="AM326" s="3" t="s">
        <v>17</v>
      </c>
      <c r="AN326" s="4" t="s">
        <v>18</v>
      </c>
      <c r="AO326" s="5" t="s">
        <v>19</v>
      </c>
      <c r="AP326" s="6" t="s">
        <v>20</v>
      </c>
      <c r="AQ326" s="6" t="s">
        <v>21</v>
      </c>
      <c r="AR326" s="7" t="s">
        <v>22</v>
      </c>
      <c r="AS326" s="76"/>
      <c r="AT326" s="76"/>
    </row>
    <row r="327" spans="1:46" ht="15.75" customHeight="1" x14ac:dyDescent="0.2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6"/>
      <c r="X327" s="8">
        <v>1</v>
      </c>
      <c r="Y327" s="8" t="s">
        <v>23</v>
      </c>
      <c r="Z327" s="8">
        <f t="shared" ref="Z327:AI327" si="900">SUM(D335)</f>
        <v>26</v>
      </c>
      <c r="AA327" s="9">
        <f t="shared" ca="1" si="900"/>
        <v>26</v>
      </c>
      <c r="AB327" s="10">
        <f t="shared" ca="1" si="900"/>
        <v>5195.95999999999</v>
      </c>
      <c r="AC327" s="9">
        <f t="shared" ca="1" si="900"/>
        <v>1008</v>
      </c>
      <c r="AD327" s="9">
        <f t="shared" ca="1" si="900"/>
        <v>0</v>
      </c>
      <c r="AE327" s="9">
        <f t="shared" ca="1" si="900"/>
        <v>1008</v>
      </c>
      <c r="AF327" s="9">
        <f t="shared" ca="1" si="900"/>
        <v>1902</v>
      </c>
      <c r="AG327" s="9">
        <f t="shared" ca="1" si="900"/>
        <v>0</v>
      </c>
      <c r="AH327" s="9">
        <f t="shared" ca="1" si="900"/>
        <v>1902</v>
      </c>
      <c r="AI327" s="9">
        <f t="shared" ca="1" si="900"/>
        <v>2910</v>
      </c>
      <c r="AJ327" s="11">
        <f t="shared" ref="AJ327:AJ329" ca="1" si="901">AB327/AA327</f>
        <v>199.844615384615</v>
      </c>
      <c r="AK327" s="8">
        <f>SUM(O335)</f>
        <v>6853</v>
      </c>
      <c r="AL327" s="12">
        <f t="shared" ref="AL327:AL333" ca="1" si="902">AI327/AK327</f>
        <v>0.42463154822705385</v>
      </c>
      <c r="AM327" s="13">
        <f t="shared" ref="AM327:AM329" si="903">SUM(Q335)</f>
        <v>1.5</v>
      </c>
      <c r="AN327" s="12">
        <f t="shared" ref="AN327:AN333" ca="1" si="904">AO327/AM327</f>
        <v>0.37336700051578608</v>
      </c>
      <c r="AO327" s="14">
        <f t="shared" ref="AO327:AO333" ca="1" si="905">AI327/AB327</f>
        <v>0.56005050077367913</v>
      </c>
      <c r="AP327" s="13">
        <f t="shared" ref="AP327:AQ327" ca="1" si="906">SUM(T335)</f>
        <v>153.99999999999969</v>
      </c>
      <c r="AQ327" s="13">
        <f t="shared" ca="1" si="906"/>
        <v>5.9230769230769109</v>
      </c>
      <c r="AR327" s="9">
        <f t="shared" ref="AR327:AR333" ca="1" si="907">AI327/AA327</f>
        <v>111.92307692307692</v>
      </c>
      <c r="AS327" s="76"/>
      <c r="AT327" s="76"/>
    </row>
    <row r="328" spans="1:46" ht="15.75" customHeight="1" x14ac:dyDescent="0.2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6"/>
      <c r="X328" s="8">
        <v>2</v>
      </c>
      <c r="Y328" s="8" t="s">
        <v>24</v>
      </c>
      <c r="Z328" s="8">
        <f t="shared" ref="Z328:AI328" si="908">SUM(D336)</f>
        <v>35</v>
      </c>
      <c r="AA328" s="9">
        <f t="shared" ca="1" si="908"/>
        <v>35</v>
      </c>
      <c r="AB328" s="10">
        <f t="shared" ca="1" si="908"/>
        <v>6725.72299999999</v>
      </c>
      <c r="AC328" s="9">
        <f t="shared" ca="1" si="908"/>
        <v>690</v>
      </c>
      <c r="AD328" s="9">
        <f t="shared" ca="1" si="908"/>
        <v>74</v>
      </c>
      <c r="AE328" s="9">
        <f t="shared" ca="1" si="908"/>
        <v>764</v>
      </c>
      <c r="AF328" s="9">
        <f t="shared" ca="1" si="908"/>
        <v>972</v>
      </c>
      <c r="AG328" s="9">
        <f t="shared" ca="1" si="908"/>
        <v>98</v>
      </c>
      <c r="AH328" s="9">
        <f t="shared" ca="1" si="908"/>
        <v>1070</v>
      </c>
      <c r="AI328" s="9">
        <f t="shared" ca="1" si="908"/>
        <v>1834</v>
      </c>
      <c r="AJ328" s="11">
        <f t="shared" ca="1" si="901"/>
        <v>192.163514285714</v>
      </c>
      <c r="AK328" s="8">
        <v>1580</v>
      </c>
      <c r="AL328" s="15">
        <f t="shared" ca="1" si="902"/>
        <v>1.160759493670886</v>
      </c>
      <c r="AM328" s="13">
        <f t="shared" si="903"/>
        <v>1.5</v>
      </c>
      <c r="AN328" s="12">
        <f t="shared" ca="1" si="904"/>
        <v>0.18178962569030399</v>
      </c>
      <c r="AO328" s="14">
        <f t="shared" ca="1" si="905"/>
        <v>0.27268443853545599</v>
      </c>
      <c r="AP328" s="13">
        <f t="shared" ref="AP328:AQ328" ca="1" si="909">SUM(T336)</f>
        <v>250.91300130572617</v>
      </c>
      <c r="AQ328" s="13">
        <f t="shared" ca="1" si="909"/>
        <v>7.1689428944493194</v>
      </c>
      <c r="AR328" s="9">
        <f t="shared" ca="1" si="907"/>
        <v>52.4</v>
      </c>
      <c r="AS328" s="76"/>
      <c r="AT328" s="76"/>
    </row>
    <row r="329" spans="1:46" ht="15.75" customHeight="1" x14ac:dyDescent="0.2">
      <c r="A329" s="70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6"/>
      <c r="X329" s="8">
        <v>3</v>
      </c>
      <c r="Y329" s="8" t="s">
        <v>25</v>
      </c>
      <c r="Z329" s="8">
        <f t="shared" ref="Z329:AI329" si="910">SUM(D337)</f>
        <v>26</v>
      </c>
      <c r="AA329" s="9">
        <f t="shared" ca="1" si="910"/>
        <v>26</v>
      </c>
      <c r="AB329" s="10">
        <f t="shared" ca="1" si="910"/>
        <v>4628.4960000000001</v>
      </c>
      <c r="AC329" s="9">
        <f t="shared" ca="1" si="910"/>
        <v>1361</v>
      </c>
      <c r="AD329" s="9">
        <f t="shared" ca="1" si="910"/>
        <v>313</v>
      </c>
      <c r="AE329" s="9">
        <f t="shared" ca="1" si="910"/>
        <v>1674</v>
      </c>
      <c r="AF329" s="9">
        <f t="shared" ca="1" si="910"/>
        <v>2348</v>
      </c>
      <c r="AG329" s="9">
        <f t="shared" ca="1" si="910"/>
        <v>337</v>
      </c>
      <c r="AH329" s="9">
        <f t="shared" ca="1" si="910"/>
        <v>2685</v>
      </c>
      <c r="AI329" s="9">
        <f t="shared" ca="1" si="910"/>
        <v>4359</v>
      </c>
      <c r="AJ329" s="11">
        <f t="shared" ca="1" si="901"/>
        <v>178.01907692307694</v>
      </c>
      <c r="AK329" s="8">
        <f>SUM(O337)</f>
        <v>6622</v>
      </c>
      <c r="AL329" s="12">
        <f t="shared" ca="1" si="902"/>
        <v>0.65826034430685598</v>
      </c>
      <c r="AM329" s="13">
        <f t="shared" si="903"/>
        <v>1.5</v>
      </c>
      <c r="AN329" s="12">
        <f t="shared" ca="1" si="904"/>
        <v>0.62784973779819619</v>
      </c>
      <c r="AO329" s="14">
        <f t="shared" ca="1" si="905"/>
        <v>0.94177460669729429</v>
      </c>
      <c r="AP329" s="13">
        <f t="shared" ref="AP329:AQ329" ca="1" si="911">SUM(T337)</f>
        <v>194.14832214765102</v>
      </c>
      <c r="AQ329" s="13">
        <f t="shared" ca="1" si="911"/>
        <v>7.4672431595250393</v>
      </c>
      <c r="AR329" s="9">
        <f t="shared" ca="1" si="907"/>
        <v>167.65384615384616</v>
      </c>
      <c r="AS329" s="76"/>
      <c r="AT329" s="76"/>
    </row>
    <row r="330" spans="1:46" ht="15.75" customHeight="1" x14ac:dyDescent="0.25">
      <c r="A330" s="70"/>
      <c r="B330" s="16">
        <v>1</v>
      </c>
      <c r="C330" s="16" t="s">
        <v>26</v>
      </c>
      <c r="D330" s="17">
        <v>15</v>
      </c>
      <c r="E330" s="18">
        <f ca="1">IFERROR(__xludf.DUMMYFUNCTION("COUNT(IMPORTRANGE(""https://docs.google.com/spreadsheets/d/1F0NpMx7WhcgPgxTWpryY3Z1CGg56FL6aiL4mHs43w4E/edit"",""13!d2:d21""))"),15)</f>
        <v>15</v>
      </c>
      <c r="F330" s="19">
        <f ca="1">IFERROR(__xludf.DUMMYFUNCTION("SUM(IMPORTRANGE(""https://docs.google.com/spreadsheets/d/1F0NpMx7WhcgPgxTWpryY3Z1CGg56FL6aiL4mHs43w4E/edit"",""13!Q2:Q21""))"),2883.459)</f>
        <v>2883.4589999999998</v>
      </c>
      <c r="G330" s="18">
        <f ca="1">IFERROR(__xludf.DUMMYFUNCTION("IMPORTRANGE(""https://docs.google.com/spreadsheets/d/1F0NpMx7WhcgPgxTWpryY3Z1CGg56FL6aiL4mHs43w4E/edit"",""13!e28"")"),1449)</f>
        <v>1449</v>
      </c>
      <c r="H330" s="18">
        <f ca="1">IFERROR(__xludf.DUMMYFUNCTION("IMPORTRANGE(""https://docs.google.com/spreadsheets/d/1F0NpMx7WhcgPgxTWpryY3Z1CGg56FL6aiL4mHs43w4E/edit"",""13!e29"")"),61)</f>
        <v>61</v>
      </c>
      <c r="I330" s="18">
        <f t="shared" ref="I330:I347" ca="1" si="912">SUM(G330:H330)</f>
        <v>1510</v>
      </c>
      <c r="J330" s="18">
        <f ca="1">IFERROR(__xludf.DUMMYFUNCTION("IMPORTRANGE(""https://docs.google.com/spreadsheets/d/1F0NpMx7WhcgPgxTWpryY3Z1CGg56FL6aiL4mHs43w4E/edit"",""13!e32"")"),2098)</f>
        <v>2098</v>
      </c>
      <c r="K330" s="18">
        <f ca="1">IFERROR(__xludf.DUMMYFUNCTION("IMPORTRANGE(""https://docs.google.com/spreadsheets/d/1F0NpMx7WhcgPgxTWpryY3Z1CGg56FL6aiL4mHs43w4E/edit"",""13!e33"")"),0)</f>
        <v>0</v>
      </c>
      <c r="L330" s="18">
        <f t="shared" ref="L330:L336" ca="1" si="913">SUM(J330:K330)</f>
        <v>2098</v>
      </c>
      <c r="M330" s="18">
        <f t="shared" ref="M330:M347" ca="1" si="914">SUM(I330+L330)</f>
        <v>3608</v>
      </c>
      <c r="N330" s="19">
        <f t="shared" ref="N330:N348" ca="1" si="915">F330/E330</f>
        <v>192.23059999999998</v>
      </c>
      <c r="O330" s="16">
        <v>5161</v>
      </c>
      <c r="P330" s="20">
        <f t="shared" ref="P330:P348" ca="1" si="916">M330/O330</f>
        <v>0.69908932377446231</v>
      </c>
      <c r="Q330" s="21">
        <v>1.5</v>
      </c>
      <c r="R330" s="20">
        <f t="shared" ref="R330:R348" ca="1" si="917">S330/Q330</f>
        <v>0.83418329628870513</v>
      </c>
      <c r="S330" s="22">
        <f t="shared" ref="S330:S348" ca="1" si="918">M330/F330</f>
        <v>1.2512749444330578</v>
      </c>
      <c r="T330" s="21">
        <f ca="1">F330/14.415</f>
        <v>200.0318418314256</v>
      </c>
      <c r="U330" s="21">
        <f t="shared" ref="U330:U348" ca="1" si="919">T330/E330</f>
        <v>13.33545612209504</v>
      </c>
      <c r="V330" s="18">
        <f t="shared" ref="V330:V348" ca="1" si="920">M330/E330</f>
        <v>240.53333333333333</v>
      </c>
      <c r="W330" s="76"/>
      <c r="X330" s="8">
        <v>4</v>
      </c>
      <c r="Y330" s="8" t="s">
        <v>27</v>
      </c>
      <c r="Z330" s="8">
        <f t="shared" ref="Z330:AK330" si="921">SUM(D343)</f>
        <v>23</v>
      </c>
      <c r="AA330" s="9">
        <f t="shared" ca="1" si="921"/>
        <v>22</v>
      </c>
      <c r="AB330" s="10">
        <f t="shared" ca="1" si="921"/>
        <v>4366.58499999999</v>
      </c>
      <c r="AC330" s="9">
        <f t="shared" ca="1" si="921"/>
        <v>1470</v>
      </c>
      <c r="AD330" s="9">
        <f t="shared" ca="1" si="921"/>
        <v>60</v>
      </c>
      <c r="AE330" s="9">
        <f t="shared" ca="1" si="921"/>
        <v>1530</v>
      </c>
      <c r="AF330" s="9">
        <f t="shared" ca="1" si="921"/>
        <v>2031</v>
      </c>
      <c r="AG330" s="9">
        <f t="shared" ca="1" si="921"/>
        <v>168</v>
      </c>
      <c r="AH330" s="9">
        <f t="shared" ca="1" si="921"/>
        <v>2199</v>
      </c>
      <c r="AI330" s="9">
        <f t="shared" ca="1" si="921"/>
        <v>3729</v>
      </c>
      <c r="AJ330" s="11">
        <f t="shared" ca="1" si="921"/>
        <v>198.4811363636359</v>
      </c>
      <c r="AK330" s="8">
        <f t="shared" si="921"/>
        <v>8101</v>
      </c>
      <c r="AL330" s="12">
        <f t="shared" ca="1" si="902"/>
        <v>0.46031354153808174</v>
      </c>
      <c r="AM330" s="13">
        <f>SUM(Q343)</f>
        <v>1.5</v>
      </c>
      <c r="AN330" s="12">
        <f t="shared" ca="1" si="904"/>
        <v>0.56932362475481535</v>
      </c>
      <c r="AO330" s="14">
        <f t="shared" ca="1" si="905"/>
        <v>0.85398543713222308</v>
      </c>
      <c r="AP330" s="13">
        <f t="shared" ref="AP330:AQ330" ca="1" si="922">SUM(T343)</f>
        <v>218.49311983987943</v>
      </c>
      <c r="AQ330" s="13">
        <f t="shared" ca="1" si="922"/>
        <v>9.9315054472672468</v>
      </c>
      <c r="AR330" s="9">
        <f t="shared" ca="1" si="907"/>
        <v>169.5</v>
      </c>
      <c r="AS330" s="76"/>
      <c r="AT330" s="76"/>
    </row>
    <row r="331" spans="1:46" ht="15.75" customHeight="1" x14ac:dyDescent="0.25">
      <c r="A331" s="70"/>
      <c r="B331" s="16">
        <v>2</v>
      </c>
      <c r="C331" s="16" t="s">
        <v>28</v>
      </c>
      <c r="D331" s="17">
        <v>24</v>
      </c>
      <c r="E331" s="18">
        <f ca="1">IFERROR(__xludf.DUMMYFUNCTION("COUNT(IMPORTRANGE(""https://docs.google.com/spreadsheets/d/1H9vAqftAHb0OdeSGXHTnJFzoWUgpoH31sc0sHNN8y1o/edit"",""13!d2:d34""))"),24)</f>
        <v>24</v>
      </c>
      <c r="F331" s="19">
        <f ca="1">IFERROR(__xludf.DUMMYFUNCTION("SUM(IMPORTRANGE(""https://docs.google.com/spreadsheets/d/1H9vAqftAHb0OdeSGXHTnJFzoWUgpoH31sc0sHNN8y1o/edit"",""13!Q2:Q34""))"),4582.322)</f>
        <v>4582.3220000000001</v>
      </c>
      <c r="G331" s="18">
        <f ca="1">IFERROR(__xludf.DUMMYFUNCTION("IMPORTRANGE(""https://docs.google.com/spreadsheets/d/1H9vAqftAHb0OdeSGXHTnJFzoWUgpoH31sc0sHNN8y1o/edit"",""13!e41"")"),1549)</f>
        <v>1549</v>
      </c>
      <c r="H331" s="18">
        <f ca="1">IFERROR(__xludf.DUMMYFUNCTION("IMPORTRANGE(""https://docs.google.com/spreadsheets/d/1H9vAqftAHb0OdeSGXHTnJFzoWUgpoH31sc0sHNN8y1o/edit"",""13!e42"")"),70)</f>
        <v>70</v>
      </c>
      <c r="I331" s="18">
        <f t="shared" ca="1" si="912"/>
        <v>1619</v>
      </c>
      <c r="J331" s="18">
        <f ca="1">IFERROR(__xludf.DUMMYFUNCTION("IMPORTRANGE(""https://docs.google.com/spreadsheets/d/1H9vAqftAHb0OdeSGXHTnJFzoWUgpoH31sc0sHNN8y1o/edit"",""13!e45"")"),1710)</f>
        <v>1710</v>
      </c>
      <c r="K331" s="18">
        <f ca="1">IFERROR(__xludf.DUMMYFUNCTION("IMPORTRANGE(""https://docs.google.com/spreadsheets/d/1H9vAqftAHb0OdeSGXHTnJFzoWUgpoH31sc0sHNN8y1o/edit"",""13!e46"")"),179)</f>
        <v>179</v>
      </c>
      <c r="L331" s="18">
        <f t="shared" ca="1" si="913"/>
        <v>1889</v>
      </c>
      <c r="M331" s="18">
        <f t="shared" ca="1" si="914"/>
        <v>3508</v>
      </c>
      <c r="N331" s="19">
        <f t="shared" ca="1" si="915"/>
        <v>190.93008333333333</v>
      </c>
      <c r="O331" s="16">
        <v>7315</v>
      </c>
      <c r="P331" s="20">
        <f t="shared" ca="1" si="916"/>
        <v>0.47956254272043747</v>
      </c>
      <c r="Q331" s="21">
        <v>1.5</v>
      </c>
      <c r="R331" s="20">
        <f t="shared" ca="1" si="917"/>
        <v>0.51036716028831386</v>
      </c>
      <c r="S331" s="22">
        <f t="shared" ca="1" si="918"/>
        <v>0.76555074043247073</v>
      </c>
      <c r="T331" s="21">
        <f ca="1">F331/30.897</f>
        <v>148.30960934718581</v>
      </c>
      <c r="U331" s="21">
        <f t="shared" ca="1" si="919"/>
        <v>6.1795670561327425</v>
      </c>
      <c r="V331" s="18">
        <f t="shared" ca="1" si="920"/>
        <v>146.16666666666666</v>
      </c>
      <c r="W331" s="76"/>
      <c r="X331" s="8">
        <v>5</v>
      </c>
      <c r="Y331" s="8" t="s">
        <v>29</v>
      </c>
      <c r="Z331" s="8">
        <f t="shared" ref="Z331:AI331" si="923">SUM(D346)</f>
        <v>23</v>
      </c>
      <c r="AA331" s="9">
        <f t="shared" ca="1" si="923"/>
        <v>23</v>
      </c>
      <c r="AB331" s="10">
        <f t="shared" ca="1" si="923"/>
        <v>4185.5779999999904</v>
      </c>
      <c r="AC331" s="9">
        <f t="shared" ca="1" si="923"/>
        <v>1577</v>
      </c>
      <c r="AD331" s="9">
        <f t="shared" ca="1" si="923"/>
        <v>0</v>
      </c>
      <c r="AE331" s="9">
        <f t="shared" ca="1" si="923"/>
        <v>1577</v>
      </c>
      <c r="AF331" s="9">
        <f t="shared" ca="1" si="923"/>
        <v>2396</v>
      </c>
      <c r="AG331" s="9">
        <f t="shared" ca="1" si="923"/>
        <v>0</v>
      </c>
      <c r="AH331" s="9">
        <f t="shared" ca="1" si="923"/>
        <v>2396</v>
      </c>
      <c r="AI331" s="9">
        <f t="shared" ca="1" si="923"/>
        <v>3973</v>
      </c>
      <c r="AJ331" s="11">
        <f t="shared" ref="AJ331:AJ333" ca="1" si="924">AB331/AA331</f>
        <v>181.98165217391264</v>
      </c>
      <c r="AK331" s="8">
        <f t="shared" ref="AK331:AK332" si="925">SUM(O346)</f>
        <v>9201</v>
      </c>
      <c r="AL331" s="12">
        <f t="shared" ca="1" si="902"/>
        <v>0.43180089120747744</v>
      </c>
      <c r="AM331" s="13">
        <f t="shared" ref="AM331:AM332" si="926">SUM(Q346)</f>
        <v>1.5</v>
      </c>
      <c r="AN331" s="12">
        <f t="shared" ca="1" si="904"/>
        <v>0.6328078622992267</v>
      </c>
      <c r="AO331" s="14">
        <f t="shared" ca="1" si="905"/>
        <v>0.9492117934488401</v>
      </c>
      <c r="AP331" s="13">
        <f t="shared" ref="AP331:AQ331" ca="1" si="927">SUM(T346)</f>
        <v>157.99999999999963</v>
      </c>
      <c r="AQ331" s="13">
        <f t="shared" ca="1" si="927"/>
        <v>6.8695652173912887</v>
      </c>
      <c r="AR331" s="9">
        <f t="shared" ca="1" si="907"/>
        <v>172.7391304347826</v>
      </c>
      <c r="AS331" s="76"/>
      <c r="AT331" s="76"/>
    </row>
    <row r="332" spans="1:46" ht="15.75" customHeight="1" x14ac:dyDescent="0.25">
      <c r="A332" s="70"/>
      <c r="B332" s="16">
        <v>3</v>
      </c>
      <c r="C332" s="16" t="s">
        <v>30</v>
      </c>
      <c r="D332" s="17">
        <v>45</v>
      </c>
      <c r="E332" s="18">
        <f ca="1">IFERROR(__xludf.DUMMYFUNCTION("COUNT(IMPORTRANGE(""https://docs.google.com/spreadsheets/d/1EWN6nfpuVxbUE_9opjYCWaI7MTm5xsF6ssjklSbMZnA/edit"",""13!d2:d61""))"),44)</f>
        <v>44</v>
      </c>
      <c r="F332" s="23">
        <f ca="1">IFERROR(__xludf.DUMMYFUNCTION("SUM(IMPORTRANGE(""https://docs.google.com/spreadsheets/d/1EWN6nfpuVxbUE_9opjYCWaI7MTm5xsF6ssjklSbMZnA/edit"",""13!Q2:Q61""))"),8766.69299999999)</f>
        <v>8766.6929999999902</v>
      </c>
      <c r="G332" s="18">
        <f ca="1">IFERROR(__xludf.DUMMYFUNCTION("IMPORTRANGE(""https://docs.google.com/spreadsheets/d/1EWN6nfpuVxbUE_9opjYCWaI7MTm5xsF6ssjklSbMZnA/edit"",""13!e68"")"),2116)</f>
        <v>2116</v>
      </c>
      <c r="H332" s="18">
        <f ca="1">IFERROR(__xludf.DUMMYFUNCTION("IMPORTRANGE(""https://docs.google.com/spreadsheets/d/1EWN6nfpuVxbUE_9opjYCWaI7MTm5xsF6ssjklSbMZnA/edit"",""13!e69"")"),0)</f>
        <v>0</v>
      </c>
      <c r="I332" s="18">
        <f t="shared" ca="1" si="912"/>
        <v>2116</v>
      </c>
      <c r="J332" s="18">
        <f ca="1">IFERROR(__xludf.DUMMYFUNCTION("IMPORTRANGE(""https://docs.google.com/spreadsheets/d/1EWN6nfpuVxbUE_9opjYCWaI7MTm5xsF6ssjklSbMZnA/edit"",""13!e72"")"),4302)</f>
        <v>4302</v>
      </c>
      <c r="K332" s="18">
        <f ca="1">IFERROR(__xludf.DUMMYFUNCTION("IMPORTRANGE(""https://docs.google.com/spreadsheets/d/1EWN6nfpuVxbUE_9opjYCWaI7MTm5xsF6ssjklSbMZnA/edit"",""13!e73"")"),0)</f>
        <v>0</v>
      </c>
      <c r="L332" s="18">
        <f t="shared" ca="1" si="913"/>
        <v>4302</v>
      </c>
      <c r="M332" s="18">
        <f t="shared" ca="1" si="914"/>
        <v>6418</v>
      </c>
      <c r="N332" s="19">
        <f t="shared" ca="1" si="915"/>
        <v>199.24302272727252</v>
      </c>
      <c r="O332" s="16">
        <v>11164</v>
      </c>
      <c r="P332" s="20">
        <f t="shared" ca="1" si="916"/>
        <v>0.57488355428161952</v>
      </c>
      <c r="Q332" s="21">
        <v>1.5</v>
      </c>
      <c r="R332" s="20">
        <f t="shared" ca="1" si="917"/>
        <v>0.4880593704680512</v>
      </c>
      <c r="S332" s="22">
        <f t="shared" ca="1" si="918"/>
        <v>0.73208905570207683</v>
      </c>
      <c r="T332" s="21">
        <f ca="1">F332/29.603</f>
        <v>296.14204641421441</v>
      </c>
      <c r="U332" s="21">
        <f t="shared" ca="1" si="919"/>
        <v>6.7305010548685091</v>
      </c>
      <c r="V332" s="18">
        <f t="shared" ca="1" si="920"/>
        <v>145.86363636363637</v>
      </c>
      <c r="W332" s="76"/>
      <c r="X332" s="8">
        <v>6</v>
      </c>
      <c r="Y332" s="8" t="s">
        <v>31</v>
      </c>
      <c r="Z332" s="8">
        <f t="shared" ref="Z332:AI332" si="928">SUM(D347)</f>
        <v>11</v>
      </c>
      <c r="AA332" s="9">
        <f t="shared" ca="1" si="928"/>
        <v>11</v>
      </c>
      <c r="AB332" s="11">
        <f t="shared" ca="1" si="928"/>
        <v>1935.914</v>
      </c>
      <c r="AC332" s="9">
        <f t="shared" ca="1" si="928"/>
        <v>363</v>
      </c>
      <c r="AD332" s="9">
        <f t="shared" ca="1" si="928"/>
        <v>12</v>
      </c>
      <c r="AE332" s="9">
        <f t="shared" ca="1" si="928"/>
        <v>375</v>
      </c>
      <c r="AF332" s="9">
        <f t="shared" ca="1" si="928"/>
        <v>626</v>
      </c>
      <c r="AG332" s="9">
        <f t="shared" ca="1" si="928"/>
        <v>0</v>
      </c>
      <c r="AH332" s="9">
        <f t="shared" ca="1" si="928"/>
        <v>626</v>
      </c>
      <c r="AI332" s="9">
        <f t="shared" ca="1" si="928"/>
        <v>1001</v>
      </c>
      <c r="AJ332" s="11">
        <f t="shared" ca="1" si="924"/>
        <v>175.99218181818182</v>
      </c>
      <c r="AK332" s="8">
        <f t="shared" si="925"/>
        <v>2717</v>
      </c>
      <c r="AL332" s="12">
        <f t="shared" ca="1" si="902"/>
        <v>0.36842105263157893</v>
      </c>
      <c r="AM332" s="13">
        <f t="shared" si="926"/>
        <v>1.5</v>
      </c>
      <c r="AN332" s="12">
        <f t="shared" ca="1" si="904"/>
        <v>0.34471228232934586</v>
      </c>
      <c r="AO332" s="14">
        <f t="shared" ca="1" si="905"/>
        <v>0.51706842349401883</v>
      </c>
      <c r="AP332" s="13">
        <f t="shared" ref="AP332:AQ332" ca="1" si="929">SUM(T347)</f>
        <v>44.539606580006897</v>
      </c>
      <c r="AQ332" s="13">
        <f t="shared" ca="1" si="929"/>
        <v>4.0490551436369904</v>
      </c>
      <c r="AR332" s="9">
        <f t="shared" ca="1" si="907"/>
        <v>91</v>
      </c>
      <c r="AS332" s="76"/>
      <c r="AT332" s="76"/>
    </row>
    <row r="333" spans="1:46" ht="15.75" customHeight="1" x14ac:dyDescent="0.25">
      <c r="A333" s="70"/>
      <c r="B333" s="16">
        <v>4</v>
      </c>
      <c r="C333" s="16" t="s">
        <v>32</v>
      </c>
      <c r="D333" s="17">
        <v>32</v>
      </c>
      <c r="E333" s="18">
        <f ca="1">IFERROR(__xludf.DUMMYFUNCTION("COUNT(IMPORTRANGE(""https://docs.google.com/spreadsheets/d/1Rmar8QqWK4XOJ-eY6xMzkAfDSw0srEXcAw89ilArun8/edit"",""13!d2:d43""))"),31)</f>
        <v>31</v>
      </c>
      <c r="F333" s="23">
        <f ca="1">IFERROR(__xludf.DUMMYFUNCTION("SUM(IMPORTRANGE(""https://docs.google.com/spreadsheets/d/1Rmar8QqWK4XOJ-eY6xMzkAfDSw0srEXcAw89ilArun8/edit"",""13!Q2:Q43""))"),6196.98299999999)</f>
        <v>6196.9829999999902</v>
      </c>
      <c r="G333" s="16">
        <f ca="1">IFERROR(__xludf.DUMMYFUNCTION("IMPORTRANGE(""https://docs.google.com/spreadsheets/d/1Rmar8QqWK4XOJ-eY6xMzkAfDSw0srEXcAw89ilArun8/edit"",""13!e50"")"),2938)</f>
        <v>2938</v>
      </c>
      <c r="H333" s="16">
        <f ca="1">IFERROR(__xludf.DUMMYFUNCTION("IMPORTRANGE(""https://docs.google.com/spreadsheets/d/1Rmar8QqWK4XOJ-eY6xMzkAfDSw0srEXcAw89ilArun8/edit"",""13!e51"")"),0)</f>
        <v>0</v>
      </c>
      <c r="I333" s="18">
        <f t="shared" ca="1" si="912"/>
        <v>2938</v>
      </c>
      <c r="J333" s="16">
        <f ca="1">IFERROR(__xludf.DUMMYFUNCTION("IMPORTRANGE(""https://docs.google.com/spreadsheets/d/1Rmar8QqWK4XOJ-eY6xMzkAfDSw0srEXcAw89ilArun8/edit"",""13!e54"")"),3680)</f>
        <v>3680</v>
      </c>
      <c r="K333" s="16">
        <f ca="1">IFERROR(__xludf.DUMMYFUNCTION("IMPORTRANGE(""https://docs.google.com/spreadsheets/d/1Rmar8QqWK4XOJ-eY6xMzkAfDSw0srEXcAw89ilArun8/edit"",""13!e55"")"),0)</f>
        <v>0</v>
      </c>
      <c r="L333" s="18">
        <f t="shared" ca="1" si="913"/>
        <v>3680</v>
      </c>
      <c r="M333" s="18">
        <f t="shared" ca="1" si="914"/>
        <v>6618</v>
      </c>
      <c r="N333" s="19">
        <f t="shared" ca="1" si="915"/>
        <v>199.90267741935452</v>
      </c>
      <c r="O333" s="16">
        <v>13817</v>
      </c>
      <c r="P333" s="20">
        <f t="shared" ca="1" si="916"/>
        <v>0.47897517550843166</v>
      </c>
      <c r="Q333" s="21">
        <v>1.5</v>
      </c>
      <c r="R333" s="20">
        <f t="shared" ca="1" si="917"/>
        <v>0.71195935183298176</v>
      </c>
      <c r="S333" s="22">
        <f t="shared" ca="1" si="918"/>
        <v>1.0679390277494727</v>
      </c>
      <c r="T333" s="21">
        <f ca="1">F333/25.089</f>
        <v>246.99999999999963</v>
      </c>
      <c r="U333" s="21">
        <f t="shared" ca="1" si="919"/>
        <v>7.9677419354838595</v>
      </c>
      <c r="V333" s="18">
        <f t="shared" ca="1" si="920"/>
        <v>213.48387096774192</v>
      </c>
      <c r="W333" s="76"/>
      <c r="X333" s="24" t="s">
        <v>33</v>
      </c>
      <c r="Y333" s="24">
        <v>6</v>
      </c>
      <c r="Z333" s="24">
        <f t="shared" ref="Z333:AI333" si="930">SUM(Z327:Z332)</f>
        <v>144</v>
      </c>
      <c r="AA333" s="25">
        <f t="shared" ca="1" si="930"/>
        <v>143</v>
      </c>
      <c r="AB333" s="26">
        <f t="shared" ca="1" si="930"/>
        <v>27038.255999999958</v>
      </c>
      <c r="AC333" s="25">
        <f t="shared" ca="1" si="930"/>
        <v>6469</v>
      </c>
      <c r="AD333" s="25">
        <f t="shared" ca="1" si="930"/>
        <v>459</v>
      </c>
      <c r="AE333" s="25">
        <f t="shared" ca="1" si="930"/>
        <v>6928</v>
      </c>
      <c r="AF333" s="25">
        <f t="shared" ca="1" si="930"/>
        <v>10275</v>
      </c>
      <c r="AG333" s="25">
        <f t="shared" ca="1" si="930"/>
        <v>603</v>
      </c>
      <c r="AH333" s="25">
        <f t="shared" ca="1" si="930"/>
        <v>10878</v>
      </c>
      <c r="AI333" s="25">
        <f t="shared" ca="1" si="930"/>
        <v>17806</v>
      </c>
      <c r="AJ333" s="27">
        <f t="shared" ca="1" si="924"/>
        <v>189.078713286713</v>
      </c>
      <c r="AK333" s="24">
        <f>SUM(AK327:AK332)</f>
        <v>35074</v>
      </c>
      <c r="AL333" s="28">
        <f t="shared" ca="1" si="902"/>
        <v>0.50766949877402068</v>
      </c>
      <c r="AM333" s="29">
        <v>1.5</v>
      </c>
      <c r="AN333" s="28">
        <f t="shared" ca="1" si="904"/>
        <v>0.43903226105510229</v>
      </c>
      <c r="AO333" s="30">
        <f t="shared" ca="1" si="905"/>
        <v>0.65854839158265344</v>
      </c>
      <c r="AP333" s="29">
        <f ca="1">SUM(AP327:AP332)</f>
        <v>1020.0940498732629</v>
      </c>
      <c r="AQ333" s="29">
        <f ca="1">AP333/AA333</f>
        <v>7.1335248242885516</v>
      </c>
      <c r="AR333" s="25">
        <f t="shared" ca="1" si="907"/>
        <v>124.51748251748252</v>
      </c>
      <c r="AS333" s="76"/>
      <c r="AT333" s="76"/>
    </row>
    <row r="334" spans="1:46" ht="15.75" customHeight="1" x14ac:dyDescent="0.25">
      <c r="A334" s="70"/>
      <c r="B334" s="16">
        <v>5</v>
      </c>
      <c r="C334" s="16" t="s">
        <v>34</v>
      </c>
      <c r="D334" s="17">
        <v>30</v>
      </c>
      <c r="E334" s="18">
        <f ca="1">IFERROR(__xludf.DUMMYFUNCTION("COUNT(IMPORTRANGE(""https://docs.google.com/spreadsheets/d/1u99JxAoytGQQ8GcjxXl38CGdyEWy5uIbuJJHnsotyvk/edit"",""13!d2:d41""))"),30)</f>
        <v>30</v>
      </c>
      <c r="F334" s="23">
        <f ca="1">IFERROR(__xludf.DUMMYFUNCTION("SUM(IMPORTRANGE(""https://docs.google.com/spreadsheets/d/1u99JxAoytGQQ8GcjxXl38CGdyEWy5uIbuJJHnsotyvk/edit"",""13!Q2:Q41""))"),5824.605)</f>
        <v>5824.6049999999996</v>
      </c>
      <c r="G334" s="18">
        <f ca="1">IFERROR(__xludf.DUMMYFUNCTION("IMPORTRANGE(""https://docs.google.com/spreadsheets/d/1u99JxAoytGQQ8GcjxXl38CGdyEWy5uIbuJJHnsotyvk/edit"",""13!e48"")"),1823)</f>
        <v>1823</v>
      </c>
      <c r="H334" s="18">
        <f ca="1">IFERROR(__xludf.DUMMYFUNCTION("IMPORTRANGE(""https://docs.google.com/spreadsheets/d/1u99JxAoytGQQ8GcjxXl38CGdyEWy5uIbuJJHnsotyvk/edit"",""13!e49"")"),66)</f>
        <v>66</v>
      </c>
      <c r="I334" s="18">
        <f t="shared" ca="1" si="912"/>
        <v>1889</v>
      </c>
      <c r="J334" s="18">
        <f ca="1">IFERROR(__xludf.DUMMYFUNCTION("IMPORTRANGE(""https://docs.google.com/spreadsheets/d/1u99JxAoytGQQ8GcjxXl38CGdyEWy5uIbuJJHnsotyvk/edit"",""13!e52"")"),1893)</f>
        <v>1893</v>
      </c>
      <c r="K334" s="18">
        <f ca="1">IFERROR(__xludf.DUMMYFUNCTION("IMPORTRANGE(""https://docs.google.com/spreadsheets/d/1u99JxAoytGQQ8GcjxXl38CGdyEWy5uIbuJJHnsotyvk/edit"",""13!e53"")"),59)</f>
        <v>59</v>
      </c>
      <c r="L334" s="18">
        <f t="shared" ca="1" si="913"/>
        <v>1952</v>
      </c>
      <c r="M334" s="18">
        <f t="shared" ca="1" si="914"/>
        <v>3841</v>
      </c>
      <c r="N334" s="19">
        <f t="shared" ca="1" si="915"/>
        <v>194.15349999999998</v>
      </c>
      <c r="O334" s="16">
        <v>9354</v>
      </c>
      <c r="P334" s="20">
        <f t="shared" ca="1" si="916"/>
        <v>0.41062646995937568</v>
      </c>
      <c r="Q334" s="21">
        <v>1.5</v>
      </c>
      <c r="R334" s="20">
        <f t="shared" ca="1" si="917"/>
        <v>0.43962923952210781</v>
      </c>
      <c r="S334" s="22">
        <f t="shared" ca="1" si="918"/>
        <v>0.65944385928316174</v>
      </c>
      <c r="T334" s="21">
        <f ca="1">F334/30.713</f>
        <v>189.64624100543742</v>
      </c>
      <c r="U334" s="21">
        <f t="shared" ca="1" si="919"/>
        <v>6.3215413668479137</v>
      </c>
      <c r="V334" s="18">
        <f t="shared" ca="1" si="920"/>
        <v>128.03333333333333</v>
      </c>
      <c r="W334" s="76"/>
      <c r="X334" s="100" t="s">
        <v>35</v>
      </c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9"/>
      <c r="AS334" s="76"/>
      <c r="AT334" s="76"/>
    </row>
    <row r="335" spans="1:46" ht="15.75" customHeight="1" x14ac:dyDescent="0.25">
      <c r="A335" s="70"/>
      <c r="B335" s="16">
        <v>6</v>
      </c>
      <c r="C335" s="16" t="s">
        <v>23</v>
      </c>
      <c r="D335" s="17">
        <v>26</v>
      </c>
      <c r="E335" s="18">
        <f ca="1">IFERROR(__xludf.DUMMYFUNCTION("COUNT(IMPORTRANGE(""https://docs.google.com/spreadsheets/d/1uVc-vnTn57HE53lwrUYNZP4sGKTXisrqOoZ-6EyvLzY/edit"",""13!d2:d36""))"),26)</f>
        <v>26</v>
      </c>
      <c r="F335" s="23">
        <f ca="1">IFERROR(__xludf.DUMMYFUNCTION("SUM(IMPORTRANGE(""https://docs.google.com/spreadsheets/d/1uVc-vnTn57HE53lwrUYNZP4sGKTXisrqOoZ-6EyvLzY/edit"",""13!Q2:Q36""))"),5195.95999999999)</f>
        <v>5195.95999999999</v>
      </c>
      <c r="G335" s="18">
        <f ca="1">IFERROR(__xludf.DUMMYFUNCTION("IMPORTRANGE(""https://docs.google.com/spreadsheets/d/1uVc-vnTn57HE53lwrUYNZP4sGKTXisrqOoZ-6EyvLzY/edit"",""13!e43"")"),1008)</f>
        <v>1008</v>
      </c>
      <c r="H335" s="18">
        <f ca="1">IFERROR(__xludf.DUMMYFUNCTION("IMPORTRANGE(""https://docs.google.com/spreadsheets/d/1uVc-vnTn57HE53lwrUYNZP4sGKTXisrqOoZ-6EyvLzY/edit"",""13!e44"")"),0)</f>
        <v>0</v>
      </c>
      <c r="I335" s="18">
        <f t="shared" ca="1" si="912"/>
        <v>1008</v>
      </c>
      <c r="J335" s="18">
        <f ca="1">IFERROR(__xludf.DUMMYFUNCTION("IMPORTRANGE(""https://docs.google.com/spreadsheets/d/1uVc-vnTn57HE53lwrUYNZP4sGKTXisrqOoZ-6EyvLzY/edit"",""13!e47"")"),1902)</f>
        <v>1902</v>
      </c>
      <c r="K335" s="18">
        <f ca="1">IFERROR(__xludf.DUMMYFUNCTION("IMPORTRANGE(""https://docs.google.com/spreadsheets/d/1uVc-vnTn57HE53lwrUYNZP4sGKTXisrqOoZ-6EyvLzY/edit"",""13!e48"")"),0)</f>
        <v>0</v>
      </c>
      <c r="L335" s="18">
        <f t="shared" ca="1" si="913"/>
        <v>1902</v>
      </c>
      <c r="M335" s="18">
        <f t="shared" ca="1" si="914"/>
        <v>2910</v>
      </c>
      <c r="N335" s="19">
        <f t="shared" ca="1" si="915"/>
        <v>199.844615384615</v>
      </c>
      <c r="O335" s="16">
        <v>6853</v>
      </c>
      <c r="P335" s="20">
        <f t="shared" ca="1" si="916"/>
        <v>0.42463154822705385</v>
      </c>
      <c r="Q335" s="21">
        <v>1.5</v>
      </c>
      <c r="R335" s="20">
        <f t="shared" ca="1" si="917"/>
        <v>0.37336700051578608</v>
      </c>
      <c r="S335" s="22">
        <f t="shared" ca="1" si="918"/>
        <v>0.56005050077367913</v>
      </c>
      <c r="T335" s="21">
        <f ca="1">F335/33.74</f>
        <v>153.99999999999969</v>
      </c>
      <c r="U335" s="21">
        <f t="shared" ca="1" si="919"/>
        <v>5.9230769230769109</v>
      </c>
      <c r="V335" s="18">
        <f t="shared" ca="1" si="920"/>
        <v>111.92307692307692</v>
      </c>
      <c r="W335" s="76"/>
      <c r="X335" s="1" t="s">
        <v>2</v>
      </c>
      <c r="Y335" s="1" t="s">
        <v>3</v>
      </c>
      <c r="Z335" s="1" t="s">
        <v>4</v>
      </c>
      <c r="AA335" s="1" t="s">
        <v>5</v>
      </c>
      <c r="AB335" s="2" t="s">
        <v>6</v>
      </c>
      <c r="AC335" s="1" t="s">
        <v>7</v>
      </c>
      <c r="AD335" s="1" t="s">
        <v>8</v>
      </c>
      <c r="AE335" s="1" t="s">
        <v>9</v>
      </c>
      <c r="AF335" s="1" t="s">
        <v>10</v>
      </c>
      <c r="AG335" s="1" t="s">
        <v>11</v>
      </c>
      <c r="AH335" s="1" t="s">
        <v>12</v>
      </c>
      <c r="AI335" s="1" t="s">
        <v>13</v>
      </c>
      <c r="AJ335" s="2" t="s">
        <v>14</v>
      </c>
      <c r="AK335" s="1" t="s">
        <v>15</v>
      </c>
      <c r="AL335" s="1" t="s">
        <v>16</v>
      </c>
      <c r="AM335" s="3" t="s">
        <v>17</v>
      </c>
      <c r="AN335" s="4" t="s">
        <v>18</v>
      </c>
      <c r="AO335" s="5" t="s">
        <v>19</v>
      </c>
      <c r="AP335" s="6" t="s">
        <v>20</v>
      </c>
      <c r="AQ335" s="6" t="s">
        <v>21</v>
      </c>
      <c r="AR335" s="7" t="s">
        <v>22</v>
      </c>
      <c r="AS335" s="76"/>
      <c r="AT335" s="76"/>
    </row>
    <row r="336" spans="1:46" ht="15.75" customHeight="1" x14ac:dyDescent="0.25">
      <c r="A336" s="70"/>
      <c r="B336" s="16">
        <v>7</v>
      </c>
      <c r="C336" s="16" t="s">
        <v>24</v>
      </c>
      <c r="D336" s="17">
        <v>35</v>
      </c>
      <c r="E336" s="31">
        <f ca="1">IFERROR(__xludf.DUMMYFUNCTION("COUNT(IMPORTRANGE(""https://docs.google.com/spreadsheets/d/1iuPvivSypupo44l6GtmR-2qZ3za7cTk7KzsOVp_kv2c/edit"",""13!d2:d45""))"),35)</f>
        <v>35</v>
      </c>
      <c r="F336" s="32">
        <f ca="1">IFERROR(__xludf.DUMMYFUNCTION("SUM(IMPORTRANGE(""https://docs.google.com/spreadsheets/d/1iuPvivSypupo44l6GtmR-2qZ3za7cTk7KzsOVp_kv2c/edit"",""13!Q2:Q45""))"),6725.72299999999)</f>
        <v>6725.72299999999</v>
      </c>
      <c r="G336" s="31">
        <f ca="1">IFERROR(__xludf.DUMMYFUNCTION("IMPORTRANGE(""https://docs.google.com/spreadsheets/d/1iuPvivSypupo44l6GtmR-2qZ3za7cTk7KzsOVp_kv2c/edit"",""13!e53"")"),690)</f>
        <v>690</v>
      </c>
      <c r="H336" s="31">
        <f ca="1">IFERROR(__xludf.DUMMYFUNCTION("IMPORTRANGE(""https://docs.google.com/spreadsheets/d/1iuPvivSypupo44l6GtmR-2qZ3za7cTk7KzsOVp_kv2c/edit"",""13!e54"")"),74)</f>
        <v>74</v>
      </c>
      <c r="I336" s="31">
        <f t="shared" ca="1" si="912"/>
        <v>764</v>
      </c>
      <c r="J336" s="31">
        <f ca="1">IFERROR(__xludf.DUMMYFUNCTION("IMPORTRANGE(""https://docs.google.com/spreadsheets/d/1iuPvivSypupo44l6GtmR-2qZ3za7cTk7KzsOVp_kv2c/edit"",""13!e57"")"),972)</f>
        <v>972</v>
      </c>
      <c r="K336" s="31">
        <f ca="1">IFERROR(__xludf.DUMMYFUNCTION("IMPORTRANGE(""https://docs.google.com/spreadsheets/d/1iuPvivSypupo44l6GtmR-2qZ3za7cTk7KzsOVp_kv2c/edit"",""13!e58"")"),98)</f>
        <v>98</v>
      </c>
      <c r="L336" s="18">
        <f t="shared" ca="1" si="913"/>
        <v>1070</v>
      </c>
      <c r="M336" s="18">
        <f t="shared" ca="1" si="914"/>
        <v>1834</v>
      </c>
      <c r="N336" s="19">
        <f t="shared" ca="1" si="915"/>
        <v>192.163514285714</v>
      </c>
      <c r="O336" s="16">
        <v>1580</v>
      </c>
      <c r="P336" s="33">
        <f t="shared" ca="1" si="916"/>
        <v>1.160759493670886</v>
      </c>
      <c r="Q336" s="21">
        <v>1.5</v>
      </c>
      <c r="R336" s="20">
        <f t="shared" ca="1" si="917"/>
        <v>0.18178962569030399</v>
      </c>
      <c r="S336" s="22">
        <f t="shared" ca="1" si="918"/>
        <v>0.27268443853545599</v>
      </c>
      <c r="T336" s="21">
        <f ca="1">F336/26.805</f>
        <v>250.91300130572617</v>
      </c>
      <c r="U336" s="21">
        <f t="shared" ca="1" si="919"/>
        <v>7.1689428944493194</v>
      </c>
      <c r="V336" s="18">
        <f t="shared" ca="1" si="920"/>
        <v>52.4</v>
      </c>
      <c r="W336" s="76"/>
      <c r="X336" s="8">
        <v>1</v>
      </c>
      <c r="Y336" s="8" t="s">
        <v>28</v>
      </c>
      <c r="Z336" s="8">
        <f t="shared" ref="Z336:AI336" si="931">SUM(D331)</f>
        <v>24</v>
      </c>
      <c r="AA336" s="9">
        <f t="shared" ca="1" si="931"/>
        <v>24</v>
      </c>
      <c r="AB336" s="11">
        <f t="shared" ca="1" si="931"/>
        <v>4582.3220000000001</v>
      </c>
      <c r="AC336" s="9">
        <f t="shared" ca="1" si="931"/>
        <v>1549</v>
      </c>
      <c r="AD336" s="9">
        <f t="shared" ca="1" si="931"/>
        <v>70</v>
      </c>
      <c r="AE336" s="9">
        <f t="shared" ca="1" si="931"/>
        <v>1619</v>
      </c>
      <c r="AF336" s="9">
        <f t="shared" ca="1" si="931"/>
        <v>1710</v>
      </c>
      <c r="AG336" s="9">
        <f t="shared" ca="1" si="931"/>
        <v>179</v>
      </c>
      <c r="AH336" s="9">
        <f t="shared" ca="1" si="931"/>
        <v>1889</v>
      </c>
      <c r="AI336" s="9">
        <f t="shared" ca="1" si="931"/>
        <v>3508</v>
      </c>
      <c r="AJ336" s="11">
        <f t="shared" ref="AJ336:AJ342" ca="1" si="932">AB336/AA336</f>
        <v>190.93008333333333</v>
      </c>
      <c r="AK336" s="8">
        <f t="shared" ref="AK336:AK337" si="933">SUM(O331)</f>
        <v>7315</v>
      </c>
      <c r="AL336" s="12">
        <f t="shared" ref="AL336:AL342" ca="1" si="934">AI336/AK336</f>
        <v>0.47956254272043747</v>
      </c>
      <c r="AM336" s="13">
        <f t="shared" ref="AM336:AM337" si="935">SUM(Q331)</f>
        <v>1.5</v>
      </c>
      <c r="AN336" s="12">
        <f t="shared" ref="AN336:AN342" ca="1" si="936">AO336/AM336</f>
        <v>0.51036716028831386</v>
      </c>
      <c r="AO336" s="14">
        <f t="shared" ref="AO336:AO342" ca="1" si="937">AI336/AB336</f>
        <v>0.76555074043247073</v>
      </c>
      <c r="AP336" s="13">
        <f t="shared" ref="AP336:AQ336" ca="1" si="938">SUM(T331)</f>
        <v>148.30960934718581</v>
      </c>
      <c r="AQ336" s="13">
        <f t="shared" ca="1" si="938"/>
        <v>6.1795670561327425</v>
      </c>
      <c r="AR336" s="9">
        <f t="shared" ref="AR336:AR342" ca="1" si="939">AI336/AA336</f>
        <v>146.16666666666666</v>
      </c>
      <c r="AS336" s="76"/>
      <c r="AT336" s="76"/>
    </row>
    <row r="337" spans="1:46" ht="15.75" customHeight="1" x14ac:dyDescent="0.25">
      <c r="A337" s="70"/>
      <c r="B337" s="16">
        <v>8</v>
      </c>
      <c r="C337" s="16" t="s">
        <v>25</v>
      </c>
      <c r="D337" s="34">
        <v>26</v>
      </c>
      <c r="E337" s="18">
        <f ca="1">IFERROR(__xludf.DUMMYFUNCTION("COUNT(IMPORTRANGE(""https://docs.google.com/spreadsheets/d/1sqWX7UerdR9KR_duBzDNfjwbPG-3hLgV1LiN2ZVZ6Js/edit"",""13!d2:D33""))"),26)</f>
        <v>26</v>
      </c>
      <c r="F337" s="23">
        <f ca="1">IFERROR(__xludf.DUMMYFUNCTION("SUM(IMPORTRANGE(""https://docs.google.com/spreadsheets/d/1sqWX7UerdR9KR_duBzDNfjwbPG-3hLgV1LiN2ZVZ6Js/edit"",""13!Q2:Q33""))"),4628.496)</f>
        <v>4628.4960000000001</v>
      </c>
      <c r="G337" s="18">
        <f ca="1">IFERROR(__xludf.DUMMYFUNCTION("IMPORTRANGE(""https://docs.google.com/spreadsheets/d/1sqWX7UerdR9KR_duBzDNfjwbPG-3hLgV1LiN2ZVZ6Js/edit"",""13!e40"")"),1361)</f>
        <v>1361</v>
      </c>
      <c r="H337" s="18">
        <f ca="1">IFERROR(__xludf.DUMMYFUNCTION("IMPORTRANGE(""https://docs.google.com/spreadsheets/d/1sqWX7UerdR9KR_duBzDNfjwbPG-3hLgV1LiN2ZVZ6Js/edit"",""13!e41"")"),313)</f>
        <v>313</v>
      </c>
      <c r="I337" s="18">
        <f t="shared" ca="1" si="912"/>
        <v>1674</v>
      </c>
      <c r="J337" s="18">
        <f ca="1">IFERROR(__xludf.DUMMYFUNCTION("IMPORTRANGE(""https://docs.google.com/spreadsheets/d/1sqWX7UerdR9KR_duBzDNfjwbPG-3hLgV1LiN2ZVZ6Js/edit"",""13!e44"")"),2348)</f>
        <v>2348</v>
      </c>
      <c r="K337" s="18">
        <f ca="1">IFERROR(__xludf.DUMMYFUNCTION("IMPORTRANGE(""https://docs.google.com/spreadsheets/d/1sqWX7UerdR9KR_duBzDNfjwbPG-3hLgV1LiN2ZVZ6Js/edit"",""13!e45"")"),337)</f>
        <v>337</v>
      </c>
      <c r="L337" s="18">
        <f ca="1">J337+K337</f>
        <v>2685</v>
      </c>
      <c r="M337" s="18">
        <f t="shared" ca="1" si="914"/>
        <v>4359</v>
      </c>
      <c r="N337" s="19">
        <f t="shared" ca="1" si="915"/>
        <v>178.01907692307694</v>
      </c>
      <c r="O337" s="16">
        <v>6622</v>
      </c>
      <c r="P337" s="20">
        <f t="shared" ca="1" si="916"/>
        <v>0.65826034430685598</v>
      </c>
      <c r="Q337" s="21">
        <v>1.5</v>
      </c>
      <c r="R337" s="20">
        <f t="shared" ca="1" si="917"/>
        <v>0.62784973779819619</v>
      </c>
      <c r="S337" s="22">
        <f t="shared" ca="1" si="918"/>
        <v>0.94177460669729429</v>
      </c>
      <c r="T337" s="21">
        <f ca="1">F337/23.84</f>
        <v>194.14832214765102</v>
      </c>
      <c r="U337" s="21">
        <f t="shared" ca="1" si="919"/>
        <v>7.4672431595250393</v>
      </c>
      <c r="V337" s="18">
        <f t="shared" ca="1" si="920"/>
        <v>167.65384615384616</v>
      </c>
      <c r="W337" s="76"/>
      <c r="X337" s="8">
        <v>2</v>
      </c>
      <c r="Y337" s="8" t="s">
        <v>30</v>
      </c>
      <c r="Z337" s="8">
        <f t="shared" ref="Z337:AI337" si="940">SUM(D332)</f>
        <v>45</v>
      </c>
      <c r="AA337" s="9">
        <f t="shared" ca="1" si="940"/>
        <v>44</v>
      </c>
      <c r="AB337" s="10">
        <f t="shared" ca="1" si="940"/>
        <v>8766.6929999999902</v>
      </c>
      <c r="AC337" s="9">
        <f t="shared" ca="1" si="940"/>
        <v>2116</v>
      </c>
      <c r="AD337" s="9">
        <f t="shared" ca="1" si="940"/>
        <v>0</v>
      </c>
      <c r="AE337" s="9">
        <f t="shared" ca="1" si="940"/>
        <v>2116</v>
      </c>
      <c r="AF337" s="9">
        <f t="shared" ca="1" si="940"/>
        <v>4302</v>
      </c>
      <c r="AG337" s="9">
        <f t="shared" ca="1" si="940"/>
        <v>0</v>
      </c>
      <c r="AH337" s="9">
        <f t="shared" ca="1" si="940"/>
        <v>4302</v>
      </c>
      <c r="AI337" s="9">
        <f t="shared" ca="1" si="940"/>
        <v>6418</v>
      </c>
      <c r="AJ337" s="11">
        <f t="shared" ca="1" si="932"/>
        <v>199.24302272727252</v>
      </c>
      <c r="AK337" s="8">
        <f t="shared" si="933"/>
        <v>11164</v>
      </c>
      <c r="AL337" s="12">
        <f t="shared" ca="1" si="934"/>
        <v>0.57488355428161952</v>
      </c>
      <c r="AM337" s="13">
        <f t="shared" si="935"/>
        <v>1.5</v>
      </c>
      <c r="AN337" s="12">
        <f t="shared" ca="1" si="936"/>
        <v>0.4880593704680512</v>
      </c>
      <c r="AO337" s="14">
        <f t="shared" ca="1" si="937"/>
        <v>0.73208905570207683</v>
      </c>
      <c r="AP337" s="13">
        <f t="shared" ref="AP337:AQ337" ca="1" si="941">SUM(T332)</f>
        <v>296.14204641421441</v>
      </c>
      <c r="AQ337" s="13">
        <f t="shared" ca="1" si="941"/>
        <v>6.7305010548685091</v>
      </c>
      <c r="AR337" s="9">
        <f t="shared" ca="1" si="939"/>
        <v>145.86363636363637</v>
      </c>
      <c r="AS337" s="76"/>
      <c r="AT337" s="76"/>
    </row>
    <row r="338" spans="1:46" ht="15.75" customHeight="1" x14ac:dyDescent="0.25">
      <c r="A338" s="70"/>
      <c r="B338" s="16">
        <v>9</v>
      </c>
      <c r="C338" s="16" t="s">
        <v>36</v>
      </c>
      <c r="D338" s="34">
        <v>23</v>
      </c>
      <c r="E338" s="18">
        <f ca="1">IFERROR(__xludf.DUMMYFUNCTION("COUNT(IMPORTRANGE(""https://docs.google.com/spreadsheets/d/1YNna43iTSqnwwbMJgTIPHSJEoDO8RGPRFg5pJCoQR_Y/edit"",""13!d2:d31""))"),23)</f>
        <v>23</v>
      </c>
      <c r="F338" s="23">
        <f ca="1">IFERROR(__xludf.DUMMYFUNCTION("SUM(IMPORTRANGE(""https://docs.google.com/spreadsheets/d/1YNna43iTSqnwwbMJgTIPHSJEoDO8RGPRFg5pJCoQR_Y/edit"",""13!Q2:Q31""))"),4445.882)</f>
        <v>4445.8819999999996</v>
      </c>
      <c r="G338" s="18">
        <f ca="1">IFERROR(__xludf.DUMMYFUNCTION("IMPORTRANGE(""https://docs.google.com/spreadsheets/d/1YNna43iTSqnwwbMJgTIPHSJEoDO8RGPRFg5pJCoQR_Y/edit"",""13!e38"")"),933)</f>
        <v>933</v>
      </c>
      <c r="H338" s="18">
        <f ca="1">IFERROR(__xludf.DUMMYFUNCTION("IMPORTRANGE(""https://docs.google.com/spreadsheets/d/1YNna43iTSqnwwbMJgTIPHSJEoDO8RGPRFg5pJCoQR_Y/edit"",""13!e39"")"),0)</f>
        <v>0</v>
      </c>
      <c r="I338" s="18">
        <f t="shared" ca="1" si="912"/>
        <v>933</v>
      </c>
      <c r="J338" s="18">
        <f ca="1">IFERROR(__xludf.DUMMYFUNCTION("IMPORTRANGE(""https://docs.google.com/spreadsheets/d/1YNna43iTSqnwwbMJgTIPHSJEoDO8RGPRFg5pJCoQR_Y/edit"",""13!e42"")"),1444)</f>
        <v>1444</v>
      </c>
      <c r="K338" s="18">
        <f ca="1">IFERROR(__xludf.DUMMYFUNCTION("IMPORTRANGE(""https://docs.google.com/spreadsheets/d/1YNna43iTSqnwwbMJgTIPHSJEoDO8RGPRFg5pJCoQR_Y/edit"",""13!e43"")"),0)</f>
        <v>0</v>
      </c>
      <c r="L338" s="18">
        <f t="shared" ref="L338:L347" ca="1" si="942">SUM(J338:K338)</f>
        <v>1444</v>
      </c>
      <c r="M338" s="18">
        <f t="shared" ca="1" si="914"/>
        <v>2377</v>
      </c>
      <c r="N338" s="19">
        <f t="shared" ca="1" si="915"/>
        <v>193.29921739130432</v>
      </c>
      <c r="O338" s="16">
        <v>4796</v>
      </c>
      <c r="P338" s="20">
        <f t="shared" ca="1" si="916"/>
        <v>0.4956213511259383</v>
      </c>
      <c r="Q338" s="21">
        <v>1.5</v>
      </c>
      <c r="R338" s="20">
        <f t="shared" ca="1" si="917"/>
        <v>0.35643471119266473</v>
      </c>
      <c r="S338" s="22">
        <f t="shared" ca="1" si="918"/>
        <v>0.53465206678899713</v>
      </c>
      <c r="T338" s="21">
        <f ca="1">F338/37.414</f>
        <v>118.82936868551877</v>
      </c>
      <c r="U338" s="21">
        <f t="shared" ca="1" si="919"/>
        <v>5.1664942906747289</v>
      </c>
      <c r="V338" s="18">
        <f t="shared" ca="1" si="920"/>
        <v>103.34782608695652</v>
      </c>
      <c r="W338" s="76"/>
      <c r="X338" s="8">
        <v>3</v>
      </c>
      <c r="Y338" s="8" t="s">
        <v>34</v>
      </c>
      <c r="Z338" s="8">
        <f t="shared" ref="Z338:AI338" si="943">SUM(D334)</f>
        <v>30</v>
      </c>
      <c r="AA338" s="9">
        <f t="shared" ca="1" si="943"/>
        <v>30</v>
      </c>
      <c r="AB338" s="10">
        <f t="shared" ca="1" si="943"/>
        <v>5824.6049999999996</v>
      </c>
      <c r="AC338" s="9">
        <f t="shared" ca="1" si="943"/>
        <v>1823</v>
      </c>
      <c r="AD338" s="9">
        <f t="shared" ca="1" si="943"/>
        <v>66</v>
      </c>
      <c r="AE338" s="9">
        <f t="shared" ca="1" si="943"/>
        <v>1889</v>
      </c>
      <c r="AF338" s="9">
        <f t="shared" ca="1" si="943"/>
        <v>1893</v>
      </c>
      <c r="AG338" s="9">
        <f t="shared" ca="1" si="943"/>
        <v>59</v>
      </c>
      <c r="AH338" s="9">
        <f t="shared" ca="1" si="943"/>
        <v>1952</v>
      </c>
      <c r="AI338" s="9">
        <f t="shared" ca="1" si="943"/>
        <v>3841</v>
      </c>
      <c r="AJ338" s="11">
        <f t="shared" ca="1" si="932"/>
        <v>194.15349999999998</v>
      </c>
      <c r="AK338" s="8">
        <f>SUM(O334)</f>
        <v>9354</v>
      </c>
      <c r="AL338" s="12">
        <f t="shared" ca="1" si="934"/>
        <v>0.41062646995937568</v>
      </c>
      <c r="AM338" s="13">
        <f>SUM(Q334)</f>
        <v>1.5</v>
      </c>
      <c r="AN338" s="12">
        <f t="shared" ca="1" si="936"/>
        <v>0.43962923952210781</v>
      </c>
      <c r="AO338" s="14">
        <f t="shared" ca="1" si="937"/>
        <v>0.65944385928316174</v>
      </c>
      <c r="AP338" s="13">
        <f t="shared" ref="AP338:AQ338" ca="1" si="944">SUM(T334)</f>
        <v>189.64624100543742</v>
      </c>
      <c r="AQ338" s="13">
        <f t="shared" ca="1" si="944"/>
        <v>6.3215413668479137</v>
      </c>
      <c r="AR338" s="9">
        <f t="shared" ca="1" si="939"/>
        <v>128.03333333333333</v>
      </c>
      <c r="AS338" s="76"/>
      <c r="AT338" s="76"/>
    </row>
    <row r="339" spans="1:46" ht="15.75" customHeight="1" x14ac:dyDescent="0.25">
      <c r="A339" s="70"/>
      <c r="B339" s="16">
        <v>10</v>
      </c>
      <c r="C339" s="16" t="s">
        <v>37</v>
      </c>
      <c r="D339" s="17">
        <v>23</v>
      </c>
      <c r="E339" s="18">
        <f ca="1">IFERROR(__xludf.DUMMYFUNCTION("COUNT(IMPORTRANGE(""https://docs.google.com/spreadsheets/d/1913Df5BsXS_b-nClL8LOK5w0engQYTl1mPOiyngRtO0/edit"",""13!d2:d31""))"),22)</f>
        <v>22</v>
      </c>
      <c r="F339" s="23">
        <f ca="1">IFERROR(__xludf.DUMMYFUNCTION("SUM(IMPORTRANGE(""https://docs.google.com/spreadsheets/d/1913Df5BsXS_b-nClL8LOK5w0engQYTl1mPOiyngRtO0/edit"",""13!Q2:Q31""))"),4459.938)</f>
        <v>4459.9380000000001</v>
      </c>
      <c r="G339" s="18">
        <f ca="1">IFERROR(__xludf.DUMMYFUNCTION("(IMPORTRANGE(""https://docs.google.com/spreadsheets/d/1913Df5BsXS_b-nClL8LOK5w0engQYTl1mPOiyngRtO0/edit"",""13!e38""))"),964)</f>
        <v>964</v>
      </c>
      <c r="H339" s="18">
        <f ca="1">IFERROR(__xludf.DUMMYFUNCTION("(IMPORTRANGE(""https://docs.google.com/spreadsheets/d/1913Df5BsXS_b-nClL8LOK5w0engQYTl1mPOiyngRtO0/edit"",""13!e39""))"),0)</f>
        <v>0</v>
      </c>
      <c r="I339" s="18">
        <f t="shared" ca="1" si="912"/>
        <v>964</v>
      </c>
      <c r="J339" s="18">
        <f ca="1">IFERROR(__xludf.DUMMYFUNCTION("(IMPORTRANGE(""https://docs.google.com/spreadsheets/d/1913Df5BsXS_b-nClL8LOK5w0engQYTl1mPOiyngRtO0/edit"",""13!e42""))"),1992)</f>
        <v>1992</v>
      </c>
      <c r="K339" s="18">
        <f ca="1">IFERROR(__xludf.DUMMYFUNCTION("(IMPORTRANGE(""https://docs.google.com/spreadsheets/d/1913Df5BsXS_b-nClL8LOK5w0engQYTl1mPOiyngRtO0/edit"",""13!e43""))"),0)</f>
        <v>0</v>
      </c>
      <c r="L339" s="18">
        <f t="shared" ca="1" si="942"/>
        <v>1992</v>
      </c>
      <c r="M339" s="18">
        <f t="shared" ca="1" si="914"/>
        <v>2956</v>
      </c>
      <c r="N339" s="19">
        <f t="shared" ca="1" si="915"/>
        <v>202.72445454545456</v>
      </c>
      <c r="O339" s="16">
        <v>5887</v>
      </c>
      <c r="P339" s="20">
        <f t="shared" ca="1" si="916"/>
        <v>0.50212332257516556</v>
      </c>
      <c r="Q339" s="21">
        <v>1.5</v>
      </c>
      <c r="R339" s="20">
        <f t="shared" ca="1" si="917"/>
        <v>0.4418596551491672</v>
      </c>
      <c r="S339" s="22">
        <f t="shared" ca="1" si="918"/>
        <v>0.66278948272375082</v>
      </c>
      <c r="T339" s="21">
        <f ca="1">F339/24.792</f>
        <v>179.89424007744432</v>
      </c>
      <c r="U339" s="21">
        <f t="shared" ca="1" si="919"/>
        <v>8.1770109126111059</v>
      </c>
      <c r="V339" s="18">
        <f t="shared" ca="1" si="920"/>
        <v>134.36363636363637</v>
      </c>
      <c r="W339" s="76"/>
      <c r="X339" s="8">
        <v>4</v>
      </c>
      <c r="Y339" s="8" t="s">
        <v>38</v>
      </c>
      <c r="Z339" s="8">
        <f t="shared" ref="Z339:AI339" si="945">SUM(D342)</f>
        <v>23</v>
      </c>
      <c r="AA339" s="9">
        <f t="shared" ca="1" si="945"/>
        <v>23</v>
      </c>
      <c r="AB339" s="10">
        <f t="shared" ca="1" si="945"/>
        <v>4573.7550000000001</v>
      </c>
      <c r="AC339" s="9">
        <f t="shared" ca="1" si="945"/>
        <v>1433</v>
      </c>
      <c r="AD339" s="9">
        <f t="shared" ca="1" si="945"/>
        <v>10</v>
      </c>
      <c r="AE339" s="9">
        <f t="shared" ca="1" si="945"/>
        <v>1443</v>
      </c>
      <c r="AF339" s="9">
        <f t="shared" ca="1" si="945"/>
        <v>1716</v>
      </c>
      <c r="AG339" s="9">
        <f t="shared" ca="1" si="945"/>
        <v>0</v>
      </c>
      <c r="AH339" s="9">
        <f t="shared" ca="1" si="945"/>
        <v>1716</v>
      </c>
      <c r="AI339" s="9">
        <f t="shared" ca="1" si="945"/>
        <v>3159</v>
      </c>
      <c r="AJ339" s="11">
        <f t="shared" ca="1" si="932"/>
        <v>198.85891304347825</v>
      </c>
      <c r="AK339" s="8">
        <v>7324</v>
      </c>
      <c r="AL339" s="12">
        <f t="shared" ca="1" si="934"/>
        <v>0.4313216821409066</v>
      </c>
      <c r="AM339" s="13">
        <f>SUM(Q342)</f>
        <v>1.5</v>
      </c>
      <c r="AN339" s="12">
        <f t="shared" ca="1" si="936"/>
        <v>0.46045317250268103</v>
      </c>
      <c r="AO339" s="14">
        <f t="shared" ca="1" si="937"/>
        <v>0.69067975875402154</v>
      </c>
      <c r="AP339" s="13">
        <f t="shared" ref="AP339:AQ339" ca="1" si="946">SUM(T342)</f>
        <v>111.00000000000001</v>
      </c>
      <c r="AQ339" s="13">
        <f t="shared" ca="1" si="946"/>
        <v>4.8260869565217401</v>
      </c>
      <c r="AR339" s="9">
        <f t="shared" ca="1" si="939"/>
        <v>137.34782608695653</v>
      </c>
      <c r="AS339" s="76"/>
      <c r="AT339" s="76"/>
    </row>
    <row r="340" spans="1:46" ht="15.75" customHeight="1" x14ac:dyDescent="0.25">
      <c r="A340" s="70"/>
      <c r="B340" s="16">
        <v>12</v>
      </c>
      <c r="C340" s="16" t="s">
        <v>39</v>
      </c>
      <c r="D340" s="17">
        <v>21</v>
      </c>
      <c r="E340" s="18">
        <f ca="1">IFERROR(__xludf.DUMMYFUNCTION("COUNT(IMPORTRANGE(""https://docs.google.com/spreadsheets/d/1wMeol_MpSIcocGxt3WZGl46mJ2tc80mANPvP_YzaP18/edit"",""13!d2:d29""))"),21)</f>
        <v>21</v>
      </c>
      <c r="F340" s="23">
        <f ca="1">IFERROR(__xludf.DUMMYFUNCTION("SUM(IMPORTRANGE(""https://docs.google.com/spreadsheets/d/1wMeol_MpSIcocGxt3WZGl46mJ2tc80mANPvP_YzaP18/edit"",""13!Q2:Q29""))"),4104.89)</f>
        <v>4104.8900000000003</v>
      </c>
      <c r="G340" s="18">
        <f ca="1">IFERROR(__xludf.DUMMYFUNCTION("IMPORTRANGE(""https://docs.google.com/spreadsheets/d/1wMeol_MpSIcocGxt3WZGl46mJ2tc80mANPvP_YzaP18/edit"",""13!e36"")"),815)</f>
        <v>815</v>
      </c>
      <c r="H340" s="18">
        <f ca="1">IFERROR(__xludf.DUMMYFUNCTION("(IMPORTRANGE(""https://docs.google.com/spreadsheets/d/1wMeol_MpSIcocGxt3WZGl46mJ2tc80mANPvP_YzaP18/edit"",""13!e37""))"),0)</f>
        <v>0</v>
      </c>
      <c r="I340" s="18">
        <f t="shared" ca="1" si="912"/>
        <v>815</v>
      </c>
      <c r="J340" s="18">
        <f ca="1">IFERROR(__xludf.DUMMYFUNCTION("IMPORTRANGE(""https://docs.google.com/spreadsheets/d/1wMeol_MpSIcocGxt3WZGl46mJ2tc80mANPvP_YzaP18/edit"",""13!e40"")"),1786)</f>
        <v>1786</v>
      </c>
      <c r="K340" s="18">
        <f ca="1">IFERROR(__xludf.DUMMYFUNCTION("IMPORTRANGE(""https://docs.google.com/spreadsheets/d/1wMeol_MpSIcocGxt3WZGl46mJ2tc80mANPvP_YzaP18/edit"",""13!e41"")"),0)</f>
        <v>0</v>
      </c>
      <c r="L340" s="18">
        <f t="shared" ca="1" si="942"/>
        <v>1786</v>
      </c>
      <c r="M340" s="18">
        <f t="shared" ca="1" si="914"/>
        <v>2601</v>
      </c>
      <c r="N340" s="19">
        <f t="shared" ca="1" si="915"/>
        <v>195.47095238095238</v>
      </c>
      <c r="O340" s="16">
        <v>3569</v>
      </c>
      <c r="P340" s="20">
        <f t="shared" ca="1" si="916"/>
        <v>0.72877556738582239</v>
      </c>
      <c r="Q340" s="21">
        <v>1.5</v>
      </c>
      <c r="R340" s="20">
        <f t="shared" ca="1" si="917"/>
        <v>0.42242301255332054</v>
      </c>
      <c r="S340" s="22">
        <f t="shared" ca="1" si="918"/>
        <v>0.63363451882998079</v>
      </c>
      <c r="T340" s="21">
        <f ca="1">F340/21.463</f>
        <v>191.25425150258584</v>
      </c>
      <c r="U340" s="21">
        <f t="shared" ca="1" si="919"/>
        <v>9.107345309646945</v>
      </c>
      <c r="V340" s="18">
        <f t="shared" ca="1" si="920"/>
        <v>123.85714285714286</v>
      </c>
      <c r="W340" s="76"/>
      <c r="X340" s="8">
        <v>5</v>
      </c>
      <c r="Y340" s="8" t="s">
        <v>40</v>
      </c>
      <c r="Z340" s="8">
        <f t="shared" ref="Z340:AI340" si="947">SUM(D344)</f>
        <v>23</v>
      </c>
      <c r="AA340" s="9">
        <f t="shared" ca="1" si="947"/>
        <v>23</v>
      </c>
      <c r="AB340" s="10">
        <f t="shared" ca="1" si="947"/>
        <v>4450.6629999999996</v>
      </c>
      <c r="AC340" s="9">
        <f t="shared" ca="1" si="947"/>
        <v>2093</v>
      </c>
      <c r="AD340" s="9">
        <f t="shared" ca="1" si="947"/>
        <v>62</v>
      </c>
      <c r="AE340" s="9">
        <f t="shared" ca="1" si="947"/>
        <v>2155</v>
      </c>
      <c r="AF340" s="9">
        <f t="shared" ca="1" si="947"/>
        <v>2727</v>
      </c>
      <c r="AG340" s="9">
        <f t="shared" ca="1" si="947"/>
        <v>0</v>
      </c>
      <c r="AH340" s="9">
        <f t="shared" ca="1" si="947"/>
        <v>2727</v>
      </c>
      <c r="AI340" s="9">
        <f t="shared" ca="1" si="947"/>
        <v>4882</v>
      </c>
      <c r="AJ340" s="11">
        <f t="shared" ca="1" si="932"/>
        <v>193.50708695652173</v>
      </c>
      <c r="AK340" s="8">
        <f t="shared" ref="AK340:AK341" si="948">SUM(O344)</f>
        <v>8239</v>
      </c>
      <c r="AL340" s="12">
        <f t="shared" ca="1" si="934"/>
        <v>0.59254763927661125</v>
      </c>
      <c r="AM340" s="13">
        <f t="shared" ref="AM340:AM341" si="949">SUM(Q344)</f>
        <v>1.5</v>
      </c>
      <c r="AN340" s="12">
        <f t="shared" ca="1" si="936"/>
        <v>0.73127681576130721</v>
      </c>
      <c r="AO340" s="14">
        <f t="shared" ca="1" si="937"/>
        <v>1.0969152236419608</v>
      </c>
      <c r="AP340" s="13">
        <f t="shared" ref="AP340:AQ340" ca="1" si="950">SUM(T344)</f>
        <v>156.47656716942654</v>
      </c>
      <c r="AQ340" s="13">
        <f t="shared" ca="1" si="950"/>
        <v>6.8033290073663713</v>
      </c>
      <c r="AR340" s="9">
        <f t="shared" ca="1" si="939"/>
        <v>212.2608695652174</v>
      </c>
      <c r="AS340" s="76"/>
      <c r="AT340" s="76"/>
    </row>
    <row r="341" spans="1:46" ht="15.75" customHeight="1" x14ac:dyDescent="0.25">
      <c r="A341" s="70"/>
      <c r="B341" s="16">
        <v>12</v>
      </c>
      <c r="C341" s="16" t="s">
        <v>41</v>
      </c>
      <c r="D341" s="17">
        <v>19</v>
      </c>
      <c r="E341" s="18">
        <f ca="1">IFERROR(__xludf.DUMMYFUNCTION("COUNT(IMPORTRANGE(""https://docs.google.com/spreadsheets/d/1sHk6_yuc4kORC_xnhEeazoemV_hVUQVqRpfoNae-PLk/edit"",""13!d2:d25""))"),19)</f>
        <v>19</v>
      </c>
      <c r="F341" s="23">
        <f ca="1">IFERROR(__xludf.DUMMYFUNCTION("SUM(IMPORTRANGE(""https://docs.google.com/spreadsheets/d/1sHk6_yuc4kORC_xnhEeazoemV_hVUQVqRpfoNae-PLk/edit"",""13!Q2:Q25""))"),3802.26)</f>
        <v>3802.26</v>
      </c>
      <c r="G341" s="18">
        <f ca="1">IFERROR(__xludf.DUMMYFUNCTION("IMPORTRANGE(""https://docs.google.com/spreadsheets/d/1sHk6_yuc4kORC_xnhEeazoemV_hVUQVqRpfoNae-PLk/edit"",""13!e32"")"),813)</f>
        <v>813</v>
      </c>
      <c r="H341" s="18">
        <f ca="1">IFERROR(__xludf.DUMMYFUNCTION("IMPORTRANGE(""https://docs.google.com/spreadsheets/d/1sHk6_yuc4kORC_xnhEeazoemV_hVUQVqRpfoNae-PLk/edit"",""13!e33"")"),0)</f>
        <v>0</v>
      </c>
      <c r="I341" s="18">
        <f t="shared" ca="1" si="912"/>
        <v>813</v>
      </c>
      <c r="J341" s="18">
        <f ca="1">IFERROR(__xludf.DUMMYFUNCTION("IMPORTRANGE(""https://docs.google.com/spreadsheets/d/1sHk6_yuc4kORC_xnhEeazoemV_hVUQVqRpfoNae-PLk/edit"",""13!e36"")"),1215)</f>
        <v>1215</v>
      </c>
      <c r="K341" s="18">
        <f ca="1">IFERROR(__xludf.DUMMYFUNCTION("IMPORTRANGE(""https://docs.google.com/spreadsheets/d/1sHk6_yuc4kORC_xnhEeazoemV_hVUQVqRpfoNae-PLk/edit"",""13!e37"")"),0)</f>
        <v>0</v>
      </c>
      <c r="L341" s="18">
        <f t="shared" ca="1" si="942"/>
        <v>1215</v>
      </c>
      <c r="M341" s="18">
        <f t="shared" ca="1" si="914"/>
        <v>2028</v>
      </c>
      <c r="N341" s="19">
        <f t="shared" ca="1" si="915"/>
        <v>200.11894736842106</v>
      </c>
      <c r="O341" s="16">
        <v>3801</v>
      </c>
      <c r="P341" s="20">
        <f t="shared" ca="1" si="916"/>
        <v>0.53354380426203629</v>
      </c>
      <c r="Q341" s="21">
        <v>1.5</v>
      </c>
      <c r="R341" s="20">
        <f t="shared" ca="1" si="917"/>
        <v>0.35557799834835069</v>
      </c>
      <c r="S341" s="22">
        <f t="shared" ca="1" si="918"/>
        <v>0.53336699752252603</v>
      </c>
      <c r="T341" s="21">
        <f ca="1">F341/29.628</f>
        <v>128.33333333333334</v>
      </c>
      <c r="U341" s="21">
        <f t="shared" ca="1" si="919"/>
        <v>6.7543859649122808</v>
      </c>
      <c r="V341" s="18">
        <f t="shared" ca="1" si="920"/>
        <v>106.73684210526316</v>
      </c>
      <c r="W341" s="76"/>
      <c r="X341" s="8">
        <v>6</v>
      </c>
      <c r="Y341" s="8" t="s">
        <v>42</v>
      </c>
      <c r="Z341" s="8">
        <f t="shared" ref="Z341:AI341" si="951">SUM(D345)</f>
        <v>24</v>
      </c>
      <c r="AA341" s="9">
        <f t="shared" ca="1" si="951"/>
        <v>24</v>
      </c>
      <c r="AB341" s="10">
        <f t="shared" ca="1" si="951"/>
        <v>4655.5899999999901</v>
      </c>
      <c r="AC341" s="9">
        <f t="shared" ca="1" si="951"/>
        <v>2065</v>
      </c>
      <c r="AD341" s="9">
        <f t="shared" ca="1" si="951"/>
        <v>0</v>
      </c>
      <c r="AE341" s="9">
        <f t="shared" ca="1" si="951"/>
        <v>2065</v>
      </c>
      <c r="AF341" s="9">
        <f t="shared" ca="1" si="951"/>
        <v>2732</v>
      </c>
      <c r="AG341" s="9">
        <f t="shared" ca="1" si="951"/>
        <v>0</v>
      </c>
      <c r="AH341" s="9">
        <f t="shared" ca="1" si="951"/>
        <v>2732</v>
      </c>
      <c r="AI341" s="9">
        <f t="shared" ca="1" si="951"/>
        <v>4797</v>
      </c>
      <c r="AJ341" s="11">
        <f t="shared" ca="1" si="932"/>
        <v>193.98291666666626</v>
      </c>
      <c r="AK341" s="8">
        <f t="shared" si="948"/>
        <v>9877</v>
      </c>
      <c r="AL341" s="12">
        <f t="shared" ca="1" si="934"/>
        <v>0.4856737875873241</v>
      </c>
      <c r="AM341" s="13">
        <f t="shared" si="949"/>
        <v>1.5</v>
      </c>
      <c r="AN341" s="12">
        <f t="shared" ca="1" si="936"/>
        <v>0.6869161588541961</v>
      </c>
      <c r="AO341" s="14">
        <f t="shared" ca="1" si="937"/>
        <v>1.0303742382812942</v>
      </c>
      <c r="AP341" s="13">
        <f t="shared" ref="AP341:AQ341" ca="1" si="952">SUM(T345)</f>
        <v>177.9999999999996</v>
      </c>
      <c r="AQ341" s="13">
        <f t="shared" ca="1" si="952"/>
        <v>7.4166666666666501</v>
      </c>
      <c r="AR341" s="9">
        <f t="shared" ca="1" si="939"/>
        <v>199.875</v>
      </c>
      <c r="AS341" s="76"/>
      <c r="AT341" s="76"/>
    </row>
    <row r="342" spans="1:46" ht="15.75" customHeight="1" x14ac:dyDescent="0.25">
      <c r="A342" s="70"/>
      <c r="B342" s="16">
        <v>13</v>
      </c>
      <c r="C342" s="16" t="s">
        <v>43</v>
      </c>
      <c r="D342" s="17">
        <v>23</v>
      </c>
      <c r="E342" s="18">
        <f ca="1">IFERROR(__xludf.DUMMYFUNCTION("COUNT(IMPORTRANGE(""https://docs.google.com/spreadsheets/d/1uGXvAN2jA6kmcEHUY4KqOHHewllZsujDdA6KVDfBCoA/edit"",""13!d2:d31""))"),23)</f>
        <v>23</v>
      </c>
      <c r="F342" s="23">
        <f ca="1">IFERROR(__xludf.DUMMYFUNCTION("SUM(IMPORTRANGE(""https://docs.google.com/spreadsheets/d/1uGXvAN2jA6kmcEHUY4KqOHHewllZsujDdA6KVDfBCoA/edit"",""13!Q2:Q31""))"),4573.755)</f>
        <v>4573.7550000000001</v>
      </c>
      <c r="G342" s="18">
        <f ca="1">IFERROR(__xludf.DUMMYFUNCTION("IMPORTRANGE(""https://docs.google.com/spreadsheets/d/1uGXvAN2jA6kmcEHUY4KqOHHewllZsujDdA6KVDfBCoA/edit"",""13!e38"")"),1433)</f>
        <v>1433</v>
      </c>
      <c r="H342" s="18">
        <f ca="1">IFERROR(__xludf.DUMMYFUNCTION("IMPORTRANGE(""https://docs.google.com/spreadsheets/d/1uGXvAN2jA6kmcEHUY4KqOHHewllZsujDdA6KVDfBCoA/edit"",""13!e39"")"),10)</f>
        <v>10</v>
      </c>
      <c r="I342" s="18">
        <f t="shared" ca="1" si="912"/>
        <v>1443</v>
      </c>
      <c r="J342" s="18">
        <f ca="1">IFERROR(__xludf.DUMMYFUNCTION("IMPORTRANGE(""https://docs.google.com/spreadsheets/d/1uGXvAN2jA6kmcEHUY4KqOHHewllZsujDdA6KVDfBCoA/edit"",""13!e42"")"),1716)</f>
        <v>1716</v>
      </c>
      <c r="K342" s="18">
        <f ca="1">IFERROR(__xludf.DUMMYFUNCTION("IMPORTRANGE(""https://docs.google.com/spreadsheets/d/1uGXvAN2jA6kmcEHUY4KqOHHewllZsujDdA6KVDfBCoA/edit"",""13!e43"")"),0)</f>
        <v>0</v>
      </c>
      <c r="L342" s="18">
        <f t="shared" ca="1" si="942"/>
        <v>1716</v>
      </c>
      <c r="M342" s="18">
        <f t="shared" ca="1" si="914"/>
        <v>3159</v>
      </c>
      <c r="N342" s="19">
        <f t="shared" ca="1" si="915"/>
        <v>198.85891304347825</v>
      </c>
      <c r="O342" s="16">
        <v>8345</v>
      </c>
      <c r="P342" s="20">
        <f t="shared" ca="1" si="916"/>
        <v>0.3785500299580587</v>
      </c>
      <c r="Q342" s="21">
        <v>1.5</v>
      </c>
      <c r="R342" s="20">
        <f t="shared" ca="1" si="917"/>
        <v>0.46045317250268103</v>
      </c>
      <c r="S342" s="22">
        <f t="shared" ca="1" si="918"/>
        <v>0.69067975875402154</v>
      </c>
      <c r="T342" s="21">
        <f ca="1">F342/41.205</f>
        <v>111.00000000000001</v>
      </c>
      <c r="U342" s="21">
        <f t="shared" ca="1" si="919"/>
        <v>4.8260869565217401</v>
      </c>
      <c r="V342" s="18">
        <f t="shared" ca="1" si="920"/>
        <v>137.34782608695653</v>
      </c>
      <c r="W342" s="76"/>
      <c r="X342" s="24" t="s">
        <v>33</v>
      </c>
      <c r="Y342" s="24">
        <v>6</v>
      </c>
      <c r="Z342" s="24">
        <f t="shared" ref="Z342:AI342" si="953">SUM(Z336:Z341)</f>
        <v>169</v>
      </c>
      <c r="AA342" s="25">
        <f t="shared" ca="1" si="953"/>
        <v>168</v>
      </c>
      <c r="AB342" s="27">
        <f t="shared" ca="1" si="953"/>
        <v>32853.627999999982</v>
      </c>
      <c r="AC342" s="25">
        <f t="shared" ca="1" si="953"/>
        <v>11079</v>
      </c>
      <c r="AD342" s="25">
        <f t="shared" ca="1" si="953"/>
        <v>208</v>
      </c>
      <c r="AE342" s="25">
        <f t="shared" ca="1" si="953"/>
        <v>11287</v>
      </c>
      <c r="AF342" s="25">
        <f t="shared" ca="1" si="953"/>
        <v>15080</v>
      </c>
      <c r="AG342" s="25">
        <f t="shared" ca="1" si="953"/>
        <v>238</v>
      </c>
      <c r="AH342" s="25">
        <f t="shared" ca="1" si="953"/>
        <v>15318</v>
      </c>
      <c r="AI342" s="25">
        <f t="shared" ca="1" si="953"/>
        <v>26605</v>
      </c>
      <c r="AJ342" s="27">
        <f t="shared" ca="1" si="932"/>
        <v>195.55730952380941</v>
      </c>
      <c r="AK342" s="24">
        <f>SUM(AK336:AK341)</f>
        <v>53273</v>
      </c>
      <c r="AL342" s="28">
        <f t="shared" ca="1" si="934"/>
        <v>0.49940870609877425</v>
      </c>
      <c r="AM342" s="29">
        <v>1.5</v>
      </c>
      <c r="AN342" s="28">
        <f t="shared" ca="1" si="936"/>
        <v>0.53986934613938764</v>
      </c>
      <c r="AO342" s="30">
        <f t="shared" ca="1" si="937"/>
        <v>0.8098040192090814</v>
      </c>
      <c r="AP342" s="29">
        <f ca="1">SUM(AP336:AP341)</f>
        <v>1079.5744639362638</v>
      </c>
      <c r="AQ342" s="29">
        <f ca="1">AP342/AA342</f>
        <v>6.4260384758110938</v>
      </c>
      <c r="AR342" s="25">
        <f t="shared" ca="1" si="939"/>
        <v>158.36309523809524</v>
      </c>
      <c r="AS342" s="76"/>
      <c r="AT342" s="76"/>
    </row>
    <row r="343" spans="1:46" ht="15.75" customHeight="1" x14ac:dyDescent="0.25">
      <c r="A343" s="70"/>
      <c r="B343" s="16">
        <v>14</v>
      </c>
      <c r="C343" s="16" t="s">
        <v>27</v>
      </c>
      <c r="D343" s="17">
        <v>23</v>
      </c>
      <c r="E343" s="18">
        <f ca="1">IFERROR(__xludf.DUMMYFUNCTION("COUNT(IMPORTRANGE(""https://docs.google.com/spreadsheets/d/1iYtf3wkjJIgOL8ej0-L89wY8FLXKi6EiRbi9UqA1Bzw/edit"",""13!d2:d31""))"),22)</f>
        <v>22</v>
      </c>
      <c r="F343" s="23">
        <f ca="1">IFERROR(__xludf.DUMMYFUNCTION("SUM(IMPORTRANGE(""https://docs.google.com/spreadsheets/d/1iYtf3wkjJIgOL8ej0-L89wY8FLXKi6EiRbi9UqA1Bzw/edit"",""13!Q2:Q31""))"),4366.58499999999)</f>
        <v>4366.58499999999</v>
      </c>
      <c r="G343" s="18">
        <f ca="1">IFERROR(__xludf.DUMMYFUNCTION("IMPORTRANGE(""https://docs.google.com/spreadsheets/d/1iYtf3wkjJIgOL8ej0-L89wY8FLXKi6EiRbi9UqA1Bzw/edit"",""13!e38"")"),1470)</f>
        <v>1470</v>
      </c>
      <c r="H343" s="18">
        <f ca="1">IFERROR(__xludf.DUMMYFUNCTION("IMPORTRANGE(""https://docs.google.com/spreadsheets/d/1iYtf3wkjJIgOL8ej0-L89wY8FLXKi6EiRbi9UqA1Bzw/edit"",""13!e39"")"),60)</f>
        <v>60</v>
      </c>
      <c r="I343" s="18">
        <f t="shared" ca="1" si="912"/>
        <v>1530</v>
      </c>
      <c r="J343" s="18">
        <f ca="1">IFERROR(__xludf.DUMMYFUNCTION("IMPORTRANGE(""https://docs.google.com/spreadsheets/d/1iYtf3wkjJIgOL8ej0-L89wY8FLXKi6EiRbi9UqA1Bzw/edit"",""13!e42"")"),2031)</f>
        <v>2031</v>
      </c>
      <c r="K343" s="18">
        <f ca="1">IFERROR(__xludf.DUMMYFUNCTION("IMPORTRANGE(""https://docs.google.com/spreadsheets/d/1iYtf3wkjJIgOL8ej0-L89wY8FLXKi6EiRbi9UqA1Bzw/edit"",""13!e43"")"),168)</f>
        <v>168</v>
      </c>
      <c r="L343" s="18">
        <f t="shared" ca="1" si="942"/>
        <v>2199</v>
      </c>
      <c r="M343" s="18">
        <f t="shared" ca="1" si="914"/>
        <v>3729</v>
      </c>
      <c r="N343" s="19">
        <f t="shared" ca="1" si="915"/>
        <v>198.4811363636359</v>
      </c>
      <c r="O343" s="16">
        <v>8101</v>
      </c>
      <c r="P343" s="20">
        <f t="shared" ca="1" si="916"/>
        <v>0.46031354153808174</v>
      </c>
      <c r="Q343" s="21">
        <v>1.5</v>
      </c>
      <c r="R343" s="20">
        <f t="shared" ca="1" si="917"/>
        <v>0.56932362475481535</v>
      </c>
      <c r="S343" s="22">
        <f t="shared" ca="1" si="918"/>
        <v>0.85398543713222308</v>
      </c>
      <c r="T343" s="21">
        <f ca="1">F343/19.985</f>
        <v>218.49311983987943</v>
      </c>
      <c r="U343" s="21">
        <f t="shared" ca="1" si="919"/>
        <v>9.9315054472672468</v>
      </c>
      <c r="V343" s="18">
        <f t="shared" ca="1" si="920"/>
        <v>169.5</v>
      </c>
      <c r="W343" s="76"/>
      <c r="X343" s="97" t="s">
        <v>44</v>
      </c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9"/>
      <c r="AS343" s="76"/>
      <c r="AT343" s="76"/>
    </row>
    <row r="344" spans="1:46" ht="15.75" customHeight="1" x14ac:dyDescent="0.25">
      <c r="A344" s="70"/>
      <c r="B344" s="16">
        <v>15</v>
      </c>
      <c r="C344" s="16" t="s">
        <v>40</v>
      </c>
      <c r="D344" s="17">
        <v>23</v>
      </c>
      <c r="E344" s="18">
        <f ca="1">IFERROR(__xludf.DUMMYFUNCTION("COUNT(IMPORTRANGE(""https://docs.google.com/spreadsheets/d/1Wdf8MsoDBzMSsrzOXwaGQzbVjVqOWfKSqYmbncevZgA/edit"",""13!d2:d31""))"),23)</f>
        <v>23</v>
      </c>
      <c r="F344" s="23">
        <f ca="1">IFERROR(__xludf.DUMMYFUNCTION("SUM(IMPORTRANGE(""https://docs.google.com/spreadsheets/d/1Wdf8MsoDBzMSsrzOXwaGQzbVjVqOWfKSqYmbncevZgA/edit"",""13!Q2:Q31""))"),4450.663)</f>
        <v>4450.6629999999996</v>
      </c>
      <c r="G344" s="18">
        <f ca="1">IFERROR(__xludf.DUMMYFUNCTION("IMPORTRANGE(""https://docs.google.com/spreadsheets/d/1Wdf8MsoDBzMSsrzOXwaGQzbVjVqOWfKSqYmbncevZgA/edit"",""13!e38"")"),2093)</f>
        <v>2093</v>
      </c>
      <c r="H344" s="18">
        <f ca="1">IFERROR(__xludf.DUMMYFUNCTION("IMPORTRANGE(""https://docs.google.com/spreadsheets/d/1Wdf8MsoDBzMSsrzOXwaGQzbVjVqOWfKSqYmbncevZgA/edit"",""13!e39"")"),62)</f>
        <v>62</v>
      </c>
      <c r="I344" s="18">
        <f t="shared" ca="1" si="912"/>
        <v>2155</v>
      </c>
      <c r="J344" s="18">
        <f ca="1">IFERROR(__xludf.DUMMYFUNCTION("IMPORTRANGE(""https://docs.google.com/spreadsheets/d/1Wdf8MsoDBzMSsrzOXwaGQzbVjVqOWfKSqYmbncevZgA/edit"",""13!e42"")"),2727)</f>
        <v>2727</v>
      </c>
      <c r="K344" s="18">
        <f ca="1">IFERROR(__xludf.DUMMYFUNCTION("IMPORTRANGE(""https://docs.google.com/spreadsheets/d/1Wdf8MsoDBzMSsrzOXwaGQzbVjVqOWfKSqYmbncevZgA/edit"",""13!e43"")"),0)</f>
        <v>0</v>
      </c>
      <c r="L344" s="18">
        <f t="shared" ca="1" si="942"/>
        <v>2727</v>
      </c>
      <c r="M344" s="18">
        <f t="shared" ca="1" si="914"/>
        <v>4882</v>
      </c>
      <c r="N344" s="19">
        <f t="shared" ca="1" si="915"/>
        <v>193.50708695652173</v>
      </c>
      <c r="O344" s="16">
        <v>8239</v>
      </c>
      <c r="P344" s="20">
        <f t="shared" ca="1" si="916"/>
        <v>0.59254763927661125</v>
      </c>
      <c r="Q344" s="21">
        <v>1.5</v>
      </c>
      <c r="R344" s="20">
        <f t="shared" ca="1" si="917"/>
        <v>0.73127681576130721</v>
      </c>
      <c r="S344" s="22">
        <f t="shared" ca="1" si="918"/>
        <v>1.0969152236419608</v>
      </c>
      <c r="T344" s="21">
        <f ca="1">F344/28.443</f>
        <v>156.47656716942654</v>
      </c>
      <c r="U344" s="21">
        <f t="shared" ca="1" si="919"/>
        <v>6.8033290073663713</v>
      </c>
      <c r="V344" s="18">
        <f t="shared" ca="1" si="920"/>
        <v>212.2608695652174</v>
      </c>
      <c r="W344" s="76"/>
      <c r="X344" s="1" t="s">
        <v>2</v>
      </c>
      <c r="Y344" s="1" t="s">
        <v>3</v>
      </c>
      <c r="Z344" s="1" t="s">
        <v>4</v>
      </c>
      <c r="AA344" s="1" t="s">
        <v>5</v>
      </c>
      <c r="AB344" s="2" t="s">
        <v>6</v>
      </c>
      <c r="AC344" s="1" t="s">
        <v>7</v>
      </c>
      <c r="AD344" s="1" t="s">
        <v>8</v>
      </c>
      <c r="AE344" s="1" t="s">
        <v>9</v>
      </c>
      <c r="AF344" s="1" t="s">
        <v>10</v>
      </c>
      <c r="AG344" s="1" t="s">
        <v>11</v>
      </c>
      <c r="AH344" s="1" t="s">
        <v>12</v>
      </c>
      <c r="AI344" s="1" t="s">
        <v>13</v>
      </c>
      <c r="AJ344" s="2" t="s">
        <v>14</v>
      </c>
      <c r="AK344" s="1" t="s">
        <v>15</v>
      </c>
      <c r="AL344" s="1" t="s">
        <v>16</v>
      </c>
      <c r="AM344" s="3" t="s">
        <v>17</v>
      </c>
      <c r="AN344" s="4" t="s">
        <v>18</v>
      </c>
      <c r="AO344" s="5" t="s">
        <v>19</v>
      </c>
      <c r="AP344" s="6" t="s">
        <v>20</v>
      </c>
      <c r="AQ344" s="6" t="s">
        <v>21</v>
      </c>
      <c r="AR344" s="7" t="s">
        <v>22</v>
      </c>
      <c r="AS344" s="76"/>
      <c r="AT344" s="76"/>
    </row>
    <row r="345" spans="1:46" ht="15.75" customHeight="1" x14ac:dyDescent="0.25">
      <c r="A345" s="70"/>
      <c r="B345" s="16">
        <v>16</v>
      </c>
      <c r="C345" s="16" t="s">
        <v>42</v>
      </c>
      <c r="D345" s="17">
        <v>24</v>
      </c>
      <c r="E345" s="18">
        <f ca="1">IFERROR(__xludf.DUMMYFUNCTION("COUNT(IMPORTRANGE(""https://docs.google.com/spreadsheets/d/1Z5uB5HbeAKcHmG4EOw3rf2J8NpyvDiha6RReERAMvA0/edit"",""13!d2:d34""))"),24)</f>
        <v>24</v>
      </c>
      <c r="F345" s="23">
        <f ca="1">IFERROR(__xludf.DUMMYFUNCTION("SUM(IMPORTRANGE(""https://docs.google.com/spreadsheets/d/1Z5uB5HbeAKcHmG4EOw3rf2J8NpyvDiha6RReERAMvA0/edit"",""13!Q2:Q34""))"),4655.58999999999)</f>
        <v>4655.5899999999901</v>
      </c>
      <c r="G345" s="18">
        <f ca="1">IFERROR(__xludf.DUMMYFUNCTION("IMPORTRANGE(""https://docs.google.com/spreadsheets/d/1Z5uB5HbeAKcHmG4EOw3rf2J8NpyvDiha6RReERAMvA0/edit"",""13!e41"")"),2065)</f>
        <v>2065</v>
      </c>
      <c r="H345" s="18">
        <f ca="1">IFERROR(__xludf.DUMMYFUNCTION("IMPORTRANGE(""https://docs.google.com/spreadsheets/d/1Z5uB5HbeAKcHmG4EOw3rf2J8NpyvDiha6RReERAMvA0/edit"",""13!e42"")"),0)</f>
        <v>0</v>
      </c>
      <c r="I345" s="18">
        <f t="shared" ca="1" si="912"/>
        <v>2065</v>
      </c>
      <c r="J345" s="18">
        <f ca="1">IFERROR(__xludf.DUMMYFUNCTION("IMPORTRANGE(""https://docs.google.com/spreadsheets/d/1Z5uB5HbeAKcHmG4EOw3rf2J8NpyvDiha6RReERAMvA0/edit"",""13!e45"")"),2732)</f>
        <v>2732</v>
      </c>
      <c r="K345" s="18">
        <f ca="1">IFERROR(__xludf.DUMMYFUNCTION("IMPORTRANGE(""https://docs.google.com/spreadsheets/d/1Z5uB5HbeAKcHmG4EOw3rf2J8NpyvDiha6RReERAMvA0/edit"",""13!e46"")"),0)</f>
        <v>0</v>
      </c>
      <c r="L345" s="18">
        <f t="shared" ca="1" si="942"/>
        <v>2732</v>
      </c>
      <c r="M345" s="18">
        <f t="shared" ca="1" si="914"/>
        <v>4797</v>
      </c>
      <c r="N345" s="19">
        <f t="shared" ca="1" si="915"/>
        <v>193.98291666666626</v>
      </c>
      <c r="O345" s="16">
        <v>9877</v>
      </c>
      <c r="P345" s="20">
        <f t="shared" ca="1" si="916"/>
        <v>0.4856737875873241</v>
      </c>
      <c r="Q345" s="21">
        <v>1.5</v>
      </c>
      <c r="R345" s="20">
        <f t="shared" ca="1" si="917"/>
        <v>0.6869161588541961</v>
      </c>
      <c r="S345" s="22">
        <f t="shared" ca="1" si="918"/>
        <v>1.0303742382812942</v>
      </c>
      <c r="T345" s="21">
        <f ca="1">F345/26.155</f>
        <v>177.9999999999996</v>
      </c>
      <c r="U345" s="21">
        <f t="shared" ca="1" si="919"/>
        <v>7.4166666666666501</v>
      </c>
      <c r="V345" s="18">
        <f t="shared" ca="1" si="920"/>
        <v>199.875</v>
      </c>
      <c r="W345" s="76"/>
      <c r="X345" s="8">
        <v>1</v>
      </c>
      <c r="Y345" s="8" t="s">
        <v>26</v>
      </c>
      <c r="Z345" s="8">
        <f t="shared" ref="Z345:AI345" si="954">SUM(D330)</f>
        <v>15</v>
      </c>
      <c r="AA345" s="9">
        <f t="shared" ca="1" si="954"/>
        <v>15</v>
      </c>
      <c r="AB345" s="11">
        <f t="shared" ca="1" si="954"/>
        <v>2883.4589999999998</v>
      </c>
      <c r="AC345" s="9">
        <f t="shared" ca="1" si="954"/>
        <v>1449</v>
      </c>
      <c r="AD345" s="9">
        <f t="shared" ca="1" si="954"/>
        <v>61</v>
      </c>
      <c r="AE345" s="9">
        <f t="shared" ca="1" si="954"/>
        <v>1510</v>
      </c>
      <c r="AF345" s="9">
        <f t="shared" ca="1" si="954"/>
        <v>2098</v>
      </c>
      <c r="AG345" s="9">
        <f t="shared" ca="1" si="954"/>
        <v>0</v>
      </c>
      <c r="AH345" s="9">
        <f t="shared" ca="1" si="954"/>
        <v>2098</v>
      </c>
      <c r="AI345" s="9">
        <f t="shared" ca="1" si="954"/>
        <v>3608</v>
      </c>
      <c r="AJ345" s="11">
        <f t="shared" ref="AJ345:AJ351" ca="1" si="955">AB345/AA345</f>
        <v>192.23059999999998</v>
      </c>
      <c r="AK345" s="8">
        <f>SUM(O330)</f>
        <v>5161</v>
      </c>
      <c r="AL345" s="12">
        <f t="shared" ref="AL345:AL351" ca="1" si="956">AI345/AK345</f>
        <v>0.69908932377446231</v>
      </c>
      <c r="AM345" s="13">
        <f>SUM(Q330)</f>
        <v>1.5</v>
      </c>
      <c r="AN345" s="12">
        <f t="shared" ref="AN345:AN351" ca="1" si="957">AO345/AM345</f>
        <v>0.83418329628870513</v>
      </c>
      <c r="AO345" s="14">
        <f t="shared" ref="AO345:AO351" ca="1" si="958">AI345/AB345</f>
        <v>1.2512749444330578</v>
      </c>
      <c r="AP345" s="13">
        <f t="shared" ref="AP345:AQ345" ca="1" si="959">SUM(T330)</f>
        <v>200.0318418314256</v>
      </c>
      <c r="AQ345" s="13">
        <f t="shared" ca="1" si="959"/>
        <v>13.33545612209504</v>
      </c>
      <c r="AR345" s="9">
        <f t="shared" ref="AR345:AR351" ca="1" si="960">AI345/AA345</f>
        <v>240.53333333333333</v>
      </c>
      <c r="AS345" s="76"/>
      <c r="AT345" s="76"/>
    </row>
    <row r="346" spans="1:46" ht="15.75" customHeight="1" x14ac:dyDescent="0.25">
      <c r="A346" s="70"/>
      <c r="B346" s="16">
        <v>17</v>
      </c>
      <c r="C346" s="16" t="s">
        <v>29</v>
      </c>
      <c r="D346" s="17">
        <v>23</v>
      </c>
      <c r="E346" s="18">
        <f ca="1">IFERROR(__xludf.DUMMYFUNCTION("COUNT(IMPORTRANGE(""https://docs.google.com/spreadsheets/d/1wfJqI0e9wVPqEQv3N6b8KgINjqI0OBECEyIFeY9j3i8/edit"",""13!d2:d31""))"),23)</f>
        <v>23</v>
      </c>
      <c r="F346" s="23">
        <f ca="1">IFERROR(__xludf.DUMMYFUNCTION("SUM(IMPORTRANGE(""https://docs.google.com/spreadsheets/d/1wfJqI0e9wVPqEQv3N6b8KgINjqI0OBECEyIFeY9j3i8/edit"",""13!Q2:Q31""))"),4185.57799999999)</f>
        <v>4185.5779999999904</v>
      </c>
      <c r="G346" s="18">
        <f ca="1">IFERROR(__xludf.DUMMYFUNCTION("IMPORTRANGE(""https://docs.google.com/spreadsheets/d/1wfJqI0e9wVPqEQv3N6b8KgINjqI0OBECEyIFeY9j3i8/edit"",""13!e38"")"),1577)</f>
        <v>1577</v>
      </c>
      <c r="H346" s="18">
        <f ca="1">IFERROR(__xludf.DUMMYFUNCTION("IMPORTRANGE(""https://docs.google.com/spreadsheets/d/1wfJqI0e9wVPqEQv3N6b8KgINjqI0OBECEyIFeY9j3i8/edit"",""13!e39"")"),0)</f>
        <v>0</v>
      </c>
      <c r="I346" s="18">
        <f t="shared" ca="1" si="912"/>
        <v>1577</v>
      </c>
      <c r="J346" s="18">
        <f ca="1">IFERROR(__xludf.DUMMYFUNCTION("IMPORTRANGE(""https://docs.google.com/spreadsheets/d/1wfJqI0e9wVPqEQv3N6b8KgINjqI0OBECEyIFeY9j3i8/edit"",""13!e42"")"),2396)</f>
        <v>2396</v>
      </c>
      <c r="K346" s="18">
        <f ca="1">IFERROR(__xludf.DUMMYFUNCTION("IMPORTRANGE(""https://docs.google.com/spreadsheets/d/1wfJqI0e9wVPqEQv3N6b8KgINjqI0OBECEyIFeY9j3i8/edit"",""13!e43"")"),0)</f>
        <v>0</v>
      </c>
      <c r="L346" s="18">
        <f t="shared" ca="1" si="942"/>
        <v>2396</v>
      </c>
      <c r="M346" s="18">
        <f t="shared" ca="1" si="914"/>
        <v>3973</v>
      </c>
      <c r="N346" s="19">
        <f t="shared" ca="1" si="915"/>
        <v>181.98165217391264</v>
      </c>
      <c r="O346" s="16">
        <v>9201</v>
      </c>
      <c r="P346" s="20">
        <f t="shared" ca="1" si="916"/>
        <v>0.43180089120747744</v>
      </c>
      <c r="Q346" s="21">
        <v>1.5</v>
      </c>
      <c r="R346" s="20">
        <f t="shared" ca="1" si="917"/>
        <v>0.6328078622992267</v>
      </c>
      <c r="S346" s="22">
        <f t="shared" ca="1" si="918"/>
        <v>0.9492117934488401</v>
      </c>
      <c r="T346" s="21">
        <f ca="1">F346/26.491</f>
        <v>157.99999999999963</v>
      </c>
      <c r="U346" s="21">
        <f t="shared" ca="1" si="919"/>
        <v>6.8695652173912887</v>
      </c>
      <c r="V346" s="18">
        <f t="shared" ca="1" si="920"/>
        <v>172.7391304347826</v>
      </c>
      <c r="W346" s="76"/>
      <c r="X346" s="8">
        <v>2</v>
      </c>
      <c r="Y346" s="8" t="s">
        <v>32</v>
      </c>
      <c r="Z346" s="8">
        <f t="shared" ref="Z346:AI346" si="961">SUM(D333)</f>
        <v>32</v>
      </c>
      <c r="AA346" s="9">
        <f t="shared" ca="1" si="961"/>
        <v>31</v>
      </c>
      <c r="AB346" s="10">
        <f t="shared" ca="1" si="961"/>
        <v>6196.9829999999902</v>
      </c>
      <c r="AC346" s="8">
        <f t="shared" ca="1" si="961"/>
        <v>2938</v>
      </c>
      <c r="AD346" s="8">
        <f t="shared" ca="1" si="961"/>
        <v>0</v>
      </c>
      <c r="AE346" s="9">
        <f t="shared" ca="1" si="961"/>
        <v>2938</v>
      </c>
      <c r="AF346" s="8">
        <f t="shared" ca="1" si="961"/>
        <v>3680</v>
      </c>
      <c r="AG346" s="8">
        <f t="shared" ca="1" si="961"/>
        <v>0</v>
      </c>
      <c r="AH346" s="9">
        <f t="shared" ca="1" si="961"/>
        <v>3680</v>
      </c>
      <c r="AI346" s="9">
        <f t="shared" ca="1" si="961"/>
        <v>6618</v>
      </c>
      <c r="AJ346" s="11">
        <f t="shared" ca="1" si="955"/>
        <v>199.90267741935452</v>
      </c>
      <c r="AK346" s="8">
        <f>SUM(O333)</f>
        <v>13817</v>
      </c>
      <c r="AL346" s="12">
        <f t="shared" ca="1" si="956"/>
        <v>0.47897517550843166</v>
      </c>
      <c r="AM346" s="13">
        <f>SUM(Q333)</f>
        <v>1.5</v>
      </c>
      <c r="AN346" s="12">
        <f t="shared" ca="1" si="957"/>
        <v>0.71195935183298176</v>
      </c>
      <c r="AO346" s="14">
        <f t="shared" ca="1" si="958"/>
        <v>1.0679390277494727</v>
      </c>
      <c r="AP346" s="13">
        <f t="shared" ref="AP346:AQ346" ca="1" si="962">SUM(T333)</f>
        <v>246.99999999999963</v>
      </c>
      <c r="AQ346" s="13">
        <f t="shared" ca="1" si="962"/>
        <v>7.9677419354838595</v>
      </c>
      <c r="AR346" s="9">
        <f t="shared" ca="1" si="960"/>
        <v>213.48387096774192</v>
      </c>
      <c r="AS346" s="76"/>
      <c r="AT346" s="76"/>
    </row>
    <row r="347" spans="1:46" ht="15.75" customHeight="1" x14ac:dyDescent="0.25">
      <c r="A347" s="70"/>
      <c r="B347" s="16">
        <v>18</v>
      </c>
      <c r="C347" s="16" t="s">
        <v>31</v>
      </c>
      <c r="D347" s="17">
        <v>11</v>
      </c>
      <c r="E347" s="18">
        <f ca="1">IFERROR(__xludf.DUMMYFUNCTION("COUNT(IMPORTRANGE(""https://docs.google.com/spreadsheets/d/1-y2KhTAo7d8kowgUuWUDfRQuRMUAFteRYEXorT3_wOs/edit"",""13!d2:d16""))"),11)</f>
        <v>11</v>
      </c>
      <c r="F347" s="19">
        <f ca="1">IFERROR(__xludf.DUMMYFUNCTION("SUM(IMPORTRANGE(""https://docs.google.com/spreadsheets/d/1-y2KhTAo7d8kowgUuWUDfRQuRMUAFteRYEXorT3_wOs/edit"",""13!Q2:Q16""))"),1935.914)</f>
        <v>1935.914</v>
      </c>
      <c r="G347" s="18">
        <f ca="1">IFERROR(__xludf.DUMMYFUNCTION("IMPORTRANGE(""https://docs.google.com/spreadsheets/d/1-y2KhTAo7d8kowgUuWUDfRQuRMUAFteRYEXorT3_wOs/edit"",""13!e23"")"),363)</f>
        <v>363</v>
      </c>
      <c r="H347" s="18">
        <f ca="1">IFERROR(__xludf.DUMMYFUNCTION("IMPORTRANGE(""https://docs.google.com/spreadsheets/d/1-y2KhTAo7d8kowgUuWUDfRQuRMUAFteRYEXorT3_wOs/edit"",""13!e24"")"),12)</f>
        <v>12</v>
      </c>
      <c r="I347" s="18">
        <f t="shared" ca="1" si="912"/>
        <v>375</v>
      </c>
      <c r="J347" s="18">
        <f ca="1">IFERROR(__xludf.DUMMYFUNCTION("IMPORTRANGE(""https://docs.google.com/spreadsheets/d/1-y2KhTAo7d8kowgUuWUDfRQuRMUAFteRYEXorT3_wOs/edit"",""13!e27"")"),626)</f>
        <v>626</v>
      </c>
      <c r="K347" s="18">
        <f ca="1">IFERROR(__xludf.DUMMYFUNCTION("IMPORTRANGE(""https://docs.google.com/spreadsheets/d/1-y2KhTAo7d8kowgUuWUDfRQuRMUAFteRYEXorT3_wOs/edit"",""13!e28"")"),0)</f>
        <v>0</v>
      </c>
      <c r="L347" s="18">
        <f t="shared" ca="1" si="942"/>
        <v>626</v>
      </c>
      <c r="M347" s="18">
        <f t="shared" ca="1" si="914"/>
        <v>1001</v>
      </c>
      <c r="N347" s="19">
        <f t="shared" ca="1" si="915"/>
        <v>175.99218181818182</v>
      </c>
      <c r="O347" s="16">
        <v>2717</v>
      </c>
      <c r="P347" s="20">
        <f t="shared" ca="1" si="916"/>
        <v>0.36842105263157893</v>
      </c>
      <c r="Q347" s="21">
        <v>1.5</v>
      </c>
      <c r="R347" s="20">
        <f t="shared" ca="1" si="917"/>
        <v>0.34471228232934586</v>
      </c>
      <c r="S347" s="22">
        <f t="shared" ca="1" si="918"/>
        <v>0.51706842349401883</v>
      </c>
      <c r="T347" s="21">
        <f ca="1">F347/43.465</f>
        <v>44.539606580006897</v>
      </c>
      <c r="U347" s="21">
        <f t="shared" ca="1" si="919"/>
        <v>4.0490551436369904</v>
      </c>
      <c r="V347" s="18">
        <f t="shared" ca="1" si="920"/>
        <v>91</v>
      </c>
      <c r="W347" s="76"/>
      <c r="X347" s="8">
        <v>3</v>
      </c>
      <c r="Y347" s="8" t="s">
        <v>36</v>
      </c>
      <c r="Z347" s="8">
        <f t="shared" ref="Z347:AI347" si="963">SUM(D338)</f>
        <v>23</v>
      </c>
      <c r="AA347" s="9">
        <f t="shared" ca="1" si="963"/>
        <v>23</v>
      </c>
      <c r="AB347" s="10">
        <f t="shared" ca="1" si="963"/>
        <v>4445.8819999999996</v>
      </c>
      <c r="AC347" s="9">
        <f t="shared" ca="1" si="963"/>
        <v>933</v>
      </c>
      <c r="AD347" s="9">
        <f t="shared" ca="1" si="963"/>
        <v>0</v>
      </c>
      <c r="AE347" s="9">
        <f t="shared" ca="1" si="963"/>
        <v>933</v>
      </c>
      <c r="AF347" s="9">
        <f t="shared" ca="1" si="963"/>
        <v>1444</v>
      </c>
      <c r="AG347" s="9">
        <f t="shared" ca="1" si="963"/>
        <v>0</v>
      </c>
      <c r="AH347" s="9">
        <f t="shared" ca="1" si="963"/>
        <v>1444</v>
      </c>
      <c r="AI347" s="9">
        <f t="shared" ca="1" si="963"/>
        <v>2377</v>
      </c>
      <c r="AJ347" s="11">
        <f t="shared" ca="1" si="955"/>
        <v>193.29921739130432</v>
      </c>
      <c r="AK347" s="8">
        <f t="shared" ref="AK347:AK350" si="964">SUM(O338)</f>
        <v>4796</v>
      </c>
      <c r="AL347" s="12">
        <f t="shared" ca="1" si="956"/>
        <v>0.4956213511259383</v>
      </c>
      <c r="AM347" s="13">
        <f t="shared" ref="AM347:AM350" si="965">SUM(Q338)</f>
        <v>1.5</v>
      </c>
      <c r="AN347" s="12">
        <f t="shared" ca="1" si="957"/>
        <v>0.35643471119266473</v>
      </c>
      <c r="AO347" s="14">
        <f t="shared" ca="1" si="958"/>
        <v>0.53465206678899713</v>
      </c>
      <c r="AP347" s="13">
        <f t="shared" ref="AP347:AQ347" ca="1" si="966">SUM(T338)</f>
        <v>118.82936868551877</v>
      </c>
      <c r="AQ347" s="13">
        <f t="shared" ca="1" si="966"/>
        <v>5.1664942906747289</v>
      </c>
      <c r="AR347" s="9">
        <f t="shared" ca="1" si="960"/>
        <v>103.34782608695652</v>
      </c>
      <c r="AS347" s="76"/>
      <c r="AT347" s="76"/>
    </row>
    <row r="348" spans="1:46" ht="15.75" customHeight="1" x14ac:dyDescent="0.2">
      <c r="A348" s="70"/>
      <c r="B348" s="98" t="s">
        <v>33</v>
      </c>
      <c r="C348" s="98">
        <v>18</v>
      </c>
      <c r="D348" s="98">
        <f t="shared" ref="D348:M348" si="967">SUM(D330:D347)</f>
        <v>446</v>
      </c>
      <c r="E348" s="74">
        <f t="shared" ca="1" si="967"/>
        <v>442</v>
      </c>
      <c r="F348" s="99">
        <f t="shared" ca="1" si="967"/>
        <v>85785.295999999944</v>
      </c>
      <c r="G348" s="74">
        <f t="shared" ca="1" si="967"/>
        <v>25460</v>
      </c>
      <c r="H348" s="74">
        <f t="shared" ca="1" si="967"/>
        <v>728</v>
      </c>
      <c r="I348" s="74">
        <f t="shared" ca="1" si="967"/>
        <v>26188</v>
      </c>
      <c r="J348" s="74">
        <f t="shared" ca="1" si="967"/>
        <v>37570</v>
      </c>
      <c r="K348" s="74">
        <f t="shared" ca="1" si="967"/>
        <v>841</v>
      </c>
      <c r="L348" s="74">
        <f t="shared" ca="1" si="967"/>
        <v>38411</v>
      </c>
      <c r="M348" s="74">
        <f t="shared" ca="1" si="967"/>
        <v>64599</v>
      </c>
      <c r="N348" s="99">
        <f t="shared" ca="1" si="915"/>
        <v>194.0843800904976</v>
      </c>
      <c r="O348" s="98">
        <f>SUM(O330:O347)</f>
        <v>126399</v>
      </c>
      <c r="P348" s="69">
        <f t="shared" ca="1" si="916"/>
        <v>0.51107208126646575</v>
      </c>
      <c r="Q348" s="72">
        <v>1.5</v>
      </c>
      <c r="R348" s="69">
        <f t="shared" ca="1" si="917"/>
        <v>0.50202076588976308</v>
      </c>
      <c r="S348" s="73">
        <f t="shared" ca="1" si="918"/>
        <v>0.75303114883464461</v>
      </c>
      <c r="T348" s="72">
        <f ca="1">SUM(T330:T347)</f>
        <v>3165.0115492398345</v>
      </c>
      <c r="U348" s="72">
        <f t="shared" ca="1" si="919"/>
        <v>7.1606596136647838</v>
      </c>
      <c r="V348" s="74">
        <f t="shared" ca="1" si="920"/>
        <v>146.15158371040724</v>
      </c>
      <c r="W348" s="76"/>
      <c r="X348" s="8">
        <v>4</v>
      </c>
      <c r="Y348" s="8" t="s">
        <v>37</v>
      </c>
      <c r="Z348" s="8">
        <f t="shared" ref="Z348:AI348" si="968">SUM(D339)</f>
        <v>23</v>
      </c>
      <c r="AA348" s="9">
        <f t="shared" ca="1" si="968"/>
        <v>22</v>
      </c>
      <c r="AB348" s="10">
        <f t="shared" ca="1" si="968"/>
        <v>4459.9380000000001</v>
      </c>
      <c r="AC348" s="9">
        <f t="shared" ca="1" si="968"/>
        <v>964</v>
      </c>
      <c r="AD348" s="9">
        <f t="shared" ca="1" si="968"/>
        <v>0</v>
      </c>
      <c r="AE348" s="9">
        <f t="shared" ca="1" si="968"/>
        <v>964</v>
      </c>
      <c r="AF348" s="9">
        <f t="shared" ca="1" si="968"/>
        <v>1992</v>
      </c>
      <c r="AG348" s="9">
        <f t="shared" ca="1" si="968"/>
        <v>0</v>
      </c>
      <c r="AH348" s="9">
        <f t="shared" ca="1" si="968"/>
        <v>1992</v>
      </c>
      <c r="AI348" s="9">
        <f t="shared" ca="1" si="968"/>
        <v>2956</v>
      </c>
      <c r="AJ348" s="11">
        <f t="shared" ca="1" si="955"/>
        <v>202.72445454545456</v>
      </c>
      <c r="AK348" s="8">
        <f t="shared" si="964"/>
        <v>5887</v>
      </c>
      <c r="AL348" s="12">
        <f t="shared" ca="1" si="956"/>
        <v>0.50212332257516556</v>
      </c>
      <c r="AM348" s="13">
        <f t="shared" si="965"/>
        <v>1.5</v>
      </c>
      <c r="AN348" s="12">
        <f t="shared" ca="1" si="957"/>
        <v>0.4418596551491672</v>
      </c>
      <c r="AO348" s="14">
        <f t="shared" ca="1" si="958"/>
        <v>0.66278948272375082</v>
      </c>
      <c r="AP348" s="13">
        <f t="shared" ref="AP348:AQ348" ca="1" si="969">SUM(T339)</f>
        <v>179.89424007744432</v>
      </c>
      <c r="AQ348" s="13">
        <f t="shared" ca="1" si="969"/>
        <v>8.1770109126111059</v>
      </c>
      <c r="AR348" s="9">
        <f t="shared" ca="1" si="960"/>
        <v>134.36363636363637</v>
      </c>
      <c r="AS348" s="76"/>
      <c r="AT348" s="76"/>
    </row>
    <row r="349" spans="1:46" ht="15.75" customHeight="1" x14ac:dyDescent="0.2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6"/>
      <c r="X349" s="8">
        <v>5</v>
      </c>
      <c r="Y349" s="8" t="s">
        <v>39</v>
      </c>
      <c r="Z349" s="8">
        <f t="shared" ref="Z349:AI349" si="970">SUM(D340)</f>
        <v>21</v>
      </c>
      <c r="AA349" s="9">
        <f t="shared" ca="1" si="970"/>
        <v>21</v>
      </c>
      <c r="AB349" s="10">
        <f t="shared" ca="1" si="970"/>
        <v>4104.8900000000003</v>
      </c>
      <c r="AC349" s="9">
        <f t="shared" ca="1" si="970"/>
        <v>815</v>
      </c>
      <c r="AD349" s="9">
        <f t="shared" ca="1" si="970"/>
        <v>0</v>
      </c>
      <c r="AE349" s="9">
        <f t="shared" ca="1" si="970"/>
        <v>815</v>
      </c>
      <c r="AF349" s="9">
        <f t="shared" ca="1" si="970"/>
        <v>1786</v>
      </c>
      <c r="AG349" s="9">
        <f t="shared" ca="1" si="970"/>
        <v>0</v>
      </c>
      <c r="AH349" s="9">
        <f t="shared" ca="1" si="970"/>
        <v>1786</v>
      </c>
      <c r="AI349" s="9">
        <f t="shared" ca="1" si="970"/>
        <v>2601</v>
      </c>
      <c r="AJ349" s="11">
        <f t="shared" ca="1" si="955"/>
        <v>195.47095238095238</v>
      </c>
      <c r="AK349" s="8">
        <f t="shared" si="964"/>
        <v>3569</v>
      </c>
      <c r="AL349" s="12">
        <f t="shared" ca="1" si="956"/>
        <v>0.72877556738582239</v>
      </c>
      <c r="AM349" s="13">
        <f t="shared" si="965"/>
        <v>1.5</v>
      </c>
      <c r="AN349" s="12">
        <f t="shared" ca="1" si="957"/>
        <v>0.42242301255332054</v>
      </c>
      <c r="AO349" s="14">
        <f t="shared" ca="1" si="958"/>
        <v>0.63363451882998079</v>
      </c>
      <c r="AP349" s="13">
        <f t="shared" ref="AP349:AQ349" ca="1" si="971">SUM(T340)</f>
        <v>191.25425150258584</v>
      </c>
      <c r="AQ349" s="13">
        <f t="shared" ca="1" si="971"/>
        <v>9.107345309646945</v>
      </c>
      <c r="AR349" s="9">
        <f t="shared" ca="1" si="960"/>
        <v>123.85714285714286</v>
      </c>
      <c r="AS349" s="76"/>
      <c r="AT349" s="76"/>
    </row>
    <row r="350" spans="1:46" ht="15.75" customHeight="1" x14ac:dyDescent="0.2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6"/>
      <c r="X350" s="8">
        <v>6</v>
      </c>
      <c r="Y350" s="8" t="s">
        <v>41</v>
      </c>
      <c r="Z350" s="8">
        <f t="shared" ref="Z350:AI350" si="972">SUM(D341)</f>
        <v>19</v>
      </c>
      <c r="AA350" s="9">
        <f t="shared" ca="1" si="972"/>
        <v>19</v>
      </c>
      <c r="AB350" s="10">
        <f t="shared" ca="1" si="972"/>
        <v>3802.26</v>
      </c>
      <c r="AC350" s="9">
        <f t="shared" ca="1" si="972"/>
        <v>813</v>
      </c>
      <c r="AD350" s="9">
        <f t="shared" ca="1" si="972"/>
        <v>0</v>
      </c>
      <c r="AE350" s="9">
        <f t="shared" ca="1" si="972"/>
        <v>813</v>
      </c>
      <c r="AF350" s="9">
        <f t="shared" ca="1" si="972"/>
        <v>1215</v>
      </c>
      <c r="AG350" s="9">
        <f t="shared" ca="1" si="972"/>
        <v>0</v>
      </c>
      <c r="AH350" s="9">
        <f t="shared" ca="1" si="972"/>
        <v>1215</v>
      </c>
      <c r="AI350" s="9">
        <f t="shared" ca="1" si="972"/>
        <v>2028</v>
      </c>
      <c r="AJ350" s="11">
        <f t="shared" ca="1" si="955"/>
        <v>200.11894736842106</v>
      </c>
      <c r="AK350" s="8">
        <f t="shared" si="964"/>
        <v>3801</v>
      </c>
      <c r="AL350" s="12">
        <f t="shared" ca="1" si="956"/>
        <v>0.53354380426203629</v>
      </c>
      <c r="AM350" s="13">
        <f t="shared" si="965"/>
        <v>1.5</v>
      </c>
      <c r="AN350" s="12">
        <f t="shared" ca="1" si="957"/>
        <v>0.35557799834835069</v>
      </c>
      <c r="AO350" s="14">
        <f t="shared" ca="1" si="958"/>
        <v>0.53336699752252603</v>
      </c>
      <c r="AP350" s="13">
        <f t="shared" ref="AP350:AQ350" ca="1" si="973">SUM(T341)</f>
        <v>128.33333333333334</v>
      </c>
      <c r="AQ350" s="13">
        <f t="shared" ca="1" si="973"/>
        <v>6.7543859649122808</v>
      </c>
      <c r="AR350" s="9">
        <f t="shared" ca="1" si="960"/>
        <v>106.73684210526316</v>
      </c>
      <c r="AS350" s="76"/>
      <c r="AT350" s="76"/>
    </row>
    <row r="351" spans="1:46" ht="15.75" customHeight="1" x14ac:dyDescent="0.25">
      <c r="A351" s="110" t="s">
        <v>45</v>
      </c>
      <c r="B351" s="76"/>
      <c r="C351" s="76"/>
      <c r="D351" s="75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24" t="s">
        <v>33</v>
      </c>
      <c r="Y351" s="24">
        <v>6</v>
      </c>
      <c r="Z351" s="24">
        <f t="shared" ref="Z351:AI351" si="974">SUM(Z345:Z350)</f>
        <v>133</v>
      </c>
      <c r="AA351" s="25">
        <f t="shared" ca="1" si="974"/>
        <v>131</v>
      </c>
      <c r="AB351" s="27">
        <f t="shared" ca="1" si="974"/>
        <v>25893.411999999989</v>
      </c>
      <c r="AC351" s="25">
        <f t="shared" ca="1" si="974"/>
        <v>7912</v>
      </c>
      <c r="AD351" s="25">
        <f t="shared" ca="1" si="974"/>
        <v>61</v>
      </c>
      <c r="AE351" s="25">
        <f t="shared" ca="1" si="974"/>
        <v>7973</v>
      </c>
      <c r="AF351" s="25">
        <f t="shared" ca="1" si="974"/>
        <v>12215</v>
      </c>
      <c r="AG351" s="25">
        <f t="shared" ca="1" si="974"/>
        <v>0</v>
      </c>
      <c r="AH351" s="25">
        <f t="shared" ca="1" si="974"/>
        <v>12215</v>
      </c>
      <c r="AI351" s="25">
        <f t="shared" ca="1" si="974"/>
        <v>20188</v>
      </c>
      <c r="AJ351" s="27">
        <f t="shared" ca="1" si="955"/>
        <v>197.65963358778617</v>
      </c>
      <c r="AK351" s="24">
        <f>SUM(AK345:AK350)</f>
        <v>37031</v>
      </c>
      <c r="AL351" s="28">
        <f t="shared" ca="1" si="956"/>
        <v>0.54516486187248525</v>
      </c>
      <c r="AM351" s="29">
        <v>1.5</v>
      </c>
      <c r="AN351" s="28">
        <f t="shared" ca="1" si="957"/>
        <v>0.51977185033268969</v>
      </c>
      <c r="AO351" s="30">
        <f t="shared" ca="1" si="958"/>
        <v>0.77965777549903459</v>
      </c>
      <c r="AP351" s="29">
        <f ca="1">SUM(AP345:AP350)</f>
        <v>1065.3430354303075</v>
      </c>
      <c r="AQ351" s="29">
        <f ca="1">AP351/AA351</f>
        <v>8.1323895834374618</v>
      </c>
      <c r="AR351" s="25">
        <f t="shared" ca="1" si="960"/>
        <v>154.10687022900763</v>
      </c>
      <c r="AS351" s="76"/>
      <c r="AT351" s="76"/>
    </row>
    <row r="352" spans="1:46" ht="15.75" customHeight="1" x14ac:dyDescent="0.2">
      <c r="A352" s="110" t="s">
        <v>45</v>
      </c>
      <c r="B352" s="76"/>
      <c r="C352" s="76"/>
      <c r="D352" s="75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7" t="s">
        <v>1</v>
      </c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9"/>
      <c r="AS352" s="76"/>
      <c r="AT352" s="76"/>
    </row>
    <row r="353" spans="1:46" ht="15.75" customHeight="1" x14ac:dyDescent="0.2">
      <c r="A353" s="109">
        <v>46279</v>
      </c>
      <c r="B353" s="80" t="s">
        <v>2</v>
      </c>
      <c r="C353" s="80" t="s">
        <v>3</v>
      </c>
      <c r="D353" s="80" t="s">
        <v>4</v>
      </c>
      <c r="E353" s="80" t="s">
        <v>5</v>
      </c>
      <c r="F353" s="81" t="s">
        <v>6</v>
      </c>
      <c r="G353" s="80" t="s">
        <v>7</v>
      </c>
      <c r="H353" s="80" t="s">
        <v>8</v>
      </c>
      <c r="I353" s="80" t="s">
        <v>9</v>
      </c>
      <c r="J353" s="80" t="s">
        <v>10</v>
      </c>
      <c r="K353" s="80" t="s">
        <v>11</v>
      </c>
      <c r="L353" s="80" t="s">
        <v>12</v>
      </c>
      <c r="M353" s="80" t="s">
        <v>13</v>
      </c>
      <c r="N353" s="81" t="s">
        <v>14</v>
      </c>
      <c r="O353" s="80" t="s">
        <v>15</v>
      </c>
      <c r="P353" s="80" t="s">
        <v>16</v>
      </c>
      <c r="Q353" s="80" t="s">
        <v>17</v>
      </c>
      <c r="R353" s="80" t="s">
        <v>18</v>
      </c>
      <c r="S353" s="106" t="s">
        <v>19</v>
      </c>
      <c r="T353" s="107" t="s">
        <v>20</v>
      </c>
      <c r="U353" s="107" t="s">
        <v>21</v>
      </c>
      <c r="V353" s="105" t="s">
        <v>22</v>
      </c>
      <c r="W353" s="76"/>
      <c r="X353" s="1" t="s">
        <v>2</v>
      </c>
      <c r="Y353" s="1" t="s">
        <v>3</v>
      </c>
      <c r="Z353" s="1" t="s">
        <v>4</v>
      </c>
      <c r="AA353" s="1" t="s">
        <v>5</v>
      </c>
      <c r="AB353" s="2" t="s">
        <v>6</v>
      </c>
      <c r="AC353" s="1" t="s">
        <v>7</v>
      </c>
      <c r="AD353" s="1" t="s">
        <v>8</v>
      </c>
      <c r="AE353" s="1" t="s">
        <v>9</v>
      </c>
      <c r="AF353" s="1" t="s">
        <v>10</v>
      </c>
      <c r="AG353" s="1" t="s">
        <v>11</v>
      </c>
      <c r="AH353" s="1" t="s">
        <v>12</v>
      </c>
      <c r="AI353" s="1" t="s">
        <v>13</v>
      </c>
      <c r="AJ353" s="2" t="s">
        <v>14</v>
      </c>
      <c r="AK353" s="1" t="s">
        <v>15</v>
      </c>
      <c r="AL353" s="1" t="s">
        <v>16</v>
      </c>
      <c r="AM353" s="3" t="s">
        <v>17</v>
      </c>
      <c r="AN353" s="4" t="s">
        <v>18</v>
      </c>
      <c r="AO353" s="5" t="s">
        <v>19</v>
      </c>
      <c r="AP353" s="6" t="s">
        <v>20</v>
      </c>
      <c r="AQ353" s="6" t="s">
        <v>21</v>
      </c>
      <c r="AR353" s="7" t="s">
        <v>22</v>
      </c>
      <c r="AS353" s="76"/>
      <c r="AT353" s="76"/>
    </row>
    <row r="354" spans="1:46" ht="15.75" customHeight="1" x14ac:dyDescent="0.2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6"/>
      <c r="X354" s="8">
        <v>1</v>
      </c>
      <c r="Y354" s="8" t="s">
        <v>23</v>
      </c>
      <c r="Z354" s="8">
        <f t="shared" ref="Z354:AI354" si="975">SUM(D362)</f>
        <v>35</v>
      </c>
      <c r="AA354" s="9">
        <f t="shared" ca="1" si="975"/>
        <v>35</v>
      </c>
      <c r="AB354" s="10">
        <f t="shared" ca="1" si="975"/>
        <v>6849.2199999999903</v>
      </c>
      <c r="AC354" s="9">
        <f t="shared" ca="1" si="975"/>
        <v>1641</v>
      </c>
      <c r="AD354" s="9">
        <f t="shared" ca="1" si="975"/>
        <v>58</v>
      </c>
      <c r="AE354" s="9">
        <f t="shared" ca="1" si="975"/>
        <v>1699</v>
      </c>
      <c r="AF354" s="9">
        <f t="shared" ca="1" si="975"/>
        <v>3064</v>
      </c>
      <c r="AG354" s="9">
        <f t="shared" ca="1" si="975"/>
        <v>0</v>
      </c>
      <c r="AH354" s="9">
        <f t="shared" ca="1" si="975"/>
        <v>3064</v>
      </c>
      <c r="AI354" s="9">
        <f t="shared" ca="1" si="975"/>
        <v>4763</v>
      </c>
      <c r="AJ354" s="11">
        <f t="shared" ref="AJ354:AJ356" ca="1" si="976">AB354/AA354</f>
        <v>195.69199999999972</v>
      </c>
      <c r="AK354" s="8">
        <f>SUM(O362)</f>
        <v>6853</v>
      </c>
      <c r="AL354" s="12">
        <f t="shared" ref="AL354:AL360" ca="1" si="977">AI354/AK354</f>
        <v>0.695024077046549</v>
      </c>
      <c r="AM354" s="13">
        <f t="shared" ref="AM354:AM356" si="978">SUM(Q362)</f>
        <v>1.5</v>
      </c>
      <c r="AN354" s="12">
        <f t="shared" ref="AN354:AN360" ca="1" si="979">AO354/AM354</f>
        <v>0.46360510150547624</v>
      </c>
      <c r="AO354" s="14">
        <f t="shared" ref="AO354:AO360" ca="1" si="980">AI354/AB354</f>
        <v>0.69540765225821433</v>
      </c>
      <c r="AP354" s="13">
        <f t="shared" ref="AP354:AQ354" ca="1" si="981">SUM(T362)</f>
        <v>202.99999999999969</v>
      </c>
      <c r="AQ354" s="13">
        <f t="shared" ca="1" si="981"/>
        <v>5.7999999999999909</v>
      </c>
      <c r="AR354" s="9">
        <f t="shared" ref="AR354:AR360" ca="1" si="982">AI354/AA354</f>
        <v>136.08571428571429</v>
      </c>
      <c r="AS354" s="76"/>
      <c r="AT354" s="76"/>
    </row>
    <row r="355" spans="1:46" ht="15.75" customHeight="1" x14ac:dyDescent="0.2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6"/>
      <c r="X355" s="8">
        <v>2</v>
      </c>
      <c r="Y355" s="8" t="s">
        <v>24</v>
      </c>
      <c r="Z355" s="8">
        <f t="shared" ref="Z355:AI355" si="983">SUM(D363)</f>
        <v>44</v>
      </c>
      <c r="AA355" s="9">
        <f t="shared" ca="1" si="983"/>
        <v>44</v>
      </c>
      <c r="AB355" s="10">
        <f t="shared" ca="1" si="983"/>
        <v>8528.4159999999902</v>
      </c>
      <c r="AC355" s="9">
        <f t="shared" ca="1" si="983"/>
        <v>1211</v>
      </c>
      <c r="AD355" s="9">
        <f t="shared" ca="1" si="983"/>
        <v>4</v>
      </c>
      <c r="AE355" s="9">
        <f t="shared" ca="1" si="983"/>
        <v>1215</v>
      </c>
      <c r="AF355" s="9">
        <f t="shared" ca="1" si="983"/>
        <v>1636</v>
      </c>
      <c r="AG355" s="9">
        <f t="shared" ca="1" si="983"/>
        <v>6</v>
      </c>
      <c r="AH355" s="9">
        <f t="shared" ca="1" si="983"/>
        <v>1642</v>
      </c>
      <c r="AI355" s="9">
        <f t="shared" ca="1" si="983"/>
        <v>2857</v>
      </c>
      <c r="AJ355" s="11">
        <f t="shared" ca="1" si="976"/>
        <v>193.82763636363615</v>
      </c>
      <c r="AK355" s="8">
        <v>1580</v>
      </c>
      <c r="AL355" s="15">
        <f t="shared" ca="1" si="977"/>
        <v>1.8082278481012659</v>
      </c>
      <c r="AM355" s="13">
        <f t="shared" si="978"/>
        <v>1.5</v>
      </c>
      <c r="AN355" s="12">
        <f t="shared" ca="1" si="979"/>
        <v>0.22333181996125293</v>
      </c>
      <c r="AO355" s="14">
        <f t="shared" ca="1" si="980"/>
        <v>0.33499772994187937</v>
      </c>
      <c r="AP355" s="13">
        <f t="shared" ref="AP355:AQ355" ca="1" si="984">SUM(T363)</f>
        <v>318.16511844805035</v>
      </c>
      <c r="AQ355" s="13">
        <f t="shared" ca="1" si="984"/>
        <v>7.2310254192738714</v>
      </c>
      <c r="AR355" s="9">
        <f t="shared" ca="1" si="982"/>
        <v>64.931818181818187</v>
      </c>
      <c r="AS355" s="76"/>
      <c r="AT355" s="76"/>
    </row>
    <row r="356" spans="1:46" ht="15.75" customHeight="1" x14ac:dyDescent="0.2">
      <c r="A356" s="70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6"/>
      <c r="X356" s="8">
        <v>3</v>
      </c>
      <c r="Y356" s="8" t="s">
        <v>25</v>
      </c>
      <c r="Z356" s="8">
        <f t="shared" ref="Z356:AI356" si="985">SUM(D364)</f>
        <v>32</v>
      </c>
      <c r="AA356" s="9">
        <f t="shared" ca="1" si="985"/>
        <v>31</v>
      </c>
      <c r="AB356" s="10">
        <f t="shared" ca="1" si="985"/>
        <v>5666.42</v>
      </c>
      <c r="AC356" s="9">
        <f t="shared" ca="1" si="985"/>
        <v>2233</v>
      </c>
      <c r="AD356" s="9">
        <f t="shared" ca="1" si="985"/>
        <v>418</v>
      </c>
      <c r="AE356" s="9">
        <f t="shared" ca="1" si="985"/>
        <v>2651</v>
      </c>
      <c r="AF356" s="9">
        <f t="shared" ca="1" si="985"/>
        <v>3112</v>
      </c>
      <c r="AG356" s="9">
        <f t="shared" ca="1" si="985"/>
        <v>293</v>
      </c>
      <c r="AH356" s="9">
        <f t="shared" ca="1" si="985"/>
        <v>3405</v>
      </c>
      <c r="AI356" s="9">
        <f t="shared" ca="1" si="985"/>
        <v>6056</v>
      </c>
      <c r="AJ356" s="11">
        <f t="shared" ca="1" si="976"/>
        <v>182.78774193548387</v>
      </c>
      <c r="AK356" s="8">
        <f>SUM(O364)</f>
        <v>6622</v>
      </c>
      <c r="AL356" s="12">
        <f t="shared" ca="1" si="977"/>
        <v>0.91452733313198431</v>
      </c>
      <c r="AM356" s="13">
        <f t="shared" si="978"/>
        <v>1.5</v>
      </c>
      <c r="AN356" s="12">
        <f t="shared" ca="1" si="979"/>
        <v>0.71250160301095455</v>
      </c>
      <c r="AO356" s="14">
        <f t="shared" ca="1" si="980"/>
        <v>1.0687524045164318</v>
      </c>
      <c r="AP356" s="13">
        <f t="shared" ref="AP356:AQ356" ca="1" si="986">SUM(T364)</f>
        <v>237.68540268456377</v>
      </c>
      <c r="AQ356" s="13">
        <f t="shared" ca="1" si="986"/>
        <v>7.6672710543407669</v>
      </c>
      <c r="AR356" s="9">
        <f t="shared" ca="1" si="982"/>
        <v>195.35483870967741</v>
      </c>
      <c r="AS356" s="76"/>
      <c r="AT356" s="76"/>
    </row>
    <row r="357" spans="1:46" ht="15.75" customHeight="1" x14ac:dyDescent="0.25">
      <c r="A357" s="70"/>
      <c r="B357" s="16">
        <v>1</v>
      </c>
      <c r="C357" s="16" t="s">
        <v>26</v>
      </c>
      <c r="D357" s="17">
        <v>20</v>
      </c>
      <c r="E357" s="18">
        <f ca="1">IFERROR(__xludf.DUMMYFUNCTION("COUNT(IMPORTRANGE(""https://docs.google.com/spreadsheets/d/1F0NpMx7WhcgPgxTWpryY3Z1CGg56FL6aiL4mHs43w4E/edit"",""14!d2:d21""))"),18)</f>
        <v>18</v>
      </c>
      <c r="F357" s="19">
        <f ca="1">IFERROR(__xludf.DUMMYFUNCTION("SUM(IMPORTRANGE(""https://docs.google.com/spreadsheets/d/1F0NpMx7WhcgPgxTWpryY3Z1CGg56FL6aiL4mHs43w4E/edit"",""14!Q2:Q21""))"),3575.532)</f>
        <v>3575.5320000000002</v>
      </c>
      <c r="G357" s="18">
        <f ca="1">IFERROR(__xludf.DUMMYFUNCTION("IMPORTRANGE(""https://docs.google.com/spreadsheets/d/1F0NpMx7WhcgPgxTWpryY3Z1CGg56FL6aiL4mHs43w4E/edit"",""14!e28"")"),2074)</f>
        <v>2074</v>
      </c>
      <c r="H357" s="18">
        <f ca="1">IFERROR(__xludf.DUMMYFUNCTION("IMPORTRANGE(""https://docs.google.com/spreadsheets/d/1F0NpMx7WhcgPgxTWpryY3Z1CGg56FL6aiL4mHs43w4E/edit"",""14!e29"")"),0)</f>
        <v>0</v>
      </c>
      <c r="I357" s="18">
        <f t="shared" ref="I357:I374" ca="1" si="987">SUM(G357:H357)</f>
        <v>2074</v>
      </c>
      <c r="J357" s="18">
        <f ca="1">IFERROR(__xludf.DUMMYFUNCTION("IMPORTRANGE(""https://docs.google.com/spreadsheets/d/1F0NpMx7WhcgPgxTWpryY3Z1CGg56FL6aiL4mHs43w4E/edit"",""14!e32"")"),2660)</f>
        <v>2660</v>
      </c>
      <c r="K357" s="18">
        <f ca="1">IFERROR(__xludf.DUMMYFUNCTION("IMPORTRANGE(""https://docs.google.com/spreadsheets/d/1F0NpMx7WhcgPgxTWpryY3Z1CGg56FL6aiL4mHs43w4E/edit"",""14!e33"")"),0)</f>
        <v>0</v>
      </c>
      <c r="L357" s="18">
        <f t="shared" ref="L357:L363" ca="1" si="988">SUM(J357:K357)</f>
        <v>2660</v>
      </c>
      <c r="M357" s="18">
        <f t="shared" ref="M357:M374" ca="1" si="989">SUM(I357+L357)</f>
        <v>4734</v>
      </c>
      <c r="N357" s="19">
        <f t="shared" ref="N357:N375" ca="1" si="990">F357/E357</f>
        <v>198.64066666666668</v>
      </c>
      <c r="O357" s="16">
        <v>5161</v>
      </c>
      <c r="P357" s="20">
        <f t="shared" ref="P357:P375" ca="1" si="991">M357/O357</f>
        <v>0.91726409610540593</v>
      </c>
      <c r="Q357" s="21">
        <v>1.5</v>
      </c>
      <c r="R357" s="20">
        <f t="shared" ref="R357:R375" ca="1" si="992">S357/Q357</f>
        <v>0.88266585224240757</v>
      </c>
      <c r="S357" s="22">
        <f t="shared" ref="S357:S375" ca="1" si="993">M357/F357</f>
        <v>1.3239987783636114</v>
      </c>
      <c r="T357" s="21">
        <f ca="1">F357/14.415</f>
        <v>248.04245577523415</v>
      </c>
      <c r="U357" s="21">
        <f t="shared" ref="U357:U375" ca="1" si="994">T357/E357</f>
        <v>13.780136431957452</v>
      </c>
      <c r="V357" s="18">
        <f t="shared" ref="V357:V375" ca="1" si="995">M357/E357</f>
        <v>263</v>
      </c>
      <c r="W357" s="76"/>
      <c r="X357" s="8">
        <v>4</v>
      </c>
      <c r="Y357" s="8" t="s">
        <v>27</v>
      </c>
      <c r="Z357" s="8">
        <f t="shared" ref="Z357:AK357" si="996">SUM(D370)</f>
        <v>30</v>
      </c>
      <c r="AA357" s="9">
        <f t="shared" ca="1" si="996"/>
        <v>28</v>
      </c>
      <c r="AB357" s="10">
        <f t="shared" ca="1" si="996"/>
        <v>5365.83499999999</v>
      </c>
      <c r="AC357" s="9">
        <f t="shared" ca="1" si="996"/>
        <v>2030</v>
      </c>
      <c r="AD357" s="9">
        <f t="shared" ca="1" si="996"/>
        <v>286</v>
      </c>
      <c r="AE357" s="9">
        <f t="shared" ca="1" si="996"/>
        <v>2316</v>
      </c>
      <c r="AF357" s="9">
        <f t="shared" ca="1" si="996"/>
        <v>3301</v>
      </c>
      <c r="AG357" s="9">
        <f t="shared" ca="1" si="996"/>
        <v>271</v>
      </c>
      <c r="AH357" s="9">
        <f t="shared" ca="1" si="996"/>
        <v>3572</v>
      </c>
      <c r="AI357" s="9">
        <f t="shared" ca="1" si="996"/>
        <v>5888</v>
      </c>
      <c r="AJ357" s="11">
        <f t="shared" ca="1" si="996"/>
        <v>191.63696428571393</v>
      </c>
      <c r="AK357" s="8">
        <f t="shared" si="996"/>
        <v>8101</v>
      </c>
      <c r="AL357" s="12">
        <f t="shared" ca="1" si="977"/>
        <v>0.72682384890754226</v>
      </c>
      <c r="AM357" s="13">
        <f>SUM(Q370)</f>
        <v>1.5</v>
      </c>
      <c r="AN357" s="12">
        <f t="shared" ca="1" si="979"/>
        <v>0.73154193771022413</v>
      </c>
      <c r="AO357" s="14">
        <f t="shared" ca="1" si="980"/>
        <v>1.0973129065653362</v>
      </c>
      <c r="AP357" s="13">
        <f t="shared" ref="AP357:AQ357" ca="1" si="997">SUM(T370)</f>
        <v>268.4931198398794</v>
      </c>
      <c r="AQ357" s="13">
        <f t="shared" ca="1" si="997"/>
        <v>9.5890399942814071</v>
      </c>
      <c r="AR357" s="9">
        <f t="shared" ca="1" si="982"/>
        <v>210.28571428571428</v>
      </c>
      <c r="AS357" s="76"/>
      <c r="AT357" s="76"/>
    </row>
    <row r="358" spans="1:46" ht="15.75" customHeight="1" x14ac:dyDescent="0.25">
      <c r="A358" s="70"/>
      <c r="B358" s="16">
        <v>2</v>
      </c>
      <c r="C358" s="16" t="s">
        <v>28</v>
      </c>
      <c r="D358" s="17">
        <v>33</v>
      </c>
      <c r="E358" s="18">
        <f ca="1">IFERROR(__xludf.DUMMYFUNCTION("COUNT(IMPORTRANGE(""https://docs.google.com/spreadsheets/d/1H9vAqftAHb0OdeSGXHTnJFzoWUgpoH31sc0sHNN8y1o/edit"",""14!d2:d34""))"),32)</f>
        <v>32</v>
      </c>
      <c r="F358" s="19">
        <f ca="1">IFERROR(__xludf.DUMMYFUNCTION("SUM(IMPORTRANGE(""https://docs.google.com/spreadsheets/d/1H9vAqftAHb0OdeSGXHTnJFzoWUgpoH31sc0sHNN8y1o/edit"",""14!Q2:Q34""))"),6298.282)</f>
        <v>6298.2820000000002</v>
      </c>
      <c r="G358" s="18">
        <f ca="1">IFERROR(__xludf.DUMMYFUNCTION("IMPORTRANGE(""https://docs.google.com/spreadsheets/d/1H9vAqftAHb0OdeSGXHTnJFzoWUgpoH31sc0sHNN8y1o/edit"",""14!e41"")"),2719)</f>
        <v>2719</v>
      </c>
      <c r="H358" s="18">
        <f ca="1">IFERROR(__xludf.DUMMYFUNCTION("IMPORTRANGE(""https://docs.google.com/spreadsheets/d/1H9vAqftAHb0OdeSGXHTnJFzoWUgpoH31sc0sHNN8y1o/edit"",""14!e42"")"),115)</f>
        <v>115</v>
      </c>
      <c r="I358" s="18">
        <f t="shared" ca="1" si="987"/>
        <v>2834</v>
      </c>
      <c r="J358" s="18">
        <f ca="1">IFERROR(__xludf.DUMMYFUNCTION("IMPORTRANGE(""https://docs.google.com/spreadsheets/d/1H9vAqftAHb0OdeSGXHTnJFzoWUgpoH31sc0sHNN8y1o/edit"",""14!e45"")"),2780)</f>
        <v>2780</v>
      </c>
      <c r="K358" s="18">
        <f ca="1">IFERROR(__xludf.DUMMYFUNCTION("IMPORTRANGE(""https://docs.google.com/spreadsheets/d/1H9vAqftAHb0OdeSGXHTnJFzoWUgpoH31sc0sHNN8y1o/edit"",""14!e46"")"),249)</f>
        <v>249</v>
      </c>
      <c r="L358" s="18">
        <f t="shared" ca="1" si="988"/>
        <v>3029</v>
      </c>
      <c r="M358" s="18">
        <f t="shared" ca="1" si="989"/>
        <v>5863</v>
      </c>
      <c r="N358" s="19">
        <f t="shared" ca="1" si="990"/>
        <v>196.8213125</v>
      </c>
      <c r="O358" s="16">
        <v>7315</v>
      </c>
      <c r="P358" s="20">
        <f t="shared" ca="1" si="991"/>
        <v>0.80150375939849627</v>
      </c>
      <c r="Q358" s="21">
        <v>1.5</v>
      </c>
      <c r="R358" s="20">
        <f t="shared" ca="1" si="992"/>
        <v>0.62059251501705803</v>
      </c>
      <c r="S358" s="22">
        <f t="shared" ca="1" si="993"/>
        <v>0.9308887725255871</v>
      </c>
      <c r="T358" s="21">
        <f ca="1">F358/30.897</f>
        <v>203.84768747774865</v>
      </c>
      <c r="U358" s="21">
        <f t="shared" ca="1" si="994"/>
        <v>6.3702402336796453</v>
      </c>
      <c r="V358" s="18">
        <f t="shared" ca="1" si="995"/>
        <v>183.21875</v>
      </c>
      <c r="W358" s="76"/>
      <c r="X358" s="8">
        <v>5</v>
      </c>
      <c r="Y358" s="8" t="s">
        <v>29</v>
      </c>
      <c r="Z358" s="8">
        <f t="shared" ref="Z358:AI358" si="998">SUM(D373)</f>
        <v>30</v>
      </c>
      <c r="AA358" s="9">
        <f t="shared" ca="1" si="998"/>
        <v>29</v>
      </c>
      <c r="AB358" s="10">
        <f t="shared" ca="1" si="998"/>
        <v>5801.5289999999904</v>
      </c>
      <c r="AC358" s="9">
        <f t="shared" ca="1" si="998"/>
        <v>2817</v>
      </c>
      <c r="AD358" s="9">
        <f t="shared" ca="1" si="998"/>
        <v>0</v>
      </c>
      <c r="AE358" s="9">
        <f t="shared" ca="1" si="998"/>
        <v>2817</v>
      </c>
      <c r="AF358" s="9">
        <f t="shared" ca="1" si="998"/>
        <v>4095</v>
      </c>
      <c r="AG358" s="9">
        <f t="shared" ca="1" si="998"/>
        <v>0</v>
      </c>
      <c r="AH358" s="9">
        <f t="shared" ca="1" si="998"/>
        <v>4095</v>
      </c>
      <c r="AI358" s="9">
        <f t="shared" ca="1" si="998"/>
        <v>6912</v>
      </c>
      <c r="AJ358" s="11">
        <f t="shared" ref="AJ358:AJ360" ca="1" si="999">AB358/AA358</f>
        <v>200.05272413793071</v>
      </c>
      <c r="AK358" s="8">
        <f t="shared" ref="AK358:AK359" si="1000">SUM(O373)</f>
        <v>9201</v>
      </c>
      <c r="AL358" s="12">
        <f t="shared" ca="1" si="977"/>
        <v>0.75122269318552326</v>
      </c>
      <c r="AM358" s="13">
        <f t="shared" ref="AM358:AM359" si="1001">SUM(Q373)</f>
        <v>1.5</v>
      </c>
      <c r="AN358" s="12">
        <f t="shared" ca="1" si="979"/>
        <v>0.79427337172666157</v>
      </c>
      <c r="AO358" s="14">
        <f t="shared" ca="1" si="980"/>
        <v>1.1914100575899924</v>
      </c>
      <c r="AP358" s="13">
        <f t="shared" ref="AP358:AQ358" ca="1" si="1002">SUM(T373)</f>
        <v>218.99999999999963</v>
      </c>
      <c r="AQ358" s="13">
        <f t="shared" ca="1" si="1002"/>
        <v>7.5517241379310214</v>
      </c>
      <c r="AR358" s="9">
        <f t="shared" ca="1" si="982"/>
        <v>238.34482758620689</v>
      </c>
      <c r="AS358" s="76"/>
      <c r="AT358" s="76"/>
    </row>
    <row r="359" spans="1:46" ht="15.75" customHeight="1" x14ac:dyDescent="0.25">
      <c r="A359" s="70"/>
      <c r="B359" s="16">
        <v>3</v>
      </c>
      <c r="C359" s="16" t="s">
        <v>30</v>
      </c>
      <c r="D359" s="17">
        <v>60</v>
      </c>
      <c r="E359" s="18">
        <f ca="1">IFERROR(__xludf.DUMMYFUNCTION("COUNT(IMPORTRANGE(""https://docs.google.com/spreadsheets/d/1EWN6nfpuVxbUE_9opjYCWaI7MTm5xsF6ssjklSbMZnA/edit"",""14!d2:d61""))"),58)</f>
        <v>58</v>
      </c>
      <c r="F359" s="23">
        <f ca="1">IFERROR(__xludf.DUMMYFUNCTION("SUM(IMPORTRANGE(""https://docs.google.com/spreadsheets/d/1EWN6nfpuVxbUE_9opjYCWaI7MTm5xsF6ssjklSbMZnA/edit"",""14!Q2:Q61""))"),11291.4419999999)</f>
        <v>11291.441999999901</v>
      </c>
      <c r="G359" s="18">
        <f ca="1">IFERROR(__xludf.DUMMYFUNCTION("IMPORTRANGE(""https://docs.google.com/spreadsheets/d/1EWN6nfpuVxbUE_9opjYCWaI7MTm5xsF6ssjklSbMZnA/edit"",""14!e68"")"),3635)</f>
        <v>3635</v>
      </c>
      <c r="H359" s="18">
        <f ca="1">IFERROR(__xludf.DUMMYFUNCTION("IMPORTRANGE(""https://docs.google.com/spreadsheets/d/1EWN6nfpuVxbUE_9opjYCWaI7MTm5xsF6ssjklSbMZnA/edit"",""14!e69"")"),30)</f>
        <v>30</v>
      </c>
      <c r="I359" s="18">
        <f t="shared" ca="1" si="987"/>
        <v>3665</v>
      </c>
      <c r="J359" s="18">
        <f ca="1">IFERROR(__xludf.DUMMYFUNCTION("IMPORTRANGE(""https://docs.google.com/spreadsheets/d/1EWN6nfpuVxbUE_9opjYCWaI7MTm5xsF6ssjklSbMZnA/edit"",""14!e72"")"),6266)</f>
        <v>6266</v>
      </c>
      <c r="K359" s="18">
        <f ca="1">IFERROR(__xludf.DUMMYFUNCTION("IMPORTRANGE(""https://docs.google.com/spreadsheets/d/1EWN6nfpuVxbUE_9opjYCWaI7MTm5xsF6ssjklSbMZnA/edit"",""14!e73"")"),0)</f>
        <v>0</v>
      </c>
      <c r="L359" s="18">
        <f t="shared" ca="1" si="988"/>
        <v>6266</v>
      </c>
      <c r="M359" s="18">
        <f t="shared" ca="1" si="989"/>
        <v>9931</v>
      </c>
      <c r="N359" s="19">
        <f t="shared" ca="1" si="990"/>
        <v>194.68003448275692</v>
      </c>
      <c r="O359" s="16">
        <v>11164</v>
      </c>
      <c r="P359" s="20">
        <f t="shared" ca="1" si="991"/>
        <v>0.88955571479756357</v>
      </c>
      <c r="Q359" s="21">
        <v>1.5</v>
      </c>
      <c r="R359" s="20">
        <f t="shared" ca="1" si="992"/>
        <v>0.58634376961478651</v>
      </c>
      <c r="S359" s="22">
        <f t="shared" ca="1" si="993"/>
        <v>0.87951565442217983</v>
      </c>
      <c r="T359" s="21">
        <f ca="1">F359/29.603</f>
        <v>381.42897679288922</v>
      </c>
      <c r="U359" s="21">
        <f t="shared" ca="1" si="994"/>
        <v>6.5763616688429174</v>
      </c>
      <c r="V359" s="18">
        <f t="shared" ca="1" si="995"/>
        <v>171.22413793103448</v>
      </c>
      <c r="W359" s="76"/>
      <c r="X359" s="8">
        <v>6</v>
      </c>
      <c r="Y359" s="8" t="s">
        <v>31</v>
      </c>
      <c r="Z359" s="8">
        <f t="shared" ref="Z359:AI359" si="1003">SUM(D374)</f>
        <v>15</v>
      </c>
      <c r="AA359" s="9">
        <f t="shared" ca="1" si="1003"/>
        <v>14</v>
      </c>
      <c r="AB359" s="11">
        <f t="shared" ca="1" si="1003"/>
        <v>2540.9809999999902</v>
      </c>
      <c r="AC359" s="9">
        <f t="shared" ca="1" si="1003"/>
        <v>866</v>
      </c>
      <c r="AD359" s="9">
        <f t="shared" ca="1" si="1003"/>
        <v>8</v>
      </c>
      <c r="AE359" s="9">
        <f t="shared" ca="1" si="1003"/>
        <v>874</v>
      </c>
      <c r="AF359" s="9">
        <f t="shared" ca="1" si="1003"/>
        <v>913</v>
      </c>
      <c r="AG359" s="9">
        <f t="shared" ca="1" si="1003"/>
        <v>0</v>
      </c>
      <c r="AH359" s="9">
        <f t="shared" ca="1" si="1003"/>
        <v>913</v>
      </c>
      <c r="AI359" s="9">
        <f t="shared" ca="1" si="1003"/>
        <v>1787</v>
      </c>
      <c r="AJ359" s="11">
        <f t="shared" ca="1" si="999"/>
        <v>181.49864285714216</v>
      </c>
      <c r="AK359" s="8">
        <f t="shared" si="1000"/>
        <v>2717</v>
      </c>
      <c r="AL359" s="12">
        <f t="shared" ca="1" si="977"/>
        <v>0.65771071034228934</v>
      </c>
      <c r="AM359" s="13">
        <f t="shared" si="1001"/>
        <v>1.5</v>
      </c>
      <c r="AN359" s="12">
        <f t="shared" ca="1" si="979"/>
        <v>0.46884779277504945</v>
      </c>
      <c r="AO359" s="14">
        <f t="shared" ca="1" si="980"/>
        <v>0.70327168916257421</v>
      </c>
      <c r="AP359" s="13">
        <f t="shared" ref="AP359:AQ359" ca="1" si="1004">SUM(T374)</f>
        <v>58.460393419992869</v>
      </c>
      <c r="AQ359" s="13">
        <f t="shared" ca="1" si="1004"/>
        <v>4.175742387142348</v>
      </c>
      <c r="AR359" s="9">
        <f t="shared" ca="1" si="982"/>
        <v>127.64285714285714</v>
      </c>
      <c r="AS359" s="76"/>
      <c r="AT359" s="76"/>
    </row>
    <row r="360" spans="1:46" ht="15.75" customHeight="1" x14ac:dyDescent="0.25">
      <c r="A360" s="70"/>
      <c r="B360" s="16">
        <v>4</v>
      </c>
      <c r="C360" s="16" t="s">
        <v>32</v>
      </c>
      <c r="D360" s="17">
        <v>42</v>
      </c>
      <c r="E360" s="18">
        <f ca="1">IFERROR(__xludf.DUMMYFUNCTION("COUNT(IMPORTRANGE(""https://docs.google.com/spreadsheets/d/1Rmar8QqWK4XOJ-eY6xMzkAfDSw0srEXcAw89ilArun8/edit"",""14!d2:d43""))"),42)</f>
        <v>42</v>
      </c>
      <c r="F360" s="23">
        <f ca="1">IFERROR(__xludf.DUMMYFUNCTION("SUM(IMPORTRANGE(""https://docs.google.com/spreadsheets/d/1Rmar8QqWK4XOJ-eY6xMzkAfDSw0srEXcAw89ilArun8/edit"",""14!Q2:Q43""))"),8254.28099999999)</f>
        <v>8254.2809999999899</v>
      </c>
      <c r="G360" s="16">
        <f ca="1">IFERROR(__xludf.DUMMYFUNCTION("IMPORTRANGE(""https://docs.google.com/spreadsheets/d/1Rmar8QqWK4XOJ-eY6xMzkAfDSw0srEXcAw89ilArun8/edit"",""14!e50"")"),4788)</f>
        <v>4788</v>
      </c>
      <c r="H360" s="16">
        <f ca="1">IFERROR(__xludf.DUMMYFUNCTION("IMPORTRANGE(""https://docs.google.com/spreadsheets/d/1Rmar8QqWK4XOJ-eY6xMzkAfDSw0srEXcAw89ilArun8/edit"",""14!e51"")"),0)</f>
        <v>0</v>
      </c>
      <c r="I360" s="18">
        <f t="shared" ca="1" si="987"/>
        <v>4788</v>
      </c>
      <c r="J360" s="16">
        <f ca="1">IFERROR(__xludf.DUMMYFUNCTION("IMPORTRANGE(""https://docs.google.com/spreadsheets/d/1Rmar8QqWK4XOJ-eY6xMzkAfDSw0srEXcAw89ilArun8/edit"",""14!e54"")"),5682)</f>
        <v>5682</v>
      </c>
      <c r="K360" s="16">
        <f ca="1">IFERROR(__xludf.DUMMYFUNCTION("IMPORTRANGE(""https://docs.google.com/spreadsheets/d/1Rmar8QqWK4XOJ-eY6xMzkAfDSw0srEXcAw89ilArun8/edit"",""14!e55"")"),0)</f>
        <v>0</v>
      </c>
      <c r="L360" s="18">
        <f t="shared" ca="1" si="988"/>
        <v>5682</v>
      </c>
      <c r="M360" s="18">
        <f t="shared" ca="1" si="989"/>
        <v>10470</v>
      </c>
      <c r="N360" s="19">
        <f t="shared" ca="1" si="990"/>
        <v>196.53049999999976</v>
      </c>
      <c r="O360" s="16">
        <v>13817</v>
      </c>
      <c r="P360" s="20">
        <f t="shared" ca="1" si="991"/>
        <v>0.75776217702829851</v>
      </c>
      <c r="Q360" s="21">
        <v>1.5</v>
      </c>
      <c r="R360" s="20">
        <f t="shared" ca="1" si="992"/>
        <v>0.84562180521840835</v>
      </c>
      <c r="S360" s="22">
        <f t="shared" ca="1" si="993"/>
        <v>1.2684327078276125</v>
      </c>
      <c r="T360" s="21">
        <f ca="1">F360/25.089</f>
        <v>328.9999999999996</v>
      </c>
      <c r="U360" s="21">
        <f t="shared" ca="1" si="994"/>
        <v>7.8333333333333242</v>
      </c>
      <c r="V360" s="18">
        <f t="shared" ca="1" si="995"/>
        <v>249.28571428571428</v>
      </c>
      <c r="W360" s="76"/>
      <c r="X360" s="24" t="s">
        <v>33</v>
      </c>
      <c r="Y360" s="24">
        <v>6</v>
      </c>
      <c r="Z360" s="24">
        <f t="shared" ref="Z360:AI360" si="1005">SUM(Z354:Z359)</f>
        <v>186</v>
      </c>
      <c r="AA360" s="25">
        <f t="shared" ca="1" si="1005"/>
        <v>181</v>
      </c>
      <c r="AB360" s="26">
        <f t="shared" ca="1" si="1005"/>
        <v>34752.400999999954</v>
      </c>
      <c r="AC360" s="25">
        <f t="shared" ca="1" si="1005"/>
        <v>10798</v>
      </c>
      <c r="AD360" s="25">
        <f t="shared" ca="1" si="1005"/>
        <v>774</v>
      </c>
      <c r="AE360" s="25">
        <f t="shared" ca="1" si="1005"/>
        <v>11572</v>
      </c>
      <c r="AF360" s="25">
        <f t="shared" ca="1" si="1005"/>
        <v>16121</v>
      </c>
      <c r="AG360" s="25">
        <f t="shared" ca="1" si="1005"/>
        <v>570</v>
      </c>
      <c r="AH360" s="25">
        <f t="shared" ca="1" si="1005"/>
        <v>16691</v>
      </c>
      <c r="AI360" s="25">
        <f t="shared" ca="1" si="1005"/>
        <v>28263</v>
      </c>
      <c r="AJ360" s="27">
        <f t="shared" ca="1" si="999"/>
        <v>192.00221546961302</v>
      </c>
      <c r="AK360" s="24">
        <f>SUM(AK354:AK359)</f>
        <v>35074</v>
      </c>
      <c r="AL360" s="28">
        <f t="shared" ca="1" si="977"/>
        <v>0.80581057193362604</v>
      </c>
      <c r="AM360" s="29">
        <v>1.5</v>
      </c>
      <c r="AN360" s="28">
        <f t="shared" ca="1" si="979"/>
        <v>0.54217836632352467</v>
      </c>
      <c r="AO360" s="30">
        <f t="shared" ca="1" si="980"/>
        <v>0.81326754948528701</v>
      </c>
      <c r="AP360" s="29">
        <f ca="1">SUM(AP354:AP359)</f>
        <v>1304.8040343924856</v>
      </c>
      <c r="AQ360" s="29">
        <f ca="1">AP360/AA360</f>
        <v>7.2088620684667717</v>
      </c>
      <c r="AR360" s="25">
        <f t="shared" ca="1" si="982"/>
        <v>156.14917127071823</v>
      </c>
      <c r="AS360" s="76"/>
      <c r="AT360" s="76"/>
    </row>
    <row r="361" spans="1:46" ht="15.75" customHeight="1" x14ac:dyDescent="0.25">
      <c r="A361" s="70"/>
      <c r="B361" s="16">
        <v>5</v>
      </c>
      <c r="C361" s="16" t="s">
        <v>34</v>
      </c>
      <c r="D361" s="17">
        <v>40</v>
      </c>
      <c r="E361" s="18">
        <f ca="1">IFERROR(__xludf.DUMMYFUNCTION("COUNT(IMPORTRANGE(""https://docs.google.com/spreadsheets/d/1u99JxAoytGQQ8GcjxXl38CGdyEWy5uIbuJJHnsotyvk/edit"",""14!d2:d41""))"),39)</f>
        <v>39</v>
      </c>
      <c r="F361" s="23">
        <f ca="1">IFERROR(__xludf.DUMMYFUNCTION("SUM(IMPORTRANGE(""https://docs.google.com/spreadsheets/d/1u99JxAoytGQQ8GcjxXl38CGdyEWy5uIbuJJHnsotyvk/edit"",""14!Q2:Q41""))"),7795.425)</f>
        <v>7795.4250000000002</v>
      </c>
      <c r="G361" s="18">
        <f ca="1">IFERROR(__xludf.DUMMYFUNCTION("IMPORTRANGE(""https://docs.google.com/spreadsheets/d/1u99JxAoytGQQ8GcjxXl38CGdyEWy5uIbuJJHnsotyvk/edit"",""14!e48"")"),3796)</f>
        <v>3796</v>
      </c>
      <c r="H361" s="18">
        <f ca="1">IFERROR(__xludf.DUMMYFUNCTION("IMPORTRANGE(""https://docs.google.com/spreadsheets/d/1u99JxAoytGQQ8GcjxXl38CGdyEWy5uIbuJJHnsotyvk/edit"",""14!e49"")"),0)</f>
        <v>0</v>
      </c>
      <c r="I361" s="18">
        <f t="shared" ca="1" si="987"/>
        <v>3796</v>
      </c>
      <c r="J361" s="18">
        <f ca="1">IFERROR(__xludf.DUMMYFUNCTION("IMPORTRANGE(""https://docs.google.com/spreadsheets/d/1u99JxAoytGQQ8GcjxXl38CGdyEWy5uIbuJJHnsotyvk/edit"",""14!e52"")"),2540)</f>
        <v>2540</v>
      </c>
      <c r="K361" s="18">
        <f ca="1">IFERROR(__xludf.DUMMYFUNCTION("IMPORTRANGE(""https://docs.google.com/spreadsheets/d/1u99JxAoytGQQ8GcjxXl38CGdyEWy5uIbuJJHnsotyvk/edit"",""14!e53"")"),0)</f>
        <v>0</v>
      </c>
      <c r="L361" s="18">
        <f t="shared" ca="1" si="988"/>
        <v>2540</v>
      </c>
      <c r="M361" s="18">
        <f t="shared" ca="1" si="989"/>
        <v>6336</v>
      </c>
      <c r="N361" s="19">
        <f t="shared" ca="1" si="990"/>
        <v>199.88269230769231</v>
      </c>
      <c r="O361" s="16">
        <v>9354</v>
      </c>
      <c r="P361" s="20">
        <f t="shared" ca="1" si="991"/>
        <v>0.67735728030788966</v>
      </c>
      <c r="Q361" s="21">
        <v>1.5</v>
      </c>
      <c r="R361" s="20">
        <f t="shared" ca="1" si="992"/>
        <v>0.54185628108794581</v>
      </c>
      <c r="S361" s="22">
        <f t="shared" ca="1" si="993"/>
        <v>0.81278442163191866</v>
      </c>
      <c r="T361" s="21">
        <f ca="1">F361/30.713</f>
        <v>253.81515970435973</v>
      </c>
      <c r="U361" s="21">
        <f t="shared" ca="1" si="994"/>
        <v>6.5080810180605058</v>
      </c>
      <c r="V361" s="18">
        <f t="shared" ca="1" si="995"/>
        <v>162.46153846153845</v>
      </c>
      <c r="W361" s="76"/>
      <c r="X361" s="100" t="s">
        <v>35</v>
      </c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9"/>
      <c r="AS361" s="76"/>
      <c r="AT361" s="76"/>
    </row>
    <row r="362" spans="1:46" ht="15.75" customHeight="1" x14ac:dyDescent="0.25">
      <c r="A362" s="70"/>
      <c r="B362" s="16">
        <v>6</v>
      </c>
      <c r="C362" s="16" t="s">
        <v>23</v>
      </c>
      <c r="D362" s="17">
        <v>35</v>
      </c>
      <c r="E362" s="18">
        <f ca="1">IFERROR(__xludf.DUMMYFUNCTION("COUNT(IMPORTRANGE(""https://docs.google.com/spreadsheets/d/1uVc-vnTn57HE53lwrUYNZP4sGKTXisrqOoZ-6EyvLzY/edit"",""14!d2:d36""))"),35)</f>
        <v>35</v>
      </c>
      <c r="F362" s="23">
        <f ca="1">IFERROR(__xludf.DUMMYFUNCTION("SUM(IMPORTRANGE(""https://docs.google.com/spreadsheets/d/1uVc-vnTn57HE53lwrUYNZP4sGKTXisrqOoZ-6EyvLzY/edit"",""14!Q2:Q36""))"),6849.21999999999)</f>
        <v>6849.2199999999903</v>
      </c>
      <c r="G362" s="18">
        <f ca="1">IFERROR(__xludf.DUMMYFUNCTION("IMPORTRANGE(""https://docs.google.com/spreadsheets/d/1uVc-vnTn57HE53lwrUYNZP4sGKTXisrqOoZ-6EyvLzY/edit"",""14!e43"")"),1641)</f>
        <v>1641</v>
      </c>
      <c r="H362" s="18">
        <f ca="1">IFERROR(__xludf.DUMMYFUNCTION("IMPORTRANGE(""https://docs.google.com/spreadsheets/d/1uVc-vnTn57HE53lwrUYNZP4sGKTXisrqOoZ-6EyvLzY/edit"",""14!e44"")"),58)</f>
        <v>58</v>
      </c>
      <c r="I362" s="18">
        <f t="shared" ca="1" si="987"/>
        <v>1699</v>
      </c>
      <c r="J362" s="18">
        <f ca="1">IFERROR(__xludf.DUMMYFUNCTION("IMPORTRANGE(""https://docs.google.com/spreadsheets/d/1uVc-vnTn57HE53lwrUYNZP4sGKTXisrqOoZ-6EyvLzY/edit"",""14!e47"")"),3064)</f>
        <v>3064</v>
      </c>
      <c r="K362" s="18">
        <f ca="1">IFERROR(__xludf.DUMMYFUNCTION("IMPORTRANGE(""https://docs.google.com/spreadsheets/d/1uVc-vnTn57HE53lwrUYNZP4sGKTXisrqOoZ-6EyvLzY/edit"",""14!e48"")"),0)</f>
        <v>0</v>
      </c>
      <c r="L362" s="18">
        <f t="shared" ca="1" si="988"/>
        <v>3064</v>
      </c>
      <c r="M362" s="18">
        <f t="shared" ca="1" si="989"/>
        <v>4763</v>
      </c>
      <c r="N362" s="19">
        <f t="shared" ca="1" si="990"/>
        <v>195.69199999999972</v>
      </c>
      <c r="O362" s="16">
        <v>6853</v>
      </c>
      <c r="P362" s="20">
        <f t="shared" ca="1" si="991"/>
        <v>0.695024077046549</v>
      </c>
      <c r="Q362" s="21">
        <v>1.5</v>
      </c>
      <c r="R362" s="20">
        <f t="shared" ca="1" si="992"/>
        <v>0.46360510150547624</v>
      </c>
      <c r="S362" s="22">
        <f t="shared" ca="1" si="993"/>
        <v>0.69540765225821433</v>
      </c>
      <c r="T362" s="21">
        <f ca="1">F362/33.74</f>
        <v>202.99999999999969</v>
      </c>
      <c r="U362" s="21">
        <f t="shared" ca="1" si="994"/>
        <v>5.7999999999999909</v>
      </c>
      <c r="V362" s="18">
        <f t="shared" ca="1" si="995"/>
        <v>136.08571428571429</v>
      </c>
      <c r="W362" s="76"/>
      <c r="X362" s="1" t="s">
        <v>2</v>
      </c>
      <c r="Y362" s="1" t="s">
        <v>3</v>
      </c>
      <c r="Z362" s="1" t="s">
        <v>4</v>
      </c>
      <c r="AA362" s="1" t="s">
        <v>5</v>
      </c>
      <c r="AB362" s="2" t="s">
        <v>6</v>
      </c>
      <c r="AC362" s="1" t="s">
        <v>7</v>
      </c>
      <c r="AD362" s="1" t="s">
        <v>8</v>
      </c>
      <c r="AE362" s="1" t="s">
        <v>9</v>
      </c>
      <c r="AF362" s="1" t="s">
        <v>10</v>
      </c>
      <c r="AG362" s="1" t="s">
        <v>11</v>
      </c>
      <c r="AH362" s="1" t="s">
        <v>12</v>
      </c>
      <c r="AI362" s="1" t="s">
        <v>13</v>
      </c>
      <c r="AJ362" s="2" t="s">
        <v>14</v>
      </c>
      <c r="AK362" s="1" t="s">
        <v>15</v>
      </c>
      <c r="AL362" s="1" t="s">
        <v>16</v>
      </c>
      <c r="AM362" s="3" t="s">
        <v>17</v>
      </c>
      <c r="AN362" s="4" t="s">
        <v>18</v>
      </c>
      <c r="AO362" s="5" t="s">
        <v>19</v>
      </c>
      <c r="AP362" s="6" t="s">
        <v>20</v>
      </c>
      <c r="AQ362" s="6" t="s">
        <v>21</v>
      </c>
      <c r="AR362" s="7" t="s">
        <v>22</v>
      </c>
      <c r="AS362" s="76"/>
      <c r="AT362" s="76"/>
    </row>
    <row r="363" spans="1:46" ht="15.75" customHeight="1" x14ac:dyDescent="0.25">
      <c r="A363" s="70"/>
      <c r="B363" s="16">
        <v>7</v>
      </c>
      <c r="C363" s="16" t="s">
        <v>24</v>
      </c>
      <c r="D363" s="17">
        <v>44</v>
      </c>
      <c r="E363" s="31">
        <f ca="1">IFERROR(__xludf.DUMMYFUNCTION("COUNT(IMPORTRANGE(""https://docs.google.com/spreadsheets/d/1iuPvivSypupo44l6GtmR-2qZ3za7cTk7KzsOVp_kv2c/edit"",""14!d2:d45""))"),44)</f>
        <v>44</v>
      </c>
      <c r="F363" s="32">
        <f ca="1">IFERROR(__xludf.DUMMYFUNCTION("SUM(IMPORTRANGE(""https://docs.google.com/spreadsheets/d/1iuPvivSypupo44l6GtmR-2qZ3za7cTk7KzsOVp_kv2c/edit"",""14!Q2:Q45""))"),8528.41599999999)</f>
        <v>8528.4159999999902</v>
      </c>
      <c r="G363" s="31">
        <f ca="1">IFERROR(__xludf.DUMMYFUNCTION("IMPORTRANGE(""https://docs.google.com/spreadsheets/d/1iuPvivSypupo44l6GtmR-2qZ3za7cTk7KzsOVp_kv2c/edit"",""14!e53"")"),1211)</f>
        <v>1211</v>
      </c>
      <c r="H363" s="31">
        <f ca="1">IFERROR(__xludf.DUMMYFUNCTION("IMPORTRANGE(""https://docs.google.com/spreadsheets/d/1iuPvivSypupo44l6GtmR-2qZ3za7cTk7KzsOVp_kv2c/edit"",""14!e54"")"),4)</f>
        <v>4</v>
      </c>
      <c r="I363" s="31">
        <f t="shared" ca="1" si="987"/>
        <v>1215</v>
      </c>
      <c r="J363" s="31">
        <f ca="1">IFERROR(__xludf.DUMMYFUNCTION("IMPORTRANGE(""https://docs.google.com/spreadsheets/d/1iuPvivSypupo44l6GtmR-2qZ3za7cTk7KzsOVp_kv2c/edit"",""14!e57"")"),1636)</f>
        <v>1636</v>
      </c>
      <c r="K363" s="31">
        <f ca="1">IFERROR(__xludf.DUMMYFUNCTION("IMPORTRANGE(""https://docs.google.com/spreadsheets/d/1iuPvivSypupo44l6GtmR-2qZ3za7cTk7KzsOVp_kv2c/edit"",""14!e58"")"),6)</f>
        <v>6</v>
      </c>
      <c r="L363" s="18">
        <f t="shared" ca="1" si="988"/>
        <v>1642</v>
      </c>
      <c r="M363" s="18">
        <f t="shared" ca="1" si="989"/>
        <v>2857</v>
      </c>
      <c r="N363" s="19">
        <f t="shared" ca="1" si="990"/>
        <v>193.82763636363615</v>
      </c>
      <c r="O363" s="16">
        <v>1580</v>
      </c>
      <c r="P363" s="33">
        <f t="shared" ca="1" si="991"/>
        <v>1.8082278481012659</v>
      </c>
      <c r="Q363" s="21">
        <v>1.5</v>
      </c>
      <c r="R363" s="20">
        <f t="shared" ca="1" si="992"/>
        <v>0.22333181996125293</v>
      </c>
      <c r="S363" s="22">
        <f t="shared" ca="1" si="993"/>
        <v>0.33499772994187937</v>
      </c>
      <c r="T363" s="21">
        <f ca="1">F363/26.805</f>
        <v>318.16511844805035</v>
      </c>
      <c r="U363" s="21">
        <f t="shared" ca="1" si="994"/>
        <v>7.2310254192738714</v>
      </c>
      <c r="V363" s="18">
        <f t="shared" ca="1" si="995"/>
        <v>64.931818181818187</v>
      </c>
      <c r="W363" s="76"/>
      <c r="X363" s="8">
        <v>1</v>
      </c>
      <c r="Y363" s="8" t="s">
        <v>28</v>
      </c>
      <c r="Z363" s="8">
        <f t="shared" ref="Z363:AI363" si="1006">SUM(D358)</f>
        <v>33</v>
      </c>
      <c r="AA363" s="9">
        <f t="shared" ca="1" si="1006"/>
        <v>32</v>
      </c>
      <c r="AB363" s="11">
        <f t="shared" ca="1" si="1006"/>
        <v>6298.2820000000002</v>
      </c>
      <c r="AC363" s="9">
        <f t="shared" ca="1" si="1006"/>
        <v>2719</v>
      </c>
      <c r="AD363" s="9">
        <f t="shared" ca="1" si="1006"/>
        <v>115</v>
      </c>
      <c r="AE363" s="9">
        <f t="shared" ca="1" si="1006"/>
        <v>2834</v>
      </c>
      <c r="AF363" s="9">
        <f t="shared" ca="1" si="1006"/>
        <v>2780</v>
      </c>
      <c r="AG363" s="9">
        <f t="shared" ca="1" si="1006"/>
        <v>249</v>
      </c>
      <c r="AH363" s="9">
        <f t="shared" ca="1" si="1006"/>
        <v>3029</v>
      </c>
      <c r="AI363" s="9">
        <f t="shared" ca="1" si="1006"/>
        <v>5863</v>
      </c>
      <c r="AJ363" s="11">
        <f t="shared" ref="AJ363:AJ369" ca="1" si="1007">AB363/AA363</f>
        <v>196.8213125</v>
      </c>
      <c r="AK363" s="8">
        <f t="shared" ref="AK363:AK364" si="1008">SUM(O358)</f>
        <v>7315</v>
      </c>
      <c r="AL363" s="12">
        <f t="shared" ref="AL363:AL369" ca="1" si="1009">AI363/AK363</f>
        <v>0.80150375939849627</v>
      </c>
      <c r="AM363" s="13">
        <f t="shared" ref="AM363:AM364" si="1010">SUM(Q358)</f>
        <v>1.5</v>
      </c>
      <c r="AN363" s="12">
        <f t="shared" ref="AN363:AN369" ca="1" si="1011">AO363/AM363</f>
        <v>0.62059251501705803</v>
      </c>
      <c r="AO363" s="14">
        <f t="shared" ref="AO363:AO369" ca="1" si="1012">AI363/AB363</f>
        <v>0.9308887725255871</v>
      </c>
      <c r="AP363" s="13">
        <f t="shared" ref="AP363:AQ363" ca="1" si="1013">SUM(T358)</f>
        <v>203.84768747774865</v>
      </c>
      <c r="AQ363" s="13">
        <f t="shared" ca="1" si="1013"/>
        <v>6.3702402336796453</v>
      </c>
      <c r="AR363" s="9">
        <f t="shared" ref="AR363:AR369" ca="1" si="1014">AI363/AA363</f>
        <v>183.21875</v>
      </c>
      <c r="AS363" s="76"/>
      <c r="AT363" s="76"/>
    </row>
    <row r="364" spans="1:46" ht="15.75" customHeight="1" x14ac:dyDescent="0.25">
      <c r="A364" s="70"/>
      <c r="B364" s="16">
        <v>8</v>
      </c>
      <c r="C364" s="16" t="s">
        <v>25</v>
      </c>
      <c r="D364" s="34">
        <v>32</v>
      </c>
      <c r="E364" s="18">
        <f ca="1">IFERROR(__xludf.DUMMYFUNCTION("COUNT(IMPORTRANGE(""https://docs.google.com/spreadsheets/d/1sqWX7UerdR9KR_duBzDNfjwbPG-3hLgV1LiN2ZVZ6Js/edit"",""14!d2:D33""))"),31)</f>
        <v>31</v>
      </c>
      <c r="F364" s="23">
        <f ca="1">IFERROR(__xludf.DUMMYFUNCTION("SUM(IMPORTRANGE(""https://docs.google.com/spreadsheets/d/1sqWX7UerdR9KR_duBzDNfjwbPG-3hLgV1LiN2ZVZ6Js/edit"",""14!Q2:Q33""))"),5666.42)</f>
        <v>5666.42</v>
      </c>
      <c r="G364" s="18">
        <f ca="1">IFERROR(__xludf.DUMMYFUNCTION("IMPORTRANGE(""https://docs.google.com/spreadsheets/d/1sqWX7UerdR9KR_duBzDNfjwbPG-3hLgV1LiN2ZVZ6Js/edit"",""14!e40"")"),2233)</f>
        <v>2233</v>
      </c>
      <c r="H364" s="18">
        <f ca="1">IFERROR(__xludf.DUMMYFUNCTION("IMPORTRANGE(""https://docs.google.com/spreadsheets/d/1sqWX7UerdR9KR_duBzDNfjwbPG-3hLgV1LiN2ZVZ6Js/edit"",""14!e41"")"),418)</f>
        <v>418</v>
      </c>
      <c r="I364" s="18">
        <f t="shared" ca="1" si="987"/>
        <v>2651</v>
      </c>
      <c r="J364" s="18">
        <f ca="1">IFERROR(__xludf.DUMMYFUNCTION("IMPORTRANGE(""https://docs.google.com/spreadsheets/d/1sqWX7UerdR9KR_duBzDNfjwbPG-3hLgV1LiN2ZVZ6Js/edit"",""14!e44"")"),3112)</f>
        <v>3112</v>
      </c>
      <c r="K364" s="18">
        <f ca="1">IFERROR(__xludf.DUMMYFUNCTION("IMPORTRANGE(""https://docs.google.com/spreadsheets/d/1sqWX7UerdR9KR_duBzDNfjwbPG-3hLgV1LiN2ZVZ6Js/edit"",""14!e45"")"),293)</f>
        <v>293</v>
      </c>
      <c r="L364" s="18">
        <f ca="1">J364+K364</f>
        <v>3405</v>
      </c>
      <c r="M364" s="18">
        <f t="shared" ca="1" si="989"/>
        <v>6056</v>
      </c>
      <c r="N364" s="19">
        <f t="shared" ca="1" si="990"/>
        <v>182.78774193548387</v>
      </c>
      <c r="O364" s="16">
        <v>6622</v>
      </c>
      <c r="P364" s="20">
        <f t="shared" ca="1" si="991"/>
        <v>0.91452733313198431</v>
      </c>
      <c r="Q364" s="21">
        <v>1.5</v>
      </c>
      <c r="R364" s="20">
        <f t="shared" ca="1" si="992"/>
        <v>0.71250160301095455</v>
      </c>
      <c r="S364" s="22">
        <f t="shared" ca="1" si="993"/>
        <v>1.0687524045164318</v>
      </c>
      <c r="T364" s="21">
        <f ca="1">F364/23.84</f>
        <v>237.68540268456377</v>
      </c>
      <c r="U364" s="21">
        <f t="shared" ca="1" si="994"/>
        <v>7.6672710543407669</v>
      </c>
      <c r="V364" s="18">
        <f t="shared" ca="1" si="995"/>
        <v>195.35483870967741</v>
      </c>
      <c r="W364" s="76"/>
      <c r="X364" s="8">
        <v>2</v>
      </c>
      <c r="Y364" s="8" t="s">
        <v>30</v>
      </c>
      <c r="Z364" s="8">
        <f t="shared" ref="Z364:AI364" si="1015">SUM(D359)</f>
        <v>60</v>
      </c>
      <c r="AA364" s="9">
        <f t="shared" ca="1" si="1015"/>
        <v>58</v>
      </c>
      <c r="AB364" s="10">
        <f t="shared" ca="1" si="1015"/>
        <v>11291.441999999901</v>
      </c>
      <c r="AC364" s="9">
        <f t="shared" ca="1" si="1015"/>
        <v>3635</v>
      </c>
      <c r="AD364" s="9">
        <f t="shared" ca="1" si="1015"/>
        <v>30</v>
      </c>
      <c r="AE364" s="9">
        <f t="shared" ca="1" si="1015"/>
        <v>3665</v>
      </c>
      <c r="AF364" s="9">
        <f t="shared" ca="1" si="1015"/>
        <v>6266</v>
      </c>
      <c r="AG364" s="9">
        <f t="shared" ca="1" si="1015"/>
        <v>0</v>
      </c>
      <c r="AH364" s="9">
        <f t="shared" ca="1" si="1015"/>
        <v>6266</v>
      </c>
      <c r="AI364" s="9">
        <f t="shared" ca="1" si="1015"/>
        <v>9931</v>
      </c>
      <c r="AJ364" s="11">
        <f t="shared" ca="1" si="1007"/>
        <v>194.68003448275692</v>
      </c>
      <c r="AK364" s="8">
        <f t="shared" si="1008"/>
        <v>11164</v>
      </c>
      <c r="AL364" s="12">
        <f t="shared" ca="1" si="1009"/>
        <v>0.88955571479756357</v>
      </c>
      <c r="AM364" s="13">
        <f t="shared" si="1010"/>
        <v>1.5</v>
      </c>
      <c r="AN364" s="12">
        <f t="shared" ca="1" si="1011"/>
        <v>0.58634376961478651</v>
      </c>
      <c r="AO364" s="14">
        <f t="shared" ca="1" si="1012"/>
        <v>0.87951565442217983</v>
      </c>
      <c r="AP364" s="13">
        <f t="shared" ref="AP364:AQ364" ca="1" si="1016">SUM(T359)</f>
        <v>381.42897679288922</v>
      </c>
      <c r="AQ364" s="13">
        <f t="shared" ca="1" si="1016"/>
        <v>6.5763616688429174</v>
      </c>
      <c r="AR364" s="9">
        <f t="shared" ca="1" si="1014"/>
        <v>171.22413793103448</v>
      </c>
      <c r="AS364" s="76"/>
      <c r="AT364" s="76"/>
    </row>
    <row r="365" spans="1:46" ht="15.75" customHeight="1" x14ac:dyDescent="0.25">
      <c r="A365" s="70"/>
      <c r="B365" s="16">
        <v>9</v>
      </c>
      <c r="C365" s="16" t="s">
        <v>36</v>
      </c>
      <c r="D365" s="34">
        <v>30</v>
      </c>
      <c r="E365" s="18">
        <f ca="1">IFERROR(__xludf.DUMMYFUNCTION("COUNT(IMPORTRANGE(""https://docs.google.com/spreadsheets/d/1YNna43iTSqnwwbMJgTIPHSJEoDO8RGPRFg5pJCoQR_Y/edit"",""14!d2:d31""))"),29)</f>
        <v>29</v>
      </c>
      <c r="F365" s="23">
        <f ca="1">IFERROR(__xludf.DUMMYFUNCTION("SUM(IMPORTRANGE(""https://docs.google.com/spreadsheets/d/1YNna43iTSqnwwbMJgTIPHSJEoDO8RGPRFg5pJCoQR_Y/edit"",""14!Q2:Q31""))"),5716.36199999999)</f>
        <v>5716.3619999999901</v>
      </c>
      <c r="G365" s="18">
        <f ca="1">IFERROR(__xludf.DUMMYFUNCTION("IMPORTRANGE(""https://docs.google.com/spreadsheets/d/1YNna43iTSqnwwbMJgTIPHSJEoDO8RGPRFg5pJCoQR_Y/edit"",""14!e38"")"),1683)</f>
        <v>1683</v>
      </c>
      <c r="H365" s="18">
        <f ca="1">IFERROR(__xludf.DUMMYFUNCTION("IMPORTRANGE(""https://docs.google.com/spreadsheets/d/1YNna43iTSqnwwbMJgTIPHSJEoDO8RGPRFg5pJCoQR_Y/edit"",""14!e39"")"),0)</f>
        <v>0</v>
      </c>
      <c r="I365" s="18">
        <f t="shared" ca="1" si="987"/>
        <v>1683</v>
      </c>
      <c r="J365" s="18">
        <f ca="1">IFERROR(__xludf.DUMMYFUNCTION("IMPORTRANGE(""https://docs.google.com/spreadsheets/d/1YNna43iTSqnwwbMJgTIPHSJEoDO8RGPRFg5pJCoQR_Y/edit"",""14!e42"")"),2281)</f>
        <v>2281</v>
      </c>
      <c r="K365" s="18">
        <f ca="1">IFERROR(__xludf.DUMMYFUNCTION("IMPORTRANGE(""https://docs.google.com/spreadsheets/d/1YNna43iTSqnwwbMJgTIPHSJEoDO8RGPRFg5pJCoQR_Y/edit"",""14!e43"")"),0)</f>
        <v>0</v>
      </c>
      <c r="L365" s="18">
        <f t="shared" ref="L365:L374" ca="1" si="1017">SUM(J365:K365)</f>
        <v>2281</v>
      </c>
      <c r="M365" s="18">
        <f t="shared" ca="1" si="989"/>
        <v>3964</v>
      </c>
      <c r="N365" s="19">
        <f t="shared" ca="1" si="990"/>
        <v>197.11593103448243</v>
      </c>
      <c r="O365" s="16">
        <v>4796</v>
      </c>
      <c r="P365" s="20">
        <f t="shared" ca="1" si="991"/>
        <v>0.82652210175145957</v>
      </c>
      <c r="Q365" s="21">
        <v>1.5</v>
      </c>
      <c r="R365" s="20">
        <f t="shared" ca="1" si="992"/>
        <v>0.462298690437497</v>
      </c>
      <c r="S365" s="22">
        <f t="shared" ca="1" si="993"/>
        <v>0.69344803565624547</v>
      </c>
      <c r="T365" s="21">
        <f ca="1">F365/37.414</f>
        <v>152.78671085689822</v>
      </c>
      <c r="U365" s="21">
        <f t="shared" ca="1" si="994"/>
        <v>5.2685072709275254</v>
      </c>
      <c r="V365" s="18">
        <f t="shared" ca="1" si="995"/>
        <v>136.68965517241378</v>
      </c>
      <c r="W365" s="76"/>
      <c r="X365" s="8">
        <v>3</v>
      </c>
      <c r="Y365" s="8" t="s">
        <v>34</v>
      </c>
      <c r="Z365" s="8">
        <f t="shared" ref="Z365:AI365" si="1018">SUM(D361)</f>
        <v>40</v>
      </c>
      <c r="AA365" s="9">
        <f t="shared" ca="1" si="1018"/>
        <v>39</v>
      </c>
      <c r="AB365" s="10">
        <f t="shared" ca="1" si="1018"/>
        <v>7795.4250000000002</v>
      </c>
      <c r="AC365" s="9">
        <f t="shared" ca="1" si="1018"/>
        <v>3796</v>
      </c>
      <c r="AD365" s="9">
        <f t="shared" ca="1" si="1018"/>
        <v>0</v>
      </c>
      <c r="AE365" s="9">
        <f t="shared" ca="1" si="1018"/>
        <v>3796</v>
      </c>
      <c r="AF365" s="9">
        <f t="shared" ca="1" si="1018"/>
        <v>2540</v>
      </c>
      <c r="AG365" s="9">
        <f t="shared" ca="1" si="1018"/>
        <v>0</v>
      </c>
      <c r="AH365" s="9">
        <f t="shared" ca="1" si="1018"/>
        <v>2540</v>
      </c>
      <c r="AI365" s="9">
        <f t="shared" ca="1" si="1018"/>
        <v>6336</v>
      </c>
      <c r="AJ365" s="11">
        <f t="shared" ca="1" si="1007"/>
        <v>199.88269230769231</v>
      </c>
      <c r="AK365" s="8">
        <f>SUM(O361)</f>
        <v>9354</v>
      </c>
      <c r="AL365" s="12">
        <f t="shared" ca="1" si="1009"/>
        <v>0.67735728030788966</v>
      </c>
      <c r="AM365" s="13">
        <f>SUM(Q361)</f>
        <v>1.5</v>
      </c>
      <c r="AN365" s="12">
        <f t="shared" ca="1" si="1011"/>
        <v>0.54185628108794581</v>
      </c>
      <c r="AO365" s="14">
        <f t="shared" ca="1" si="1012"/>
        <v>0.81278442163191866</v>
      </c>
      <c r="AP365" s="13">
        <f t="shared" ref="AP365:AQ365" ca="1" si="1019">SUM(T361)</f>
        <v>253.81515970435973</v>
      </c>
      <c r="AQ365" s="13">
        <f t="shared" ca="1" si="1019"/>
        <v>6.5080810180605058</v>
      </c>
      <c r="AR365" s="9">
        <f t="shared" ca="1" si="1014"/>
        <v>162.46153846153845</v>
      </c>
      <c r="AS365" s="76"/>
      <c r="AT365" s="76"/>
    </row>
    <row r="366" spans="1:46" ht="15.75" customHeight="1" x14ac:dyDescent="0.25">
      <c r="A366" s="70"/>
      <c r="B366" s="16">
        <v>10</v>
      </c>
      <c r="C366" s="16" t="s">
        <v>37</v>
      </c>
      <c r="D366" s="17">
        <v>30</v>
      </c>
      <c r="E366" s="18">
        <f ca="1">IFERROR(__xludf.DUMMYFUNCTION("COUNT(IMPORTRANGE(""https://docs.google.com/spreadsheets/d/1913Df5BsXS_b-nClL8LOK5w0engQYTl1mPOiyngRtO0/edit"",""14!d2:d31""))"),29)</f>
        <v>29</v>
      </c>
      <c r="F366" s="23">
        <f ca="1">IFERROR(__xludf.DUMMYFUNCTION("SUM(IMPORTRANGE(""https://docs.google.com/spreadsheets/d/1913Df5BsXS_b-nClL8LOK5w0engQYTl1mPOiyngRtO0/edit"",""14!Q2:Q31""))"),5737.812)</f>
        <v>5737.8119999999999</v>
      </c>
      <c r="G366" s="18">
        <f ca="1">IFERROR(__xludf.DUMMYFUNCTION("(IMPORTRANGE(""https://docs.google.com/spreadsheets/d/1913Df5BsXS_b-nClL8LOK5w0engQYTl1mPOiyngRtO0/edit"",""14!e38""))"),2200)</f>
        <v>2200</v>
      </c>
      <c r="H366" s="18">
        <f ca="1">IFERROR(__xludf.DUMMYFUNCTION("(IMPORTRANGE(""https://docs.google.com/spreadsheets/d/1913Df5BsXS_b-nClL8LOK5w0engQYTl1mPOiyngRtO0/edit"",""14!e39""))"),0)</f>
        <v>0</v>
      </c>
      <c r="I366" s="18">
        <f t="shared" ca="1" si="987"/>
        <v>2200</v>
      </c>
      <c r="J366" s="18">
        <f ca="1">IFERROR(__xludf.DUMMYFUNCTION("(IMPORTRANGE(""https://docs.google.com/spreadsheets/d/1913Df5BsXS_b-nClL8LOK5w0engQYTl1mPOiyngRtO0/edit"",""14!e42""))"),3250)</f>
        <v>3250</v>
      </c>
      <c r="K366" s="18">
        <f ca="1">IFERROR(__xludf.DUMMYFUNCTION("(IMPORTRANGE(""https://docs.google.com/spreadsheets/d/1913Df5BsXS_b-nClL8LOK5w0engQYTl1mPOiyngRtO0/edit"",""14!e43""))"),0)</f>
        <v>0</v>
      </c>
      <c r="L366" s="18">
        <f t="shared" ca="1" si="1017"/>
        <v>3250</v>
      </c>
      <c r="M366" s="18">
        <f t="shared" ca="1" si="989"/>
        <v>5450</v>
      </c>
      <c r="N366" s="19">
        <f t="shared" ca="1" si="990"/>
        <v>197.85558620689656</v>
      </c>
      <c r="O366" s="16">
        <v>5887</v>
      </c>
      <c r="P366" s="20">
        <f t="shared" ca="1" si="991"/>
        <v>0.92576864277220994</v>
      </c>
      <c r="Q366" s="21">
        <v>1.5</v>
      </c>
      <c r="R366" s="20">
        <f t="shared" ca="1" si="992"/>
        <v>0.63322627742654058</v>
      </c>
      <c r="S366" s="22">
        <f t="shared" ca="1" si="993"/>
        <v>0.94983941613981082</v>
      </c>
      <c r="T366" s="21">
        <f ca="1">F366/24.792</f>
        <v>231.4380445304937</v>
      </c>
      <c r="U366" s="21">
        <f t="shared" ca="1" si="994"/>
        <v>7.9806222251894381</v>
      </c>
      <c r="V366" s="18">
        <f t="shared" ca="1" si="995"/>
        <v>187.93103448275863</v>
      </c>
      <c r="W366" s="76"/>
      <c r="X366" s="8">
        <v>4</v>
      </c>
      <c r="Y366" s="8" t="s">
        <v>38</v>
      </c>
      <c r="Z366" s="8">
        <f t="shared" ref="Z366:AI366" si="1020">SUM(D369)</f>
        <v>30</v>
      </c>
      <c r="AA366" s="9">
        <f t="shared" ca="1" si="1020"/>
        <v>30</v>
      </c>
      <c r="AB366" s="10">
        <f t="shared" ca="1" si="1020"/>
        <v>6140.57599999999</v>
      </c>
      <c r="AC366" s="9">
        <f t="shared" ca="1" si="1020"/>
        <v>1898</v>
      </c>
      <c r="AD366" s="9">
        <f t="shared" ca="1" si="1020"/>
        <v>110</v>
      </c>
      <c r="AE366" s="9">
        <f t="shared" ca="1" si="1020"/>
        <v>2008</v>
      </c>
      <c r="AF366" s="9">
        <f t="shared" ca="1" si="1020"/>
        <v>3069</v>
      </c>
      <c r="AG366" s="9">
        <f t="shared" ca="1" si="1020"/>
        <v>0</v>
      </c>
      <c r="AH366" s="9">
        <f t="shared" ca="1" si="1020"/>
        <v>3069</v>
      </c>
      <c r="AI366" s="9">
        <f t="shared" ca="1" si="1020"/>
        <v>5077</v>
      </c>
      <c r="AJ366" s="11">
        <f t="shared" ca="1" si="1007"/>
        <v>204.68586666666633</v>
      </c>
      <c r="AK366" s="8">
        <v>7324</v>
      </c>
      <c r="AL366" s="12">
        <f t="shared" ca="1" si="1009"/>
        <v>0.693200436919716</v>
      </c>
      <c r="AM366" s="13">
        <f>SUM(Q369)</f>
        <v>1.5</v>
      </c>
      <c r="AN366" s="12">
        <f t="shared" ca="1" si="1011"/>
        <v>0.55119693440268014</v>
      </c>
      <c r="AO366" s="14">
        <f t="shared" ca="1" si="1012"/>
        <v>0.82679540160402021</v>
      </c>
      <c r="AP366" s="13">
        <f t="shared" ref="AP366:AQ366" ca="1" si="1021">SUM(T369)</f>
        <v>149.02502123528674</v>
      </c>
      <c r="AQ366" s="13">
        <f t="shared" ca="1" si="1021"/>
        <v>4.9675007078428912</v>
      </c>
      <c r="AR366" s="9">
        <f t="shared" ca="1" si="1014"/>
        <v>169.23333333333332</v>
      </c>
      <c r="AS366" s="76"/>
      <c r="AT366" s="76"/>
    </row>
    <row r="367" spans="1:46" ht="15.75" customHeight="1" x14ac:dyDescent="0.25">
      <c r="A367" s="70"/>
      <c r="B367" s="16">
        <v>12</v>
      </c>
      <c r="C367" s="16" t="s">
        <v>39</v>
      </c>
      <c r="D367" s="17">
        <v>28</v>
      </c>
      <c r="E367" s="18">
        <f ca="1">IFERROR(__xludf.DUMMYFUNCTION("COUNT(IMPORTRANGE(""https://docs.google.com/spreadsheets/d/1wMeol_MpSIcocGxt3WZGl46mJ2tc80mANPvP_YzaP18/edit"",""14!d2:d29""))"),27)</f>
        <v>27</v>
      </c>
      <c r="F367" s="23">
        <f ca="1">IFERROR(__xludf.DUMMYFUNCTION("SUM(IMPORTRANGE(""https://docs.google.com/spreadsheets/d/1wMeol_MpSIcocGxt3WZGl46mJ2tc80mANPvP_YzaP18/edit"",""14!Q2:Q29""))"),5382.848)</f>
        <v>5382.848</v>
      </c>
      <c r="G367" s="18">
        <f ca="1">IFERROR(__xludf.DUMMYFUNCTION("IMPORTRANGE(""https://docs.google.com/spreadsheets/d/1wMeol_MpSIcocGxt3WZGl46mJ2tc80mANPvP_YzaP18/edit"",""14!e36"")"),1292)</f>
        <v>1292</v>
      </c>
      <c r="H367" s="18">
        <f ca="1">IFERROR(__xludf.DUMMYFUNCTION("(IMPORTRANGE(""https://docs.google.com/spreadsheets/d/1wMeol_MpSIcocGxt3WZGl46mJ2tc80mANPvP_YzaP18/edit"",""14!e37""))"),82)</f>
        <v>82</v>
      </c>
      <c r="I367" s="18">
        <f t="shared" ca="1" si="987"/>
        <v>1374</v>
      </c>
      <c r="J367" s="18">
        <f ca="1">IFERROR(__xludf.DUMMYFUNCTION("IMPORTRANGE(""https://docs.google.com/spreadsheets/d/1wMeol_MpSIcocGxt3WZGl46mJ2tc80mANPvP_YzaP18/edit"",""14!e40"")"),2018)</f>
        <v>2018</v>
      </c>
      <c r="K367" s="18">
        <f ca="1">IFERROR(__xludf.DUMMYFUNCTION("IMPORTRANGE(""https://docs.google.com/spreadsheets/d/1wMeol_MpSIcocGxt3WZGl46mJ2tc80mANPvP_YzaP18/edit"",""14!e41"")"),0)</f>
        <v>0</v>
      </c>
      <c r="L367" s="18">
        <f t="shared" ca="1" si="1017"/>
        <v>2018</v>
      </c>
      <c r="M367" s="18">
        <f t="shared" ca="1" si="989"/>
        <v>3392</v>
      </c>
      <c r="N367" s="19">
        <f t="shared" ca="1" si="990"/>
        <v>199.36474074074073</v>
      </c>
      <c r="O367" s="16">
        <v>3569</v>
      </c>
      <c r="P367" s="20">
        <f t="shared" ca="1" si="991"/>
        <v>0.95040627626786212</v>
      </c>
      <c r="Q367" s="21">
        <v>1.5</v>
      </c>
      <c r="R367" s="20">
        <f t="shared" ca="1" si="992"/>
        <v>0.42009979351698828</v>
      </c>
      <c r="S367" s="22">
        <f t="shared" ca="1" si="993"/>
        <v>0.6301496902754824</v>
      </c>
      <c r="T367" s="21">
        <f ca="1">F367/21.463</f>
        <v>250.7966267530168</v>
      </c>
      <c r="U367" s="21">
        <f t="shared" ca="1" si="994"/>
        <v>9.2887639538154367</v>
      </c>
      <c r="V367" s="18">
        <f t="shared" ca="1" si="995"/>
        <v>125.62962962962963</v>
      </c>
      <c r="W367" s="76"/>
      <c r="X367" s="8">
        <v>5</v>
      </c>
      <c r="Y367" s="8" t="s">
        <v>40</v>
      </c>
      <c r="Z367" s="8">
        <f t="shared" ref="Z367:AI367" si="1022">SUM(D371)</f>
        <v>30</v>
      </c>
      <c r="AA367" s="9">
        <f t="shared" ca="1" si="1022"/>
        <v>29</v>
      </c>
      <c r="AB367" s="10">
        <f t="shared" ca="1" si="1022"/>
        <v>5631.7139999999899</v>
      </c>
      <c r="AC367" s="9">
        <f t="shared" ca="1" si="1022"/>
        <v>3423</v>
      </c>
      <c r="AD367" s="9">
        <f t="shared" ca="1" si="1022"/>
        <v>9</v>
      </c>
      <c r="AE367" s="9">
        <f t="shared" ca="1" si="1022"/>
        <v>3432</v>
      </c>
      <c r="AF367" s="9">
        <f t="shared" ca="1" si="1022"/>
        <v>3842</v>
      </c>
      <c r="AG367" s="9">
        <f t="shared" ca="1" si="1022"/>
        <v>0</v>
      </c>
      <c r="AH367" s="9">
        <f t="shared" ca="1" si="1022"/>
        <v>3842</v>
      </c>
      <c r="AI367" s="9">
        <f t="shared" ca="1" si="1022"/>
        <v>7274</v>
      </c>
      <c r="AJ367" s="11">
        <f t="shared" ca="1" si="1007"/>
        <v>194.19703448275828</v>
      </c>
      <c r="AK367" s="8">
        <f t="shared" ref="AK367:AK368" si="1023">SUM(O371)</f>
        <v>8239</v>
      </c>
      <c r="AL367" s="12">
        <f t="shared" ca="1" si="1009"/>
        <v>0.88287413521058378</v>
      </c>
      <c r="AM367" s="13">
        <f t="shared" ref="AM367:AM368" si="1024">SUM(Q371)</f>
        <v>1.5</v>
      </c>
      <c r="AN367" s="12">
        <f t="shared" ca="1" si="1011"/>
        <v>0.86107592348143791</v>
      </c>
      <c r="AO367" s="14">
        <f t="shared" ca="1" si="1012"/>
        <v>1.2916138852221568</v>
      </c>
      <c r="AP367" s="13">
        <f t="shared" ref="AP367:AQ367" ca="1" si="1025">SUM(T371)</f>
        <v>197.99999999999963</v>
      </c>
      <c r="AQ367" s="13">
        <f t="shared" ca="1" si="1025"/>
        <v>6.8275862068965392</v>
      </c>
      <c r="AR367" s="9">
        <f t="shared" ca="1" si="1014"/>
        <v>250.82758620689654</v>
      </c>
      <c r="AS367" s="76"/>
      <c r="AT367" s="76"/>
    </row>
    <row r="368" spans="1:46" ht="15.75" customHeight="1" x14ac:dyDescent="0.25">
      <c r="A368" s="70"/>
      <c r="B368" s="16">
        <v>12</v>
      </c>
      <c r="C368" s="16" t="s">
        <v>41</v>
      </c>
      <c r="D368" s="17">
        <v>24</v>
      </c>
      <c r="E368" s="18">
        <f ca="1">IFERROR(__xludf.DUMMYFUNCTION("COUNT(IMPORTRANGE(""https://docs.google.com/spreadsheets/d/1sHk6_yuc4kORC_xnhEeazoemV_hVUQVqRpfoNae-PLk/edit"",""14!d2:d25""))"),24)</f>
        <v>24</v>
      </c>
      <c r="F368" s="23">
        <f ca="1">IFERROR(__xludf.DUMMYFUNCTION("SUM(IMPORTRANGE(""https://docs.google.com/spreadsheets/d/1sHk6_yuc4kORC_xnhEeazoemV_hVUQVqRpfoNae-PLk/edit"",""14!Q2:Q25""))"),4496.872)</f>
        <v>4496.8720000000003</v>
      </c>
      <c r="G368" s="18">
        <f ca="1">IFERROR(__xludf.DUMMYFUNCTION("IMPORTRANGE(""https://docs.google.com/spreadsheets/d/1sHk6_yuc4kORC_xnhEeazoemV_hVUQVqRpfoNae-PLk/edit"",""14!e32"")"),1366)</f>
        <v>1366</v>
      </c>
      <c r="H368" s="18">
        <f ca="1">IFERROR(__xludf.DUMMYFUNCTION("IMPORTRANGE(""https://docs.google.com/spreadsheets/d/1sHk6_yuc4kORC_xnhEeazoemV_hVUQVqRpfoNae-PLk/edit"",""14!e33"")"),105)</f>
        <v>105</v>
      </c>
      <c r="I368" s="18">
        <f t="shared" ca="1" si="987"/>
        <v>1471</v>
      </c>
      <c r="J368" s="18">
        <f ca="1">IFERROR(__xludf.DUMMYFUNCTION("IMPORTRANGE(""https://docs.google.com/spreadsheets/d/1sHk6_yuc4kORC_xnhEeazoemV_hVUQVqRpfoNae-PLk/edit"",""14!e36"")"),1572)</f>
        <v>1572</v>
      </c>
      <c r="K368" s="18">
        <f ca="1">IFERROR(__xludf.DUMMYFUNCTION("IMPORTRANGE(""https://docs.google.com/spreadsheets/d/1sHk6_yuc4kORC_xnhEeazoemV_hVUQVqRpfoNae-PLk/edit"",""14!e37"")"),0)</f>
        <v>0</v>
      </c>
      <c r="L368" s="18">
        <f t="shared" ca="1" si="1017"/>
        <v>1572</v>
      </c>
      <c r="M368" s="18">
        <f t="shared" ca="1" si="989"/>
        <v>3043</v>
      </c>
      <c r="N368" s="19">
        <f t="shared" ca="1" si="990"/>
        <v>187.36966666666669</v>
      </c>
      <c r="O368" s="16">
        <v>3801</v>
      </c>
      <c r="P368" s="20">
        <f t="shared" ca="1" si="991"/>
        <v>0.80057879505393315</v>
      </c>
      <c r="Q368" s="21">
        <v>1.5</v>
      </c>
      <c r="R368" s="20">
        <f t="shared" ca="1" si="992"/>
        <v>0.45112839917762093</v>
      </c>
      <c r="S368" s="22">
        <f t="shared" ca="1" si="993"/>
        <v>0.6766925987664314</v>
      </c>
      <c r="T368" s="21">
        <f ca="1">F368/29.628</f>
        <v>151.7777777777778</v>
      </c>
      <c r="U368" s="21">
        <f t="shared" ca="1" si="994"/>
        <v>6.3240740740740753</v>
      </c>
      <c r="V368" s="18">
        <f t="shared" ca="1" si="995"/>
        <v>126.79166666666667</v>
      </c>
      <c r="W368" s="76"/>
      <c r="X368" s="8">
        <v>6</v>
      </c>
      <c r="Y368" s="8" t="s">
        <v>42</v>
      </c>
      <c r="Z368" s="8">
        <f t="shared" ref="Z368:AI368" si="1026">SUM(D372)</f>
        <v>33</v>
      </c>
      <c r="AA368" s="9">
        <f t="shared" ca="1" si="1026"/>
        <v>33</v>
      </c>
      <c r="AB368" s="10">
        <f t="shared" ca="1" si="1026"/>
        <v>6463.3609999999899</v>
      </c>
      <c r="AC368" s="9">
        <f t="shared" ca="1" si="1026"/>
        <v>3357</v>
      </c>
      <c r="AD368" s="9">
        <f t="shared" ca="1" si="1026"/>
        <v>84</v>
      </c>
      <c r="AE368" s="9">
        <f t="shared" ca="1" si="1026"/>
        <v>3441</v>
      </c>
      <c r="AF368" s="9">
        <f t="shared" ca="1" si="1026"/>
        <v>4389</v>
      </c>
      <c r="AG368" s="9">
        <f t="shared" ca="1" si="1026"/>
        <v>70</v>
      </c>
      <c r="AH368" s="9">
        <f t="shared" ca="1" si="1026"/>
        <v>4459</v>
      </c>
      <c r="AI368" s="9">
        <f t="shared" ca="1" si="1026"/>
        <v>7900</v>
      </c>
      <c r="AJ368" s="11">
        <f t="shared" ca="1" si="1007"/>
        <v>195.85942424242393</v>
      </c>
      <c r="AK368" s="8">
        <f t="shared" si="1023"/>
        <v>9877</v>
      </c>
      <c r="AL368" s="12">
        <f t="shared" ca="1" si="1009"/>
        <v>0.7998380074921535</v>
      </c>
      <c r="AM368" s="13">
        <f t="shared" si="1024"/>
        <v>1.5</v>
      </c>
      <c r="AN368" s="12">
        <f t="shared" ca="1" si="1011"/>
        <v>0.81484952900923757</v>
      </c>
      <c r="AO368" s="14">
        <f t="shared" ca="1" si="1012"/>
        <v>1.2222742935138564</v>
      </c>
      <c r="AP368" s="13">
        <f t="shared" ref="AP368:AQ368" ca="1" si="1027">SUM(T372)</f>
        <v>247.11760657618007</v>
      </c>
      <c r="AQ368" s="13">
        <f t="shared" ca="1" si="1027"/>
        <v>7.4884123204903048</v>
      </c>
      <c r="AR368" s="9">
        <f t="shared" ca="1" si="1014"/>
        <v>239.39393939393941</v>
      </c>
      <c r="AS368" s="76"/>
      <c r="AT368" s="76"/>
    </row>
    <row r="369" spans="1:46" ht="15.75" customHeight="1" x14ac:dyDescent="0.25">
      <c r="A369" s="70"/>
      <c r="B369" s="16">
        <v>13</v>
      </c>
      <c r="C369" s="16" t="s">
        <v>43</v>
      </c>
      <c r="D369" s="17">
        <v>30</v>
      </c>
      <c r="E369" s="18">
        <f ca="1">IFERROR(__xludf.DUMMYFUNCTION("COUNT(IMPORTRANGE(""https://docs.google.com/spreadsheets/d/1uGXvAN2jA6kmcEHUY4KqOHHewllZsujDdA6KVDfBCoA/edit"",""14!d2:d31""))"),30)</f>
        <v>30</v>
      </c>
      <c r="F369" s="23">
        <f ca="1">IFERROR(__xludf.DUMMYFUNCTION("SUM(IMPORTRANGE(""https://docs.google.com/spreadsheets/d/1uGXvAN2jA6kmcEHUY4KqOHHewllZsujDdA6KVDfBCoA/edit"",""14!Q2:Q31""))"),6140.57599999999)</f>
        <v>6140.57599999999</v>
      </c>
      <c r="G369" s="18">
        <f ca="1">IFERROR(__xludf.DUMMYFUNCTION("IMPORTRANGE(""https://docs.google.com/spreadsheets/d/1uGXvAN2jA6kmcEHUY4KqOHHewllZsujDdA6KVDfBCoA/edit"",""14!e38"")"),1898)</f>
        <v>1898</v>
      </c>
      <c r="H369" s="18">
        <f ca="1">IFERROR(__xludf.DUMMYFUNCTION("IMPORTRANGE(""https://docs.google.com/spreadsheets/d/1uGXvAN2jA6kmcEHUY4KqOHHewllZsujDdA6KVDfBCoA/edit"",""14!e39"")"),110)</f>
        <v>110</v>
      </c>
      <c r="I369" s="18">
        <f t="shared" ca="1" si="987"/>
        <v>2008</v>
      </c>
      <c r="J369" s="18">
        <f ca="1">IFERROR(__xludf.DUMMYFUNCTION("IMPORTRANGE(""https://docs.google.com/spreadsheets/d/1uGXvAN2jA6kmcEHUY4KqOHHewllZsujDdA6KVDfBCoA/edit"",""14!e42"")"),3069)</f>
        <v>3069</v>
      </c>
      <c r="K369" s="18">
        <f ca="1">IFERROR(__xludf.DUMMYFUNCTION("IMPORTRANGE(""https://docs.google.com/spreadsheets/d/1uGXvAN2jA6kmcEHUY4KqOHHewllZsujDdA6KVDfBCoA/edit"",""14!e43"")"),0)</f>
        <v>0</v>
      </c>
      <c r="L369" s="18">
        <f t="shared" ca="1" si="1017"/>
        <v>3069</v>
      </c>
      <c r="M369" s="18">
        <f t="shared" ca="1" si="989"/>
        <v>5077</v>
      </c>
      <c r="N369" s="19">
        <f t="shared" ca="1" si="990"/>
        <v>204.68586666666633</v>
      </c>
      <c r="O369" s="16">
        <v>8345</v>
      </c>
      <c r="P369" s="20">
        <f t="shared" ca="1" si="991"/>
        <v>0.6083882564409826</v>
      </c>
      <c r="Q369" s="21">
        <v>1.5</v>
      </c>
      <c r="R369" s="20">
        <f t="shared" ca="1" si="992"/>
        <v>0.55119693440268014</v>
      </c>
      <c r="S369" s="22">
        <f t="shared" ca="1" si="993"/>
        <v>0.82679540160402021</v>
      </c>
      <c r="T369" s="21">
        <f ca="1">F369/41.205</f>
        <v>149.02502123528674</v>
      </c>
      <c r="U369" s="21">
        <f t="shared" ca="1" si="994"/>
        <v>4.9675007078428912</v>
      </c>
      <c r="V369" s="18">
        <f t="shared" ca="1" si="995"/>
        <v>169.23333333333332</v>
      </c>
      <c r="W369" s="76"/>
      <c r="X369" s="24" t="s">
        <v>33</v>
      </c>
      <c r="Y369" s="24">
        <v>6</v>
      </c>
      <c r="Z369" s="24">
        <f t="shared" ref="Z369:AI369" si="1028">SUM(Z363:Z368)</f>
        <v>226</v>
      </c>
      <c r="AA369" s="25">
        <f t="shared" ca="1" si="1028"/>
        <v>221</v>
      </c>
      <c r="AB369" s="27">
        <f t="shared" ca="1" si="1028"/>
        <v>43620.799999999872</v>
      </c>
      <c r="AC369" s="25">
        <f t="shared" ca="1" si="1028"/>
        <v>18828</v>
      </c>
      <c r="AD369" s="25">
        <f t="shared" ca="1" si="1028"/>
        <v>348</v>
      </c>
      <c r="AE369" s="25">
        <f t="shared" ca="1" si="1028"/>
        <v>19176</v>
      </c>
      <c r="AF369" s="25">
        <f t="shared" ca="1" si="1028"/>
        <v>22886</v>
      </c>
      <c r="AG369" s="25">
        <f t="shared" ca="1" si="1028"/>
        <v>319</v>
      </c>
      <c r="AH369" s="25">
        <f t="shared" ca="1" si="1028"/>
        <v>23205</v>
      </c>
      <c r="AI369" s="25">
        <f t="shared" ca="1" si="1028"/>
        <v>42381</v>
      </c>
      <c r="AJ369" s="27">
        <f t="shared" ca="1" si="1007"/>
        <v>197.3791855203614</v>
      </c>
      <c r="AK369" s="24">
        <f>SUM(AK363:AK368)</f>
        <v>53273</v>
      </c>
      <c r="AL369" s="28">
        <f t="shared" ca="1" si="1009"/>
        <v>0.79554370882060332</v>
      </c>
      <c r="AM369" s="29">
        <v>1.5</v>
      </c>
      <c r="AN369" s="28">
        <f t="shared" ca="1" si="1011"/>
        <v>0.64771851960532778</v>
      </c>
      <c r="AO369" s="30">
        <f t="shared" ca="1" si="1012"/>
        <v>0.97157777940799173</v>
      </c>
      <c r="AP369" s="29">
        <f ca="1">SUM(AP363:AP368)</f>
        <v>1433.2344517864642</v>
      </c>
      <c r="AQ369" s="29">
        <f ca="1">AP369/AA369</f>
        <v>6.4852237637396568</v>
      </c>
      <c r="AR369" s="25">
        <f t="shared" ca="1" si="1014"/>
        <v>191.76923076923077</v>
      </c>
      <c r="AS369" s="76"/>
      <c r="AT369" s="76"/>
    </row>
    <row r="370" spans="1:46" ht="15.75" customHeight="1" x14ac:dyDescent="0.25">
      <c r="A370" s="70"/>
      <c r="B370" s="16">
        <v>14</v>
      </c>
      <c r="C370" s="16" t="s">
        <v>27</v>
      </c>
      <c r="D370" s="17">
        <v>30</v>
      </c>
      <c r="E370" s="18">
        <f ca="1">IFERROR(__xludf.DUMMYFUNCTION("COUNT(IMPORTRANGE(""https://docs.google.com/spreadsheets/d/1iYtf3wkjJIgOL8ej0-L89wY8FLXKi6EiRbi9UqA1Bzw/edit"",""14!d2:d31""))"),28)</f>
        <v>28</v>
      </c>
      <c r="F370" s="23">
        <f ca="1">IFERROR(__xludf.DUMMYFUNCTION("SUM(IMPORTRANGE(""https://docs.google.com/spreadsheets/d/1iYtf3wkjJIgOL8ej0-L89wY8FLXKi6EiRbi9UqA1Bzw/edit"",""14!Q2:Q31""))"),5365.83499999999)</f>
        <v>5365.83499999999</v>
      </c>
      <c r="G370" s="18">
        <f ca="1">IFERROR(__xludf.DUMMYFUNCTION("IMPORTRANGE(""https://docs.google.com/spreadsheets/d/1iYtf3wkjJIgOL8ej0-L89wY8FLXKi6EiRbi9UqA1Bzw/edit"",""14!e38"")"),2030)</f>
        <v>2030</v>
      </c>
      <c r="H370" s="18">
        <f ca="1">IFERROR(__xludf.DUMMYFUNCTION("IMPORTRANGE(""https://docs.google.com/spreadsheets/d/1iYtf3wkjJIgOL8ej0-L89wY8FLXKi6EiRbi9UqA1Bzw/edit"",""14!e39"")"),286)</f>
        <v>286</v>
      </c>
      <c r="I370" s="18">
        <f t="shared" ca="1" si="987"/>
        <v>2316</v>
      </c>
      <c r="J370" s="18">
        <f ca="1">IFERROR(__xludf.DUMMYFUNCTION("IMPORTRANGE(""https://docs.google.com/spreadsheets/d/1iYtf3wkjJIgOL8ej0-L89wY8FLXKi6EiRbi9UqA1Bzw/edit"",""14!e42"")"),3301)</f>
        <v>3301</v>
      </c>
      <c r="K370" s="18">
        <f ca="1">IFERROR(__xludf.DUMMYFUNCTION("IMPORTRANGE(""https://docs.google.com/spreadsheets/d/1iYtf3wkjJIgOL8ej0-L89wY8FLXKi6EiRbi9UqA1Bzw/edit"",""14!e43"")"),271)</f>
        <v>271</v>
      </c>
      <c r="L370" s="18">
        <f t="shared" ca="1" si="1017"/>
        <v>3572</v>
      </c>
      <c r="M370" s="18">
        <f t="shared" ca="1" si="989"/>
        <v>5888</v>
      </c>
      <c r="N370" s="19">
        <f t="shared" ca="1" si="990"/>
        <v>191.63696428571393</v>
      </c>
      <c r="O370" s="16">
        <v>8101</v>
      </c>
      <c r="P370" s="20">
        <f t="shared" ca="1" si="991"/>
        <v>0.72682384890754226</v>
      </c>
      <c r="Q370" s="21">
        <v>1.5</v>
      </c>
      <c r="R370" s="20">
        <f t="shared" ca="1" si="992"/>
        <v>0.73154193771022413</v>
      </c>
      <c r="S370" s="22">
        <f t="shared" ca="1" si="993"/>
        <v>1.0973129065653362</v>
      </c>
      <c r="T370" s="21">
        <f ca="1">F370/19.985</f>
        <v>268.4931198398794</v>
      </c>
      <c r="U370" s="21">
        <f t="shared" ca="1" si="994"/>
        <v>9.5890399942814071</v>
      </c>
      <c r="V370" s="18">
        <f t="shared" ca="1" si="995"/>
        <v>210.28571428571428</v>
      </c>
      <c r="W370" s="76"/>
      <c r="X370" s="97" t="s">
        <v>44</v>
      </c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9"/>
      <c r="AS370" s="76"/>
      <c r="AT370" s="76"/>
    </row>
    <row r="371" spans="1:46" ht="15.75" customHeight="1" x14ac:dyDescent="0.25">
      <c r="A371" s="70"/>
      <c r="B371" s="16">
        <v>15</v>
      </c>
      <c r="C371" s="16" t="s">
        <v>40</v>
      </c>
      <c r="D371" s="17">
        <v>30</v>
      </c>
      <c r="E371" s="18">
        <f ca="1">IFERROR(__xludf.DUMMYFUNCTION("COUNT(IMPORTRANGE(""https://docs.google.com/spreadsheets/d/1Wdf8MsoDBzMSsrzOXwaGQzbVjVqOWfKSqYmbncevZgA/edit"",""14!d2:d31""))"),29)</f>
        <v>29</v>
      </c>
      <c r="F371" s="23">
        <f ca="1">IFERROR(__xludf.DUMMYFUNCTION("SUM(IMPORTRANGE(""https://docs.google.com/spreadsheets/d/1Wdf8MsoDBzMSsrzOXwaGQzbVjVqOWfKSqYmbncevZgA/edit"",""14!Q2:Q31""))"),5631.71399999999)</f>
        <v>5631.7139999999899</v>
      </c>
      <c r="G371" s="18">
        <f ca="1">IFERROR(__xludf.DUMMYFUNCTION("IMPORTRANGE(""https://docs.google.com/spreadsheets/d/1Wdf8MsoDBzMSsrzOXwaGQzbVjVqOWfKSqYmbncevZgA/edit"",""14!e38"")"),3423)</f>
        <v>3423</v>
      </c>
      <c r="H371" s="18">
        <f ca="1">IFERROR(__xludf.DUMMYFUNCTION("IMPORTRANGE(""https://docs.google.com/spreadsheets/d/1Wdf8MsoDBzMSsrzOXwaGQzbVjVqOWfKSqYmbncevZgA/edit"",""14!e39"")"),9)</f>
        <v>9</v>
      </c>
      <c r="I371" s="18">
        <f t="shared" ca="1" si="987"/>
        <v>3432</v>
      </c>
      <c r="J371" s="18">
        <f ca="1">IFERROR(__xludf.DUMMYFUNCTION("IMPORTRANGE(""https://docs.google.com/spreadsheets/d/1Wdf8MsoDBzMSsrzOXwaGQzbVjVqOWfKSqYmbncevZgA/edit"",""14!e42"")"),3842)</f>
        <v>3842</v>
      </c>
      <c r="K371" s="18">
        <f ca="1">IFERROR(__xludf.DUMMYFUNCTION("IMPORTRANGE(""https://docs.google.com/spreadsheets/d/1Wdf8MsoDBzMSsrzOXwaGQzbVjVqOWfKSqYmbncevZgA/edit"",""14!e43"")"),0)</f>
        <v>0</v>
      </c>
      <c r="L371" s="18">
        <f t="shared" ca="1" si="1017"/>
        <v>3842</v>
      </c>
      <c r="M371" s="18">
        <f t="shared" ca="1" si="989"/>
        <v>7274</v>
      </c>
      <c r="N371" s="19">
        <f t="shared" ca="1" si="990"/>
        <v>194.19703448275828</v>
      </c>
      <c r="O371" s="16">
        <v>8239</v>
      </c>
      <c r="P371" s="20">
        <f t="shared" ca="1" si="991"/>
        <v>0.88287413521058378</v>
      </c>
      <c r="Q371" s="21">
        <v>1.5</v>
      </c>
      <c r="R371" s="20">
        <f t="shared" ca="1" si="992"/>
        <v>0.86107592348143791</v>
      </c>
      <c r="S371" s="22">
        <f t="shared" ca="1" si="993"/>
        <v>1.2916138852221568</v>
      </c>
      <c r="T371" s="21">
        <f ca="1">F371/28.443</f>
        <v>197.99999999999963</v>
      </c>
      <c r="U371" s="21">
        <f t="shared" ca="1" si="994"/>
        <v>6.8275862068965392</v>
      </c>
      <c r="V371" s="18">
        <f t="shared" ca="1" si="995"/>
        <v>250.82758620689654</v>
      </c>
      <c r="W371" s="76"/>
      <c r="X371" s="1" t="s">
        <v>2</v>
      </c>
      <c r="Y371" s="1" t="s">
        <v>3</v>
      </c>
      <c r="Z371" s="1" t="s">
        <v>4</v>
      </c>
      <c r="AA371" s="1" t="s">
        <v>5</v>
      </c>
      <c r="AB371" s="2" t="s">
        <v>6</v>
      </c>
      <c r="AC371" s="1" t="s">
        <v>7</v>
      </c>
      <c r="AD371" s="1" t="s">
        <v>8</v>
      </c>
      <c r="AE371" s="1" t="s">
        <v>9</v>
      </c>
      <c r="AF371" s="1" t="s">
        <v>10</v>
      </c>
      <c r="AG371" s="1" t="s">
        <v>11</v>
      </c>
      <c r="AH371" s="1" t="s">
        <v>12</v>
      </c>
      <c r="AI371" s="1" t="s">
        <v>13</v>
      </c>
      <c r="AJ371" s="2" t="s">
        <v>14</v>
      </c>
      <c r="AK371" s="1" t="s">
        <v>15</v>
      </c>
      <c r="AL371" s="1" t="s">
        <v>16</v>
      </c>
      <c r="AM371" s="3" t="s">
        <v>17</v>
      </c>
      <c r="AN371" s="4" t="s">
        <v>18</v>
      </c>
      <c r="AO371" s="5" t="s">
        <v>19</v>
      </c>
      <c r="AP371" s="6" t="s">
        <v>20</v>
      </c>
      <c r="AQ371" s="6" t="s">
        <v>21</v>
      </c>
      <c r="AR371" s="7" t="s">
        <v>22</v>
      </c>
      <c r="AS371" s="76"/>
      <c r="AT371" s="76"/>
    </row>
    <row r="372" spans="1:46" ht="15.75" customHeight="1" x14ac:dyDescent="0.25">
      <c r="A372" s="70"/>
      <c r="B372" s="16">
        <v>16</v>
      </c>
      <c r="C372" s="16" t="s">
        <v>42</v>
      </c>
      <c r="D372" s="17">
        <v>33</v>
      </c>
      <c r="E372" s="18">
        <f ca="1">IFERROR(__xludf.DUMMYFUNCTION("COUNT(IMPORTRANGE(""https://docs.google.com/spreadsheets/d/1Z5uB5HbeAKcHmG4EOw3rf2J8NpyvDiha6RReERAMvA0/edit"",""14!d2:d34""))"),33)</f>
        <v>33</v>
      </c>
      <c r="F372" s="23">
        <f ca="1">IFERROR(__xludf.DUMMYFUNCTION("SUM(IMPORTRANGE(""https://docs.google.com/spreadsheets/d/1Z5uB5HbeAKcHmG4EOw3rf2J8NpyvDiha6RReERAMvA0/edit"",""14!Q2:Q34""))"),6463.36099999999)</f>
        <v>6463.3609999999899</v>
      </c>
      <c r="G372" s="18">
        <f ca="1">IFERROR(__xludf.DUMMYFUNCTION("IMPORTRANGE(""https://docs.google.com/spreadsheets/d/1Z5uB5HbeAKcHmG4EOw3rf2J8NpyvDiha6RReERAMvA0/edit"",""14!e41"")"),3357)</f>
        <v>3357</v>
      </c>
      <c r="H372" s="18">
        <f ca="1">IFERROR(__xludf.DUMMYFUNCTION("IMPORTRANGE(""https://docs.google.com/spreadsheets/d/1Z5uB5HbeAKcHmG4EOw3rf2J8NpyvDiha6RReERAMvA0/edit"",""14!e42"")"),84)</f>
        <v>84</v>
      </c>
      <c r="I372" s="18">
        <f t="shared" ca="1" si="987"/>
        <v>3441</v>
      </c>
      <c r="J372" s="18">
        <f ca="1">IFERROR(__xludf.DUMMYFUNCTION("IMPORTRANGE(""https://docs.google.com/spreadsheets/d/1Z5uB5HbeAKcHmG4EOw3rf2J8NpyvDiha6RReERAMvA0/edit"",""14!e45"")"),4389)</f>
        <v>4389</v>
      </c>
      <c r="K372" s="18">
        <f ca="1">IFERROR(__xludf.DUMMYFUNCTION("IMPORTRANGE(""https://docs.google.com/spreadsheets/d/1Z5uB5HbeAKcHmG4EOw3rf2J8NpyvDiha6RReERAMvA0/edit"",""14!e46"")"),70)</f>
        <v>70</v>
      </c>
      <c r="L372" s="18">
        <f t="shared" ca="1" si="1017"/>
        <v>4459</v>
      </c>
      <c r="M372" s="18">
        <f t="shared" ca="1" si="989"/>
        <v>7900</v>
      </c>
      <c r="N372" s="19">
        <f t="shared" ca="1" si="990"/>
        <v>195.85942424242393</v>
      </c>
      <c r="O372" s="16">
        <v>9877</v>
      </c>
      <c r="P372" s="20">
        <f t="shared" ca="1" si="991"/>
        <v>0.7998380074921535</v>
      </c>
      <c r="Q372" s="21">
        <v>1.5</v>
      </c>
      <c r="R372" s="20">
        <f t="shared" ca="1" si="992"/>
        <v>0.81484952900923757</v>
      </c>
      <c r="S372" s="22">
        <f t="shared" ca="1" si="993"/>
        <v>1.2222742935138564</v>
      </c>
      <c r="T372" s="21">
        <f ca="1">F372/26.155</f>
        <v>247.11760657618007</v>
      </c>
      <c r="U372" s="21">
        <f t="shared" ca="1" si="994"/>
        <v>7.4884123204903048</v>
      </c>
      <c r="V372" s="18">
        <f t="shared" ca="1" si="995"/>
        <v>239.39393939393941</v>
      </c>
      <c r="W372" s="76"/>
      <c r="X372" s="8">
        <v>1</v>
      </c>
      <c r="Y372" s="8" t="s">
        <v>26</v>
      </c>
      <c r="Z372" s="8">
        <f t="shared" ref="Z372:AI372" si="1029">SUM(D357)</f>
        <v>20</v>
      </c>
      <c r="AA372" s="9">
        <f t="shared" ca="1" si="1029"/>
        <v>18</v>
      </c>
      <c r="AB372" s="11">
        <f t="shared" ca="1" si="1029"/>
        <v>3575.5320000000002</v>
      </c>
      <c r="AC372" s="9">
        <f t="shared" ca="1" si="1029"/>
        <v>2074</v>
      </c>
      <c r="AD372" s="9">
        <f t="shared" ca="1" si="1029"/>
        <v>0</v>
      </c>
      <c r="AE372" s="9">
        <f t="shared" ca="1" si="1029"/>
        <v>2074</v>
      </c>
      <c r="AF372" s="9">
        <f t="shared" ca="1" si="1029"/>
        <v>2660</v>
      </c>
      <c r="AG372" s="9">
        <f t="shared" ca="1" si="1029"/>
        <v>0</v>
      </c>
      <c r="AH372" s="9">
        <f t="shared" ca="1" si="1029"/>
        <v>2660</v>
      </c>
      <c r="AI372" s="9">
        <f t="shared" ca="1" si="1029"/>
        <v>4734</v>
      </c>
      <c r="AJ372" s="11">
        <f t="shared" ref="AJ372:AJ378" ca="1" si="1030">AB372/AA372</f>
        <v>198.64066666666668</v>
      </c>
      <c r="AK372" s="8">
        <f>SUM(O357)</f>
        <v>5161</v>
      </c>
      <c r="AL372" s="12">
        <f t="shared" ref="AL372:AL378" ca="1" si="1031">AI372/AK372</f>
        <v>0.91726409610540593</v>
      </c>
      <c r="AM372" s="13">
        <f>SUM(Q357)</f>
        <v>1.5</v>
      </c>
      <c r="AN372" s="12">
        <f t="shared" ref="AN372:AN378" ca="1" si="1032">AO372/AM372</f>
        <v>0.88266585224240757</v>
      </c>
      <c r="AO372" s="14">
        <f t="shared" ref="AO372:AO378" ca="1" si="1033">AI372/AB372</f>
        <v>1.3239987783636114</v>
      </c>
      <c r="AP372" s="13">
        <f t="shared" ref="AP372:AQ372" ca="1" si="1034">SUM(T357)</f>
        <v>248.04245577523415</v>
      </c>
      <c r="AQ372" s="13">
        <f t="shared" ca="1" si="1034"/>
        <v>13.780136431957452</v>
      </c>
      <c r="AR372" s="9">
        <f t="shared" ref="AR372:AR378" ca="1" si="1035">AI372/AA372</f>
        <v>263</v>
      </c>
      <c r="AS372" s="76"/>
      <c r="AT372" s="76"/>
    </row>
    <row r="373" spans="1:46" ht="15.75" customHeight="1" x14ac:dyDescent="0.25">
      <c r="A373" s="70"/>
      <c r="B373" s="16">
        <v>17</v>
      </c>
      <c r="C373" s="16" t="s">
        <v>29</v>
      </c>
      <c r="D373" s="17">
        <v>30</v>
      </c>
      <c r="E373" s="18">
        <f ca="1">IFERROR(__xludf.DUMMYFUNCTION("COUNT(IMPORTRANGE(""https://docs.google.com/spreadsheets/d/1wfJqI0e9wVPqEQv3N6b8KgINjqI0OBECEyIFeY9j3i8/edit"",""14!d2:d31""))"),29)</f>
        <v>29</v>
      </c>
      <c r="F373" s="23">
        <f ca="1">IFERROR(__xludf.DUMMYFUNCTION("SUM(IMPORTRANGE(""https://docs.google.com/spreadsheets/d/1wfJqI0e9wVPqEQv3N6b8KgINjqI0OBECEyIFeY9j3i8/edit"",""14!Q2:Q31""))"),5801.52899999999)</f>
        <v>5801.5289999999904</v>
      </c>
      <c r="G373" s="18">
        <f ca="1">IFERROR(__xludf.DUMMYFUNCTION("IMPORTRANGE(""https://docs.google.com/spreadsheets/d/1wfJqI0e9wVPqEQv3N6b8KgINjqI0OBECEyIFeY9j3i8/edit"",""14!e38"")"),2817)</f>
        <v>2817</v>
      </c>
      <c r="H373" s="18">
        <f ca="1">IFERROR(__xludf.DUMMYFUNCTION("IMPORTRANGE(""https://docs.google.com/spreadsheets/d/1wfJqI0e9wVPqEQv3N6b8KgINjqI0OBECEyIFeY9j3i8/edit"",""14!e39"")"),0)</f>
        <v>0</v>
      </c>
      <c r="I373" s="18">
        <f t="shared" ca="1" si="987"/>
        <v>2817</v>
      </c>
      <c r="J373" s="18">
        <f ca="1">IFERROR(__xludf.DUMMYFUNCTION("IMPORTRANGE(""https://docs.google.com/spreadsheets/d/1wfJqI0e9wVPqEQv3N6b8KgINjqI0OBECEyIFeY9j3i8/edit"",""14!e42"")"),4095)</f>
        <v>4095</v>
      </c>
      <c r="K373" s="18">
        <f ca="1">IFERROR(__xludf.DUMMYFUNCTION("IMPORTRANGE(""https://docs.google.com/spreadsheets/d/1wfJqI0e9wVPqEQv3N6b8KgINjqI0OBECEyIFeY9j3i8/edit"",""14!e43"")"),0)</f>
        <v>0</v>
      </c>
      <c r="L373" s="18">
        <f t="shared" ca="1" si="1017"/>
        <v>4095</v>
      </c>
      <c r="M373" s="18">
        <f t="shared" ca="1" si="989"/>
        <v>6912</v>
      </c>
      <c r="N373" s="19">
        <f t="shared" ca="1" si="990"/>
        <v>200.05272413793071</v>
      </c>
      <c r="O373" s="16">
        <v>9201</v>
      </c>
      <c r="P373" s="20">
        <f t="shared" ca="1" si="991"/>
        <v>0.75122269318552326</v>
      </c>
      <c r="Q373" s="21">
        <v>1.5</v>
      </c>
      <c r="R373" s="20">
        <f t="shared" ca="1" si="992"/>
        <v>0.79427337172666157</v>
      </c>
      <c r="S373" s="22">
        <f t="shared" ca="1" si="993"/>
        <v>1.1914100575899924</v>
      </c>
      <c r="T373" s="21">
        <f ca="1">F373/26.491</f>
        <v>218.99999999999963</v>
      </c>
      <c r="U373" s="21">
        <f t="shared" ca="1" si="994"/>
        <v>7.5517241379310214</v>
      </c>
      <c r="V373" s="18">
        <f t="shared" ca="1" si="995"/>
        <v>238.34482758620689</v>
      </c>
      <c r="W373" s="76"/>
      <c r="X373" s="8">
        <v>2</v>
      </c>
      <c r="Y373" s="8" t="s">
        <v>32</v>
      </c>
      <c r="Z373" s="8">
        <f t="shared" ref="Z373:AI373" si="1036">SUM(D360)</f>
        <v>42</v>
      </c>
      <c r="AA373" s="9">
        <f t="shared" ca="1" si="1036"/>
        <v>42</v>
      </c>
      <c r="AB373" s="10">
        <f t="shared" ca="1" si="1036"/>
        <v>8254.2809999999899</v>
      </c>
      <c r="AC373" s="8">
        <f t="shared" ca="1" si="1036"/>
        <v>4788</v>
      </c>
      <c r="AD373" s="8">
        <f t="shared" ca="1" si="1036"/>
        <v>0</v>
      </c>
      <c r="AE373" s="9">
        <f t="shared" ca="1" si="1036"/>
        <v>4788</v>
      </c>
      <c r="AF373" s="8">
        <f t="shared" ca="1" si="1036"/>
        <v>5682</v>
      </c>
      <c r="AG373" s="8">
        <f t="shared" ca="1" si="1036"/>
        <v>0</v>
      </c>
      <c r="AH373" s="9">
        <f t="shared" ca="1" si="1036"/>
        <v>5682</v>
      </c>
      <c r="AI373" s="9">
        <f t="shared" ca="1" si="1036"/>
        <v>10470</v>
      </c>
      <c r="AJ373" s="11">
        <f t="shared" ca="1" si="1030"/>
        <v>196.53049999999976</v>
      </c>
      <c r="AK373" s="8">
        <f>SUM(O360)</f>
        <v>13817</v>
      </c>
      <c r="AL373" s="12">
        <f t="shared" ca="1" si="1031"/>
        <v>0.75776217702829851</v>
      </c>
      <c r="AM373" s="13">
        <f>SUM(Q360)</f>
        <v>1.5</v>
      </c>
      <c r="AN373" s="12">
        <f t="shared" ca="1" si="1032"/>
        <v>0.84562180521840835</v>
      </c>
      <c r="AO373" s="14">
        <f t="shared" ca="1" si="1033"/>
        <v>1.2684327078276125</v>
      </c>
      <c r="AP373" s="13">
        <f t="shared" ref="AP373:AQ373" ca="1" si="1037">SUM(T360)</f>
        <v>328.9999999999996</v>
      </c>
      <c r="AQ373" s="13">
        <f t="shared" ca="1" si="1037"/>
        <v>7.8333333333333242</v>
      </c>
      <c r="AR373" s="9">
        <f t="shared" ca="1" si="1035"/>
        <v>249.28571428571428</v>
      </c>
      <c r="AS373" s="76"/>
      <c r="AT373" s="76"/>
    </row>
    <row r="374" spans="1:46" ht="15.75" customHeight="1" x14ac:dyDescent="0.25">
      <c r="A374" s="70"/>
      <c r="B374" s="16">
        <v>18</v>
      </c>
      <c r="C374" s="16" t="s">
        <v>31</v>
      </c>
      <c r="D374" s="17">
        <v>15</v>
      </c>
      <c r="E374" s="18">
        <f ca="1">IFERROR(__xludf.DUMMYFUNCTION("COUNT(IMPORTRANGE(""https://docs.google.com/spreadsheets/d/1-y2KhTAo7d8kowgUuWUDfRQuRMUAFteRYEXorT3_wOs/edit"",""14!d2:d16""))"),14)</f>
        <v>14</v>
      </c>
      <c r="F374" s="19">
        <f ca="1">IFERROR(__xludf.DUMMYFUNCTION("SUM(IMPORTRANGE(""https://docs.google.com/spreadsheets/d/1-y2KhTAo7d8kowgUuWUDfRQuRMUAFteRYEXorT3_wOs/edit"",""14!Q2:Q16""))"),2540.98099999999)</f>
        <v>2540.9809999999902</v>
      </c>
      <c r="G374" s="18">
        <f ca="1">IFERROR(__xludf.DUMMYFUNCTION("IMPORTRANGE(""https://docs.google.com/spreadsheets/d/1-y2KhTAo7d8kowgUuWUDfRQuRMUAFteRYEXorT3_wOs/edit"",""14!e23"")"),866)</f>
        <v>866</v>
      </c>
      <c r="H374" s="18">
        <f ca="1">IFERROR(__xludf.DUMMYFUNCTION("IMPORTRANGE(""https://docs.google.com/spreadsheets/d/1-y2KhTAo7d8kowgUuWUDfRQuRMUAFteRYEXorT3_wOs/edit"",""14!e24"")"),8)</f>
        <v>8</v>
      </c>
      <c r="I374" s="18">
        <f t="shared" ca="1" si="987"/>
        <v>874</v>
      </c>
      <c r="J374" s="18">
        <f ca="1">IFERROR(__xludf.DUMMYFUNCTION("IMPORTRANGE(""https://docs.google.com/spreadsheets/d/1-y2KhTAo7d8kowgUuWUDfRQuRMUAFteRYEXorT3_wOs/edit"",""14!e27"")"),913)</f>
        <v>913</v>
      </c>
      <c r="K374" s="18">
        <f ca="1">IFERROR(__xludf.DUMMYFUNCTION("IMPORTRANGE(""https://docs.google.com/spreadsheets/d/1-y2KhTAo7d8kowgUuWUDfRQuRMUAFteRYEXorT3_wOs/edit"",""14!e28"")"),0)</f>
        <v>0</v>
      </c>
      <c r="L374" s="18">
        <f t="shared" ca="1" si="1017"/>
        <v>913</v>
      </c>
      <c r="M374" s="18">
        <f t="shared" ca="1" si="989"/>
        <v>1787</v>
      </c>
      <c r="N374" s="19">
        <f t="shared" ca="1" si="990"/>
        <v>181.49864285714216</v>
      </c>
      <c r="O374" s="16">
        <v>2717</v>
      </c>
      <c r="P374" s="20">
        <f t="shared" ca="1" si="991"/>
        <v>0.65771071034228934</v>
      </c>
      <c r="Q374" s="21">
        <v>1.5</v>
      </c>
      <c r="R374" s="20">
        <f t="shared" ca="1" si="992"/>
        <v>0.46884779277504945</v>
      </c>
      <c r="S374" s="22">
        <f t="shared" ca="1" si="993"/>
        <v>0.70327168916257421</v>
      </c>
      <c r="T374" s="21">
        <f ca="1">F374/43.465</f>
        <v>58.460393419992869</v>
      </c>
      <c r="U374" s="21">
        <f t="shared" ca="1" si="994"/>
        <v>4.175742387142348</v>
      </c>
      <c r="V374" s="18">
        <f t="shared" ca="1" si="995"/>
        <v>127.64285714285714</v>
      </c>
      <c r="W374" s="76"/>
      <c r="X374" s="8">
        <v>3</v>
      </c>
      <c r="Y374" s="8" t="s">
        <v>36</v>
      </c>
      <c r="Z374" s="8">
        <f t="shared" ref="Z374:AI374" si="1038">SUM(D365)</f>
        <v>30</v>
      </c>
      <c r="AA374" s="9">
        <f t="shared" ca="1" si="1038"/>
        <v>29</v>
      </c>
      <c r="AB374" s="10">
        <f t="shared" ca="1" si="1038"/>
        <v>5716.3619999999901</v>
      </c>
      <c r="AC374" s="9">
        <f t="shared" ca="1" si="1038"/>
        <v>1683</v>
      </c>
      <c r="AD374" s="9">
        <f t="shared" ca="1" si="1038"/>
        <v>0</v>
      </c>
      <c r="AE374" s="9">
        <f t="shared" ca="1" si="1038"/>
        <v>1683</v>
      </c>
      <c r="AF374" s="9">
        <f t="shared" ca="1" si="1038"/>
        <v>2281</v>
      </c>
      <c r="AG374" s="9">
        <f t="shared" ca="1" si="1038"/>
        <v>0</v>
      </c>
      <c r="AH374" s="9">
        <f t="shared" ca="1" si="1038"/>
        <v>2281</v>
      </c>
      <c r="AI374" s="9">
        <f t="shared" ca="1" si="1038"/>
        <v>3964</v>
      </c>
      <c r="AJ374" s="11">
        <f t="shared" ca="1" si="1030"/>
        <v>197.11593103448243</v>
      </c>
      <c r="AK374" s="8">
        <f t="shared" ref="AK374:AK377" si="1039">SUM(O365)</f>
        <v>4796</v>
      </c>
      <c r="AL374" s="12">
        <f t="shared" ca="1" si="1031"/>
        <v>0.82652210175145957</v>
      </c>
      <c r="AM374" s="13">
        <f t="shared" ref="AM374:AM377" si="1040">SUM(Q365)</f>
        <v>1.5</v>
      </c>
      <c r="AN374" s="12">
        <f t="shared" ca="1" si="1032"/>
        <v>0.462298690437497</v>
      </c>
      <c r="AO374" s="14">
        <f t="shared" ca="1" si="1033"/>
        <v>0.69344803565624547</v>
      </c>
      <c r="AP374" s="13">
        <f t="shared" ref="AP374:AQ374" ca="1" si="1041">SUM(T365)</f>
        <v>152.78671085689822</v>
      </c>
      <c r="AQ374" s="13">
        <f t="shared" ca="1" si="1041"/>
        <v>5.2685072709275254</v>
      </c>
      <c r="AR374" s="9">
        <f t="shared" ca="1" si="1035"/>
        <v>136.68965517241378</v>
      </c>
      <c r="AS374" s="76"/>
      <c r="AT374" s="76"/>
    </row>
    <row r="375" spans="1:46" ht="15.75" customHeight="1" x14ac:dyDescent="0.2">
      <c r="A375" s="70"/>
      <c r="B375" s="98" t="s">
        <v>33</v>
      </c>
      <c r="C375" s="98">
        <v>18</v>
      </c>
      <c r="D375" s="98">
        <f t="shared" ref="D375:M375" si="1042">SUM(D357:D374)</f>
        <v>586</v>
      </c>
      <c r="E375" s="74">
        <f t="shared" ca="1" si="1042"/>
        <v>571</v>
      </c>
      <c r="F375" s="99">
        <f t="shared" ca="1" si="1042"/>
        <v>111536.90799999981</v>
      </c>
      <c r="G375" s="74">
        <f t="shared" ca="1" si="1042"/>
        <v>43029</v>
      </c>
      <c r="H375" s="74">
        <f t="shared" ca="1" si="1042"/>
        <v>1309</v>
      </c>
      <c r="I375" s="74">
        <f t="shared" ca="1" si="1042"/>
        <v>44338</v>
      </c>
      <c r="J375" s="74">
        <f t="shared" ca="1" si="1042"/>
        <v>56470</v>
      </c>
      <c r="K375" s="74">
        <f t="shared" ca="1" si="1042"/>
        <v>889</v>
      </c>
      <c r="L375" s="74">
        <f t="shared" ca="1" si="1042"/>
        <v>57359</v>
      </c>
      <c r="M375" s="74">
        <f t="shared" ca="1" si="1042"/>
        <v>101697</v>
      </c>
      <c r="N375" s="99">
        <f t="shared" ca="1" si="990"/>
        <v>195.33609106830087</v>
      </c>
      <c r="O375" s="98">
        <f>SUM(O357:O374)</f>
        <v>126399</v>
      </c>
      <c r="P375" s="69">
        <f t="shared" ca="1" si="991"/>
        <v>0.80457123869650871</v>
      </c>
      <c r="Q375" s="72">
        <v>1.5</v>
      </c>
      <c r="R375" s="69">
        <f t="shared" ca="1" si="992"/>
        <v>0.60785260426979126</v>
      </c>
      <c r="S375" s="73">
        <f t="shared" ca="1" si="993"/>
        <v>0.91177890640468695</v>
      </c>
      <c r="T375" s="72">
        <f ca="1">SUM(T357:T374)</f>
        <v>4101.8801018723698</v>
      </c>
      <c r="U375" s="72">
        <f t="shared" ca="1" si="994"/>
        <v>7.1836779367291941</v>
      </c>
      <c r="V375" s="74">
        <f t="shared" ca="1" si="995"/>
        <v>178.10332749562173</v>
      </c>
      <c r="W375" s="76"/>
      <c r="X375" s="8">
        <v>4</v>
      </c>
      <c r="Y375" s="8" t="s">
        <v>37</v>
      </c>
      <c r="Z375" s="8">
        <f t="shared" ref="Z375:AI375" si="1043">SUM(D366)</f>
        <v>30</v>
      </c>
      <c r="AA375" s="9">
        <f t="shared" ca="1" si="1043"/>
        <v>29</v>
      </c>
      <c r="AB375" s="10">
        <f t="shared" ca="1" si="1043"/>
        <v>5737.8119999999999</v>
      </c>
      <c r="AC375" s="9">
        <f t="shared" ca="1" si="1043"/>
        <v>2200</v>
      </c>
      <c r="AD375" s="9">
        <f t="shared" ca="1" si="1043"/>
        <v>0</v>
      </c>
      <c r="AE375" s="9">
        <f t="shared" ca="1" si="1043"/>
        <v>2200</v>
      </c>
      <c r="AF375" s="9">
        <f t="shared" ca="1" si="1043"/>
        <v>3250</v>
      </c>
      <c r="AG375" s="9">
        <f t="shared" ca="1" si="1043"/>
        <v>0</v>
      </c>
      <c r="AH375" s="9">
        <f t="shared" ca="1" si="1043"/>
        <v>3250</v>
      </c>
      <c r="AI375" s="9">
        <f t="shared" ca="1" si="1043"/>
        <v>5450</v>
      </c>
      <c r="AJ375" s="11">
        <f t="shared" ca="1" si="1030"/>
        <v>197.85558620689656</v>
      </c>
      <c r="AK375" s="8">
        <f t="shared" si="1039"/>
        <v>5887</v>
      </c>
      <c r="AL375" s="12">
        <f t="shared" ca="1" si="1031"/>
        <v>0.92576864277220994</v>
      </c>
      <c r="AM375" s="13">
        <f t="shared" si="1040"/>
        <v>1.5</v>
      </c>
      <c r="AN375" s="12">
        <f t="shared" ca="1" si="1032"/>
        <v>0.63322627742654058</v>
      </c>
      <c r="AO375" s="14">
        <f t="shared" ca="1" si="1033"/>
        <v>0.94983941613981082</v>
      </c>
      <c r="AP375" s="13">
        <f t="shared" ref="AP375:AQ375" ca="1" si="1044">SUM(T366)</f>
        <v>231.4380445304937</v>
      </c>
      <c r="AQ375" s="13">
        <f t="shared" ca="1" si="1044"/>
        <v>7.9806222251894381</v>
      </c>
      <c r="AR375" s="9">
        <f t="shared" ca="1" si="1035"/>
        <v>187.93103448275863</v>
      </c>
      <c r="AS375" s="76"/>
      <c r="AT375" s="76"/>
    </row>
    <row r="376" spans="1:46" ht="15.75" customHeight="1" x14ac:dyDescent="0.2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6"/>
      <c r="X376" s="8">
        <v>5</v>
      </c>
      <c r="Y376" s="8" t="s">
        <v>39</v>
      </c>
      <c r="Z376" s="8">
        <f t="shared" ref="Z376:AI376" si="1045">SUM(D367)</f>
        <v>28</v>
      </c>
      <c r="AA376" s="9">
        <f t="shared" ca="1" si="1045"/>
        <v>27</v>
      </c>
      <c r="AB376" s="10">
        <f t="shared" ca="1" si="1045"/>
        <v>5382.848</v>
      </c>
      <c r="AC376" s="9">
        <f t="shared" ca="1" si="1045"/>
        <v>1292</v>
      </c>
      <c r="AD376" s="9">
        <f t="shared" ca="1" si="1045"/>
        <v>82</v>
      </c>
      <c r="AE376" s="9">
        <f t="shared" ca="1" si="1045"/>
        <v>1374</v>
      </c>
      <c r="AF376" s="9">
        <f t="shared" ca="1" si="1045"/>
        <v>2018</v>
      </c>
      <c r="AG376" s="9">
        <f t="shared" ca="1" si="1045"/>
        <v>0</v>
      </c>
      <c r="AH376" s="9">
        <f t="shared" ca="1" si="1045"/>
        <v>2018</v>
      </c>
      <c r="AI376" s="9">
        <f t="shared" ca="1" si="1045"/>
        <v>3392</v>
      </c>
      <c r="AJ376" s="11">
        <f t="shared" ca="1" si="1030"/>
        <v>199.36474074074073</v>
      </c>
      <c r="AK376" s="8">
        <f t="shared" si="1039"/>
        <v>3569</v>
      </c>
      <c r="AL376" s="12">
        <f t="shared" ca="1" si="1031"/>
        <v>0.95040627626786212</v>
      </c>
      <c r="AM376" s="13">
        <f t="shared" si="1040"/>
        <v>1.5</v>
      </c>
      <c r="AN376" s="12">
        <f t="shared" ca="1" si="1032"/>
        <v>0.42009979351698828</v>
      </c>
      <c r="AO376" s="14">
        <f t="shared" ca="1" si="1033"/>
        <v>0.6301496902754824</v>
      </c>
      <c r="AP376" s="13">
        <f t="shared" ref="AP376:AQ376" ca="1" si="1046">SUM(T367)</f>
        <v>250.7966267530168</v>
      </c>
      <c r="AQ376" s="13">
        <f t="shared" ca="1" si="1046"/>
        <v>9.2887639538154367</v>
      </c>
      <c r="AR376" s="9">
        <f t="shared" ca="1" si="1035"/>
        <v>125.62962962962963</v>
      </c>
      <c r="AS376" s="76"/>
      <c r="AT376" s="76"/>
    </row>
    <row r="377" spans="1:46" ht="15.75" customHeight="1" x14ac:dyDescent="0.2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6"/>
      <c r="X377" s="8">
        <v>6</v>
      </c>
      <c r="Y377" s="8" t="s">
        <v>41</v>
      </c>
      <c r="Z377" s="8">
        <f t="shared" ref="Z377:AI377" si="1047">SUM(D368)</f>
        <v>24</v>
      </c>
      <c r="AA377" s="9">
        <f t="shared" ca="1" si="1047"/>
        <v>24</v>
      </c>
      <c r="AB377" s="10">
        <f t="shared" ca="1" si="1047"/>
        <v>4496.8720000000003</v>
      </c>
      <c r="AC377" s="9">
        <f t="shared" ca="1" si="1047"/>
        <v>1366</v>
      </c>
      <c r="AD377" s="9">
        <f t="shared" ca="1" si="1047"/>
        <v>105</v>
      </c>
      <c r="AE377" s="9">
        <f t="shared" ca="1" si="1047"/>
        <v>1471</v>
      </c>
      <c r="AF377" s="9">
        <f t="shared" ca="1" si="1047"/>
        <v>1572</v>
      </c>
      <c r="AG377" s="9">
        <f t="shared" ca="1" si="1047"/>
        <v>0</v>
      </c>
      <c r="AH377" s="9">
        <f t="shared" ca="1" si="1047"/>
        <v>1572</v>
      </c>
      <c r="AI377" s="9">
        <f t="shared" ca="1" si="1047"/>
        <v>3043</v>
      </c>
      <c r="AJ377" s="11">
        <f t="shared" ca="1" si="1030"/>
        <v>187.36966666666669</v>
      </c>
      <c r="AK377" s="8">
        <f t="shared" si="1039"/>
        <v>3801</v>
      </c>
      <c r="AL377" s="12">
        <f t="shared" ca="1" si="1031"/>
        <v>0.80057879505393315</v>
      </c>
      <c r="AM377" s="13">
        <f t="shared" si="1040"/>
        <v>1.5</v>
      </c>
      <c r="AN377" s="12">
        <f t="shared" ca="1" si="1032"/>
        <v>0.45112839917762093</v>
      </c>
      <c r="AO377" s="14">
        <f t="shared" ca="1" si="1033"/>
        <v>0.6766925987664314</v>
      </c>
      <c r="AP377" s="13">
        <f t="shared" ref="AP377:AQ377" ca="1" si="1048">SUM(T368)</f>
        <v>151.7777777777778</v>
      </c>
      <c r="AQ377" s="13">
        <f t="shared" ca="1" si="1048"/>
        <v>6.3240740740740753</v>
      </c>
      <c r="AR377" s="9">
        <f t="shared" ca="1" si="1035"/>
        <v>126.79166666666667</v>
      </c>
      <c r="AS377" s="76"/>
      <c r="AT377" s="76"/>
    </row>
    <row r="378" spans="1:46" ht="15.75" customHeight="1" x14ac:dyDescent="0.25">
      <c r="A378" s="110" t="s">
        <v>45</v>
      </c>
      <c r="B378" s="76"/>
      <c r="C378" s="76"/>
      <c r="D378" s="75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24" t="s">
        <v>33</v>
      </c>
      <c r="Y378" s="24">
        <v>6</v>
      </c>
      <c r="Z378" s="24">
        <f t="shared" ref="Z378:AI378" si="1049">SUM(Z372:Z377)</f>
        <v>174</v>
      </c>
      <c r="AA378" s="25">
        <f t="shared" ca="1" si="1049"/>
        <v>169</v>
      </c>
      <c r="AB378" s="27">
        <f t="shared" ca="1" si="1049"/>
        <v>33163.70699999998</v>
      </c>
      <c r="AC378" s="25">
        <f t="shared" ca="1" si="1049"/>
        <v>13403</v>
      </c>
      <c r="AD378" s="25">
        <f t="shared" ca="1" si="1049"/>
        <v>187</v>
      </c>
      <c r="AE378" s="25">
        <f t="shared" ca="1" si="1049"/>
        <v>13590</v>
      </c>
      <c r="AF378" s="25">
        <f t="shared" ca="1" si="1049"/>
        <v>17463</v>
      </c>
      <c r="AG378" s="25">
        <f t="shared" ca="1" si="1049"/>
        <v>0</v>
      </c>
      <c r="AH378" s="25">
        <f t="shared" ca="1" si="1049"/>
        <v>17463</v>
      </c>
      <c r="AI378" s="25">
        <f t="shared" ca="1" si="1049"/>
        <v>31053</v>
      </c>
      <c r="AJ378" s="27">
        <f t="shared" ca="1" si="1030"/>
        <v>196.23495266272178</v>
      </c>
      <c r="AK378" s="24">
        <f>SUM(AK372:AK377)</f>
        <v>37031</v>
      </c>
      <c r="AL378" s="28">
        <f t="shared" ca="1" si="1031"/>
        <v>0.83856768653290481</v>
      </c>
      <c r="AM378" s="29">
        <v>1.5</v>
      </c>
      <c r="AN378" s="28">
        <f t="shared" ca="1" si="1032"/>
        <v>0.62423660901358258</v>
      </c>
      <c r="AO378" s="30">
        <f t="shared" ca="1" si="1033"/>
        <v>0.93635491352037392</v>
      </c>
      <c r="AP378" s="29">
        <f ca="1">SUM(AP372:AP377)</f>
        <v>1363.8416156934204</v>
      </c>
      <c r="AQ378" s="29">
        <f ca="1">AP378/AA378</f>
        <v>8.0700687319137305</v>
      </c>
      <c r="AR378" s="25">
        <f t="shared" ca="1" si="1035"/>
        <v>183.74556213017752</v>
      </c>
      <c r="AS378" s="76"/>
      <c r="AT378" s="76"/>
    </row>
    <row r="379" spans="1:46" ht="15.75" customHeight="1" x14ac:dyDescent="0.2">
      <c r="A379" s="110" t="s">
        <v>45</v>
      </c>
      <c r="B379" s="76"/>
      <c r="C379" s="76"/>
      <c r="D379" s="75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7" t="s">
        <v>1</v>
      </c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9"/>
      <c r="AS379" s="76"/>
      <c r="AT379" s="76"/>
    </row>
    <row r="380" spans="1:46" ht="15.75" customHeight="1" x14ac:dyDescent="0.2">
      <c r="A380" s="109">
        <v>46280</v>
      </c>
      <c r="B380" s="80" t="s">
        <v>2</v>
      </c>
      <c r="C380" s="80" t="s">
        <v>3</v>
      </c>
      <c r="D380" s="80" t="s">
        <v>4</v>
      </c>
      <c r="E380" s="80" t="s">
        <v>5</v>
      </c>
      <c r="F380" s="81" t="s">
        <v>6</v>
      </c>
      <c r="G380" s="80" t="s">
        <v>7</v>
      </c>
      <c r="H380" s="80" t="s">
        <v>8</v>
      </c>
      <c r="I380" s="80" t="s">
        <v>9</v>
      </c>
      <c r="J380" s="80" t="s">
        <v>10</v>
      </c>
      <c r="K380" s="80" t="s">
        <v>11</v>
      </c>
      <c r="L380" s="80" t="s">
        <v>12</v>
      </c>
      <c r="M380" s="80" t="s">
        <v>13</v>
      </c>
      <c r="N380" s="81" t="s">
        <v>14</v>
      </c>
      <c r="O380" s="80" t="s">
        <v>15</v>
      </c>
      <c r="P380" s="80" t="s">
        <v>16</v>
      </c>
      <c r="Q380" s="80" t="s">
        <v>17</v>
      </c>
      <c r="R380" s="80" t="s">
        <v>18</v>
      </c>
      <c r="S380" s="106" t="s">
        <v>19</v>
      </c>
      <c r="T380" s="107" t="s">
        <v>20</v>
      </c>
      <c r="U380" s="107" t="s">
        <v>21</v>
      </c>
      <c r="V380" s="105" t="s">
        <v>22</v>
      </c>
      <c r="W380" s="76"/>
      <c r="X380" s="1" t="s">
        <v>2</v>
      </c>
      <c r="Y380" s="1" t="s">
        <v>3</v>
      </c>
      <c r="Z380" s="1" t="s">
        <v>4</v>
      </c>
      <c r="AA380" s="1" t="s">
        <v>5</v>
      </c>
      <c r="AB380" s="2" t="s">
        <v>6</v>
      </c>
      <c r="AC380" s="1" t="s">
        <v>7</v>
      </c>
      <c r="AD380" s="1" t="s">
        <v>8</v>
      </c>
      <c r="AE380" s="1" t="s">
        <v>9</v>
      </c>
      <c r="AF380" s="1" t="s">
        <v>10</v>
      </c>
      <c r="AG380" s="1" t="s">
        <v>11</v>
      </c>
      <c r="AH380" s="1" t="s">
        <v>12</v>
      </c>
      <c r="AI380" s="1" t="s">
        <v>13</v>
      </c>
      <c r="AJ380" s="2" t="s">
        <v>14</v>
      </c>
      <c r="AK380" s="1" t="s">
        <v>15</v>
      </c>
      <c r="AL380" s="1" t="s">
        <v>16</v>
      </c>
      <c r="AM380" s="3" t="s">
        <v>17</v>
      </c>
      <c r="AN380" s="4" t="s">
        <v>18</v>
      </c>
      <c r="AO380" s="5" t="s">
        <v>19</v>
      </c>
      <c r="AP380" s="6" t="s">
        <v>20</v>
      </c>
      <c r="AQ380" s="6" t="s">
        <v>21</v>
      </c>
      <c r="AR380" s="7" t="s">
        <v>22</v>
      </c>
      <c r="AS380" s="76"/>
      <c r="AT380" s="76"/>
    </row>
    <row r="381" spans="1:46" ht="15.75" customHeight="1" x14ac:dyDescent="0.2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6"/>
      <c r="X381" s="8">
        <v>1</v>
      </c>
      <c r="Y381" s="8" t="s">
        <v>23</v>
      </c>
      <c r="Z381" s="8">
        <f t="shared" ref="Z381:AI381" si="1050">SUM(D389)</f>
        <v>35</v>
      </c>
      <c r="AA381" s="9">
        <f t="shared" ca="1" si="1050"/>
        <v>34</v>
      </c>
      <c r="AB381" s="10">
        <f t="shared" ca="1" si="1050"/>
        <v>6410.5999999999904</v>
      </c>
      <c r="AC381" s="9">
        <f t="shared" ca="1" si="1050"/>
        <v>1616</v>
      </c>
      <c r="AD381" s="9">
        <f t="shared" ca="1" si="1050"/>
        <v>0</v>
      </c>
      <c r="AE381" s="9">
        <f t="shared" ca="1" si="1050"/>
        <v>1616</v>
      </c>
      <c r="AF381" s="9">
        <f t="shared" ca="1" si="1050"/>
        <v>3078</v>
      </c>
      <c r="AG381" s="9">
        <f t="shared" ca="1" si="1050"/>
        <v>0</v>
      </c>
      <c r="AH381" s="9">
        <f t="shared" ca="1" si="1050"/>
        <v>3078</v>
      </c>
      <c r="AI381" s="9">
        <f t="shared" ca="1" si="1050"/>
        <v>4694</v>
      </c>
      <c r="AJ381" s="11">
        <f t="shared" ref="AJ381:AJ383" ca="1" si="1051">AB381/AA381</f>
        <v>188.54705882352914</v>
      </c>
      <c r="AK381" s="8">
        <f>SUM(O389)</f>
        <v>6853</v>
      </c>
      <c r="AL381" s="12">
        <f t="shared" ref="AL381:AL387" ca="1" si="1052">AI381/AK381</f>
        <v>0.68495549394425803</v>
      </c>
      <c r="AM381" s="13">
        <f t="shared" ref="AM381:AM383" si="1053">SUM(Q389)</f>
        <v>1.5</v>
      </c>
      <c r="AN381" s="12">
        <f t="shared" ref="AN381:AN387" ca="1" si="1054">AO381/AM381</f>
        <v>0.48814983516883564</v>
      </c>
      <c r="AO381" s="14">
        <f t="shared" ref="AO381:AO387" ca="1" si="1055">AI381/AB381</f>
        <v>0.73222475275325349</v>
      </c>
      <c r="AP381" s="13">
        <f t="shared" ref="AP381:AQ381" ca="1" si="1056">SUM(T389)</f>
        <v>189.99999999999972</v>
      </c>
      <c r="AQ381" s="13">
        <f t="shared" ca="1" si="1056"/>
        <v>5.5882352941176388</v>
      </c>
      <c r="AR381" s="9">
        <f t="shared" ref="AR381:AR387" ca="1" si="1057">AI381/AA381</f>
        <v>138.05882352941177</v>
      </c>
      <c r="AS381" s="76"/>
      <c r="AT381" s="76"/>
    </row>
    <row r="382" spans="1:46" ht="15.75" customHeight="1" x14ac:dyDescent="0.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6"/>
      <c r="X382" s="8">
        <v>2</v>
      </c>
      <c r="Y382" s="8" t="s">
        <v>24</v>
      </c>
      <c r="Z382" s="8">
        <f t="shared" ref="Z382:AI382" si="1058">SUM(D390)</f>
        <v>44</v>
      </c>
      <c r="AA382" s="9">
        <f t="shared" ca="1" si="1058"/>
        <v>43</v>
      </c>
      <c r="AB382" s="10">
        <f t="shared" ca="1" si="1058"/>
        <v>8340.5709999999908</v>
      </c>
      <c r="AC382" s="9">
        <f t="shared" ca="1" si="1058"/>
        <v>1434</v>
      </c>
      <c r="AD382" s="9">
        <f t="shared" ca="1" si="1058"/>
        <v>0</v>
      </c>
      <c r="AE382" s="9">
        <f t="shared" ca="1" si="1058"/>
        <v>1434</v>
      </c>
      <c r="AF382" s="9">
        <f t="shared" ca="1" si="1058"/>
        <v>1329</v>
      </c>
      <c r="AG382" s="9">
        <f t="shared" ca="1" si="1058"/>
        <v>0</v>
      </c>
      <c r="AH382" s="9">
        <f t="shared" ca="1" si="1058"/>
        <v>1329</v>
      </c>
      <c r="AI382" s="9">
        <f t="shared" ca="1" si="1058"/>
        <v>2763</v>
      </c>
      <c r="AJ382" s="11">
        <f t="shared" ca="1" si="1051"/>
        <v>193.96676744186024</v>
      </c>
      <c r="AK382" s="8">
        <v>1580</v>
      </c>
      <c r="AL382" s="15">
        <f t="shared" ca="1" si="1052"/>
        <v>1.7487341772151899</v>
      </c>
      <c r="AM382" s="13">
        <f t="shared" si="1053"/>
        <v>1.5</v>
      </c>
      <c r="AN382" s="12">
        <f t="shared" ca="1" si="1054"/>
        <v>0.22084818893094993</v>
      </c>
      <c r="AO382" s="14">
        <f t="shared" ca="1" si="1055"/>
        <v>0.33127228339642489</v>
      </c>
      <c r="AP382" s="13">
        <f t="shared" ref="AP382:AQ382" ca="1" si="1059">SUM(T390)</f>
        <v>311.15728408878908</v>
      </c>
      <c r="AQ382" s="13">
        <f t="shared" ca="1" si="1059"/>
        <v>7.2362159090416069</v>
      </c>
      <c r="AR382" s="9">
        <f t="shared" ca="1" si="1057"/>
        <v>64.255813953488371</v>
      </c>
      <c r="AS382" s="76"/>
      <c r="AT382" s="76"/>
    </row>
    <row r="383" spans="1:46" ht="15.75" customHeight="1" x14ac:dyDescent="0.2">
      <c r="A383" s="70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6"/>
      <c r="X383" s="8">
        <v>3</v>
      </c>
      <c r="Y383" s="8" t="s">
        <v>25</v>
      </c>
      <c r="Z383" s="8">
        <f t="shared" ref="Z383:AI383" si="1060">SUM(D391)</f>
        <v>32</v>
      </c>
      <c r="AA383" s="9">
        <f t="shared" ca="1" si="1060"/>
        <v>31</v>
      </c>
      <c r="AB383" s="10">
        <f t="shared" ca="1" si="1060"/>
        <v>5829.7640000000001</v>
      </c>
      <c r="AC383" s="9">
        <f t="shared" ca="1" si="1060"/>
        <v>2269</v>
      </c>
      <c r="AD383" s="9">
        <f t="shared" ca="1" si="1060"/>
        <v>400</v>
      </c>
      <c r="AE383" s="9">
        <f t="shared" ca="1" si="1060"/>
        <v>2669</v>
      </c>
      <c r="AF383" s="9">
        <f t="shared" ca="1" si="1060"/>
        <v>3114</v>
      </c>
      <c r="AG383" s="9">
        <f t="shared" ca="1" si="1060"/>
        <v>456</v>
      </c>
      <c r="AH383" s="9">
        <f t="shared" ca="1" si="1060"/>
        <v>3570</v>
      </c>
      <c r="AI383" s="9">
        <f t="shared" ca="1" si="1060"/>
        <v>6239</v>
      </c>
      <c r="AJ383" s="11">
        <f t="shared" ca="1" si="1051"/>
        <v>188.05690322580645</v>
      </c>
      <c r="AK383" s="8">
        <f>SUM(O391)</f>
        <v>6622</v>
      </c>
      <c r="AL383" s="12">
        <f t="shared" ca="1" si="1052"/>
        <v>0.94216248867411656</v>
      </c>
      <c r="AM383" s="13">
        <f t="shared" si="1053"/>
        <v>1.5</v>
      </c>
      <c r="AN383" s="12">
        <f t="shared" ca="1" si="1054"/>
        <v>0.71346513054959571</v>
      </c>
      <c r="AO383" s="14">
        <f t="shared" ca="1" si="1055"/>
        <v>1.0701976958243935</v>
      </c>
      <c r="AP383" s="13">
        <f t="shared" ref="AP383:AQ383" ca="1" si="1061">SUM(T391)</f>
        <v>244.53708053691275</v>
      </c>
      <c r="AQ383" s="13">
        <f t="shared" ca="1" si="1061"/>
        <v>7.888292920545573</v>
      </c>
      <c r="AR383" s="9">
        <f t="shared" ca="1" si="1057"/>
        <v>201.25806451612902</v>
      </c>
      <c r="AS383" s="76"/>
      <c r="AT383" s="76"/>
    </row>
    <row r="384" spans="1:46" ht="15.75" customHeight="1" x14ac:dyDescent="0.25">
      <c r="A384" s="70"/>
      <c r="B384" s="16">
        <v>1</v>
      </c>
      <c r="C384" s="16" t="s">
        <v>26</v>
      </c>
      <c r="D384" s="17">
        <v>20</v>
      </c>
      <c r="E384" s="18">
        <f ca="1">IFERROR(__xludf.DUMMYFUNCTION("COUNT(IMPORTRANGE(""https://docs.google.com/spreadsheets/d/1F0NpMx7WhcgPgxTWpryY3Z1CGg56FL6aiL4mHs43w4E/edit"",""15!d2:d21""))"),20)</f>
        <v>20</v>
      </c>
      <c r="F384" s="19">
        <f ca="1">IFERROR(__xludf.DUMMYFUNCTION("SUM(IMPORTRANGE(""https://docs.google.com/spreadsheets/d/1F0NpMx7WhcgPgxTWpryY3Z1CGg56FL6aiL4mHs43w4E/edit"",""15!Q2:Q21""))"),3633.192)</f>
        <v>3633.192</v>
      </c>
      <c r="G384" s="18">
        <f ca="1">IFERROR(__xludf.DUMMYFUNCTION("IMPORTRANGE(""https://docs.google.com/spreadsheets/d/1F0NpMx7WhcgPgxTWpryY3Z1CGg56FL6aiL4mHs43w4E/edit"",""15!e28"")"),1266)</f>
        <v>1266</v>
      </c>
      <c r="H384" s="18">
        <f ca="1">IFERROR(__xludf.DUMMYFUNCTION("IMPORTRANGE(""https://docs.google.com/spreadsheets/d/1F0NpMx7WhcgPgxTWpryY3Z1CGg56FL6aiL4mHs43w4E/edit"",""15!e29"")"),0)</f>
        <v>0</v>
      </c>
      <c r="I384" s="18">
        <f t="shared" ref="I384:I401" ca="1" si="1062">SUM(G384:H384)</f>
        <v>1266</v>
      </c>
      <c r="J384" s="18">
        <f ca="1">IFERROR(__xludf.DUMMYFUNCTION("IMPORTRANGE(""https://docs.google.com/spreadsheets/d/1F0NpMx7WhcgPgxTWpryY3Z1CGg56FL6aiL4mHs43w4E/edit"",""15!e32"")"),2933)</f>
        <v>2933</v>
      </c>
      <c r="K384" s="18">
        <f ca="1">IFERROR(__xludf.DUMMYFUNCTION("IMPORTRANGE(""https://docs.google.com/spreadsheets/d/1F0NpMx7WhcgPgxTWpryY3Z1CGg56FL6aiL4mHs43w4E/edit"",""15!e33"")"),0)</f>
        <v>0</v>
      </c>
      <c r="L384" s="18">
        <f t="shared" ref="L384:L390" ca="1" si="1063">SUM(J384:K384)</f>
        <v>2933</v>
      </c>
      <c r="M384" s="18">
        <f t="shared" ref="M384:M401" ca="1" si="1064">SUM(I384+L384)</f>
        <v>4199</v>
      </c>
      <c r="N384" s="19">
        <f t="shared" ref="N384:N402" ca="1" si="1065">F384/E384</f>
        <v>181.65960000000001</v>
      </c>
      <c r="O384" s="16">
        <v>5161</v>
      </c>
      <c r="P384" s="20">
        <f t="shared" ref="P384:P402" ca="1" si="1066">M384/O384</f>
        <v>0.81360201511335017</v>
      </c>
      <c r="Q384" s="21">
        <v>1.5</v>
      </c>
      <c r="R384" s="20">
        <f t="shared" ref="R384:R402" ca="1" si="1067">S384/Q384</f>
        <v>0.77048868689938033</v>
      </c>
      <c r="S384" s="22">
        <f t="shared" ref="S384:S402" ca="1" si="1068">M384/F384</f>
        <v>1.1557330303490705</v>
      </c>
      <c r="T384" s="21">
        <f ca="1">F384/14.415</f>
        <v>252.04245577523415</v>
      </c>
      <c r="U384" s="21">
        <f t="shared" ref="U384:U402" ca="1" si="1069">T384/E384</f>
        <v>12.602122788761708</v>
      </c>
      <c r="V384" s="18">
        <f t="shared" ref="V384:V402" ca="1" si="1070">M384/E384</f>
        <v>209.95</v>
      </c>
      <c r="W384" s="76"/>
      <c r="X384" s="8">
        <v>4</v>
      </c>
      <c r="Y384" s="8" t="s">
        <v>27</v>
      </c>
      <c r="Z384" s="8">
        <f t="shared" ref="Z384:AK384" si="1071">SUM(D397)</f>
        <v>30</v>
      </c>
      <c r="AA384" s="9">
        <f t="shared" ca="1" si="1071"/>
        <v>28</v>
      </c>
      <c r="AB384" s="10">
        <f t="shared" ca="1" si="1071"/>
        <v>5231.9629999999997</v>
      </c>
      <c r="AC384" s="9">
        <f t="shared" ca="1" si="1071"/>
        <v>2405</v>
      </c>
      <c r="AD384" s="9">
        <f t="shared" ca="1" si="1071"/>
        <v>239</v>
      </c>
      <c r="AE384" s="9">
        <f t="shared" ca="1" si="1071"/>
        <v>2644</v>
      </c>
      <c r="AF384" s="9">
        <f t="shared" ca="1" si="1071"/>
        <v>2695</v>
      </c>
      <c r="AG384" s="9">
        <f t="shared" ca="1" si="1071"/>
        <v>318</v>
      </c>
      <c r="AH384" s="9">
        <f t="shared" ca="1" si="1071"/>
        <v>3013</v>
      </c>
      <c r="AI384" s="9">
        <f t="shared" ca="1" si="1071"/>
        <v>5657</v>
      </c>
      <c r="AJ384" s="11">
        <f t="shared" ca="1" si="1071"/>
        <v>186.85582142857143</v>
      </c>
      <c r="AK384" s="8">
        <f t="shared" si="1071"/>
        <v>8101</v>
      </c>
      <c r="AL384" s="12">
        <f t="shared" ca="1" si="1052"/>
        <v>0.69830885075916549</v>
      </c>
      <c r="AM384" s="13">
        <f>SUM(Q397)</f>
        <v>1.5</v>
      </c>
      <c r="AN384" s="12">
        <f t="shared" ca="1" si="1054"/>
        <v>0.72082568881571474</v>
      </c>
      <c r="AO384" s="14">
        <f t="shared" ca="1" si="1055"/>
        <v>1.0812385332235721</v>
      </c>
      <c r="AP384" s="13">
        <f t="shared" ref="AP384:AQ384" ca="1" si="1072">SUM(T397)</f>
        <v>261.79449587190391</v>
      </c>
      <c r="AQ384" s="13">
        <f t="shared" ca="1" si="1072"/>
        <v>9.3498034239965673</v>
      </c>
      <c r="AR384" s="9">
        <f t="shared" ca="1" si="1057"/>
        <v>202.03571428571428</v>
      </c>
      <c r="AS384" s="76"/>
      <c r="AT384" s="76"/>
    </row>
    <row r="385" spans="1:46" ht="15.75" customHeight="1" x14ac:dyDescent="0.25">
      <c r="A385" s="70"/>
      <c r="B385" s="16">
        <v>2</v>
      </c>
      <c r="C385" s="16" t="s">
        <v>28</v>
      </c>
      <c r="D385" s="17">
        <v>33</v>
      </c>
      <c r="E385" s="18">
        <f ca="1">IFERROR(__xludf.DUMMYFUNCTION("COUNT(IMPORTRANGE(""https://docs.google.com/spreadsheets/d/1H9vAqftAHb0OdeSGXHTnJFzoWUgpoH31sc0sHNN8y1o/edit"",""15!d2:d34""))"),33)</f>
        <v>33</v>
      </c>
      <c r="F385" s="19">
        <f ca="1">IFERROR(__xludf.DUMMYFUNCTION("SUM(IMPORTRANGE(""https://docs.google.com/spreadsheets/d/1H9vAqftAHb0OdeSGXHTnJFzoWUgpoH31sc0sHNN8y1o/edit"",""15!Q2:Q34""))"),6495.583)</f>
        <v>6495.5829999999996</v>
      </c>
      <c r="G385" s="18">
        <f ca="1">IFERROR(__xludf.DUMMYFUNCTION("IMPORTRANGE(""https://docs.google.com/spreadsheets/d/1H9vAqftAHb0OdeSGXHTnJFzoWUgpoH31sc0sHNN8y1o/edit"",""15!e41"")"),2701)</f>
        <v>2701</v>
      </c>
      <c r="H385" s="18">
        <f ca="1">IFERROR(__xludf.DUMMYFUNCTION("IMPORTRANGE(""https://docs.google.com/spreadsheets/d/1H9vAqftAHb0OdeSGXHTnJFzoWUgpoH31sc0sHNN8y1o/edit"",""15!e42"")"),154)</f>
        <v>154</v>
      </c>
      <c r="I385" s="18">
        <f t="shared" ca="1" si="1062"/>
        <v>2855</v>
      </c>
      <c r="J385" s="18">
        <f ca="1">IFERROR(__xludf.DUMMYFUNCTION("IMPORTRANGE(""https://docs.google.com/spreadsheets/d/1H9vAqftAHb0OdeSGXHTnJFzoWUgpoH31sc0sHNN8y1o/edit"",""15!e45"")"),2879)</f>
        <v>2879</v>
      </c>
      <c r="K385" s="18">
        <f ca="1">IFERROR(__xludf.DUMMYFUNCTION("IMPORTRANGE(""https://docs.google.com/spreadsheets/d/1H9vAqftAHb0OdeSGXHTnJFzoWUgpoH31sc0sHNN8y1o/edit"",""15!e46"")"),270)</f>
        <v>270</v>
      </c>
      <c r="L385" s="18">
        <f t="shared" ca="1" si="1063"/>
        <v>3149</v>
      </c>
      <c r="M385" s="18">
        <f t="shared" ca="1" si="1064"/>
        <v>6004</v>
      </c>
      <c r="N385" s="19">
        <f t="shared" ca="1" si="1065"/>
        <v>196.83584848484847</v>
      </c>
      <c r="O385" s="16">
        <v>7315</v>
      </c>
      <c r="P385" s="20">
        <f t="shared" ca="1" si="1066"/>
        <v>0.82077922077922083</v>
      </c>
      <c r="Q385" s="21">
        <v>1.5</v>
      </c>
      <c r="R385" s="20">
        <f t="shared" ca="1" si="1067"/>
        <v>0.61621361264518781</v>
      </c>
      <c r="S385" s="22">
        <f t="shared" ca="1" si="1068"/>
        <v>0.92432041896778172</v>
      </c>
      <c r="T385" s="21">
        <f ca="1">F385/30.897</f>
        <v>210.23345308606014</v>
      </c>
      <c r="U385" s="21">
        <f t="shared" ca="1" si="1069"/>
        <v>6.3707106995775797</v>
      </c>
      <c r="V385" s="18">
        <f t="shared" ca="1" si="1070"/>
        <v>181.93939393939394</v>
      </c>
      <c r="W385" s="76"/>
      <c r="X385" s="8">
        <v>5</v>
      </c>
      <c r="Y385" s="8" t="s">
        <v>29</v>
      </c>
      <c r="Z385" s="8">
        <f t="shared" ref="Z385:AI385" si="1073">SUM(D400)</f>
        <v>30</v>
      </c>
      <c r="AA385" s="9">
        <f t="shared" ca="1" si="1073"/>
        <v>30</v>
      </c>
      <c r="AB385" s="10">
        <f t="shared" ca="1" si="1073"/>
        <v>6119.4209999999903</v>
      </c>
      <c r="AC385" s="9">
        <f t="shared" ca="1" si="1073"/>
        <v>2896</v>
      </c>
      <c r="AD385" s="9">
        <f t="shared" ca="1" si="1073"/>
        <v>0</v>
      </c>
      <c r="AE385" s="9">
        <f t="shared" ca="1" si="1073"/>
        <v>2896</v>
      </c>
      <c r="AF385" s="9">
        <f t="shared" ca="1" si="1073"/>
        <v>4329</v>
      </c>
      <c r="AG385" s="9">
        <f t="shared" ca="1" si="1073"/>
        <v>0</v>
      </c>
      <c r="AH385" s="9">
        <f t="shared" ca="1" si="1073"/>
        <v>4329</v>
      </c>
      <c r="AI385" s="9">
        <f t="shared" ca="1" si="1073"/>
        <v>7225</v>
      </c>
      <c r="AJ385" s="11">
        <f t="shared" ref="AJ385:AJ387" ca="1" si="1074">AB385/AA385</f>
        <v>203.98069999999967</v>
      </c>
      <c r="AK385" s="8">
        <f t="shared" ref="AK385:AK386" si="1075">SUM(O400)</f>
        <v>9201</v>
      </c>
      <c r="AL385" s="12">
        <f t="shared" ca="1" si="1052"/>
        <v>0.78524073470274969</v>
      </c>
      <c r="AM385" s="13">
        <f t="shared" ref="AM385:AM386" si="1076">SUM(Q400)</f>
        <v>1.5</v>
      </c>
      <c r="AN385" s="12">
        <f t="shared" ca="1" si="1054"/>
        <v>0.78711150395873641</v>
      </c>
      <c r="AO385" s="14">
        <f t="shared" ca="1" si="1055"/>
        <v>1.1806672559381046</v>
      </c>
      <c r="AP385" s="13">
        <f t="shared" ref="AP385:AQ385" ca="1" si="1077">SUM(T400)</f>
        <v>230.99999999999963</v>
      </c>
      <c r="AQ385" s="13">
        <f t="shared" ca="1" si="1077"/>
        <v>7.6999999999999877</v>
      </c>
      <c r="AR385" s="9">
        <f t="shared" ca="1" si="1057"/>
        <v>240.83333333333334</v>
      </c>
      <c r="AS385" s="76"/>
      <c r="AT385" s="76"/>
    </row>
    <row r="386" spans="1:46" ht="15.75" customHeight="1" x14ac:dyDescent="0.25">
      <c r="A386" s="70"/>
      <c r="B386" s="16">
        <v>3</v>
      </c>
      <c r="C386" s="16" t="s">
        <v>30</v>
      </c>
      <c r="D386" s="17">
        <v>60</v>
      </c>
      <c r="E386" s="18">
        <f ca="1">IFERROR(__xludf.DUMMYFUNCTION("COUNT(IMPORTRANGE(""https://docs.google.com/spreadsheets/d/1EWN6nfpuVxbUE_9opjYCWaI7MTm5xsF6ssjklSbMZnA/edit"",""15!d2:d61""))"),57)</f>
        <v>57</v>
      </c>
      <c r="F386" s="23">
        <f ca="1">IFERROR(__xludf.DUMMYFUNCTION("SUM(IMPORTRANGE(""https://docs.google.com/spreadsheets/d/1EWN6nfpuVxbUE_9opjYCWaI7MTm5xsF6ssjklSbMZnA/edit"",""15!Q2:Q61""))"),11321.0449999999)</f>
        <v>11321.0449999999</v>
      </c>
      <c r="G386" s="18">
        <f ca="1">IFERROR(__xludf.DUMMYFUNCTION("IMPORTRANGE(""https://docs.google.com/spreadsheets/d/1EWN6nfpuVxbUE_9opjYCWaI7MTm5xsF6ssjklSbMZnA/edit"",""15!e68"")"),3331)</f>
        <v>3331</v>
      </c>
      <c r="H386" s="18">
        <f ca="1">IFERROR(__xludf.DUMMYFUNCTION("IMPORTRANGE(""https://docs.google.com/spreadsheets/d/1EWN6nfpuVxbUE_9opjYCWaI7MTm5xsF6ssjklSbMZnA/edit"",""15!e69"")"),18)</f>
        <v>18</v>
      </c>
      <c r="I386" s="18">
        <f t="shared" ca="1" si="1062"/>
        <v>3349</v>
      </c>
      <c r="J386" s="18">
        <f ca="1">IFERROR(__xludf.DUMMYFUNCTION("IMPORTRANGE(""https://docs.google.com/spreadsheets/d/1EWN6nfpuVxbUE_9opjYCWaI7MTm5xsF6ssjklSbMZnA/edit"",""15!e72"")"),6403)</f>
        <v>6403</v>
      </c>
      <c r="K386" s="18">
        <f ca="1">IFERROR(__xludf.DUMMYFUNCTION("IMPORTRANGE(""https://docs.google.com/spreadsheets/d/1EWN6nfpuVxbUE_9opjYCWaI7MTm5xsF6ssjklSbMZnA/edit"",""15!e73"")"),0)</f>
        <v>0</v>
      </c>
      <c r="L386" s="18">
        <f t="shared" ca="1" si="1063"/>
        <v>6403</v>
      </c>
      <c r="M386" s="18">
        <f t="shared" ca="1" si="1064"/>
        <v>9752</v>
      </c>
      <c r="N386" s="19">
        <f t="shared" ca="1" si="1065"/>
        <v>198.61482456140175</v>
      </c>
      <c r="O386" s="16">
        <v>11164</v>
      </c>
      <c r="P386" s="20">
        <f t="shared" ca="1" si="1066"/>
        <v>0.87352203511286275</v>
      </c>
      <c r="Q386" s="21">
        <v>1.5</v>
      </c>
      <c r="R386" s="20">
        <f t="shared" ca="1" si="1067"/>
        <v>0.57426971921173275</v>
      </c>
      <c r="S386" s="22">
        <f t="shared" ca="1" si="1068"/>
        <v>0.86140457881759913</v>
      </c>
      <c r="T386" s="21">
        <f ca="1">F386/29.603</f>
        <v>382.42897679288922</v>
      </c>
      <c r="U386" s="21">
        <f t="shared" ca="1" si="1069"/>
        <v>6.7092802946120917</v>
      </c>
      <c r="V386" s="18">
        <f t="shared" ca="1" si="1070"/>
        <v>171.08771929824562</v>
      </c>
      <c r="W386" s="76"/>
      <c r="X386" s="8">
        <v>6</v>
      </c>
      <c r="Y386" s="8" t="s">
        <v>31</v>
      </c>
      <c r="Z386" s="8">
        <f t="shared" ref="Z386:AI386" si="1078">SUM(D401)</f>
        <v>15</v>
      </c>
      <c r="AA386" s="9">
        <f t="shared" ca="1" si="1078"/>
        <v>13</v>
      </c>
      <c r="AB386" s="11">
        <f t="shared" ca="1" si="1078"/>
        <v>2454.0509999999999</v>
      </c>
      <c r="AC386" s="9">
        <f t="shared" ca="1" si="1078"/>
        <v>808</v>
      </c>
      <c r="AD386" s="9">
        <f t="shared" ca="1" si="1078"/>
        <v>0</v>
      </c>
      <c r="AE386" s="9">
        <f t="shared" ca="1" si="1078"/>
        <v>808</v>
      </c>
      <c r="AF386" s="9">
        <f t="shared" ca="1" si="1078"/>
        <v>967</v>
      </c>
      <c r="AG386" s="9">
        <f t="shared" ca="1" si="1078"/>
        <v>0</v>
      </c>
      <c r="AH386" s="9">
        <f t="shared" ca="1" si="1078"/>
        <v>967</v>
      </c>
      <c r="AI386" s="9">
        <f t="shared" ca="1" si="1078"/>
        <v>1775</v>
      </c>
      <c r="AJ386" s="11">
        <f t="shared" ca="1" si="1074"/>
        <v>188.77315384615383</v>
      </c>
      <c r="AK386" s="8">
        <f t="shared" si="1075"/>
        <v>2717</v>
      </c>
      <c r="AL386" s="12">
        <f t="shared" ca="1" si="1052"/>
        <v>0.65329407434670594</v>
      </c>
      <c r="AM386" s="13">
        <f t="shared" si="1076"/>
        <v>1.5</v>
      </c>
      <c r="AN386" s="12">
        <f t="shared" ca="1" si="1054"/>
        <v>0.48219590111751276</v>
      </c>
      <c r="AO386" s="14">
        <f t="shared" ca="1" si="1055"/>
        <v>0.72329385167626914</v>
      </c>
      <c r="AP386" s="13">
        <f t="shared" ref="AP386:AQ386" ca="1" si="1079">SUM(T401)</f>
        <v>56.460393419993089</v>
      </c>
      <c r="AQ386" s="13">
        <f t="shared" ca="1" si="1079"/>
        <v>4.3431071861533148</v>
      </c>
      <c r="AR386" s="9">
        <f t="shared" ca="1" si="1057"/>
        <v>136.53846153846155</v>
      </c>
      <c r="AS386" s="76"/>
      <c r="AT386" s="76"/>
    </row>
    <row r="387" spans="1:46" ht="15.75" customHeight="1" x14ac:dyDescent="0.25">
      <c r="A387" s="70"/>
      <c r="B387" s="16">
        <v>4</v>
      </c>
      <c r="C387" s="16" t="s">
        <v>32</v>
      </c>
      <c r="D387" s="17">
        <v>42</v>
      </c>
      <c r="E387" s="18">
        <f ca="1">IFERROR(__xludf.DUMMYFUNCTION("COUNT(IMPORTRANGE(""https://docs.google.com/spreadsheets/d/1Rmar8QqWK4XOJ-eY6xMzkAfDSw0srEXcAw89ilArun8/edit"",""15!d2:d43""))"),41)</f>
        <v>41</v>
      </c>
      <c r="F387" s="23">
        <f ca="1">IFERROR(__xludf.DUMMYFUNCTION("SUM(IMPORTRANGE(""https://docs.google.com/spreadsheets/d/1Rmar8QqWK4XOJ-eY6xMzkAfDSw0srEXcAw89ilArun8/edit"",""15!Q2:Q43""))"),8229.19199999999)</f>
        <v>8229.19199999999</v>
      </c>
      <c r="G387" s="16">
        <f ca="1">IFERROR(__xludf.DUMMYFUNCTION("IMPORTRANGE(""https://docs.google.com/spreadsheets/d/1Rmar8QqWK4XOJ-eY6xMzkAfDSw0srEXcAw89ilArun8/edit"",""15!e50"")"),4738)</f>
        <v>4738</v>
      </c>
      <c r="H387" s="16">
        <f ca="1">IFERROR(__xludf.DUMMYFUNCTION("IMPORTRANGE(""https://docs.google.com/spreadsheets/d/1Rmar8QqWK4XOJ-eY6xMzkAfDSw0srEXcAw89ilArun8/edit"",""15!e51"")"),0)</f>
        <v>0</v>
      </c>
      <c r="I387" s="18">
        <f t="shared" ca="1" si="1062"/>
        <v>4738</v>
      </c>
      <c r="J387" s="16">
        <f ca="1">IFERROR(__xludf.DUMMYFUNCTION("IMPORTRANGE(""https://docs.google.com/spreadsheets/d/1Rmar8QqWK4XOJ-eY6xMzkAfDSw0srEXcAw89ilArun8/edit"",""15!e54"")"),5773)</f>
        <v>5773</v>
      </c>
      <c r="K387" s="16">
        <f ca="1">IFERROR(__xludf.DUMMYFUNCTION("IMPORTRANGE(""https://docs.google.com/spreadsheets/d/1Rmar8QqWK4XOJ-eY6xMzkAfDSw0srEXcAw89ilArun8/edit"",""15!e55"")"),0)</f>
        <v>0</v>
      </c>
      <c r="L387" s="18">
        <f t="shared" ca="1" si="1063"/>
        <v>5773</v>
      </c>
      <c r="M387" s="18">
        <f t="shared" ca="1" si="1064"/>
        <v>10511</v>
      </c>
      <c r="N387" s="19">
        <f t="shared" ca="1" si="1065"/>
        <v>200.71199999999976</v>
      </c>
      <c r="O387" s="16">
        <v>13817</v>
      </c>
      <c r="P387" s="20">
        <f t="shared" ca="1" si="1066"/>
        <v>0.76072953607874361</v>
      </c>
      <c r="Q387" s="21">
        <v>1.5</v>
      </c>
      <c r="R387" s="20">
        <f t="shared" ca="1" si="1067"/>
        <v>0.85152142924036067</v>
      </c>
      <c r="S387" s="22">
        <f t="shared" ca="1" si="1068"/>
        <v>1.2772821438605411</v>
      </c>
      <c r="T387" s="21">
        <f ca="1">F387/25.089</f>
        <v>327.9999999999996</v>
      </c>
      <c r="U387" s="21">
        <f t="shared" ca="1" si="1069"/>
        <v>7.9999999999999902</v>
      </c>
      <c r="V387" s="18">
        <f t="shared" ca="1" si="1070"/>
        <v>256.36585365853659</v>
      </c>
      <c r="W387" s="76"/>
      <c r="X387" s="24" t="s">
        <v>33</v>
      </c>
      <c r="Y387" s="24">
        <v>6</v>
      </c>
      <c r="Z387" s="24">
        <f t="shared" ref="Z387:AI387" si="1080">SUM(Z381:Z386)</f>
        <v>186</v>
      </c>
      <c r="AA387" s="25">
        <f t="shared" ca="1" si="1080"/>
        <v>179</v>
      </c>
      <c r="AB387" s="26">
        <f t="shared" ca="1" si="1080"/>
        <v>34386.369999999974</v>
      </c>
      <c r="AC387" s="25">
        <f t="shared" ca="1" si="1080"/>
        <v>11428</v>
      </c>
      <c r="AD387" s="25">
        <f t="shared" ca="1" si="1080"/>
        <v>639</v>
      </c>
      <c r="AE387" s="25">
        <f t="shared" ca="1" si="1080"/>
        <v>12067</v>
      </c>
      <c r="AF387" s="25">
        <f t="shared" ca="1" si="1080"/>
        <v>15512</v>
      </c>
      <c r="AG387" s="25">
        <f t="shared" ca="1" si="1080"/>
        <v>774</v>
      </c>
      <c r="AH387" s="25">
        <f t="shared" ca="1" si="1080"/>
        <v>16286</v>
      </c>
      <c r="AI387" s="25">
        <f t="shared" ca="1" si="1080"/>
        <v>28353</v>
      </c>
      <c r="AJ387" s="27">
        <f t="shared" ca="1" si="1074"/>
        <v>192.10262569832386</v>
      </c>
      <c r="AK387" s="24">
        <f>SUM(AK381:AK386)</f>
        <v>35074</v>
      </c>
      <c r="AL387" s="28">
        <f t="shared" ca="1" si="1052"/>
        <v>0.80837657524091922</v>
      </c>
      <c r="AM387" s="29">
        <v>1.5</v>
      </c>
      <c r="AN387" s="28">
        <f t="shared" ca="1" si="1054"/>
        <v>0.54969454466987977</v>
      </c>
      <c r="AO387" s="30">
        <f t="shared" ca="1" si="1055"/>
        <v>0.82454181700481965</v>
      </c>
      <c r="AP387" s="29">
        <f ca="1">SUM(AP381:AP386)</f>
        <v>1294.9492539175983</v>
      </c>
      <c r="AQ387" s="29">
        <f ca="1">AP387/AA387</f>
        <v>7.2343533738413317</v>
      </c>
      <c r="AR387" s="25">
        <f t="shared" ca="1" si="1057"/>
        <v>158.39664804469274</v>
      </c>
      <c r="AS387" s="76"/>
      <c r="AT387" s="76"/>
    </row>
    <row r="388" spans="1:46" ht="15.75" customHeight="1" x14ac:dyDescent="0.25">
      <c r="A388" s="70"/>
      <c r="B388" s="16">
        <v>5</v>
      </c>
      <c r="C388" s="16" t="s">
        <v>34</v>
      </c>
      <c r="D388" s="17">
        <v>40</v>
      </c>
      <c r="E388" s="18">
        <f ca="1">IFERROR(__xludf.DUMMYFUNCTION("COUNT(IMPORTRANGE(""https://docs.google.com/spreadsheets/d/1u99JxAoytGQQ8GcjxXl38CGdyEWy5uIbuJJHnsotyvk/edit"",""15!d2:d41""))"),39)</f>
        <v>39</v>
      </c>
      <c r="F388" s="23">
        <f ca="1">IFERROR(__xludf.DUMMYFUNCTION("SUM(IMPORTRANGE(""https://docs.google.com/spreadsheets/d/1u99JxAoytGQQ8GcjxXl38CGdyEWy5uIbuJJHnsotyvk/edit"",""15!Q2:Q41""))"),7555.179)</f>
        <v>7555.1790000000001</v>
      </c>
      <c r="G388" s="18">
        <f ca="1">IFERROR(__xludf.DUMMYFUNCTION("IMPORTRANGE(""https://docs.google.com/spreadsheets/d/1u99JxAoytGQQ8GcjxXl38CGdyEWy5uIbuJJHnsotyvk/edit"",""15!e48"")"),3460)</f>
        <v>3460</v>
      </c>
      <c r="H388" s="18">
        <f ca="1">IFERROR(__xludf.DUMMYFUNCTION("IMPORTRANGE(""https://docs.google.com/spreadsheets/d/1u99JxAoytGQQ8GcjxXl38CGdyEWy5uIbuJJHnsotyvk/edit"",""15!e49"")"),0)</f>
        <v>0</v>
      </c>
      <c r="I388" s="18">
        <f t="shared" ca="1" si="1062"/>
        <v>3460</v>
      </c>
      <c r="J388" s="18">
        <f ca="1">IFERROR(__xludf.DUMMYFUNCTION("IMPORTRANGE(""https://docs.google.com/spreadsheets/d/1u99JxAoytGQQ8GcjxXl38CGdyEWy5uIbuJJHnsotyvk/edit"",""15!e52"")"),3974)</f>
        <v>3974</v>
      </c>
      <c r="K388" s="18">
        <f ca="1">IFERROR(__xludf.DUMMYFUNCTION("IMPORTRANGE(""https://docs.google.com/spreadsheets/d/1u99JxAoytGQQ8GcjxXl38CGdyEWy5uIbuJJHnsotyvk/edit"",""15!e53"")"),0)</f>
        <v>0</v>
      </c>
      <c r="L388" s="18">
        <f t="shared" ca="1" si="1063"/>
        <v>3974</v>
      </c>
      <c r="M388" s="18">
        <f t="shared" ca="1" si="1064"/>
        <v>7434</v>
      </c>
      <c r="N388" s="19">
        <f t="shared" ca="1" si="1065"/>
        <v>193.72253846153848</v>
      </c>
      <c r="O388" s="16">
        <v>9354</v>
      </c>
      <c r="P388" s="20">
        <f t="shared" ca="1" si="1066"/>
        <v>0.79474021808851825</v>
      </c>
      <c r="Q388" s="21">
        <v>1.5</v>
      </c>
      <c r="R388" s="20">
        <f t="shared" ca="1" si="1067"/>
        <v>0.65597386905062083</v>
      </c>
      <c r="S388" s="22">
        <f t="shared" ca="1" si="1068"/>
        <v>0.98396080357593119</v>
      </c>
      <c r="T388" s="21">
        <f ca="1">F388/30.713</f>
        <v>245.9928694689545</v>
      </c>
      <c r="U388" s="21">
        <f t="shared" ca="1" si="1069"/>
        <v>6.307509473562936</v>
      </c>
      <c r="V388" s="18">
        <f t="shared" ca="1" si="1070"/>
        <v>190.61538461538461</v>
      </c>
      <c r="W388" s="76"/>
      <c r="X388" s="100" t="s">
        <v>35</v>
      </c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9"/>
      <c r="AS388" s="76"/>
      <c r="AT388" s="76"/>
    </row>
    <row r="389" spans="1:46" ht="15.75" customHeight="1" x14ac:dyDescent="0.25">
      <c r="A389" s="70"/>
      <c r="B389" s="16">
        <v>6</v>
      </c>
      <c r="C389" s="16" t="s">
        <v>23</v>
      </c>
      <c r="D389" s="17">
        <v>35</v>
      </c>
      <c r="E389" s="18">
        <f ca="1">IFERROR(__xludf.DUMMYFUNCTION("COUNT(IMPORTRANGE(""https://docs.google.com/spreadsheets/d/1uVc-vnTn57HE53lwrUYNZP4sGKTXisrqOoZ-6EyvLzY/edit"",""15!d2:d36""))"),34)</f>
        <v>34</v>
      </c>
      <c r="F389" s="23">
        <f ca="1">IFERROR(__xludf.DUMMYFUNCTION("SUM(IMPORTRANGE(""https://docs.google.com/spreadsheets/d/1uVc-vnTn57HE53lwrUYNZP4sGKTXisrqOoZ-6EyvLzY/edit"",""15!Q2:Q36""))"),6410.59999999999)</f>
        <v>6410.5999999999904</v>
      </c>
      <c r="G389" s="18">
        <f ca="1">IFERROR(__xludf.DUMMYFUNCTION("IMPORTRANGE(""https://docs.google.com/spreadsheets/d/1uVc-vnTn57HE53lwrUYNZP4sGKTXisrqOoZ-6EyvLzY/edit"",""15!e43"")"),1616)</f>
        <v>1616</v>
      </c>
      <c r="H389" s="18">
        <f ca="1">IFERROR(__xludf.DUMMYFUNCTION("IMPORTRANGE(""https://docs.google.com/spreadsheets/d/1uVc-vnTn57HE53lwrUYNZP4sGKTXisrqOoZ-6EyvLzY/edit"",""15!e44"")"),0)</f>
        <v>0</v>
      </c>
      <c r="I389" s="18">
        <f t="shared" ca="1" si="1062"/>
        <v>1616</v>
      </c>
      <c r="J389" s="18">
        <f ca="1">IFERROR(__xludf.DUMMYFUNCTION("IMPORTRANGE(""https://docs.google.com/spreadsheets/d/1uVc-vnTn57HE53lwrUYNZP4sGKTXisrqOoZ-6EyvLzY/edit"",""15!e47"")"),3078)</f>
        <v>3078</v>
      </c>
      <c r="K389" s="18">
        <f ca="1">IFERROR(__xludf.DUMMYFUNCTION("IMPORTRANGE(""https://docs.google.com/spreadsheets/d/1uVc-vnTn57HE53lwrUYNZP4sGKTXisrqOoZ-6EyvLzY/edit"",""15!e48"")"),0)</f>
        <v>0</v>
      </c>
      <c r="L389" s="18">
        <f t="shared" ca="1" si="1063"/>
        <v>3078</v>
      </c>
      <c r="M389" s="18">
        <f t="shared" ca="1" si="1064"/>
        <v>4694</v>
      </c>
      <c r="N389" s="19">
        <f t="shared" ca="1" si="1065"/>
        <v>188.54705882352914</v>
      </c>
      <c r="O389" s="16">
        <v>6853</v>
      </c>
      <c r="P389" s="20">
        <f t="shared" ca="1" si="1066"/>
        <v>0.68495549394425803</v>
      </c>
      <c r="Q389" s="21">
        <v>1.5</v>
      </c>
      <c r="R389" s="20">
        <f t="shared" ca="1" si="1067"/>
        <v>0.48814983516883564</v>
      </c>
      <c r="S389" s="22">
        <f t="shared" ca="1" si="1068"/>
        <v>0.73222475275325349</v>
      </c>
      <c r="T389" s="21">
        <f ca="1">F389/33.74</f>
        <v>189.99999999999972</v>
      </c>
      <c r="U389" s="21">
        <f t="shared" ca="1" si="1069"/>
        <v>5.5882352941176388</v>
      </c>
      <c r="V389" s="18">
        <f t="shared" ca="1" si="1070"/>
        <v>138.05882352941177</v>
      </c>
      <c r="W389" s="76"/>
      <c r="X389" s="1" t="s">
        <v>2</v>
      </c>
      <c r="Y389" s="1" t="s">
        <v>3</v>
      </c>
      <c r="Z389" s="1" t="s">
        <v>4</v>
      </c>
      <c r="AA389" s="1" t="s">
        <v>5</v>
      </c>
      <c r="AB389" s="2" t="s">
        <v>6</v>
      </c>
      <c r="AC389" s="1" t="s">
        <v>7</v>
      </c>
      <c r="AD389" s="1" t="s">
        <v>8</v>
      </c>
      <c r="AE389" s="1" t="s">
        <v>9</v>
      </c>
      <c r="AF389" s="1" t="s">
        <v>10</v>
      </c>
      <c r="AG389" s="1" t="s">
        <v>11</v>
      </c>
      <c r="AH389" s="1" t="s">
        <v>12</v>
      </c>
      <c r="AI389" s="1" t="s">
        <v>13</v>
      </c>
      <c r="AJ389" s="2" t="s">
        <v>14</v>
      </c>
      <c r="AK389" s="1" t="s">
        <v>15</v>
      </c>
      <c r="AL389" s="1" t="s">
        <v>16</v>
      </c>
      <c r="AM389" s="3" t="s">
        <v>17</v>
      </c>
      <c r="AN389" s="4" t="s">
        <v>18</v>
      </c>
      <c r="AO389" s="5" t="s">
        <v>19</v>
      </c>
      <c r="AP389" s="6" t="s">
        <v>20</v>
      </c>
      <c r="AQ389" s="6" t="s">
        <v>21</v>
      </c>
      <c r="AR389" s="7" t="s">
        <v>22</v>
      </c>
      <c r="AS389" s="76"/>
      <c r="AT389" s="76"/>
    </row>
    <row r="390" spans="1:46" ht="15.75" customHeight="1" x14ac:dyDescent="0.25">
      <c r="A390" s="70"/>
      <c r="B390" s="16">
        <v>7</v>
      </c>
      <c r="C390" s="16" t="s">
        <v>24</v>
      </c>
      <c r="D390" s="17">
        <v>44</v>
      </c>
      <c r="E390" s="31">
        <f ca="1">IFERROR(__xludf.DUMMYFUNCTION("COUNT(IMPORTRANGE(""https://docs.google.com/spreadsheets/d/1iuPvivSypupo44l6GtmR-2qZ3za7cTk7KzsOVp_kv2c/edit"",""15!d2:d45""))"),43)</f>
        <v>43</v>
      </c>
      <c r="F390" s="32">
        <f ca="1">IFERROR(__xludf.DUMMYFUNCTION("SUM(IMPORTRANGE(""https://docs.google.com/spreadsheets/d/1iuPvivSypupo44l6GtmR-2qZ3za7cTk7KzsOVp_kv2c/edit"",""15!Q2:Q45""))"),8340.57099999999)</f>
        <v>8340.5709999999908</v>
      </c>
      <c r="G390" s="31">
        <f ca="1">IFERROR(__xludf.DUMMYFUNCTION("IMPORTRANGE(""https://docs.google.com/spreadsheets/d/1iuPvivSypupo44l6GtmR-2qZ3za7cTk7KzsOVp_kv2c/edit"",""15!e53"")"),1434)</f>
        <v>1434</v>
      </c>
      <c r="H390" s="31">
        <f ca="1">IFERROR(__xludf.DUMMYFUNCTION("IMPORTRANGE(""https://docs.google.com/spreadsheets/d/1iuPvivSypupo44l6GtmR-2qZ3za7cTk7KzsOVp_kv2c/edit"",""15!e54"")"),0)</f>
        <v>0</v>
      </c>
      <c r="I390" s="31">
        <f t="shared" ca="1" si="1062"/>
        <v>1434</v>
      </c>
      <c r="J390" s="31">
        <f ca="1">IFERROR(__xludf.DUMMYFUNCTION("IMPORTRANGE(""https://docs.google.com/spreadsheets/d/1iuPvivSypupo44l6GtmR-2qZ3za7cTk7KzsOVp_kv2c/edit"",""15!e57"")"),1329)</f>
        <v>1329</v>
      </c>
      <c r="K390" s="31">
        <f ca="1">IFERROR(__xludf.DUMMYFUNCTION("IMPORTRANGE(""https://docs.google.com/spreadsheets/d/1iuPvivSypupo44l6GtmR-2qZ3za7cTk7KzsOVp_kv2c/edit"",""15!e58"")"),0)</f>
        <v>0</v>
      </c>
      <c r="L390" s="18">
        <f t="shared" ca="1" si="1063"/>
        <v>1329</v>
      </c>
      <c r="M390" s="18">
        <f t="shared" ca="1" si="1064"/>
        <v>2763</v>
      </c>
      <c r="N390" s="19">
        <f t="shared" ca="1" si="1065"/>
        <v>193.96676744186024</v>
      </c>
      <c r="O390" s="16">
        <v>1580</v>
      </c>
      <c r="P390" s="33">
        <f t="shared" ca="1" si="1066"/>
        <v>1.7487341772151899</v>
      </c>
      <c r="Q390" s="21">
        <v>1.5</v>
      </c>
      <c r="R390" s="20">
        <f t="shared" ca="1" si="1067"/>
        <v>0.22084818893094993</v>
      </c>
      <c r="S390" s="22">
        <f t="shared" ca="1" si="1068"/>
        <v>0.33127228339642489</v>
      </c>
      <c r="T390" s="21">
        <f ca="1">F390/26.805</f>
        <v>311.15728408878908</v>
      </c>
      <c r="U390" s="21">
        <f t="shared" ca="1" si="1069"/>
        <v>7.2362159090416069</v>
      </c>
      <c r="V390" s="18">
        <f t="shared" ca="1" si="1070"/>
        <v>64.255813953488371</v>
      </c>
      <c r="W390" s="76"/>
      <c r="X390" s="8">
        <v>1</v>
      </c>
      <c r="Y390" s="8" t="s">
        <v>28</v>
      </c>
      <c r="Z390" s="8">
        <f t="shared" ref="Z390:AI390" si="1081">SUM(D385)</f>
        <v>33</v>
      </c>
      <c r="AA390" s="9">
        <f t="shared" ca="1" si="1081"/>
        <v>33</v>
      </c>
      <c r="AB390" s="11">
        <f t="shared" ca="1" si="1081"/>
        <v>6495.5829999999996</v>
      </c>
      <c r="AC390" s="9">
        <f t="shared" ca="1" si="1081"/>
        <v>2701</v>
      </c>
      <c r="AD390" s="9">
        <f t="shared" ca="1" si="1081"/>
        <v>154</v>
      </c>
      <c r="AE390" s="9">
        <f t="shared" ca="1" si="1081"/>
        <v>2855</v>
      </c>
      <c r="AF390" s="9">
        <f t="shared" ca="1" si="1081"/>
        <v>2879</v>
      </c>
      <c r="AG390" s="9">
        <f t="shared" ca="1" si="1081"/>
        <v>270</v>
      </c>
      <c r="AH390" s="9">
        <f t="shared" ca="1" si="1081"/>
        <v>3149</v>
      </c>
      <c r="AI390" s="9">
        <f t="shared" ca="1" si="1081"/>
        <v>6004</v>
      </c>
      <c r="AJ390" s="11">
        <f t="shared" ref="AJ390:AJ396" ca="1" si="1082">AB390/AA390</f>
        <v>196.83584848484847</v>
      </c>
      <c r="AK390" s="8">
        <f t="shared" ref="AK390:AK391" si="1083">SUM(O385)</f>
        <v>7315</v>
      </c>
      <c r="AL390" s="12">
        <f t="shared" ref="AL390:AL396" ca="1" si="1084">AI390/AK390</f>
        <v>0.82077922077922083</v>
      </c>
      <c r="AM390" s="13">
        <f t="shared" ref="AM390:AM391" si="1085">SUM(Q385)</f>
        <v>1.5</v>
      </c>
      <c r="AN390" s="12">
        <f t="shared" ref="AN390:AN396" ca="1" si="1086">AO390/AM390</f>
        <v>0.61621361264518781</v>
      </c>
      <c r="AO390" s="14">
        <f t="shared" ref="AO390:AO396" ca="1" si="1087">AI390/AB390</f>
        <v>0.92432041896778172</v>
      </c>
      <c r="AP390" s="13">
        <f t="shared" ref="AP390:AQ390" ca="1" si="1088">SUM(T385)</f>
        <v>210.23345308606014</v>
      </c>
      <c r="AQ390" s="13">
        <f t="shared" ca="1" si="1088"/>
        <v>6.3707106995775797</v>
      </c>
      <c r="AR390" s="9">
        <f t="shared" ref="AR390:AR396" ca="1" si="1089">AI390/AA390</f>
        <v>181.93939393939394</v>
      </c>
      <c r="AS390" s="76"/>
      <c r="AT390" s="76"/>
    </row>
    <row r="391" spans="1:46" ht="15.75" customHeight="1" x14ac:dyDescent="0.25">
      <c r="A391" s="70"/>
      <c r="B391" s="16">
        <v>8</v>
      </c>
      <c r="C391" s="16" t="s">
        <v>25</v>
      </c>
      <c r="D391" s="34">
        <v>32</v>
      </c>
      <c r="E391" s="18">
        <f ca="1">IFERROR(__xludf.DUMMYFUNCTION("COUNT(IMPORTRANGE(""https://docs.google.com/spreadsheets/d/1sqWX7UerdR9KR_duBzDNfjwbPG-3hLgV1LiN2ZVZ6Js/edit"",""15!d2:D33""))"),31)</f>
        <v>31</v>
      </c>
      <c r="F391" s="23">
        <f ca="1">IFERROR(__xludf.DUMMYFUNCTION("SUM(IMPORTRANGE(""https://docs.google.com/spreadsheets/d/1sqWX7UerdR9KR_duBzDNfjwbPG-3hLgV1LiN2ZVZ6Js/edit"",""15!Q2:Q33""))"),5829.764)</f>
        <v>5829.7640000000001</v>
      </c>
      <c r="G391" s="18">
        <f ca="1">IFERROR(__xludf.DUMMYFUNCTION("IMPORTRANGE(""https://docs.google.com/spreadsheets/d/1sqWX7UerdR9KR_duBzDNfjwbPG-3hLgV1LiN2ZVZ6Js/edit"",""15!e40"")"),2269)</f>
        <v>2269</v>
      </c>
      <c r="H391" s="18">
        <f ca="1">IFERROR(__xludf.DUMMYFUNCTION("IMPORTRANGE(""https://docs.google.com/spreadsheets/d/1sqWX7UerdR9KR_duBzDNfjwbPG-3hLgV1LiN2ZVZ6Js/edit"",""15!e41"")"),400)</f>
        <v>400</v>
      </c>
      <c r="I391" s="18">
        <f t="shared" ca="1" si="1062"/>
        <v>2669</v>
      </c>
      <c r="J391" s="18">
        <f ca="1">IFERROR(__xludf.DUMMYFUNCTION("IMPORTRANGE(""https://docs.google.com/spreadsheets/d/1sqWX7UerdR9KR_duBzDNfjwbPG-3hLgV1LiN2ZVZ6Js/edit"",""15!e44"")"),3114)</f>
        <v>3114</v>
      </c>
      <c r="K391" s="18">
        <f ca="1">IFERROR(__xludf.DUMMYFUNCTION("IMPORTRANGE(""https://docs.google.com/spreadsheets/d/1sqWX7UerdR9KR_duBzDNfjwbPG-3hLgV1LiN2ZVZ6Js/edit"",""15!e45"")"),456)</f>
        <v>456</v>
      </c>
      <c r="L391" s="18">
        <f ca="1">J391+K391</f>
        <v>3570</v>
      </c>
      <c r="M391" s="18">
        <f t="shared" ca="1" si="1064"/>
        <v>6239</v>
      </c>
      <c r="N391" s="19">
        <f t="shared" ca="1" si="1065"/>
        <v>188.05690322580645</v>
      </c>
      <c r="O391" s="16">
        <v>6622</v>
      </c>
      <c r="P391" s="20">
        <f t="shared" ca="1" si="1066"/>
        <v>0.94216248867411656</v>
      </c>
      <c r="Q391" s="21">
        <v>1.5</v>
      </c>
      <c r="R391" s="20">
        <f t="shared" ca="1" si="1067"/>
        <v>0.71346513054959571</v>
      </c>
      <c r="S391" s="22">
        <f t="shared" ca="1" si="1068"/>
        <v>1.0701976958243935</v>
      </c>
      <c r="T391" s="21">
        <f ca="1">F391/23.84</f>
        <v>244.53708053691275</v>
      </c>
      <c r="U391" s="21">
        <f t="shared" ca="1" si="1069"/>
        <v>7.888292920545573</v>
      </c>
      <c r="V391" s="18">
        <f t="shared" ca="1" si="1070"/>
        <v>201.25806451612902</v>
      </c>
      <c r="W391" s="76"/>
      <c r="X391" s="8">
        <v>2</v>
      </c>
      <c r="Y391" s="8" t="s">
        <v>30</v>
      </c>
      <c r="Z391" s="8">
        <f t="shared" ref="Z391:AI391" si="1090">SUM(D386)</f>
        <v>60</v>
      </c>
      <c r="AA391" s="9">
        <f t="shared" ca="1" si="1090"/>
        <v>57</v>
      </c>
      <c r="AB391" s="10">
        <f t="shared" ca="1" si="1090"/>
        <v>11321.0449999999</v>
      </c>
      <c r="AC391" s="9">
        <f t="shared" ca="1" si="1090"/>
        <v>3331</v>
      </c>
      <c r="AD391" s="9">
        <f t="shared" ca="1" si="1090"/>
        <v>18</v>
      </c>
      <c r="AE391" s="9">
        <f t="shared" ca="1" si="1090"/>
        <v>3349</v>
      </c>
      <c r="AF391" s="9">
        <f t="shared" ca="1" si="1090"/>
        <v>6403</v>
      </c>
      <c r="AG391" s="9">
        <f t="shared" ca="1" si="1090"/>
        <v>0</v>
      </c>
      <c r="AH391" s="9">
        <f t="shared" ca="1" si="1090"/>
        <v>6403</v>
      </c>
      <c r="AI391" s="9">
        <f t="shared" ca="1" si="1090"/>
        <v>9752</v>
      </c>
      <c r="AJ391" s="11">
        <f t="shared" ca="1" si="1082"/>
        <v>198.61482456140175</v>
      </c>
      <c r="AK391" s="8">
        <f t="shared" si="1083"/>
        <v>11164</v>
      </c>
      <c r="AL391" s="12">
        <f t="shared" ca="1" si="1084"/>
        <v>0.87352203511286275</v>
      </c>
      <c r="AM391" s="13">
        <f t="shared" si="1085"/>
        <v>1.5</v>
      </c>
      <c r="AN391" s="12">
        <f t="shared" ca="1" si="1086"/>
        <v>0.57426971921173275</v>
      </c>
      <c r="AO391" s="14">
        <f t="shared" ca="1" si="1087"/>
        <v>0.86140457881759913</v>
      </c>
      <c r="AP391" s="13">
        <f t="shared" ref="AP391:AQ391" ca="1" si="1091">SUM(T386)</f>
        <v>382.42897679288922</v>
      </c>
      <c r="AQ391" s="13">
        <f t="shared" ca="1" si="1091"/>
        <v>6.7092802946120917</v>
      </c>
      <c r="AR391" s="9">
        <f t="shared" ca="1" si="1089"/>
        <v>171.08771929824562</v>
      </c>
      <c r="AS391" s="76"/>
      <c r="AT391" s="76"/>
    </row>
    <row r="392" spans="1:46" ht="15.75" customHeight="1" x14ac:dyDescent="0.25">
      <c r="A392" s="70"/>
      <c r="B392" s="16">
        <v>9</v>
      </c>
      <c r="C392" s="16" t="s">
        <v>36</v>
      </c>
      <c r="D392" s="34">
        <v>30</v>
      </c>
      <c r="E392" s="18">
        <f ca="1">IFERROR(__xludf.DUMMYFUNCTION("COUNT(IMPORTRANGE(""https://docs.google.com/spreadsheets/d/1YNna43iTSqnwwbMJgTIPHSJEoDO8RGPRFg5pJCoQR_Y/edit"",""15!d2:d31""))"),29)</f>
        <v>29</v>
      </c>
      <c r="F392" s="23">
        <f ca="1">IFERROR(__xludf.DUMMYFUNCTION("SUM(IMPORTRANGE(""https://docs.google.com/spreadsheets/d/1YNna43iTSqnwwbMJgTIPHSJEoDO8RGPRFg5pJCoQR_Y/edit"",""15!Q2:Q31""))"),5990.67499999999)</f>
        <v>5990.6749999999902</v>
      </c>
      <c r="G392" s="18">
        <f ca="1">IFERROR(__xludf.DUMMYFUNCTION("IMPORTRANGE(""https://docs.google.com/spreadsheets/d/1YNna43iTSqnwwbMJgTIPHSJEoDO8RGPRFg5pJCoQR_Y/edit"",""15!e38"")"),1674)</f>
        <v>1674</v>
      </c>
      <c r="H392" s="18">
        <f ca="1">IFERROR(__xludf.DUMMYFUNCTION("IMPORTRANGE(""https://docs.google.com/spreadsheets/d/1YNna43iTSqnwwbMJgTIPHSJEoDO8RGPRFg5pJCoQR_Y/edit"",""15!e39"")"),0)</f>
        <v>0</v>
      </c>
      <c r="I392" s="18">
        <f t="shared" ca="1" si="1062"/>
        <v>1674</v>
      </c>
      <c r="J392" s="18">
        <f ca="1">IFERROR(__xludf.DUMMYFUNCTION("IMPORTRANGE(""https://docs.google.com/spreadsheets/d/1YNna43iTSqnwwbMJgTIPHSJEoDO8RGPRFg5pJCoQR_Y/edit"",""15!e42"")"),2480)</f>
        <v>2480</v>
      </c>
      <c r="K392" s="18">
        <f ca="1">IFERROR(__xludf.DUMMYFUNCTION("IMPORTRANGE(""https://docs.google.com/spreadsheets/d/1YNna43iTSqnwwbMJgTIPHSJEoDO8RGPRFg5pJCoQR_Y/edit"",""15!e43"")"),0)</f>
        <v>0</v>
      </c>
      <c r="L392" s="18">
        <f t="shared" ref="L392:L401" ca="1" si="1092">SUM(J392:K392)</f>
        <v>2480</v>
      </c>
      <c r="M392" s="18">
        <f t="shared" ca="1" si="1064"/>
        <v>4154</v>
      </c>
      <c r="N392" s="19">
        <f t="shared" ca="1" si="1065"/>
        <v>206.57499999999965</v>
      </c>
      <c r="O392" s="16">
        <v>4796</v>
      </c>
      <c r="P392" s="20">
        <f t="shared" ca="1" si="1066"/>
        <v>0.86613844870725609</v>
      </c>
      <c r="Q392" s="21">
        <v>1.5</v>
      </c>
      <c r="R392" s="20">
        <f t="shared" ca="1" si="1067"/>
        <v>0.4622740064071808</v>
      </c>
      <c r="S392" s="22">
        <f t="shared" ca="1" si="1068"/>
        <v>0.69341100961077118</v>
      </c>
      <c r="T392" s="21">
        <f ca="1">F392/37.414</f>
        <v>160.11853851499413</v>
      </c>
      <c r="U392" s="21">
        <f t="shared" ca="1" si="1069"/>
        <v>5.5213289143101427</v>
      </c>
      <c r="V392" s="18">
        <f t="shared" ca="1" si="1070"/>
        <v>143.24137931034483</v>
      </c>
      <c r="W392" s="76"/>
      <c r="X392" s="8">
        <v>3</v>
      </c>
      <c r="Y392" s="8" t="s">
        <v>34</v>
      </c>
      <c r="Z392" s="8">
        <f t="shared" ref="Z392:AI392" si="1093">SUM(D388)</f>
        <v>40</v>
      </c>
      <c r="AA392" s="9">
        <f t="shared" ca="1" si="1093"/>
        <v>39</v>
      </c>
      <c r="AB392" s="10">
        <f t="shared" ca="1" si="1093"/>
        <v>7555.1790000000001</v>
      </c>
      <c r="AC392" s="9">
        <f t="shared" ca="1" si="1093"/>
        <v>3460</v>
      </c>
      <c r="AD392" s="9">
        <f t="shared" ca="1" si="1093"/>
        <v>0</v>
      </c>
      <c r="AE392" s="9">
        <f t="shared" ca="1" si="1093"/>
        <v>3460</v>
      </c>
      <c r="AF392" s="9">
        <f t="shared" ca="1" si="1093"/>
        <v>3974</v>
      </c>
      <c r="AG392" s="9">
        <f t="shared" ca="1" si="1093"/>
        <v>0</v>
      </c>
      <c r="AH392" s="9">
        <f t="shared" ca="1" si="1093"/>
        <v>3974</v>
      </c>
      <c r="AI392" s="9">
        <f t="shared" ca="1" si="1093"/>
        <v>7434</v>
      </c>
      <c r="AJ392" s="11">
        <f t="shared" ca="1" si="1082"/>
        <v>193.72253846153848</v>
      </c>
      <c r="AK392" s="8">
        <f>SUM(O388)</f>
        <v>9354</v>
      </c>
      <c r="AL392" s="12">
        <f t="shared" ca="1" si="1084"/>
        <v>0.79474021808851825</v>
      </c>
      <c r="AM392" s="13">
        <f>SUM(Q388)</f>
        <v>1.5</v>
      </c>
      <c r="AN392" s="12">
        <f t="shared" ca="1" si="1086"/>
        <v>0.65597386905062083</v>
      </c>
      <c r="AO392" s="14">
        <f t="shared" ca="1" si="1087"/>
        <v>0.98396080357593119</v>
      </c>
      <c r="AP392" s="13">
        <f t="shared" ref="AP392:AQ392" ca="1" si="1094">SUM(T388)</f>
        <v>245.9928694689545</v>
      </c>
      <c r="AQ392" s="13">
        <f t="shared" ca="1" si="1094"/>
        <v>6.307509473562936</v>
      </c>
      <c r="AR392" s="9">
        <f t="shared" ca="1" si="1089"/>
        <v>190.61538461538461</v>
      </c>
      <c r="AS392" s="76"/>
      <c r="AT392" s="76"/>
    </row>
    <row r="393" spans="1:46" ht="15.75" customHeight="1" x14ac:dyDescent="0.25">
      <c r="A393" s="70"/>
      <c r="B393" s="16">
        <v>10</v>
      </c>
      <c r="C393" s="16" t="s">
        <v>37</v>
      </c>
      <c r="D393" s="17">
        <v>30</v>
      </c>
      <c r="E393" s="18">
        <f ca="1">IFERROR(__xludf.DUMMYFUNCTION("COUNT(IMPORTRANGE(""https://docs.google.com/spreadsheets/d/1913Df5BsXS_b-nClL8LOK5w0engQYTl1mPOiyngRtO0/edit"",""15!d2:d31""))"),29)</f>
        <v>29</v>
      </c>
      <c r="F393" s="23">
        <f ca="1">IFERROR(__xludf.DUMMYFUNCTION("SUM(IMPORTRANGE(""https://docs.google.com/spreadsheets/d/1913Df5BsXS_b-nClL8LOK5w0engQYTl1mPOiyngRtO0/edit"",""15!Q2:Q31""))"),5812.188)</f>
        <v>5812.1880000000001</v>
      </c>
      <c r="G393" s="18">
        <f ca="1">IFERROR(__xludf.DUMMYFUNCTION("(IMPORTRANGE(""https://docs.google.com/spreadsheets/d/1913Df5BsXS_b-nClL8LOK5w0engQYTl1mPOiyngRtO0/edit"",""15!e38""))"),2029)</f>
        <v>2029</v>
      </c>
      <c r="H393" s="18">
        <f ca="1">IFERROR(__xludf.DUMMYFUNCTION("(IMPORTRANGE(""https://docs.google.com/spreadsheets/d/1913Df5BsXS_b-nClL8LOK5w0engQYTl1mPOiyngRtO0/edit"",""15!e39""))"),85)</f>
        <v>85</v>
      </c>
      <c r="I393" s="18">
        <f t="shared" ca="1" si="1062"/>
        <v>2114</v>
      </c>
      <c r="J393" s="18">
        <f ca="1">IFERROR(__xludf.DUMMYFUNCTION("(IMPORTRANGE(""https://docs.google.com/spreadsheets/d/1913Df5BsXS_b-nClL8LOK5w0engQYTl1mPOiyngRtO0/edit"",""15!e42""))"),3401)</f>
        <v>3401</v>
      </c>
      <c r="K393" s="18">
        <f ca="1">IFERROR(__xludf.DUMMYFUNCTION("(IMPORTRANGE(""https://docs.google.com/spreadsheets/d/1913Df5BsXS_b-nClL8LOK5w0engQYTl1mPOiyngRtO0/edit"",""15!e43""))"),62)</f>
        <v>62</v>
      </c>
      <c r="L393" s="18">
        <f t="shared" ca="1" si="1092"/>
        <v>3463</v>
      </c>
      <c r="M393" s="18">
        <f t="shared" ca="1" si="1064"/>
        <v>5577</v>
      </c>
      <c r="N393" s="19">
        <f t="shared" ca="1" si="1065"/>
        <v>200.42027586206896</v>
      </c>
      <c r="O393" s="16">
        <v>5887</v>
      </c>
      <c r="P393" s="20">
        <f t="shared" ca="1" si="1066"/>
        <v>0.94734160013589264</v>
      </c>
      <c r="Q393" s="21">
        <v>1.5</v>
      </c>
      <c r="R393" s="20">
        <f t="shared" ca="1" si="1067"/>
        <v>0.63969025090034937</v>
      </c>
      <c r="S393" s="22">
        <f t="shared" ca="1" si="1068"/>
        <v>0.95953537635052411</v>
      </c>
      <c r="T393" s="21">
        <f ca="1">F393/24.792</f>
        <v>234.4380445304937</v>
      </c>
      <c r="U393" s="21">
        <f t="shared" ca="1" si="1069"/>
        <v>8.0840705010515066</v>
      </c>
      <c r="V393" s="18">
        <f t="shared" ca="1" si="1070"/>
        <v>192.31034482758622</v>
      </c>
      <c r="W393" s="76"/>
      <c r="X393" s="8">
        <v>4</v>
      </c>
      <c r="Y393" s="8" t="s">
        <v>38</v>
      </c>
      <c r="Z393" s="8">
        <f t="shared" ref="Z393:AI393" si="1095">SUM(D396)</f>
        <v>30</v>
      </c>
      <c r="AA393" s="9">
        <f t="shared" ca="1" si="1095"/>
        <v>30</v>
      </c>
      <c r="AB393" s="10">
        <f t="shared" ca="1" si="1095"/>
        <v>6468.1539999999904</v>
      </c>
      <c r="AC393" s="9">
        <f t="shared" ca="1" si="1095"/>
        <v>1818</v>
      </c>
      <c r="AD393" s="9">
        <f t="shared" ca="1" si="1095"/>
        <v>100</v>
      </c>
      <c r="AE393" s="9">
        <f t="shared" ca="1" si="1095"/>
        <v>1918</v>
      </c>
      <c r="AF393" s="9">
        <f t="shared" ca="1" si="1095"/>
        <v>2815</v>
      </c>
      <c r="AG393" s="9">
        <f t="shared" ca="1" si="1095"/>
        <v>196</v>
      </c>
      <c r="AH393" s="9">
        <f t="shared" ca="1" si="1095"/>
        <v>3011</v>
      </c>
      <c r="AI393" s="9">
        <f t="shared" ca="1" si="1095"/>
        <v>4929</v>
      </c>
      <c r="AJ393" s="11">
        <f t="shared" ca="1" si="1082"/>
        <v>215.60513333333301</v>
      </c>
      <c r="AK393" s="8">
        <v>7324</v>
      </c>
      <c r="AL393" s="12">
        <f t="shared" ca="1" si="1084"/>
        <v>0.67299290005461498</v>
      </c>
      <c r="AM393" s="13">
        <f>SUM(Q396)</f>
        <v>1.5</v>
      </c>
      <c r="AN393" s="12">
        <f t="shared" ca="1" si="1086"/>
        <v>0.50802748357568561</v>
      </c>
      <c r="AO393" s="14">
        <f t="shared" ca="1" si="1087"/>
        <v>0.76204122536352836</v>
      </c>
      <c r="AP393" s="13">
        <f t="shared" ref="AP393:AQ393" ca="1" si="1096">SUM(T396)</f>
        <v>156.9749787647128</v>
      </c>
      <c r="AQ393" s="13">
        <f t="shared" ca="1" si="1096"/>
        <v>5.232499292157093</v>
      </c>
      <c r="AR393" s="9">
        <f t="shared" ca="1" si="1089"/>
        <v>164.3</v>
      </c>
      <c r="AS393" s="76"/>
      <c r="AT393" s="76"/>
    </row>
    <row r="394" spans="1:46" ht="15.75" customHeight="1" x14ac:dyDescent="0.25">
      <c r="A394" s="70"/>
      <c r="B394" s="16">
        <v>12</v>
      </c>
      <c r="C394" s="16" t="s">
        <v>39</v>
      </c>
      <c r="D394" s="17">
        <v>28</v>
      </c>
      <c r="E394" s="18">
        <f ca="1">IFERROR(__xludf.DUMMYFUNCTION("COUNT(IMPORTRANGE(""https://docs.google.com/spreadsheets/d/1wMeol_MpSIcocGxt3WZGl46mJ2tc80mANPvP_YzaP18/edit"",""15!d2:d29""))"),28)</f>
        <v>28</v>
      </c>
      <c r="F394" s="23">
        <f ca="1">IFERROR(__xludf.DUMMYFUNCTION("SUM(IMPORTRANGE(""https://docs.google.com/spreadsheets/d/1wMeol_MpSIcocGxt3WZGl46mJ2tc80mANPvP_YzaP18/edit"",""15!Q2:Q29""))"),5523.267)</f>
        <v>5523.2669999999998</v>
      </c>
      <c r="G394" s="18">
        <f ca="1">IFERROR(__xludf.DUMMYFUNCTION("IMPORTRANGE(""https://docs.google.com/spreadsheets/d/1wMeol_MpSIcocGxt3WZGl46mJ2tc80mANPvP_YzaP18/edit"",""15!e36"")"),1101)</f>
        <v>1101</v>
      </c>
      <c r="H394" s="18">
        <f ca="1">IFERROR(__xludf.DUMMYFUNCTION("(IMPORTRANGE(""https://docs.google.com/spreadsheets/d/1wMeol_MpSIcocGxt3WZGl46mJ2tc80mANPvP_YzaP18/edit"",""15!e37""))"),0)</f>
        <v>0</v>
      </c>
      <c r="I394" s="18">
        <f t="shared" ca="1" si="1062"/>
        <v>1101</v>
      </c>
      <c r="J394" s="18">
        <f ca="1">IFERROR(__xludf.DUMMYFUNCTION("IMPORTRANGE(""https://docs.google.com/spreadsheets/d/1wMeol_MpSIcocGxt3WZGl46mJ2tc80mANPvP_YzaP18/edit"",""15!e40"")"),2547)</f>
        <v>2547</v>
      </c>
      <c r="K394" s="18">
        <f ca="1">IFERROR(__xludf.DUMMYFUNCTION("IMPORTRANGE(""https://docs.google.com/spreadsheets/d/1wMeol_MpSIcocGxt3WZGl46mJ2tc80mANPvP_YzaP18/edit"",""15!e41"")"),0)</f>
        <v>0</v>
      </c>
      <c r="L394" s="18">
        <f t="shared" ca="1" si="1092"/>
        <v>2547</v>
      </c>
      <c r="M394" s="18">
        <f t="shared" ca="1" si="1064"/>
        <v>3648</v>
      </c>
      <c r="N394" s="19">
        <f t="shared" ca="1" si="1065"/>
        <v>197.2595357142857</v>
      </c>
      <c r="O394" s="16">
        <v>3569</v>
      </c>
      <c r="P394" s="33">
        <f t="shared" ca="1" si="1066"/>
        <v>1.0221350518352479</v>
      </c>
      <c r="Q394" s="21">
        <v>1.5</v>
      </c>
      <c r="R394" s="20">
        <f t="shared" ca="1" si="1067"/>
        <v>0.44031910823793236</v>
      </c>
      <c r="S394" s="22">
        <f t="shared" ca="1" si="1068"/>
        <v>0.66047866235689856</v>
      </c>
      <c r="T394" s="21">
        <f ca="1">F394/21.463</f>
        <v>257.33900200344777</v>
      </c>
      <c r="U394" s="21">
        <f t="shared" ca="1" si="1069"/>
        <v>9.1906786429802771</v>
      </c>
      <c r="V394" s="18">
        <f t="shared" ca="1" si="1070"/>
        <v>130.28571428571428</v>
      </c>
      <c r="W394" s="76"/>
      <c r="X394" s="8">
        <v>5</v>
      </c>
      <c r="Y394" s="8" t="s">
        <v>40</v>
      </c>
      <c r="Z394" s="8">
        <f t="shared" ref="Z394:AI394" si="1097">SUM(D398)</f>
        <v>30</v>
      </c>
      <c r="AA394" s="9">
        <f t="shared" ca="1" si="1097"/>
        <v>30</v>
      </c>
      <c r="AB394" s="10">
        <f t="shared" ca="1" si="1097"/>
        <v>5715.70999999999</v>
      </c>
      <c r="AC394" s="9">
        <f t="shared" ca="1" si="1097"/>
        <v>3336</v>
      </c>
      <c r="AD394" s="9">
        <f t="shared" ca="1" si="1097"/>
        <v>9</v>
      </c>
      <c r="AE394" s="9">
        <f t="shared" ca="1" si="1097"/>
        <v>3345</v>
      </c>
      <c r="AF394" s="9">
        <f t="shared" ca="1" si="1097"/>
        <v>3726</v>
      </c>
      <c r="AG394" s="9">
        <f t="shared" ca="1" si="1097"/>
        <v>18</v>
      </c>
      <c r="AH394" s="9">
        <f t="shared" ca="1" si="1097"/>
        <v>3744</v>
      </c>
      <c r="AI394" s="9">
        <f t="shared" ca="1" si="1097"/>
        <v>7089</v>
      </c>
      <c r="AJ394" s="11">
        <f t="shared" ca="1" si="1082"/>
        <v>190.52366666666634</v>
      </c>
      <c r="AK394" s="8">
        <f t="shared" ref="AK394:AK395" si="1098">SUM(O398)</f>
        <v>8239</v>
      </c>
      <c r="AL394" s="12">
        <f t="shared" ca="1" si="1084"/>
        <v>0.86041995387789783</v>
      </c>
      <c r="AM394" s="13">
        <f t="shared" ref="AM394:AM395" si="1099">SUM(Q398)</f>
        <v>1.5</v>
      </c>
      <c r="AN394" s="12">
        <f t="shared" ca="1" si="1086"/>
        <v>0.82684390915564443</v>
      </c>
      <c r="AO394" s="14">
        <f t="shared" ca="1" si="1087"/>
        <v>1.2402658637334667</v>
      </c>
      <c r="AP394" s="13">
        <f t="shared" ref="AP394:AQ394" ca="1" si="1100">SUM(T398)</f>
        <v>200.95313433885278</v>
      </c>
      <c r="AQ394" s="13">
        <f t="shared" ca="1" si="1100"/>
        <v>6.6984378112950926</v>
      </c>
      <c r="AR394" s="9">
        <f t="shared" ca="1" si="1089"/>
        <v>236.3</v>
      </c>
      <c r="AS394" s="76"/>
      <c r="AT394" s="76"/>
    </row>
    <row r="395" spans="1:46" ht="15.75" customHeight="1" x14ac:dyDescent="0.25">
      <c r="A395" s="70"/>
      <c r="B395" s="16">
        <v>12</v>
      </c>
      <c r="C395" s="16" t="s">
        <v>41</v>
      </c>
      <c r="D395" s="17">
        <v>24</v>
      </c>
      <c r="E395" s="18">
        <f ca="1">IFERROR(__xludf.DUMMYFUNCTION("COUNT(IMPORTRANGE(""https://docs.google.com/spreadsheets/d/1sHk6_yuc4kORC_xnhEeazoemV_hVUQVqRpfoNae-PLk/edit"",""15!d2:d25""))"),24)</f>
        <v>24</v>
      </c>
      <c r="F395" s="23">
        <f ca="1">IFERROR(__xludf.DUMMYFUNCTION("SUM(IMPORTRANGE(""https://docs.google.com/spreadsheets/d/1sHk6_yuc4kORC_xnhEeazoemV_hVUQVqRpfoNae-PLk/edit"",""15!Q2:Q25""))"),4796.444)</f>
        <v>4796.4440000000004</v>
      </c>
      <c r="G395" s="18">
        <f ca="1">IFERROR(__xludf.DUMMYFUNCTION("IMPORTRANGE(""https://docs.google.com/spreadsheets/d/1sHk6_yuc4kORC_xnhEeazoemV_hVUQVqRpfoNae-PLk/edit"",""15!e32"")"),1327)</f>
        <v>1327</v>
      </c>
      <c r="H395" s="18">
        <f ca="1">IFERROR(__xludf.DUMMYFUNCTION("IMPORTRANGE(""https://docs.google.com/spreadsheets/d/1sHk6_yuc4kORC_xnhEeazoemV_hVUQVqRpfoNae-PLk/edit"",""15!e33"")"),0)</f>
        <v>0</v>
      </c>
      <c r="I395" s="18">
        <f t="shared" ca="1" si="1062"/>
        <v>1327</v>
      </c>
      <c r="J395" s="18">
        <f ca="1">IFERROR(__xludf.DUMMYFUNCTION("IMPORTRANGE(""https://docs.google.com/spreadsheets/d/1sHk6_yuc4kORC_xnhEeazoemV_hVUQVqRpfoNae-PLk/edit"",""15!e36"")"),1890)</f>
        <v>1890</v>
      </c>
      <c r="K395" s="18">
        <f ca="1">IFERROR(__xludf.DUMMYFUNCTION("IMPORTRANGE(""https://docs.google.com/spreadsheets/d/1sHk6_yuc4kORC_xnhEeazoemV_hVUQVqRpfoNae-PLk/edit"",""15!e37"")"),0)</f>
        <v>0</v>
      </c>
      <c r="L395" s="18">
        <f t="shared" ca="1" si="1092"/>
        <v>1890</v>
      </c>
      <c r="M395" s="18">
        <f t="shared" ca="1" si="1064"/>
        <v>3217</v>
      </c>
      <c r="N395" s="19">
        <f t="shared" ca="1" si="1065"/>
        <v>199.85183333333336</v>
      </c>
      <c r="O395" s="16">
        <v>3801</v>
      </c>
      <c r="P395" s="20">
        <f t="shared" ca="1" si="1066"/>
        <v>0.84635622204682981</v>
      </c>
      <c r="Q395" s="21">
        <v>1.5</v>
      </c>
      <c r="R395" s="20">
        <f t="shared" ca="1" si="1067"/>
        <v>0.44713680940852568</v>
      </c>
      <c r="S395" s="22">
        <f t="shared" ca="1" si="1068"/>
        <v>0.67070521411278849</v>
      </c>
      <c r="T395" s="21">
        <f ca="1">F395/29.628</f>
        <v>161.88888888888891</v>
      </c>
      <c r="U395" s="21">
        <f t="shared" ca="1" si="1069"/>
        <v>6.7453703703703711</v>
      </c>
      <c r="V395" s="18">
        <f t="shared" ca="1" si="1070"/>
        <v>134.04166666666666</v>
      </c>
      <c r="W395" s="76"/>
      <c r="X395" s="8">
        <v>6</v>
      </c>
      <c r="Y395" s="8" t="s">
        <v>42</v>
      </c>
      <c r="Z395" s="8">
        <f t="shared" ref="Z395:AI395" si="1101">SUM(D399)</f>
        <v>33</v>
      </c>
      <c r="AA395" s="9">
        <f t="shared" ca="1" si="1101"/>
        <v>33</v>
      </c>
      <c r="AB395" s="10">
        <f t="shared" ca="1" si="1101"/>
        <v>6343.3580000000002</v>
      </c>
      <c r="AC395" s="9">
        <f t="shared" ca="1" si="1101"/>
        <v>3150</v>
      </c>
      <c r="AD395" s="9">
        <f t="shared" ca="1" si="1101"/>
        <v>0</v>
      </c>
      <c r="AE395" s="9">
        <f t="shared" ca="1" si="1101"/>
        <v>3150</v>
      </c>
      <c r="AF395" s="9">
        <f t="shared" ca="1" si="1101"/>
        <v>4606</v>
      </c>
      <c r="AG395" s="9">
        <f t="shared" ca="1" si="1101"/>
        <v>0</v>
      </c>
      <c r="AH395" s="9">
        <f t="shared" ca="1" si="1101"/>
        <v>4606</v>
      </c>
      <c r="AI395" s="9">
        <f t="shared" ca="1" si="1101"/>
        <v>7756</v>
      </c>
      <c r="AJ395" s="11">
        <f t="shared" ca="1" si="1082"/>
        <v>192.2229696969697</v>
      </c>
      <c r="AK395" s="8">
        <f t="shared" si="1098"/>
        <v>9877</v>
      </c>
      <c r="AL395" s="12">
        <f t="shared" ca="1" si="1084"/>
        <v>0.78525868178596736</v>
      </c>
      <c r="AM395" s="13">
        <f t="shared" si="1099"/>
        <v>1.5</v>
      </c>
      <c r="AN395" s="12">
        <f t="shared" ca="1" si="1086"/>
        <v>0.81513082923376967</v>
      </c>
      <c r="AO395" s="14">
        <f t="shared" ca="1" si="1087"/>
        <v>1.2226962438506546</v>
      </c>
      <c r="AP395" s="13">
        <f t="shared" ref="AP395:AQ395" ca="1" si="1102">SUM(T399)</f>
        <v>242.52945899445612</v>
      </c>
      <c r="AQ395" s="13">
        <f t="shared" ca="1" si="1102"/>
        <v>7.3493775452865489</v>
      </c>
      <c r="AR395" s="9">
        <f t="shared" ca="1" si="1089"/>
        <v>235.03030303030303</v>
      </c>
      <c r="AS395" s="76"/>
      <c r="AT395" s="76"/>
    </row>
    <row r="396" spans="1:46" ht="15.75" customHeight="1" x14ac:dyDescent="0.25">
      <c r="A396" s="70"/>
      <c r="B396" s="16">
        <v>13</v>
      </c>
      <c r="C396" s="16" t="s">
        <v>43</v>
      </c>
      <c r="D396" s="17">
        <v>30</v>
      </c>
      <c r="E396" s="18">
        <f ca="1">IFERROR(__xludf.DUMMYFUNCTION("COUNT(IMPORTRANGE(""https://docs.google.com/spreadsheets/d/1uGXvAN2jA6kmcEHUY4KqOHHewllZsujDdA6KVDfBCoA/edit"",""15!d2:d31""))"),30)</f>
        <v>30</v>
      </c>
      <c r="F396" s="23">
        <f ca="1">IFERROR(__xludf.DUMMYFUNCTION("SUM(IMPORTRANGE(""https://docs.google.com/spreadsheets/d/1uGXvAN2jA6kmcEHUY4KqOHHewllZsujDdA6KVDfBCoA/edit"",""15!Q2:Q31""))"),6468.15399999999)</f>
        <v>6468.1539999999904</v>
      </c>
      <c r="G396" s="18">
        <f ca="1">IFERROR(__xludf.DUMMYFUNCTION("IMPORTRANGE(""https://docs.google.com/spreadsheets/d/1uGXvAN2jA6kmcEHUY4KqOHHewllZsujDdA6KVDfBCoA/edit"",""15!e38"")"),1818)</f>
        <v>1818</v>
      </c>
      <c r="H396" s="18">
        <f ca="1">IFERROR(__xludf.DUMMYFUNCTION("IMPORTRANGE(""https://docs.google.com/spreadsheets/d/1uGXvAN2jA6kmcEHUY4KqOHHewllZsujDdA6KVDfBCoA/edit"",""15!e39"")"),100)</f>
        <v>100</v>
      </c>
      <c r="I396" s="18">
        <f t="shared" ca="1" si="1062"/>
        <v>1918</v>
      </c>
      <c r="J396" s="18">
        <f ca="1">IFERROR(__xludf.DUMMYFUNCTION("IMPORTRANGE(""https://docs.google.com/spreadsheets/d/1uGXvAN2jA6kmcEHUY4KqOHHewllZsujDdA6KVDfBCoA/edit"",""15!e42"")"),2815)</f>
        <v>2815</v>
      </c>
      <c r="K396" s="18">
        <f ca="1">IFERROR(__xludf.DUMMYFUNCTION("IMPORTRANGE(""https://docs.google.com/spreadsheets/d/1uGXvAN2jA6kmcEHUY4KqOHHewllZsujDdA6KVDfBCoA/edit"",""15!e43"")"),196)</f>
        <v>196</v>
      </c>
      <c r="L396" s="18">
        <f t="shared" ca="1" si="1092"/>
        <v>3011</v>
      </c>
      <c r="M396" s="18">
        <f t="shared" ca="1" si="1064"/>
        <v>4929</v>
      </c>
      <c r="N396" s="19">
        <f t="shared" ca="1" si="1065"/>
        <v>215.60513333333301</v>
      </c>
      <c r="O396" s="16">
        <v>8345</v>
      </c>
      <c r="P396" s="20">
        <f t="shared" ca="1" si="1066"/>
        <v>0.59065308568004793</v>
      </c>
      <c r="Q396" s="21">
        <v>1.5</v>
      </c>
      <c r="R396" s="20">
        <f t="shared" ca="1" si="1067"/>
        <v>0.50802748357568561</v>
      </c>
      <c r="S396" s="22">
        <f t="shared" ca="1" si="1068"/>
        <v>0.76204122536352836</v>
      </c>
      <c r="T396" s="21">
        <f ca="1">F396/41.205</f>
        <v>156.9749787647128</v>
      </c>
      <c r="U396" s="21">
        <f t="shared" ca="1" si="1069"/>
        <v>5.232499292157093</v>
      </c>
      <c r="V396" s="18">
        <f t="shared" ca="1" si="1070"/>
        <v>164.3</v>
      </c>
      <c r="W396" s="76"/>
      <c r="X396" s="24" t="s">
        <v>33</v>
      </c>
      <c r="Y396" s="24">
        <v>6</v>
      </c>
      <c r="Z396" s="24">
        <f t="shared" ref="Z396:AI396" si="1103">SUM(Z390:Z395)</f>
        <v>226</v>
      </c>
      <c r="AA396" s="25">
        <f t="shared" ca="1" si="1103"/>
        <v>222</v>
      </c>
      <c r="AB396" s="27">
        <f t="shared" ca="1" si="1103"/>
        <v>43899.028999999879</v>
      </c>
      <c r="AC396" s="25">
        <f t="shared" ca="1" si="1103"/>
        <v>17796</v>
      </c>
      <c r="AD396" s="25">
        <f t="shared" ca="1" si="1103"/>
        <v>281</v>
      </c>
      <c r="AE396" s="25">
        <f t="shared" ca="1" si="1103"/>
        <v>18077</v>
      </c>
      <c r="AF396" s="25">
        <f t="shared" ca="1" si="1103"/>
        <v>24403</v>
      </c>
      <c r="AG396" s="25">
        <f t="shared" ca="1" si="1103"/>
        <v>484</v>
      </c>
      <c r="AH396" s="25">
        <f t="shared" ca="1" si="1103"/>
        <v>24887</v>
      </c>
      <c r="AI396" s="25">
        <f t="shared" ca="1" si="1103"/>
        <v>42964</v>
      </c>
      <c r="AJ396" s="27">
        <f t="shared" ca="1" si="1082"/>
        <v>197.74337387387334</v>
      </c>
      <c r="AK396" s="24">
        <f>SUM(AK390:AK395)</f>
        <v>53273</v>
      </c>
      <c r="AL396" s="28">
        <f t="shared" ca="1" si="1084"/>
        <v>0.80648733880201984</v>
      </c>
      <c r="AM396" s="29">
        <v>1.5</v>
      </c>
      <c r="AN396" s="28">
        <f t="shared" ca="1" si="1086"/>
        <v>0.65246697521867159</v>
      </c>
      <c r="AO396" s="30">
        <f t="shared" ca="1" si="1087"/>
        <v>0.97870046282800738</v>
      </c>
      <c r="AP396" s="29">
        <f ca="1">SUM(AP390:AP395)</f>
        <v>1439.1128714459253</v>
      </c>
      <c r="AQ396" s="29">
        <f ca="1">AP396/AA396</f>
        <v>6.4824904119185822</v>
      </c>
      <c r="AR396" s="25">
        <f t="shared" ca="1" si="1089"/>
        <v>193.53153153153153</v>
      </c>
      <c r="AS396" s="76"/>
      <c r="AT396" s="76"/>
    </row>
    <row r="397" spans="1:46" ht="15.75" customHeight="1" x14ac:dyDescent="0.25">
      <c r="A397" s="70"/>
      <c r="B397" s="16">
        <v>14</v>
      </c>
      <c r="C397" s="16" t="s">
        <v>27</v>
      </c>
      <c r="D397" s="17">
        <v>30</v>
      </c>
      <c r="E397" s="18">
        <f ca="1">IFERROR(__xludf.DUMMYFUNCTION("COUNT(IMPORTRANGE(""https://docs.google.com/spreadsheets/d/1iYtf3wkjJIgOL8ej0-L89wY8FLXKi6EiRbi9UqA1Bzw/edit"",""15!d2:d31""))"),28)</f>
        <v>28</v>
      </c>
      <c r="F397" s="23">
        <f ca="1">IFERROR(__xludf.DUMMYFUNCTION("SUM(IMPORTRANGE(""https://docs.google.com/spreadsheets/d/1iYtf3wkjJIgOL8ej0-L89wY8FLXKi6EiRbi9UqA1Bzw/edit"",""15!Q2:Q31""))"),5231.963)</f>
        <v>5231.9629999999997</v>
      </c>
      <c r="G397" s="18">
        <f ca="1">IFERROR(__xludf.DUMMYFUNCTION("IMPORTRANGE(""https://docs.google.com/spreadsheets/d/1iYtf3wkjJIgOL8ej0-L89wY8FLXKi6EiRbi9UqA1Bzw/edit"",""15!e38"")"),2405)</f>
        <v>2405</v>
      </c>
      <c r="H397" s="18">
        <f ca="1">IFERROR(__xludf.DUMMYFUNCTION("IMPORTRANGE(""https://docs.google.com/spreadsheets/d/1iYtf3wkjJIgOL8ej0-L89wY8FLXKi6EiRbi9UqA1Bzw/edit"",""15!e39"")"),239)</f>
        <v>239</v>
      </c>
      <c r="I397" s="18">
        <f t="shared" ca="1" si="1062"/>
        <v>2644</v>
      </c>
      <c r="J397" s="18">
        <f ca="1">IFERROR(__xludf.DUMMYFUNCTION("IMPORTRANGE(""https://docs.google.com/spreadsheets/d/1iYtf3wkjJIgOL8ej0-L89wY8FLXKi6EiRbi9UqA1Bzw/edit"",""15!e42"")"),2695)</f>
        <v>2695</v>
      </c>
      <c r="K397" s="18">
        <f ca="1">IFERROR(__xludf.DUMMYFUNCTION("IMPORTRANGE(""https://docs.google.com/spreadsheets/d/1iYtf3wkjJIgOL8ej0-L89wY8FLXKi6EiRbi9UqA1Bzw/edit"",""15!e43"")"),318)</f>
        <v>318</v>
      </c>
      <c r="L397" s="18">
        <f t="shared" ca="1" si="1092"/>
        <v>3013</v>
      </c>
      <c r="M397" s="18">
        <f t="shared" ca="1" si="1064"/>
        <v>5657</v>
      </c>
      <c r="N397" s="19">
        <f t="shared" ca="1" si="1065"/>
        <v>186.85582142857143</v>
      </c>
      <c r="O397" s="16">
        <v>8101</v>
      </c>
      <c r="P397" s="20">
        <f t="shared" ca="1" si="1066"/>
        <v>0.69830885075916549</v>
      </c>
      <c r="Q397" s="21">
        <v>1.5</v>
      </c>
      <c r="R397" s="20">
        <f t="shared" ca="1" si="1067"/>
        <v>0.72082568881571474</v>
      </c>
      <c r="S397" s="22">
        <f t="shared" ca="1" si="1068"/>
        <v>1.0812385332235721</v>
      </c>
      <c r="T397" s="21">
        <f ca="1">F397/19.985</f>
        <v>261.79449587190391</v>
      </c>
      <c r="U397" s="21">
        <f t="shared" ca="1" si="1069"/>
        <v>9.3498034239965673</v>
      </c>
      <c r="V397" s="18">
        <f t="shared" ca="1" si="1070"/>
        <v>202.03571428571428</v>
      </c>
      <c r="W397" s="76"/>
      <c r="X397" s="97" t="s">
        <v>44</v>
      </c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9"/>
      <c r="AS397" s="76"/>
      <c r="AT397" s="76"/>
    </row>
    <row r="398" spans="1:46" ht="15.75" customHeight="1" x14ac:dyDescent="0.25">
      <c r="A398" s="70"/>
      <c r="B398" s="16">
        <v>15</v>
      </c>
      <c r="C398" s="16" t="s">
        <v>40</v>
      </c>
      <c r="D398" s="17">
        <v>30</v>
      </c>
      <c r="E398" s="18">
        <f ca="1">IFERROR(__xludf.DUMMYFUNCTION("COUNT(IMPORTRANGE(""https://docs.google.com/spreadsheets/d/1Wdf8MsoDBzMSsrzOXwaGQzbVjVqOWfKSqYmbncevZgA/edit"",""15!d2:d31""))"),30)</f>
        <v>30</v>
      </c>
      <c r="F398" s="23">
        <f ca="1">IFERROR(__xludf.DUMMYFUNCTION("SUM(IMPORTRANGE(""https://docs.google.com/spreadsheets/d/1Wdf8MsoDBzMSsrzOXwaGQzbVjVqOWfKSqYmbncevZgA/edit"",""15!Q2:Q31""))"),5715.70999999999)</f>
        <v>5715.70999999999</v>
      </c>
      <c r="G398" s="18">
        <f ca="1">IFERROR(__xludf.DUMMYFUNCTION("IMPORTRANGE(""https://docs.google.com/spreadsheets/d/1Wdf8MsoDBzMSsrzOXwaGQzbVjVqOWfKSqYmbncevZgA/edit"",""15!e38"")"),3336)</f>
        <v>3336</v>
      </c>
      <c r="H398" s="18">
        <f ca="1">IFERROR(__xludf.DUMMYFUNCTION("IMPORTRANGE(""https://docs.google.com/spreadsheets/d/1Wdf8MsoDBzMSsrzOXwaGQzbVjVqOWfKSqYmbncevZgA/edit"",""15!e39"")"),9)</f>
        <v>9</v>
      </c>
      <c r="I398" s="18">
        <f t="shared" ca="1" si="1062"/>
        <v>3345</v>
      </c>
      <c r="J398" s="18">
        <f ca="1">IFERROR(__xludf.DUMMYFUNCTION("IMPORTRANGE(""https://docs.google.com/spreadsheets/d/1Wdf8MsoDBzMSsrzOXwaGQzbVjVqOWfKSqYmbncevZgA/edit"",""15!e42"")"),3726)</f>
        <v>3726</v>
      </c>
      <c r="K398" s="18">
        <f ca="1">IFERROR(__xludf.DUMMYFUNCTION("IMPORTRANGE(""https://docs.google.com/spreadsheets/d/1Wdf8MsoDBzMSsrzOXwaGQzbVjVqOWfKSqYmbncevZgA/edit"",""15!e43"")"),18)</f>
        <v>18</v>
      </c>
      <c r="L398" s="18">
        <f t="shared" ca="1" si="1092"/>
        <v>3744</v>
      </c>
      <c r="M398" s="18">
        <f t="shared" ca="1" si="1064"/>
        <v>7089</v>
      </c>
      <c r="N398" s="19">
        <f t="shared" ca="1" si="1065"/>
        <v>190.52366666666634</v>
      </c>
      <c r="O398" s="16">
        <v>8239</v>
      </c>
      <c r="P398" s="20">
        <f t="shared" ca="1" si="1066"/>
        <v>0.86041995387789783</v>
      </c>
      <c r="Q398" s="21">
        <v>1.5</v>
      </c>
      <c r="R398" s="20">
        <f t="shared" ca="1" si="1067"/>
        <v>0.82684390915564443</v>
      </c>
      <c r="S398" s="22">
        <f t="shared" ca="1" si="1068"/>
        <v>1.2402658637334667</v>
      </c>
      <c r="T398" s="21">
        <f ca="1">F398/28.443</f>
        <v>200.95313433885278</v>
      </c>
      <c r="U398" s="21">
        <f t="shared" ca="1" si="1069"/>
        <v>6.6984378112950926</v>
      </c>
      <c r="V398" s="18">
        <f t="shared" ca="1" si="1070"/>
        <v>236.3</v>
      </c>
      <c r="W398" s="76"/>
      <c r="X398" s="1" t="s">
        <v>2</v>
      </c>
      <c r="Y398" s="1" t="s">
        <v>3</v>
      </c>
      <c r="Z398" s="1" t="s">
        <v>4</v>
      </c>
      <c r="AA398" s="1" t="s">
        <v>5</v>
      </c>
      <c r="AB398" s="2" t="s">
        <v>6</v>
      </c>
      <c r="AC398" s="1" t="s">
        <v>7</v>
      </c>
      <c r="AD398" s="1" t="s">
        <v>8</v>
      </c>
      <c r="AE398" s="1" t="s">
        <v>9</v>
      </c>
      <c r="AF398" s="1" t="s">
        <v>10</v>
      </c>
      <c r="AG398" s="1" t="s">
        <v>11</v>
      </c>
      <c r="AH398" s="1" t="s">
        <v>12</v>
      </c>
      <c r="AI398" s="1" t="s">
        <v>13</v>
      </c>
      <c r="AJ398" s="2" t="s">
        <v>14</v>
      </c>
      <c r="AK398" s="1" t="s">
        <v>15</v>
      </c>
      <c r="AL398" s="1" t="s">
        <v>16</v>
      </c>
      <c r="AM398" s="3" t="s">
        <v>17</v>
      </c>
      <c r="AN398" s="4" t="s">
        <v>18</v>
      </c>
      <c r="AO398" s="5" t="s">
        <v>19</v>
      </c>
      <c r="AP398" s="6" t="s">
        <v>20</v>
      </c>
      <c r="AQ398" s="6" t="s">
        <v>21</v>
      </c>
      <c r="AR398" s="7" t="s">
        <v>22</v>
      </c>
      <c r="AS398" s="76"/>
      <c r="AT398" s="76"/>
    </row>
    <row r="399" spans="1:46" ht="15.75" customHeight="1" x14ac:dyDescent="0.25">
      <c r="A399" s="70"/>
      <c r="B399" s="16">
        <v>16</v>
      </c>
      <c r="C399" s="16" t="s">
        <v>42</v>
      </c>
      <c r="D399" s="17">
        <v>33</v>
      </c>
      <c r="E399" s="18">
        <f ca="1">IFERROR(__xludf.DUMMYFUNCTION("COUNT(IMPORTRANGE(""https://docs.google.com/spreadsheets/d/1Z5uB5HbeAKcHmG4EOw3rf2J8NpyvDiha6RReERAMvA0/edit"",""15!d2:d34""))"),33)</f>
        <v>33</v>
      </c>
      <c r="F399" s="23">
        <f ca="1">IFERROR(__xludf.DUMMYFUNCTION("SUM(IMPORTRANGE(""https://docs.google.com/spreadsheets/d/1Z5uB5HbeAKcHmG4EOw3rf2J8NpyvDiha6RReERAMvA0/edit"",""15!Q2:Q34""))"),6343.358)</f>
        <v>6343.3580000000002</v>
      </c>
      <c r="G399" s="18">
        <f ca="1">IFERROR(__xludf.DUMMYFUNCTION("IMPORTRANGE(""https://docs.google.com/spreadsheets/d/1Z5uB5HbeAKcHmG4EOw3rf2J8NpyvDiha6RReERAMvA0/edit"",""15!e41"")"),3150)</f>
        <v>3150</v>
      </c>
      <c r="H399" s="18">
        <f ca="1">IFERROR(__xludf.DUMMYFUNCTION("IMPORTRANGE(""https://docs.google.com/spreadsheets/d/1Z5uB5HbeAKcHmG4EOw3rf2J8NpyvDiha6RReERAMvA0/edit"",""15!e42"")"),0)</f>
        <v>0</v>
      </c>
      <c r="I399" s="18">
        <f t="shared" ca="1" si="1062"/>
        <v>3150</v>
      </c>
      <c r="J399" s="18">
        <f ca="1">IFERROR(__xludf.DUMMYFUNCTION("IMPORTRANGE(""https://docs.google.com/spreadsheets/d/1Z5uB5HbeAKcHmG4EOw3rf2J8NpyvDiha6RReERAMvA0/edit"",""15!e45"")"),4606)</f>
        <v>4606</v>
      </c>
      <c r="K399" s="18">
        <f ca="1">IFERROR(__xludf.DUMMYFUNCTION("IMPORTRANGE(""https://docs.google.com/spreadsheets/d/1Z5uB5HbeAKcHmG4EOw3rf2J8NpyvDiha6RReERAMvA0/edit"",""15!e46"")"),0)</f>
        <v>0</v>
      </c>
      <c r="L399" s="18">
        <f t="shared" ca="1" si="1092"/>
        <v>4606</v>
      </c>
      <c r="M399" s="18">
        <f t="shared" ca="1" si="1064"/>
        <v>7756</v>
      </c>
      <c r="N399" s="19">
        <f t="shared" ca="1" si="1065"/>
        <v>192.2229696969697</v>
      </c>
      <c r="O399" s="16">
        <v>9877</v>
      </c>
      <c r="P399" s="20">
        <f t="shared" ca="1" si="1066"/>
        <v>0.78525868178596736</v>
      </c>
      <c r="Q399" s="21">
        <v>1.5</v>
      </c>
      <c r="R399" s="20">
        <f t="shared" ca="1" si="1067"/>
        <v>0.81513082923376967</v>
      </c>
      <c r="S399" s="22">
        <f t="shared" ca="1" si="1068"/>
        <v>1.2226962438506546</v>
      </c>
      <c r="T399" s="21">
        <f ca="1">F399/26.155</f>
        <v>242.52945899445612</v>
      </c>
      <c r="U399" s="21">
        <f t="shared" ca="1" si="1069"/>
        <v>7.3493775452865489</v>
      </c>
      <c r="V399" s="18">
        <f t="shared" ca="1" si="1070"/>
        <v>235.03030303030303</v>
      </c>
      <c r="W399" s="76"/>
      <c r="X399" s="8">
        <v>1</v>
      </c>
      <c r="Y399" s="8" t="s">
        <v>26</v>
      </c>
      <c r="Z399" s="8">
        <f t="shared" ref="Z399:AI399" si="1104">SUM(D384)</f>
        <v>20</v>
      </c>
      <c r="AA399" s="9">
        <f t="shared" ca="1" si="1104"/>
        <v>20</v>
      </c>
      <c r="AB399" s="11">
        <f t="shared" ca="1" si="1104"/>
        <v>3633.192</v>
      </c>
      <c r="AC399" s="9">
        <f t="shared" ca="1" si="1104"/>
        <v>1266</v>
      </c>
      <c r="AD399" s="9">
        <f t="shared" ca="1" si="1104"/>
        <v>0</v>
      </c>
      <c r="AE399" s="9">
        <f t="shared" ca="1" si="1104"/>
        <v>1266</v>
      </c>
      <c r="AF399" s="9">
        <f t="shared" ca="1" si="1104"/>
        <v>2933</v>
      </c>
      <c r="AG399" s="9">
        <f t="shared" ca="1" si="1104"/>
        <v>0</v>
      </c>
      <c r="AH399" s="9">
        <f t="shared" ca="1" si="1104"/>
        <v>2933</v>
      </c>
      <c r="AI399" s="9">
        <f t="shared" ca="1" si="1104"/>
        <v>4199</v>
      </c>
      <c r="AJ399" s="11">
        <f t="shared" ref="AJ399:AJ405" ca="1" si="1105">AB399/AA399</f>
        <v>181.65960000000001</v>
      </c>
      <c r="AK399" s="8">
        <f>SUM(O384)</f>
        <v>5161</v>
      </c>
      <c r="AL399" s="12">
        <f t="shared" ref="AL399:AL405" ca="1" si="1106">AI399/AK399</f>
        <v>0.81360201511335017</v>
      </c>
      <c r="AM399" s="13">
        <f>SUM(Q384)</f>
        <v>1.5</v>
      </c>
      <c r="AN399" s="12">
        <f t="shared" ref="AN399:AN405" ca="1" si="1107">AO399/AM399</f>
        <v>0.77048868689938033</v>
      </c>
      <c r="AO399" s="14">
        <f t="shared" ref="AO399:AO405" ca="1" si="1108">AI399/AB399</f>
        <v>1.1557330303490705</v>
      </c>
      <c r="AP399" s="13">
        <f t="shared" ref="AP399:AQ399" ca="1" si="1109">SUM(T384)</f>
        <v>252.04245577523415</v>
      </c>
      <c r="AQ399" s="13">
        <f t="shared" ca="1" si="1109"/>
        <v>12.602122788761708</v>
      </c>
      <c r="AR399" s="9">
        <f t="shared" ref="AR399:AR405" ca="1" si="1110">AI399/AA399</f>
        <v>209.95</v>
      </c>
      <c r="AS399" s="76"/>
      <c r="AT399" s="76"/>
    </row>
    <row r="400" spans="1:46" ht="15.75" customHeight="1" x14ac:dyDescent="0.25">
      <c r="A400" s="70"/>
      <c r="B400" s="16">
        <v>17</v>
      </c>
      <c r="C400" s="16" t="s">
        <v>29</v>
      </c>
      <c r="D400" s="17">
        <v>30</v>
      </c>
      <c r="E400" s="18">
        <f ca="1">IFERROR(__xludf.DUMMYFUNCTION("COUNT(IMPORTRANGE(""https://docs.google.com/spreadsheets/d/1wfJqI0e9wVPqEQv3N6b8KgINjqI0OBECEyIFeY9j3i8/edit"",""15!d2:d31""))"),30)</f>
        <v>30</v>
      </c>
      <c r="F400" s="23">
        <f ca="1">IFERROR(__xludf.DUMMYFUNCTION("SUM(IMPORTRANGE(""https://docs.google.com/spreadsheets/d/1wfJqI0e9wVPqEQv3N6b8KgINjqI0OBECEyIFeY9j3i8/edit"",""15!Q2:Q31""))"),6119.42099999999)</f>
        <v>6119.4209999999903</v>
      </c>
      <c r="G400" s="18">
        <f ca="1">IFERROR(__xludf.DUMMYFUNCTION("IMPORTRANGE(""https://docs.google.com/spreadsheets/d/1wfJqI0e9wVPqEQv3N6b8KgINjqI0OBECEyIFeY9j3i8/edit"",""15!e38"")"),2896)</f>
        <v>2896</v>
      </c>
      <c r="H400" s="18">
        <f ca="1">IFERROR(__xludf.DUMMYFUNCTION("IMPORTRANGE(""https://docs.google.com/spreadsheets/d/1wfJqI0e9wVPqEQv3N6b8KgINjqI0OBECEyIFeY9j3i8/edit"",""15!e39"")"),0)</f>
        <v>0</v>
      </c>
      <c r="I400" s="18">
        <f t="shared" ca="1" si="1062"/>
        <v>2896</v>
      </c>
      <c r="J400" s="18">
        <f ca="1">IFERROR(__xludf.DUMMYFUNCTION("IMPORTRANGE(""https://docs.google.com/spreadsheets/d/1wfJqI0e9wVPqEQv3N6b8KgINjqI0OBECEyIFeY9j3i8/edit"",""15!e42"")"),4329)</f>
        <v>4329</v>
      </c>
      <c r="K400" s="18">
        <f ca="1">IFERROR(__xludf.DUMMYFUNCTION("IMPORTRANGE(""https://docs.google.com/spreadsheets/d/1wfJqI0e9wVPqEQv3N6b8KgINjqI0OBECEyIFeY9j3i8/edit"",""15!e43"")"),0)</f>
        <v>0</v>
      </c>
      <c r="L400" s="18">
        <f t="shared" ca="1" si="1092"/>
        <v>4329</v>
      </c>
      <c r="M400" s="18">
        <f t="shared" ca="1" si="1064"/>
        <v>7225</v>
      </c>
      <c r="N400" s="19">
        <f t="shared" ca="1" si="1065"/>
        <v>203.98069999999967</v>
      </c>
      <c r="O400" s="16">
        <v>9201</v>
      </c>
      <c r="P400" s="20">
        <f t="shared" ca="1" si="1066"/>
        <v>0.78524073470274969</v>
      </c>
      <c r="Q400" s="21">
        <v>1.5</v>
      </c>
      <c r="R400" s="20">
        <f t="shared" ca="1" si="1067"/>
        <v>0.78711150395873641</v>
      </c>
      <c r="S400" s="22">
        <f t="shared" ca="1" si="1068"/>
        <v>1.1806672559381046</v>
      </c>
      <c r="T400" s="21">
        <f ca="1">F400/26.491</f>
        <v>230.99999999999963</v>
      </c>
      <c r="U400" s="21">
        <f t="shared" ca="1" si="1069"/>
        <v>7.6999999999999877</v>
      </c>
      <c r="V400" s="18">
        <f t="shared" ca="1" si="1070"/>
        <v>240.83333333333334</v>
      </c>
      <c r="W400" s="76"/>
      <c r="X400" s="8">
        <v>2</v>
      </c>
      <c r="Y400" s="8" t="s">
        <v>32</v>
      </c>
      <c r="Z400" s="8">
        <f t="shared" ref="Z400:AI400" si="1111">SUM(D387)</f>
        <v>42</v>
      </c>
      <c r="AA400" s="9">
        <f t="shared" ca="1" si="1111"/>
        <v>41</v>
      </c>
      <c r="AB400" s="10">
        <f t="shared" ca="1" si="1111"/>
        <v>8229.19199999999</v>
      </c>
      <c r="AC400" s="8">
        <f t="shared" ca="1" si="1111"/>
        <v>4738</v>
      </c>
      <c r="AD400" s="8">
        <f t="shared" ca="1" si="1111"/>
        <v>0</v>
      </c>
      <c r="AE400" s="9">
        <f t="shared" ca="1" si="1111"/>
        <v>4738</v>
      </c>
      <c r="AF400" s="8">
        <f t="shared" ca="1" si="1111"/>
        <v>5773</v>
      </c>
      <c r="AG400" s="8">
        <f t="shared" ca="1" si="1111"/>
        <v>0</v>
      </c>
      <c r="AH400" s="9">
        <f t="shared" ca="1" si="1111"/>
        <v>5773</v>
      </c>
      <c r="AI400" s="9">
        <f t="shared" ca="1" si="1111"/>
        <v>10511</v>
      </c>
      <c r="AJ400" s="11">
        <f t="shared" ca="1" si="1105"/>
        <v>200.71199999999976</v>
      </c>
      <c r="AK400" s="8">
        <f>SUM(O387)</f>
        <v>13817</v>
      </c>
      <c r="AL400" s="12">
        <f t="shared" ca="1" si="1106"/>
        <v>0.76072953607874361</v>
      </c>
      <c r="AM400" s="13">
        <f>SUM(Q387)</f>
        <v>1.5</v>
      </c>
      <c r="AN400" s="12">
        <f t="shared" ca="1" si="1107"/>
        <v>0.85152142924036067</v>
      </c>
      <c r="AO400" s="14">
        <f t="shared" ca="1" si="1108"/>
        <v>1.2772821438605411</v>
      </c>
      <c r="AP400" s="13">
        <f t="shared" ref="AP400:AQ400" ca="1" si="1112">SUM(T387)</f>
        <v>327.9999999999996</v>
      </c>
      <c r="AQ400" s="13">
        <f t="shared" ca="1" si="1112"/>
        <v>7.9999999999999902</v>
      </c>
      <c r="AR400" s="9">
        <f t="shared" ca="1" si="1110"/>
        <v>256.36585365853659</v>
      </c>
      <c r="AS400" s="76"/>
      <c r="AT400" s="76"/>
    </row>
    <row r="401" spans="1:46" ht="15.75" customHeight="1" x14ac:dyDescent="0.25">
      <c r="A401" s="70"/>
      <c r="B401" s="16">
        <v>18</v>
      </c>
      <c r="C401" s="16" t="s">
        <v>31</v>
      </c>
      <c r="D401" s="17">
        <v>15</v>
      </c>
      <c r="E401" s="18">
        <f ca="1">IFERROR(__xludf.DUMMYFUNCTION("COUNT(IMPORTRANGE(""https://docs.google.com/spreadsheets/d/1-y2KhTAo7d8kowgUuWUDfRQuRMUAFteRYEXorT3_wOs/edit"",""15!d2:d16""))"),13)</f>
        <v>13</v>
      </c>
      <c r="F401" s="19">
        <f ca="1">IFERROR(__xludf.DUMMYFUNCTION("SUM(IMPORTRANGE(""https://docs.google.com/spreadsheets/d/1-y2KhTAo7d8kowgUuWUDfRQuRMUAFteRYEXorT3_wOs/edit"",""15!Q2:Q16""))"),2454.051)</f>
        <v>2454.0509999999999</v>
      </c>
      <c r="G401" s="18">
        <f ca="1">IFERROR(__xludf.DUMMYFUNCTION("IMPORTRANGE(""https://docs.google.com/spreadsheets/d/1-y2KhTAo7d8kowgUuWUDfRQuRMUAFteRYEXorT3_wOs/edit"",""15!e23"")"),808)</f>
        <v>808</v>
      </c>
      <c r="H401" s="18">
        <f ca="1">IFERROR(__xludf.DUMMYFUNCTION("IMPORTRANGE(""https://docs.google.com/spreadsheets/d/1-y2KhTAo7d8kowgUuWUDfRQuRMUAFteRYEXorT3_wOs/edit"",""15!e24"")"),0)</f>
        <v>0</v>
      </c>
      <c r="I401" s="18">
        <f t="shared" ca="1" si="1062"/>
        <v>808</v>
      </c>
      <c r="J401" s="18">
        <f ca="1">IFERROR(__xludf.DUMMYFUNCTION("IMPORTRANGE(""https://docs.google.com/spreadsheets/d/1-y2KhTAo7d8kowgUuWUDfRQuRMUAFteRYEXorT3_wOs/edit"",""15!e27"")"),967)</f>
        <v>967</v>
      </c>
      <c r="K401" s="18">
        <f ca="1">IFERROR(__xludf.DUMMYFUNCTION("IMPORTRANGE(""https://docs.google.com/spreadsheets/d/1-y2KhTAo7d8kowgUuWUDfRQuRMUAFteRYEXorT3_wOs/edit"",""15!e28"")"),0)</f>
        <v>0</v>
      </c>
      <c r="L401" s="18">
        <f t="shared" ca="1" si="1092"/>
        <v>967</v>
      </c>
      <c r="M401" s="18">
        <f t="shared" ca="1" si="1064"/>
        <v>1775</v>
      </c>
      <c r="N401" s="19">
        <f t="shared" ca="1" si="1065"/>
        <v>188.77315384615383</v>
      </c>
      <c r="O401" s="16">
        <v>2717</v>
      </c>
      <c r="P401" s="20">
        <f t="shared" ca="1" si="1066"/>
        <v>0.65329407434670594</v>
      </c>
      <c r="Q401" s="21">
        <v>1.5</v>
      </c>
      <c r="R401" s="20">
        <f t="shared" ca="1" si="1067"/>
        <v>0.48219590111751276</v>
      </c>
      <c r="S401" s="22">
        <f t="shared" ca="1" si="1068"/>
        <v>0.72329385167626914</v>
      </c>
      <c r="T401" s="21">
        <f ca="1">F401/43.465</f>
        <v>56.460393419993089</v>
      </c>
      <c r="U401" s="21">
        <f t="shared" ca="1" si="1069"/>
        <v>4.3431071861533148</v>
      </c>
      <c r="V401" s="18">
        <f t="shared" ca="1" si="1070"/>
        <v>136.53846153846155</v>
      </c>
      <c r="W401" s="76"/>
      <c r="X401" s="8">
        <v>3</v>
      </c>
      <c r="Y401" s="8" t="s">
        <v>36</v>
      </c>
      <c r="Z401" s="8">
        <f t="shared" ref="Z401:AI401" si="1113">SUM(D392)</f>
        <v>30</v>
      </c>
      <c r="AA401" s="9">
        <f t="shared" ca="1" si="1113"/>
        <v>29</v>
      </c>
      <c r="AB401" s="10">
        <f t="shared" ca="1" si="1113"/>
        <v>5990.6749999999902</v>
      </c>
      <c r="AC401" s="9">
        <f t="shared" ca="1" si="1113"/>
        <v>1674</v>
      </c>
      <c r="AD401" s="9">
        <f t="shared" ca="1" si="1113"/>
        <v>0</v>
      </c>
      <c r="AE401" s="9">
        <f t="shared" ca="1" si="1113"/>
        <v>1674</v>
      </c>
      <c r="AF401" s="9">
        <f t="shared" ca="1" si="1113"/>
        <v>2480</v>
      </c>
      <c r="AG401" s="9">
        <f t="shared" ca="1" si="1113"/>
        <v>0</v>
      </c>
      <c r="AH401" s="9">
        <f t="shared" ca="1" si="1113"/>
        <v>2480</v>
      </c>
      <c r="AI401" s="9">
        <f t="shared" ca="1" si="1113"/>
        <v>4154</v>
      </c>
      <c r="AJ401" s="11">
        <f t="shared" ca="1" si="1105"/>
        <v>206.57499999999965</v>
      </c>
      <c r="AK401" s="8">
        <f t="shared" ref="AK401:AK404" si="1114">SUM(O392)</f>
        <v>4796</v>
      </c>
      <c r="AL401" s="12">
        <f t="shared" ca="1" si="1106"/>
        <v>0.86613844870725609</v>
      </c>
      <c r="AM401" s="13">
        <f t="shared" ref="AM401:AM404" si="1115">SUM(Q392)</f>
        <v>1.5</v>
      </c>
      <c r="AN401" s="12">
        <f t="shared" ca="1" si="1107"/>
        <v>0.4622740064071808</v>
      </c>
      <c r="AO401" s="14">
        <f t="shared" ca="1" si="1108"/>
        <v>0.69341100961077118</v>
      </c>
      <c r="AP401" s="13">
        <f t="shared" ref="AP401:AQ401" ca="1" si="1116">SUM(T392)</f>
        <v>160.11853851499413</v>
      </c>
      <c r="AQ401" s="13">
        <f t="shared" ca="1" si="1116"/>
        <v>5.5213289143101427</v>
      </c>
      <c r="AR401" s="9">
        <f t="shared" ca="1" si="1110"/>
        <v>143.24137931034483</v>
      </c>
      <c r="AS401" s="76"/>
      <c r="AT401" s="76"/>
    </row>
    <row r="402" spans="1:46" ht="15.75" customHeight="1" x14ac:dyDescent="0.2">
      <c r="A402" s="70"/>
      <c r="B402" s="98" t="s">
        <v>33</v>
      </c>
      <c r="C402" s="98">
        <v>18</v>
      </c>
      <c r="D402" s="98">
        <f t="shared" ref="D402:M402" si="1117">SUM(D384:D401)</f>
        <v>586</v>
      </c>
      <c r="E402" s="74">
        <f t="shared" ca="1" si="1117"/>
        <v>572</v>
      </c>
      <c r="F402" s="99">
        <f t="shared" ca="1" si="1117"/>
        <v>112270.35699999983</v>
      </c>
      <c r="G402" s="74">
        <f t="shared" ca="1" si="1117"/>
        <v>41359</v>
      </c>
      <c r="H402" s="74">
        <f t="shared" ca="1" si="1117"/>
        <v>1005</v>
      </c>
      <c r="I402" s="74">
        <f t="shared" ca="1" si="1117"/>
        <v>42364</v>
      </c>
      <c r="J402" s="74">
        <f t="shared" ca="1" si="1117"/>
        <v>58939</v>
      </c>
      <c r="K402" s="74">
        <f t="shared" ca="1" si="1117"/>
        <v>1320</v>
      </c>
      <c r="L402" s="74">
        <f t="shared" ca="1" si="1117"/>
        <v>60259</v>
      </c>
      <c r="M402" s="74">
        <f t="shared" ca="1" si="1117"/>
        <v>102623</v>
      </c>
      <c r="N402" s="99">
        <f t="shared" ca="1" si="1065"/>
        <v>196.27684790209761</v>
      </c>
      <c r="O402" s="98">
        <f>SUM(O384:O401)</f>
        <v>126399</v>
      </c>
      <c r="P402" s="69">
        <f t="shared" ca="1" si="1066"/>
        <v>0.81189724602251601</v>
      </c>
      <c r="Q402" s="72">
        <v>1.5</v>
      </c>
      <c r="R402" s="69">
        <f t="shared" ca="1" si="1067"/>
        <v>0.60938020650752389</v>
      </c>
      <c r="S402" s="73">
        <f t="shared" ca="1" si="1068"/>
        <v>0.91407030976128589</v>
      </c>
      <c r="T402" s="72">
        <f ca="1">SUM(T384:T401)</f>
        <v>4127.8890550765809</v>
      </c>
      <c r="U402" s="72">
        <f t="shared" ca="1" si="1069"/>
        <v>7.2165892571268895</v>
      </c>
      <c r="V402" s="74">
        <f t="shared" ca="1" si="1070"/>
        <v>179.41083916083917</v>
      </c>
      <c r="W402" s="76"/>
      <c r="X402" s="8">
        <v>4</v>
      </c>
      <c r="Y402" s="8" t="s">
        <v>37</v>
      </c>
      <c r="Z402" s="8">
        <f t="shared" ref="Z402:AI402" si="1118">SUM(D393)</f>
        <v>30</v>
      </c>
      <c r="AA402" s="9">
        <f t="shared" ca="1" si="1118"/>
        <v>29</v>
      </c>
      <c r="AB402" s="10">
        <f t="shared" ca="1" si="1118"/>
        <v>5812.1880000000001</v>
      </c>
      <c r="AC402" s="9">
        <f t="shared" ca="1" si="1118"/>
        <v>2029</v>
      </c>
      <c r="AD402" s="9">
        <f t="shared" ca="1" si="1118"/>
        <v>85</v>
      </c>
      <c r="AE402" s="9">
        <f t="shared" ca="1" si="1118"/>
        <v>2114</v>
      </c>
      <c r="AF402" s="9">
        <f t="shared" ca="1" si="1118"/>
        <v>3401</v>
      </c>
      <c r="AG402" s="9">
        <f t="shared" ca="1" si="1118"/>
        <v>62</v>
      </c>
      <c r="AH402" s="9">
        <f t="shared" ca="1" si="1118"/>
        <v>3463</v>
      </c>
      <c r="AI402" s="9">
        <f t="shared" ca="1" si="1118"/>
        <v>5577</v>
      </c>
      <c r="AJ402" s="11">
        <f t="shared" ca="1" si="1105"/>
        <v>200.42027586206896</v>
      </c>
      <c r="AK402" s="8">
        <f t="shared" si="1114"/>
        <v>5887</v>
      </c>
      <c r="AL402" s="12">
        <f t="shared" ca="1" si="1106"/>
        <v>0.94734160013589264</v>
      </c>
      <c r="AM402" s="13">
        <f t="shared" si="1115"/>
        <v>1.5</v>
      </c>
      <c r="AN402" s="12">
        <f t="shared" ca="1" si="1107"/>
        <v>0.63969025090034937</v>
      </c>
      <c r="AO402" s="14">
        <f t="shared" ca="1" si="1108"/>
        <v>0.95953537635052411</v>
      </c>
      <c r="AP402" s="13">
        <f t="shared" ref="AP402:AQ402" ca="1" si="1119">SUM(T393)</f>
        <v>234.4380445304937</v>
      </c>
      <c r="AQ402" s="13">
        <f t="shared" ca="1" si="1119"/>
        <v>8.0840705010515066</v>
      </c>
      <c r="AR402" s="9">
        <f t="shared" ca="1" si="1110"/>
        <v>192.31034482758622</v>
      </c>
      <c r="AS402" s="76"/>
      <c r="AT402" s="76"/>
    </row>
    <row r="403" spans="1:46" ht="15.75" customHeight="1" x14ac:dyDescent="0.2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6"/>
      <c r="X403" s="8">
        <v>5</v>
      </c>
      <c r="Y403" s="8" t="s">
        <v>39</v>
      </c>
      <c r="Z403" s="8">
        <f t="shared" ref="Z403:AI403" si="1120">SUM(D394)</f>
        <v>28</v>
      </c>
      <c r="AA403" s="9">
        <f t="shared" ca="1" si="1120"/>
        <v>28</v>
      </c>
      <c r="AB403" s="10">
        <f t="shared" ca="1" si="1120"/>
        <v>5523.2669999999998</v>
      </c>
      <c r="AC403" s="9">
        <f t="shared" ca="1" si="1120"/>
        <v>1101</v>
      </c>
      <c r="AD403" s="9">
        <f t="shared" ca="1" si="1120"/>
        <v>0</v>
      </c>
      <c r="AE403" s="9">
        <f t="shared" ca="1" si="1120"/>
        <v>1101</v>
      </c>
      <c r="AF403" s="9">
        <f t="shared" ca="1" si="1120"/>
        <v>2547</v>
      </c>
      <c r="AG403" s="9">
        <f t="shared" ca="1" si="1120"/>
        <v>0</v>
      </c>
      <c r="AH403" s="9">
        <f t="shared" ca="1" si="1120"/>
        <v>2547</v>
      </c>
      <c r="AI403" s="9">
        <f t="shared" ca="1" si="1120"/>
        <v>3648</v>
      </c>
      <c r="AJ403" s="11">
        <f t="shared" ca="1" si="1105"/>
        <v>197.2595357142857</v>
      </c>
      <c r="AK403" s="8">
        <f t="shared" si="1114"/>
        <v>3569</v>
      </c>
      <c r="AL403" s="15">
        <f t="shared" ca="1" si="1106"/>
        <v>1.0221350518352479</v>
      </c>
      <c r="AM403" s="13">
        <f t="shared" si="1115"/>
        <v>1.5</v>
      </c>
      <c r="AN403" s="12">
        <f t="shared" ca="1" si="1107"/>
        <v>0.44031910823793236</v>
      </c>
      <c r="AO403" s="14">
        <f t="shared" ca="1" si="1108"/>
        <v>0.66047866235689856</v>
      </c>
      <c r="AP403" s="13">
        <f t="shared" ref="AP403:AQ403" ca="1" si="1121">SUM(T394)</f>
        <v>257.33900200344777</v>
      </c>
      <c r="AQ403" s="13">
        <f t="shared" ca="1" si="1121"/>
        <v>9.1906786429802771</v>
      </c>
      <c r="AR403" s="9">
        <f t="shared" ca="1" si="1110"/>
        <v>130.28571428571428</v>
      </c>
      <c r="AS403" s="76"/>
      <c r="AT403" s="76"/>
    </row>
    <row r="404" spans="1:46" ht="15.75" customHeight="1" x14ac:dyDescent="0.2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6"/>
      <c r="X404" s="8">
        <v>6</v>
      </c>
      <c r="Y404" s="8" t="s">
        <v>41</v>
      </c>
      <c r="Z404" s="8">
        <f t="shared" ref="Z404:AI404" si="1122">SUM(D395)</f>
        <v>24</v>
      </c>
      <c r="AA404" s="9">
        <f t="shared" ca="1" si="1122"/>
        <v>24</v>
      </c>
      <c r="AB404" s="10">
        <f t="shared" ca="1" si="1122"/>
        <v>4796.4440000000004</v>
      </c>
      <c r="AC404" s="9">
        <f t="shared" ca="1" si="1122"/>
        <v>1327</v>
      </c>
      <c r="AD404" s="9">
        <f t="shared" ca="1" si="1122"/>
        <v>0</v>
      </c>
      <c r="AE404" s="9">
        <f t="shared" ca="1" si="1122"/>
        <v>1327</v>
      </c>
      <c r="AF404" s="9">
        <f t="shared" ca="1" si="1122"/>
        <v>1890</v>
      </c>
      <c r="AG404" s="9">
        <f t="shared" ca="1" si="1122"/>
        <v>0</v>
      </c>
      <c r="AH404" s="9">
        <f t="shared" ca="1" si="1122"/>
        <v>1890</v>
      </c>
      <c r="AI404" s="9">
        <f t="shared" ca="1" si="1122"/>
        <v>3217</v>
      </c>
      <c r="AJ404" s="11">
        <f t="shared" ca="1" si="1105"/>
        <v>199.85183333333336</v>
      </c>
      <c r="AK404" s="8">
        <f t="shared" si="1114"/>
        <v>3801</v>
      </c>
      <c r="AL404" s="12">
        <f t="shared" ca="1" si="1106"/>
        <v>0.84635622204682981</v>
      </c>
      <c r="AM404" s="13">
        <f t="shared" si="1115"/>
        <v>1.5</v>
      </c>
      <c r="AN404" s="12">
        <f t="shared" ca="1" si="1107"/>
        <v>0.44713680940852568</v>
      </c>
      <c r="AO404" s="14">
        <f t="shared" ca="1" si="1108"/>
        <v>0.67070521411278849</v>
      </c>
      <c r="AP404" s="13">
        <f t="shared" ref="AP404:AQ404" ca="1" si="1123">SUM(T395)</f>
        <v>161.88888888888891</v>
      </c>
      <c r="AQ404" s="13">
        <f t="shared" ca="1" si="1123"/>
        <v>6.7453703703703711</v>
      </c>
      <c r="AR404" s="9">
        <f t="shared" ca="1" si="1110"/>
        <v>134.04166666666666</v>
      </c>
      <c r="AS404" s="76"/>
      <c r="AT404" s="76"/>
    </row>
    <row r="405" spans="1:46" ht="15.75" customHeight="1" x14ac:dyDescent="0.25">
      <c r="A405" s="110" t="s">
        <v>45</v>
      </c>
      <c r="B405" s="76"/>
      <c r="C405" s="76"/>
      <c r="D405" s="75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24" t="s">
        <v>33</v>
      </c>
      <c r="Y405" s="24">
        <v>6</v>
      </c>
      <c r="Z405" s="24">
        <f t="shared" ref="Z405:AI405" si="1124">SUM(Z399:Z404)</f>
        <v>174</v>
      </c>
      <c r="AA405" s="25">
        <f t="shared" ca="1" si="1124"/>
        <v>171</v>
      </c>
      <c r="AB405" s="27">
        <f t="shared" ca="1" si="1124"/>
        <v>33984.957999999984</v>
      </c>
      <c r="AC405" s="25">
        <f t="shared" ca="1" si="1124"/>
        <v>12135</v>
      </c>
      <c r="AD405" s="25">
        <f t="shared" ca="1" si="1124"/>
        <v>85</v>
      </c>
      <c r="AE405" s="25">
        <f t="shared" ca="1" si="1124"/>
        <v>12220</v>
      </c>
      <c r="AF405" s="25">
        <f t="shared" ca="1" si="1124"/>
        <v>19024</v>
      </c>
      <c r="AG405" s="25">
        <f t="shared" ca="1" si="1124"/>
        <v>62</v>
      </c>
      <c r="AH405" s="25">
        <f t="shared" ca="1" si="1124"/>
        <v>19086</v>
      </c>
      <c r="AI405" s="25">
        <f t="shared" ca="1" si="1124"/>
        <v>31306</v>
      </c>
      <c r="AJ405" s="27">
        <f t="shared" ca="1" si="1105"/>
        <v>198.74244444444435</v>
      </c>
      <c r="AK405" s="24">
        <f>SUM(AK399:AK404)</f>
        <v>37031</v>
      </c>
      <c r="AL405" s="28">
        <f t="shared" ca="1" si="1106"/>
        <v>0.84539980016742733</v>
      </c>
      <c r="AM405" s="29">
        <v>1.5</v>
      </c>
      <c r="AN405" s="28">
        <f t="shared" ca="1" si="1107"/>
        <v>0.61411482888007918</v>
      </c>
      <c r="AO405" s="30">
        <f t="shared" ca="1" si="1108"/>
        <v>0.92117224332011871</v>
      </c>
      <c r="AP405" s="29">
        <f ca="1">SUM(AP399:AP404)</f>
        <v>1393.8269297130582</v>
      </c>
      <c r="AQ405" s="29">
        <f ca="1">AP405/AA405</f>
        <v>8.1510346766845512</v>
      </c>
      <c r="AR405" s="25">
        <f t="shared" ca="1" si="1110"/>
        <v>183.07602339181287</v>
      </c>
      <c r="AS405" s="76"/>
      <c r="AT405" s="76"/>
    </row>
    <row r="406" spans="1:46" ht="15.75" customHeight="1" x14ac:dyDescent="0.2">
      <c r="A406" s="110" t="s">
        <v>45</v>
      </c>
      <c r="B406" s="76"/>
      <c r="C406" s="76"/>
      <c r="D406" s="75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7" t="s">
        <v>1</v>
      </c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9"/>
      <c r="AS406" s="76"/>
      <c r="AT406" s="76"/>
    </row>
    <row r="407" spans="1:46" ht="15.75" customHeight="1" x14ac:dyDescent="0.2">
      <c r="A407" s="109">
        <v>46281</v>
      </c>
      <c r="B407" s="80" t="s">
        <v>2</v>
      </c>
      <c r="C407" s="80" t="s">
        <v>3</v>
      </c>
      <c r="D407" s="80" t="s">
        <v>4</v>
      </c>
      <c r="E407" s="80" t="s">
        <v>5</v>
      </c>
      <c r="F407" s="81" t="s">
        <v>6</v>
      </c>
      <c r="G407" s="80" t="s">
        <v>7</v>
      </c>
      <c r="H407" s="80" t="s">
        <v>8</v>
      </c>
      <c r="I407" s="80" t="s">
        <v>9</v>
      </c>
      <c r="J407" s="80" t="s">
        <v>10</v>
      </c>
      <c r="K407" s="80" t="s">
        <v>11</v>
      </c>
      <c r="L407" s="80" t="s">
        <v>12</v>
      </c>
      <c r="M407" s="80" t="s">
        <v>13</v>
      </c>
      <c r="N407" s="81" t="s">
        <v>14</v>
      </c>
      <c r="O407" s="80" t="s">
        <v>15</v>
      </c>
      <c r="P407" s="80" t="s">
        <v>16</v>
      </c>
      <c r="Q407" s="80" t="s">
        <v>17</v>
      </c>
      <c r="R407" s="80" t="s">
        <v>18</v>
      </c>
      <c r="S407" s="106" t="s">
        <v>19</v>
      </c>
      <c r="T407" s="107" t="s">
        <v>20</v>
      </c>
      <c r="U407" s="107" t="s">
        <v>21</v>
      </c>
      <c r="V407" s="105" t="s">
        <v>22</v>
      </c>
      <c r="W407" s="76"/>
      <c r="X407" s="1" t="s">
        <v>2</v>
      </c>
      <c r="Y407" s="1" t="s">
        <v>3</v>
      </c>
      <c r="Z407" s="1" t="s">
        <v>4</v>
      </c>
      <c r="AA407" s="1" t="s">
        <v>5</v>
      </c>
      <c r="AB407" s="2" t="s">
        <v>6</v>
      </c>
      <c r="AC407" s="1" t="s">
        <v>7</v>
      </c>
      <c r="AD407" s="1" t="s">
        <v>8</v>
      </c>
      <c r="AE407" s="1" t="s">
        <v>9</v>
      </c>
      <c r="AF407" s="1" t="s">
        <v>10</v>
      </c>
      <c r="AG407" s="1" t="s">
        <v>11</v>
      </c>
      <c r="AH407" s="1" t="s">
        <v>12</v>
      </c>
      <c r="AI407" s="1" t="s">
        <v>13</v>
      </c>
      <c r="AJ407" s="2" t="s">
        <v>14</v>
      </c>
      <c r="AK407" s="1" t="s">
        <v>15</v>
      </c>
      <c r="AL407" s="1" t="s">
        <v>16</v>
      </c>
      <c r="AM407" s="3" t="s">
        <v>17</v>
      </c>
      <c r="AN407" s="4" t="s">
        <v>18</v>
      </c>
      <c r="AO407" s="5" t="s">
        <v>19</v>
      </c>
      <c r="AP407" s="6" t="s">
        <v>20</v>
      </c>
      <c r="AQ407" s="6" t="s">
        <v>21</v>
      </c>
      <c r="AR407" s="7" t="s">
        <v>22</v>
      </c>
      <c r="AS407" s="76"/>
      <c r="AT407" s="76"/>
    </row>
    <row r="408" spans="1:46" ht="15.75" customHeight="1" x14ac:dyDescent="0.2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6"/>
      <c r="X408" s="8">
        <v>1</v>
      </c>
      <c r="Y408" s="8" t="s">
        <v>23</v>
      </c>
      <c r="Z408" s="8">
        <f t="shared" ref="Z408:AI408" si="1125">SUM(D416)</f>
        <v>35</v>
      </c>
      <c r="AA408" s="9">
        <f t="shared" ca="1" si="1125"/>
        <v>35</v>
      </c>
      <c r="AB408" s="10">
        <f t="shared" ca="1" si="1125"/>
        <v>6579.2999999999902</v>
      </c>
      <c r="AC408" s="9">
        <f t="shared" ca="1" si="1125"/>
        <v>1704</v>
      </c>
      <c r="AD408" s="9">
        <f t="shared" ca="1" si="1125"/>
        <v>0</v>
      </c>
      <c r="AE408" s="9">
        <f t="shared" ca="1" si="1125"/>
        <v>1704</v>
      </c>
      <c r="AF408" s="9">
        <f t="shared" ca="1" si="1125"/>
        <v>3135</v>
      </c>
      <c r="AG408" s="9">
        <f t="shared" ca="1" si="1125"/>
        <v>0</v>
      </c>
      <c r="AH408" s="9">
        <f t="shared" ca="1" si="1125"/>
        <v>3135</v>
      </c>
      <c r="AI408" s="9">
        <f t="shared" ca="1" si="1125"/>
        <v>4839</v>
      </c>
      <c r="AJ408" s="11">
        <f t="shared" ref="AJ408:AJ410" ca="1" si="1126">AB408/AA408</f>
        <v>187.97999999999971</v>
      </c>
      <c r="AK408" s="8">
        <f>SUM(O416)</f>
        <v>6853</v>
      </c>
      <c r="AL408" s="12">
        <f t="shared" ref="AL408:AL414" ca="1" si="1127">AI408/AK408</f>
        <v>0.70611411060849261</v>
      </c>
      <c r="AM408" s="13">
        <f t="shared" ref="AM408:AM410" si="1128">SUM(Q416)</f>
        <v>1.5</v>
      </c>
      <c r="AN408" s="12">
        <f t="shared" ref="AN408:AN414" ca="1" si="1129">AO408/AM408</f>
        <v>0.49032571854148688</v>
      </c>
      <c r="AO408" s="14">
        <f t="shared" ref="AO408:AO414" ca="1" si="1130">AI408/AB408</f>
        <v>0.73548857781223032</v>
      </c>
      <c r="AP408" s="13">
        <f t="shared" ref="AP408:AQ408" ca="1" si="1131">SUM(T416)</f>
        <v>194.99999999999969</v>
      </c>
      <c r="AQ408" s="13">
        <f t="shared" ca="1" si="1131"/>
        <v>5.5714285714285623</v>
      </c>
      <c r="AR408" s="9">
        <f t="shared" ref="AR408:AR414" ca="1" si="1132">AI408/AA408</f>
        <v>138.25714285714287</v>
      </c>
      <c r="AS408" s="76"/>
      <c r="AT408" s="76"/>
    </row>
    <row r="409" spans="1:46" ht="15.75" customHeight="1" x14ac:dyDescent="0.2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6"/>
      <c r="X409" s="8">
        <v>2</v>
      </c>
      <c r="Y409" s="8" t="s">
        <v>24</v>
      </c>
      <c r="Z409" s="8">
        <f t="shared" ref="Z409:AI409" si="1133">SUM(D417)</f>
        <v>44</v>
      </c>
      <c r="AA409" s="9">
        <f t="shared" ca="1" si="1133"/>
        <v>44</v>
      </c>
      <c r="AB409" s="10">
        <f t="shared" ca="1" si="1133"/>
        <v>8505.9739999999892</v>
      </c>
      <c r="AC409" s="9">
        <f t="shared" ca="1" si="1133"/>
        <v>1245</v>
      </c>
      <c r="AD409" s="9">
        <f t="shared" ca="1" si="1133"/>
        <v>43</v>
      </c>
      <c r="AE409" s="9">
        <f t="shared" ca="1" si="1133"/>
        <v>1288</v>
      </c>
      <c r="AF409" s="9">
        <f t="shared" ca="1" si="1133"/>
        <v>1396</v>
      </c>
      <c r="AG409" s="9">
        <f t="shared" ca="1" si="1133"/>
        <v>0</v>
      </c>
      <c r="AH409" s="9">
        <f t="shared" ca="1" si="1133"/>
        <v>1396</v>
      </c>
      <c r="AI409" s="9">
        <f t="shared" ca="1" si="1133"/>
        <v>2684</v>
      </c>
      <c r="AJ409" s="11">
        <f t="shared" ca="1" si="1126"/>
        <v>193.31759090909065</v>
      </c>
      <c r="AK409" s="8">
        <v>1580</v>
      </c>
      <c r="AL409" s="15">
        <f t="shared" ca="1" si="1127"/>
        <v>1.6987341772151898</v>
      </c>
      <c r="AM409" s="13">
        <f t="shared" si="1128"/>
        <v>1.5</v>
      </c>
      <c r="AN409" s="12">
        <f t="shared" ca="1" si="1129"/>
        <v>0.2103619565887852</v>
      </c>
      <c r="AO409" s="14">
        <f t="shared" ca="1" si="1130"/>
        <v>0.31554293488317781</v>
      </c>
      <c r="AP409" s="13">
        <f t="shared" ref="AP409:AQ409" ca="1" si="1134">SUM(T417)</f>
        <v>317.32788658832266</v>
      </c>
      <c r="AQ409" s="13">
        <f t="shared" ca="1" si="1134"/>
        <v>7.2119974224618781</v>
      </c>
      <c r="AR409" s="9">
        <f t="shared" ca="1" si="1132"/>
        <v>61</v>
      </c>
      <c r="AS409" s="76"/>
      <c r="AT409" s="76"/>
    </row>
    <row r="410" spans="1:46" ht="15.75" customHeight="1" x14ac:dyDescent="0.2">
      <c r="A410" s="70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6"/>
      <c r="X410" s="8">
        <v>3</v>
      </c>
      <c r="Y410" s="8" t="s">
        <v>25</v>
      </c>
      <c r="Z410" s="8">
        <f t="shared" ref="Z410:AI410" si="1135">SUM(D418)</f>
        <v>32</v>
      </c>
      <c r="AA410" s="9">
        <f t="shared" ca="1" si="1135"/>
        <v>30</v>
      </c>
      <c r="AB410" s="10">
        <f t="shared" ca="1" si="1135"/>
        <v>5748.9759999999997</v>
      </c>
      <c r="AC410" s="9">
        <f t="shared" ca="1" si="1135"/>
        <v>2425</v>
      </c>
      <c r="AD410" s="9">
        <f t="shared" ca="1" si="1135"/>
        <v>343</v>
      </c>
      <c r="AE410" s="9">
        <f t="shared" ca="1" si="1135"/>
        <v>2768</v>
      </c>
      <c r="AF410" s="9">
        <f t="shared" ca="1" si="1135"/>
        <v>3279</v>
      </c>
      <c r="AG410" s="9">
        <f t="shared" ca="1" si="1135"/>
        <v>425</v>
      </c>
      <c r="AH410" s="9">
        <f t="shared" ca="1" si="1135"/>
        <v>3704</v>
      </c>
      <c r="AI410" s="9">
        <f t="shared" ca="1" si="1135"/>
        <v>6472</v>
      </c>
      <c r="AJ410" s="11">
        <f t="shared" ca="1" si="1126"/>
        <v>191.63253333333333</v>
      </c>
      <c r="AK410" s="8">
        <f>SUM(O418)</f>
        <v>6622</v>
      </c>
      <c r="AL410" s="12">
        <f t="shared" ca="1" si="1127"/>
        <v>0.97734823316218666</v>
      </c>
      <c r="AM410" s="13">
        <f t="shared" si="1128"/>
        <v>1.5</v>
      </c>
      <c r="AN410" s="12">
        <f t="shared" ca="1" si="1129"/>
        <v>0.7505104677192368</v>
      </c>
      <c r="AO410" s="14">
        <f t="shared" ca="1" si="1130"/>
        <v>1.1257657015788551</v>
      </c>
      <c r="AP410" s="13">
        <f t="shared" ref="AP410:AQ410" ca="1" si="1136">SUM(T418)</f>
        <v>241.14832214765099</v>
      </c>
      <c r="AQ410" s="13">
        <f t="shared" ca="1" si="1136"/>
        <v>8.0382774049216987</v>
      </c>
      <c r="AR410" s="9">
        <f t="shared" ca="1" si="1132"/>
        <v>215.73333333333332</v>
      </c>
      <c r="AS410" s="76"/>
      <c r="AT410" s="76"/>
    </row>
    <row r="411" spans="1:46" ht="15.75" customHeight="1" x14ac:dyDescent="0.25">
      <c r="A411" s="70"/>
      <c r="B411" s="16">
        <v>1</v>
      </c>
      <c r="C411" s="16" t="s">
        <v>26</v>
      </c>
      <c r="D411" s="17">
        <v>20</v>
      </c>
      <c r="E411" s="18">
        <f ca="1">IFERROR(__xludf.DUMMYFUNCTION("COUNT(IMPORTRANGE(""https://docs.google.com/spreadsheets/d/1F0NpMx7WhcgPgxTWpryY3Z1CGg56FL6aiL4mHs43w4E/edit"",""16!d2:d21""))"),19)</f>
        <v>19</v>
      </c>
      <c r="F411" s="19">
        <f ca="1">IFERROR(__xludf.DUMMYFUNCTION("SUM(IMPORTRANGE(""https://docs.google.com/spreadsheets/d/1F0NpMx7WhcgPgxTWpryY3Z1CGg56FL6aiL4mHs43w4E/edit"",""16!Q2:Q21""))"),3762.927)</f>
        <v>3762.9270000000001</v>
      </c>
      <c r="G411" s="18">
        <f ca="1">IFERROR(__xludf.DUMMYFUNCTION("IMPORTRANGE(""https://docs.google.com/spreadsheets/d/1F0NpMx7WhcgPgxTWpryY3Z1CGg56FL6aiL4mHs43w4E/edit"",""16!e28"")"),2179)</f>
        <v>2179</v>
      </c>
      <c r="H411" s="18">
        <f ca="1">IFERROR(__xludf.DUMMYFUNCTION("IMPORTRANGE(""https://docs.google.com/spreadsheets/d/1F0NpMx7WhcgPgxTWpryY3Z1CGg56FL6aiL4mHs43w4E/edit"",""16!e29"")"),0)</f>
        <v>0</v>
      </c>
      <c r="I411" s="18">
        <f t="shared" ref="I411:I428" ca="1" si="1137">SUM(G411:H411)</f>
        <v>2179</v>
      </c>
      <c r="J411" s="18">
        <f ca="1">IFERROR(__xludf.DUMMYFUNCTION("IMPORTRANGE(""https://docs.google.com/spreadsheets/d/1F0NpMx7WhcgPgxTWpryY3Z1CGg56FL6aiL4mHs43w4E/edit"",""16!e32"")"),2697)</f>
        <v>2697</v>
      </c>
      <c r="K411" s="18">
        <f ca="1">IFERROR(__xludf.DUMMYFUNCTION("IMPORTRANGE(""https://docs.google.com/spreadsheets/d/1F0NpMx7WhcgPgxTWpryY3Z1CGg56FL6aiL4mHs43w4E/edit"",""16!e33"")"),0)</f>
        <v>0</v>
      </c>
      <c r="L411" s="18">
        <f t="shared" ref="L411:L417" ca="1" si="1138">SUM(J411:K411)</f>
        <v>2697</v>
      </c>
      <c r="M411" s="18">
        <f t="shared" ref="M411:M428" ca="1" si="1139">SUM(I411+L411)</f>
        <v>4876</v>
      </c>
      <c r="N411" s="19">
        <f t="shared" ref="N411:N429" ca="1" si="1140">F411/E411</f>
        <v>198.04878947368422</v>
      </c>
      <c r="O411" s="16">
        <v>5161</v>
      </c>
      <c r="P411" s="20">
        <f t="shared" ref="P411:P429" ca="1" si="1141">M411/O411</f>
        <v>0.94477814377058711</v>
      </c>
      <c r="Q411" s="21">
        <v>1.5</v>
      </c>
      <c r="R411" s="20">
        <f t="shared" ref="R411:R429" ca="1" si="1142">S411/Q411</f>
        <v>0.86386652376372608</v>
      </c>
      <c r="S411" s="22">
        <f t="shared" ref="S411:S429" ca="1" si="1143">M411/F411</f>
        <v>1.2957997856455892</v>
      </c>
      <c r="T411" s="21">
        <f ca="1">F411/14.415</f>
        <v>261.04245577523415</v>
      </c>
      <c r="U411" s="21">
        <f t="shared" ref="U411:U429" ca="1" si="1144">T411/E411</f>
        <v>13.739076619749165</v>
      </c>
      <c r="V411" s="18">
        <f t="shared" ref="V411:V429" ca="1" si="1145">M411/E411</f>
        <v>256.63157894736844</v>
      </c>
      <c r="W411" s="76"/>
      <c r="X411" s="8">
        <v>4</v>
      </c>
      <c r="Y411" s="8" t="s">
        <v>27</v>
      </c>
      <c r="Z411" s="8">
        <f t="shared" ref="Z411:AK411" si="1146">SUM(D424)</f>
        <v>30</v>
      </c>
      <c r="AA411" s="9">
        <f t="shared" ca="1" si="1146"/>
        <v>27</v>
      </c>
      <c r="AB411" s="10">
        <f t="shared" ca="1" si="1146"/>
        <v>5066.0600000000004</v>
      </c>
      <c r="AC411" s="9">
        <f t="shared" ca="1" si="1146"/>
        <v>2577</v>
      </c>
      <c r="AD411" s="9">
        <f t="shared" ca="1" si="1146"/>
        <v>213</v>
      </c>
      <c r="AE411" s="9">
        <f t="shared" ca="1" si="1146"/>
        <v>2790</v>
      </c>
      <c r="AF411" s="9">
        <f t="shared" ca="1" si="1146"/>
        <v>2849</v>
      </c>
      <c r="AG411" s="9">
        <f t="shared" ca="1" si="1146"/>
        <v>226</v>
      </c>
      <c r="AH411" s="9">
        <f t="shared" ca="1" si="1146"/>
        <v>3075</v>
      </c>
      <c r="AI411" s="9">
        <f t="shared" ca="1" si="1146"/>
        <v>5865</v>
      </c>
      <c r="AJ411" s="11">
        <f t="shared" ca="1" si="1146"/>
        <v>187.63185185185188</v>
      </c>
      <c r="AK411" s="8">
        <f t="shared" si="1146"/>
        <v>8101</v>
      </c>
      <c r="AL411" s="12">
        <f t="shared" ca="1" si="1127"/>
        <v>0.72398469324774717</v>
      </c>
      <c r="AM411" s="13">
        <f>SUM(Q424)</f>
        <v>1.5</v>
      </c>
      <c r="AN411" s="12">
        <f t="shared" ca="1" si="1129"/>
        <v>0.77180293956250023</v>
      </c>
      <c r="AO411" s="14">
        <f t="shared" ca="1" si="1130"/>
        <v>1.1577044093437503</v>
      </c>
      <c r="AP411" s="13">
        <f t="shared" ref="AP411:AQ411" ca="1" si="1147">SUM(T424)</f>
        <v>253.49311983987994</v>
      </c>
      <c r="AQ411" s="13">
        <f t="shared" ca="1" si="1147"/>
        <v>9.3886340681437019</v>
      </c>
      <c r="AR411" s="9">
        <f t="shared" ca="1" si="1132"/>
        <v>217.22222222222223</v>
      </c>
      <c r="AS411" s="76"/>
      <c r="AT411" s="76"/>
    </row>
    <row r="412" spans="1:46" ht="15.75" customHeight="1" x14ac:dyDescent="0.25">
      <c r="A412" s="70"/>
      <c r="B412" s="16">
        <v>2</v>
      </c>
      <c r="C412" s="16" t="s">
        <v>28</v>
      </c>
      <c r="D412" s="17">
        <v>33</v>
      </c>
      <c r="E412" s="18">
        <f ca="1">IFERROR(__xludf.DUMMYFUNCTION("COUNT(IMPORTRANGE(""https://docs.google.com/spreadsheets/d/1H9vAqftAHb0OdeSGXHTnJFzoWUgpoH31sc0sHNN8y1o/edit"",""16!d2:d34""))"),33)</f>
        <v>33</v>
      </c>
      <c r="F412" s="19">
        <f ca="1">IFERROR(__xludf.DUMMYFUNCTION("SUM(IMPORTRANGE(""https://docs.google.com/spreadsheets/d/1H9vAqftAHb0OdeSGXHTnJFzoWUgpoH31sc0sHNN8y1o/edit"",""16!Q2:Q34""))"),6326.82599999999)</f>
        <v>6326.82599999999</v>
      </c>
      <c r="G412" s="18">
        <f ca="1">IFERROR(__xludf.DUMMYFUNCTION("IMPORTRANGE(""https://docs.google.com/spreadsheets/d/1H9vAqftAHb0OdeSGXHTnJFzoWUgpoH31sc0sHNN8y1o/edit"",""16!e41"")"),2723)</f>
        <v>2723</v>
      </c>
      <c r="H412" s="18">
        <f ca="1">IFERROR(__xludf.DUMMYFUNCTION("IMPORTRANGE(""https://docs.google.com/spreadsheets/d/1H9vAqftAHb0OdeSGXHTnJFzoWUgpoH31sc0sHNN8y1o/edit"",""16!e42"")"),143)</f>
        <v>143</v>
      </c>
      <c r="I412" s="18">
        <f t="shared" ca="1" si="1137"/>
        <v>2866</v>
      </c>
      <c r="J412" s="18">
        <f ca="1">IFERROR(__xludf.DUMMYFUNCTION("IMPORTRANGE(""https://docs.google.com/spreadsheets/d/1H9vAqftAHb0OdeSGXHTnJFzoWUgpoH31sc0sHNN8y1o/edit"",""16!e45"")"),3039)</f>
        <v>3039</v>
      </c>
      <c r="K412" s="18">
        <f ca="1">IFERROR(__xludf.DUMMYFUNCTION("IMPORTRANGE(""https://docs.google.com/spreadsheets/d/1H9vAqftAHb0OdeSGXHTnJFzoWUgpoH31sc0sHNN8y1o/edit"",""16!e46"")"),195)</f>
        <v>195</v>
      </c>
      <c r="L412" s="18">
        <f t="shared" ca="1" si="1138"/>
        <v>3234</v>
      </c>
      <c r="M412" s="18">
        <f t="shared" ca="1" si="1139"/>
        <v>6100</v>
      </c>
      <c r="N412" s="19">
        <f t="shared" ca="1" si="1140"/>
        <v>191.7219999999997</v>
      </c>
      <c r="O412" s="16">
        <v>7315</v>
      </c>
      <c r="P412" s="20">
        <f t="shared" ca="1" si="1141"/>
        <v>0.83390293916609703</v>
      </c>
      <c r="Q412" s="21">
        <v>1.5</v>
      </c>
      <c r="R412" s="20">
        <f t="shared" ca="1" si="1142"/>
        <v>0.64276568798741629</v>
      </c>
      <c r="S412" s="22">
        <f t="shared" ca="1" si="1143"/>
        <v>0.96414853198112449</v>
      </c>
      <c r="T412" s="21">
        <f ca="1">F412/30.897</f>
        <v>204.77153121662266</v>
      </c>
      <c r="U412" s="21">
        <f t="shared" ca="1" si="1144"/>
        <v>6.2051979156552326</v>
      </c>
      <c r="V412" s="18">
        <f t="shared" ca="1" si="1145"/>
        <v>184.84848484848484</v>
      </c>
      <c r="W412" s="76"/>
      <c r="X412" s="8">
        <v>5</v>
      </c>
      <c r="Y412" s="8" t="s">
        <v>29</v>
      </c>
      <c r="Z412" s="8">
        <f t="shared" ref="Z412:AI412" si="1148">SUM(D427)</f>
        <v>30</v>
      </c>
      <c r="AA412" s="9">
        <f t="shared" ca="1" si="1148"/>
        <v>30</v>
      </c>
      <c r="AB412" s="10">
        <f t="shared" ca="1" si="1148"/>
        <v>6013.4569999999903</v>
      </c>
      <c r="AC412" s="9">
        <f t="shared" ca="1" si="1148"/>
        <v>2919</v>
      </c>
      <c r="AD412" s="9">
        <f t="shared" ca="1" si="1148"/>
        <v>0</v>
      </c>
      <c r="AE412" s="9">
        <f t="shared" ca="1" si="1148"/>
        <v>2919</v>
      </c>
      <c r="AF412" s="9">
        <f t="shared" ca="1" si="1148"/>
        <v>4378</v>
      </c>
      <c r="AG412" s="9">
        <f t="shared" ca="1" si="1148"/>
        <v>0</v>
      </c>
      <c r="AH412" s="9">
        <f t="shared" ca="1" si="1148"/>
        <v>4378</v>
      </c>
      <c r="AI412" s="9">
        <f t="shared" ca="1" si="1148"/>
        <v>7297</v>
      </c>
      <c r="AJ412" s="11">
        <f t="shared" ref="AJ412:AJ414" ca="1" si="1149">AB412/AA412</f>
        <v>200.44856666666635</v>
      </c>
      <c r="AK412" s="8">
        <f t="shared" ref="AK412:AK413" si="1150">SUM(O427)</f>
        <v>9201</v>
      </c>
      <c r="AL412" s="12">
        <f t="shared" ca="1" si="1127"/>
        <v>0.79306597109009891</v>
      </c>
      <c r="AM412" s="13">
        <f t="shared" ref="AM412:AM413" si="1151">SUM(Q427)</f>
        <v>1.5</v>
      </c>
      <c r="AN412" s="12">
        <f t="shared" ca="1" si="1129"/>
        <v>0.80896340768158392</v>
      </c>
      <c r="AO412" s="14">
        <f t="shared" ca="1" si="1130"/>
        <v>1.2134451115223759</v>
      </c>
      <c r="AP412" s="13">
        <f t="shared" ref="AP412:AQ412" ca="1" si="1152">SUM(T427)</f>
        <v>226.99999999999963</v>
      </c>
      <c r="AQ412" s="13">
        <f t="shared" ca="1" si="1152"/>
        <v>7.566666666666654</v>
      </c>
      <c r="AR412" s="9">
        <f t="shared" ca="1" si="1132"/>
        <v>243.23333333333332</v>
      </c>
      <c r="AS412" s="76"/>
      <c r="AT412" s="76"/>
    </row>
    <row r="413" spans="1:46" ht="15.75" customHeight="1" x14ac:dyDescent="0.25">
      <c r="A413" s="70"/>
      <c r="B413" s="16">
        <v>3</v>
      </c>
      <c r="C413" s="16" t="s">
        <v>30</v>
      </c>
      <c r="D413" s="17">
        <v>60</v>
      </c>
      <c r="E413" s="18">
        <f ca="1">IFERROR(__xludf.DUMMYFUNCTION("COUNT(IMPORTRANGE(""https://docs.google.com/spreadsheets/d/1EWN6nfpuVxbUE_9opjYCWaI7MTm5xsF6ssjklSbMZnA/edit"",""16!d2:d61""))"),58)</f>
        <v>58</v>
      </c>
      <c r="F413" s="23">
        <f ca="1">IFERROR(__xludf.DUMMYFUNCTION("SUM(IMPORTRANGE(""https://docs.google.com/spreadsheets/d/1EWN6nfpuVxbUE_9opjYCWaI7MTm5xsF6ssjklSbMZnA/edit"",""16!Q2:Q61""))"),11574.7729999999)</f>
        <v>11574.772999999899</v>
      </c>
      <c r="G413" s="18">
        <f ca="1">IFERROR(__xludf.DUMMYFUNCTION("IMPORTRANGE(""https://docs.google.com/spreadsheets/d/1EWN6nfpuVxbUE_9opjYCWaI7MTm5xsF6ssjklSbMZnA/edit"",""16!e68"")"),3322)</f>
        <v>3322</v>
      </c>
      <c r="H413" s="18">
        <f ca="1">IFERROR(__xludf.DUMMYFUNCTION("IMPORTRANGE(""https://docs.google.com/spreadsheets/d/1EWN6nfpuVxbUE_9opjYCWaI7MTm5xsF6ssjklSbMZnA/edit"",""16!e69"")"),0)</f>
        <v>0</v>
      </c>
      <c r="I413" s="18">
        <f t="shared" ca="1" si="1137"/>
        <v>3322</v>
      </c>
      <c r="J413" s="18">
        <f ca="1">IFERROR(__xludf.DUMMYFUNCTION("IMPORTRANGE(""https://docs.google.com/spreadsheets/d/1EWN6nfpuVxbUE_9opjYCWaI7MTm5xsF6ssjklSbMZnA/edit"",""16!e72"")"),5370)</f>
        <v>5370</v>
      </c>
      <c r="K413" s="18">
        <f ca="1">IFERROR(__xludf.DUMMYFUNCTION("IMPORTRANGE(""https://docs.google.com/spreadsheets/d/1EWN6nfpuVxbUE_9opjYCWaI7MTm5xsF6ssjklSbMZnA/edit"",""16!e73"")"),0)</f>
        <v>0</v>
      </c>
      <c r="L413" s="18">
        <f t="shared" ca="1" si="1138"/>
        <v>5370</v>
      </c>
      <c r="M413" s="18">
        <f t="shared" ca="1" si="1139"/>
        <v>8692</v>
      </c>
      <c r="N413" s="19">
        <f t="shared" ca="1" si="1140"/>
        <v>199.5650517241362</v>
      </c>
      <c r="O413" s="16">
        <v>11164</v>
      </c>
      <c r="P413" s="20">
        <f t="shared" ca="1" si="1141"/>
        <v>0.77857398781798637</v>
      </c>
      <c r="Q413" s="21">
        <v>1.5</v>
      </c>
      <c r="R413" s="20">
        <f t="shared" ca="1" si="1142"/>
        <v>0.50062896841836269</v>
      </c>
      <c r="S413" s="22">
        <f t="shared" ca="1" si="1143"/>
        <v>0.75094345262754403</v>
      </c>
      <c r="T413" s="21">
        <f ca="1">F413/29.603</f>
        <v>390.99999999999659</v>
      </c>
      <c r="U413" s="21">
        <f t="shared" ca="1" si="1144"/>
        <v>6.7413793103447688</v>
      </c>
      <c r="V413" s="18">
        <f t="shared" ca="1" si="1145"/>
        <v>149.86206896551724</v>
      </c>
      <c r="W413" s="76"/>
      <c r="X413" s="8">
        <v>6</v>
      </c>
      <c r="Y413" s="8" t="s">
        <v>31</v>
      </c>
      <c r="Z413" s="8">
        <f t="shared" ref="Z413:AI413" si="1153">SUM(D428)</f>
        <v>15</v>
      </c>
      <c r="AA413" s="9">
        <f t="shared" ca="1" si="1153"/>
        <v>14</v>
      </c>
      <c r="AB413" s="11">
        <f t="shared" ca="1" si="1153"/>
        <v>2694.83</v>
      </c>
      <c r="AC413" s="9">
        <f t="shared" ca="1" si="1153"/>
        <v>846</v>
      </c>
      <c r="AD413" s="9">
        <f t="shared" ca="1" si="1153"/>
        <v>93</v>
      </c>
      <c r="AE413" s="9">
        <f t="shared" ca="1" si="1153"/>
        <v>939</v>
      </c>
      <c r="AF413" s="9">
        <f t="shared" ca="1" si="1153"/>
        <v>1006</v>
      </c>
      <c r="AG413" s="9">
        <f t="shared" ca="1" si="1153"/>
        <v>53</v>
      </c>
      <c r="AH413" s="9">
        <f t="shared" ca="1" si="1153"/>
        <v>1059</v>
      </c>
      <c r="AI413" s="9">
        <f t="shared" ca="1" si="1153"/>
        <v>1998</v>
      </c>
      <c r="AJ413" s="11">
        <f t="shared" ca="1" si="1149"/>
        <v>192.48785714285714</v>
      </c>
      <c r="AK413" s="8">
        <f t="shared" si="1150"/>
        <v>2717</v>
      </c>
      <c r="AL413" s="12">
        <f t="shared" ca="1" si="1127"/>
        <v>0.73536989326463009</v>
      </c>
      <c r="AM413" s="13">
        <f t="shared" si="1151"/>
        <v>1.5</v>
      </c>
      <c r="AN413" s="12">
        <f t="shared" ca="1" si="1129"/>
        <v>0.49427978759328051</v>
      </c>
      <c r="AO413" s="14">
        <f t="shared" ca="1" si="1130"/>
        <v>0.74141968138992076</v>
      </c>
      <c r="AP413" s="13">
        <f t="shared" ref="AP413:AQ413" ca="1" si="1154">SUM(T428)</f>
        <v>61.999999999999993</v>
      </c>
      <c r="AQ413" s="13">
        <f t="shared" ca="1" si="1154"/>
        <v>4.4285714285714279</v>
      </c>
      <c r="AR413" s="9">
        <f t="shared" ca="1" si="1132"/>
        <v>142.71428571428572</v>
      </c>
      <c r="AS413" s="76"/>
      <c r="AT413" s="76"/>
    </row>
    <row r="414" spans="1:46" ht="15.75" customHeight="1" x14ac:dyDescent="0.25">
      <c r="A414" s="70"/>
      <c r="B414" s="16">
        <v>4</v>
      </c>
      <c r="C414" s="16" t="s">
        <v>32</v>
      </c>
      <c r="D414" s="17">
        <v>42</v>
      </c>
      <c r="E414" s="18">
        <f ca="1">IFERROR(__xludf.DUMMYFUNCTION("COUNT(IMPORTRANGE(""https://docs.google.com/spreadsheets/d/1Rmar8QqWK4XOJ-eY6xMzkAfDSw0srEXcAw89ilArun8/edit"",""16!d2:d43""))"),42)</f>
        <v>42</v>
      </c>
      <c r="F414" s="23">
        <f ca="1">IFERROR(__xludf.DUMMYFUNCTION("SUM(IMPORTRANGE(""https://docs.google.com/spreadsheets/d/1Rmar8QqWK4XOJ-eY6xMzkAfDSw0srEXcAw89ilArun8/edit"",""16!Q2:Q43""))"),8090.12799999999)</f>
        <v>8090.1279999999897</v>
      </c>
      <c r="G414" s="16">
        <f ca="1">IFERROR(__xludf.DUMMYFUNCTION("IMPORTRANGE(""https://docs.google.com/spreadsheets/d/1Rmar8QqWK4XOJ-eY6xMzkAfDSw0srEXcAw89ilArun8/edit"",""16!e50"")"),4785)</f>
        <v>4785</v>
      </c>
      <c r="H414" s="16">
        <f ca="1">IFERROR(__xludf.DUMMYFUNCTION("IMPORTRANGE(""https://docs.google.com/spreadsheets/d/1Rmar8QqWK4XOJ-eY6xMzkAfDSw0srEXcAw89ilArun8/edit"",""16!e51"")"),0)</f>
        <v>0</v>
      </c>
      <c r="I414" s="18">
        <f t="shared" ca="1" si="1137"/>
        <v>4785</v>
      </c>
      <c r="J414" s="16">
        <f ca="1">IFERROR(__xludf.DUMMYFUNCTION("IMPORTRANGE(""https://docs.google.com/spreadsheets/d/1Rmar8QqWK4XOJ-eY6xMzkAfDSw0srEXcAw89ilArun8/edit"",""16!e54"")"),5150)</f>
        <v>5150</v>
      </c>
      <c r="K414" s="16">
        <f ca="1">IFERROR(__xludf.DUMMYFUNCTION("IMPORTRANGE(""https://docs.google.com/spreadsheets/d/1Rmar8QqWK4XOJ-eY6xMzkAfDSw0srEXcAw89ilArun8/edit"",""16!e55"")"),106)</f>
        <v>106</v>
      </c>
      <c r="L414" s="18">
        <f t="shared" ca="1" si="1138"/>
        <v>5256</v>
      </c>
      <c r="M414" s="18">
        <f t="shared" ca="1" si="1139"/>
        <v>10041</v>
      </c>
      <c r="N414" s="19">
        <f t="shared" ca="1" si="1140"/>
        <v>192.622095238095</v>
      </c>
      <c r="O414" s="16">
        <v>13817</v>
      </c>
      <c r="P414" s="20">
        <f t="shared" ca="1" si="1141"/>
        <v>0.72671346891510458</v>
      </c>
      <c r="Q414" s="21">
        <v>1.5</v>
      </c>
      <c r="R414" s="20">
        <f t="shared" ca="1" si="1142"/>
        <v>0.82742819396677136</v>
      </c>
      <c r="S414" s="22">
        <f t="shared" ca="1" si="1143"/>
        <v>1.241142290950157</v>
      </c>
      <c r="T414" s="21">
        <f ca="1">F414/25.089</f>
        <v>322.45717246602055</v>
      </c>
      <c r="U414" s="21">
        <f t="shared" ca="1" si="1144"/>
        <v>7.6775517253814414</v>
      </c>
      <c r="V414" s="18">
        <f t="shared" ca="1" si="1145"/>
        <v>239.07142857142858</v>
      </c>
      <c r="W414" s="76"/>
      <c r="X414" s="24" t="s">
        <v>33</v>
      </c>
      <c r="Y414" s="24">
        <v>6</v>
      </c>
      <c r="Z414" s="24">
        <f t="shared" ref="Z414:AI414" si="1155">SUM(Z408:Z413)</f>
        <v>186</v>
      </c>
      <c r="AA414" s="25">
        <f t="shared" ca="1" si="1155"/>
        <v>180</v>
      </c>
      <c r="AB414" s="26">
        <f t="shared" ca="1" si="1155"/>
        <v>34608.596999999972</v>
      </c>
      <c r="AC414" s="25">
        <f t="shared" ca="1" si="1155"/>
        <v>11716</v>
      </c>
      <c r="AD414" s="25">
        <f t="shared" ca="1" si="1155"/>
        <v>692</v>
      </c>
      <c r="AE414" s="25">
        <f t="shared" ca="1" si="1155"/>
        <v>12408</v>
      </c>
      <c r="AF414" s="25">
        <f t="shared" ca="1" si="1155"/>
        <v>16043</v>
      </c>
      <c r="AG414" s="25">
        <f t="shared" ca="1" si="1155"/>
        <v>704</v>
      </c>
      <c r="AH414" s="25">
        <f t="shared" ca="1" si="1155"/>
        <v>16747</v>
      </c>
      <c r="AI414" s="25">
        <f t="shared" ca="1" si="1155"/>
        <v>29155</v>
      </c>
      <c r="AJ414" s="27">
        <f t="shared" ca="1" si="1149"/>
        <v>192.26998333333319</v>
      </c>
      <c r="AK414" s="24">
        <f>SUM(AK408:AK413)</f>
        <v>35074</v>
      </c>
      <c r="AL414" s="28">
        <f t="shared" ca="1" si="1127"/>
        <v>0.83124251582368702</v>
      </c>
      <c r="AM414" s="29">
        <v>1.5</v>
      </c>
      <c r="AN414" s="28">
        <f t="shared" ca="1" si="1129"/>
        <v>0.56161382868732534</v>
      </c>
      <c r="AO414" s="30">
        <f t="shared" ca="1" si="1130"/>
        <v>0.84242074303098802</v>
      </c>
      <c r="AP414" s="29">
        <f ca="1">SUM(AP408:AP413)</f>
        <v>1295.9693285758528</v>
      </c>
      <c r="AQ414" s="29">
        <f ca="1">AP414/AA414</f>
        <v>7.1998296031991824</v>
      </c>
      <c r="AR414" s="25">
        <f t="shared" ca="1" si="1132"/>
        <v>161.97222222222223</v>
      </c>
      <c r="AS414" s="76"/>
      <c r="AT414" s="76"/>
    </row>
    <row r="415" spans="1:46" ht="15.75" customHeight="1" x14ac:dyDescent="0.25">
      <c r="A415" s="70"/>
      <c r="B415" s="16">
        <v>5</v>
      </c>
      <c r="C415" s="16" t="s">
        <v>34</v>
      </c>
      <c r="D415" s="17">
        <v>40</v>
      </c>
      <c r="E415" s="18">
        <f ca="1">IFERROR(__xludf.DUMMYFUNCTION("COUNT(IMPORTRANGE(""https://docs.google.com/spreadsheets/d/1u99JxAoytGQQ8GcjxXl38CGdyEWy5uIbuJJHnsotyvk/edit"",""16!d2:d41""))"),38)</f>
        <v>38</v>
      </c>
      <c r="F415" s="23">
        <f ca="1">IFERROR(__xludf.DUMMYFUNCTION("SUM(IMPORTRANGE(""https://docs.google.com/spreadsheets/d/1u99JxAoytGQQ8GcjxXl38CGdyEWy5uIbuJJHnsotyvk/edit"",""16!Q2:Q41""))"),7625.343)</f>
        <v>7625.3429999999998</v>
      </c>
      <c r="G415" s="18">
        <f ca="1">IFERROR(__xludf.DUMMYFUNCTION("IMPORTRANGE(""https://docs.google.com/spreadsheets/d/1u99JxAoytGQQ8GcjxXl38CGdyEWy5uIbuJJHnsotyvk/edit"",""16!e48"")"),2761)</f>
        <v>2761</v>
      </c>
      <c r="H415" s="18">
        <f ca="1">IFERROR(__xludf.DUMMYFUNCTION("IMPORTRANGE(""https://docs.google.com/spreadsheets/d/1u99JxAoytGQQ8GcjxXl38CGdyEWy5uIbuJJHnsotyvk/edit"",""16!e49"")"),0)</f>
        <v>0</v>
      </c>
      <c r="I415" s="18">
        <f t="shared" ca="1" si="1137"/>
        <v>2761</v>
      </c>
      <c r="J415" s="18">
        <f ca="1">IFERROR(__xludf.DUMMYFUNCTION("IMPORTRANGE(""https://docs.google.com/spreadsheets/d/1u99JxAoytGQQ8GcjxXl38CGdyEWy5uIbuJJHnsotyvk/edit"",""16!e52"")"),3350)</f>
        <v>3350</v>
      </c>
      <c r="K415" s="18">
        <f ca="1">IFERROR(__xludf.DUMMYFUNCTION("IMPORTRANGE(""https://docs.google.com/spreadsheets/d/1u99JxAoytGQQ8GcjxXl38CGdyEWy5uIbuJJHnsotyvk/edit"",""16!e53"")"),0)</f>
        <v>0</v>
      </c>
      <c r="L415" s="18">
        <f t="shared" ca="1" si="1138"/>
        <v>3350</v>
      </c>
      <c r="M415" s="18">
        <f t="shared" ca="1" si="1139"/>
        <v>6111</v>
      </c>
      <c r="N415" s="19">
        <f t="shared" ca="1" si="1140"/>
        <v>200.66692105263158</v>
      </c>
      <c r="O415" s="16">
        <v>9354</v>
      </c>
      <c r="P415" s="20">
        <f t="shared" ca="1" si="1141"/>
        <v>0.65330339961513795</v>
      </c>
      <c r="Q415" s="21">
        <v>1.5</v>
      </c>
      <c r="R415" s="20">
        <f t="shared" ca="1" si="1142"/>
        <v>0.5342710485285711</v>
      </c>
      <c r="S415" s="22">
        <f t="shared" ca="1" si="1143"/>
        <v>0.80140657279285665</v>
      </c>
      <c r="T415" s="21">
        <f ca="1">F415/30.713</f>
        <v>248.27737440171913</v>
      </c>
      <c r="U415" s="21">
        <f t="shared" ca="1" si="1144"/>
        <v>6.5336151158347135</v>
      </c>
      <c r="V415" s="18">
        <f t="shared" ca="1" si="1145"/>
        <v>160.81578947368422</v>
      </c>
      <c r="W415" s="76"/>
      <c r="X415" s="100" t="s">
        <v>35</v>
      </c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9"/>
      <c r="AS415" s="76"/>
      <c r="AT415" s="76"/>
    </row>
    <row r="416" spans="1:46" ht="15.75" customHeight="1" x14ac:dyDescent="0.25">
      <c r="A416" s="70"/>
      <c r="B416" s="16">
        <v>6</v>
      </c>
      <c r="C416" s="16" t="s">
        <v>23</v>
      </c>
      <c r="D416" s="17">
        <v>35</v>
      </c>
      <c r="E416" s="18">
        <f ca="1">IFERROR(__xludf.DUMMYFUNCTION("COUNT(IMPORTRANGE(""https://docs.google.com/spreadsheets/d/1uVc-vnTn57HE53lwrUYNZP4sGKTXisrqOoZ-6EyvLzY/edit"",""16!d2:d36""))"),35)</f>
        <v>35</v>
      </c>
      <c r="F416" s="23">
        <f ca="1">IFERROR(__xludf.DUMMYFUNCTION("SUM(IMPORTRANGE(""https://docs.google.com/spreadsheets/d/1uVc-vnTn57HE53lwrUYNZP4sGKTXisrqOoZ-6EyvLzY/edit"",""16!Q2:Q36""))"),6579.29999999999)</f>
        <v>6579.2999999999902</v>
      </c>
      <c r="G416" s="18">
        <f ca="1">IFERROR(__xludf.DUMMYFUNCTION("IMPORTRANGE(""https://docs.google.com/spreadsheets/d/1uVc-vnTn57HE53lwrUYNZP4sGKTXisrqOoZ-6EyvLzY/edit"",""16!e43"")"),1704)</f>
        <v>1704</v>
      </c>
      <c r="H416" s="18">
        <f ca="1">IFERROR(__xludf.DUMMYFUNCTION("IMPORTRANGE(""https://docs.google.com/spreadsheets/d/1uVc-vnTn57HE53lwrUYNZP4sGKTXisrqOoZ-6EyvLzY/edit"",""16!e44"")"),0)</f>
        <v>0</v>
      </c>
      <c r="I416" s="18">
        <f t="shared" ca="1" si="1137"/>
        <v>1704</v>
      </c>
      <c r="J416" s="18">
        <f ca="1">IFERROR(__xludf.DUMMYFUNCTION("IMPORTRANGE(""https://docs.google.com/spreadsheets/d/1uVc-vnTn57HE53lwrUYNZP4sGKTXisrqOoZ-6EyvLzY/edit"",""16!e47"")"),3135)</f>
        <v>3135</v>
      </c>
      <c r="K416" s="18">
        <f ca="1">IFERROR(__xludf.DUMMYFUNCTION("IMPORTRANGE(""https://docs.google.com/spreadsheets/d/1uVc-vnTn57HE53lwrUYNZP4sGKTXisrqOoZ-6EyvLzY/edit"",""16!e48"")"),0)</f>
        <v>0</v>
      </c>
      <c r="L416" s="18">
        <f t="shared" ca="1" si="1138"/>
        <v>3135</v>
      </c>
      <c r="M416" s="18">
        <f t="shared" ca="1" si="1139"/>
        <v>4839</v>
      </c>
      <c r="N416" s="19">
        <f t="shared" ca="1" si="1140"/>
        <v>187.97999999999971</v>
      </c>
      <c r="O416" s="16">
        <v>6853</v>
      </c>
      <c r="P416" s="20">
        <f t="shared" ca="1" si="1141"/>
        <v>0.70611411060849261</v>
      </c>
      <c r="Q416" s="21">
        <v>1.5</v>
      </c>
      <c r="R416" s="20">
        <f t="shared" ca="1" si="1142"/>
        <v>0.49032571854148688</v>
      </c>
      <c r="S416" s="22">
        <f t="shared" ca="1" si="1143"/>
        <v>0.73548857781223032</v>
      </c>
      <c r="T416" s="21">
        <f ca="1">F416/33.74</f>
        <v>194.99999999999969</v>
      </c>
      <c r="U416" s="21">
        <f t="shared" ca="1" si="1144"/>
        <v>5.5714285714285623</v>
      </c>
      <c r="V416" s="18">
        <f t="shared" ca="1" si="1145"/>
        <v>138.25714285714287</v>
      </c>
      <c r="W416" s="76"/>
      <c r="X416" s="1" t="s">
        <v>2</v>
      </c>
      <c r="Y416" s="1" t="s">
        <v>3</v>
      </c>
      <c r="Z416" s="1" t="s">
        <v>4</v>
      </c>
      <c r="AA416" s="1" t="s">
        <v>5</v>
      </c>
      <c r="AB416" s="2" t="s">
        <v>6</v>
      </c>
      <c r="AC416" s="1" t="s">
        <v>7</v>
      </c>
      <c r="AD416" s="1" t="s">
        <v>8</v>
      </c>
      <c r="AE416" s="1" t="s">
        <v>9</v>
      </c>
      <c r="AF416" s="1" t="s">
        <v>10</v>
      </c>
      <c r="AG416" s="1" t="s">
        <v>11</v>
      </c>
      <c r="AH416" s="1" t="s">
        <v>12</v>
      </c>
      <c r="AI416" s="1" t="s">
        <v>13</v>
      </c>
      <c r="AJ416" s="2" t="s">
        <v>14</v>
      </c>
      <c r="AK416" s="1" t="s">
        <v>15</v>
      </c>
      <c r="AL416" s="1" t="s">
        <v>16</v>
      </c>
      <c r="AM416" s="3" t="s">
        <v>17</v>
      </c>
      <c r="AN416" s="4" t="s">
        <v>18</v>
      </c>
      <c r="AO416" s="5" t="s">
        <v>19</v>
      </c>
      <c r="AP416" s="6" t="s">
        <v>20</v>
      </c>
      <c r="AQ416" s="6" t="s">
        <v>21</v>
      </c>
      <c r="AR416" s="7" t="s">
        <v>22</v>
      </c>
      <c r="AS416" s="76"/>
      <c r="AT416" s="76"/>
    </row>
    <row r="417" spans="1:46" ht="15.75" customHeight="1" x14ac:dyDescent="0.25">
      <c r="A417" s="70"/>
      <c r="B417" s="16">
        <v>7</v>
      </c>
      <c r="C417" s="16" t="s">
        <v>24</v>
      </c>
      <c r="D417" s="17">
        <v>44</v>
      </c>
      <c r="E417" s="31">
        <f ca="1">IFERROR(__xludf.DUMMYFUNCTION("COUNT(IMPORTRANGE(""https://docs.google.com/spreadsheets/d/1iuPvivSypupo44l6GtmR-2qZ3za7cTk7KzsOVp_kv2c/edit"",""16!d2:d45""))"),44)</f>
        <v>44</v>
      </c>
      <c r="F417" s="32">
        <f ca="1">IFERROR(__xludf.DUMMYFUNCTION("SUM(IMPORTRANGE(""https://docs.google.com/spreadsheets/d/1iuPvivSypupo44l6GtmR-2qZ3za7cTk7KzsOVp_kv2c/edit"",""16!Q2:Q45""))"),8505.97399999999)</f>
        <v>8505.9739999999892</v>
      </c>
      <c r="G417" s="31">
        <f ca="1">IFERROR(__xludf.DUMMYFUNCTION("IMPORTRANGE(""https://docs.google.com/spreadsheets/d/1iuPvivSypupo44l6GtmR-2qZ3za7cTk7KzsOVp_kv2c/edit"",""16!e53"")"),1245)</f>
        <v>1245</v>
      </c>
      <c r="H417" s="31">
        <f ca="1">IFERROR(__xludf.DUMMYFUNCTION("IMPORTRANGE(""https://docs.google.com/spreadsheets/d/1iuPvivSypupo44l6GtmR-2qZ3za7cTk7KzsOVp_kv2c/edit"",""16!e54"")"),43)</f>
        <v>43</v>
      </c>
      <c r="I417" s="31">
        <f t="shared" ca="1" si="1137"/>
        <v>1288</v>
      </c>
      <c r="J417" s="31">
        <f ca="1">IFERROR(__xludf.DUMMYFUNCTION("IMPORTRANGE(""https://docs.google.com/spreadsheets/d/1iuPvivSypupo44l6GtmR-2qZ3za7cTk7KzsOVp_kv2c/edit"",""16!e57"")"),1396)</f>
        <v>1396</v>
      </c>
      <c r="K417" s="31">
        <f ca="1">IFERROR(__xludf.DUMMYFUNCTION("IMPORTRANGE(""https://docs.google.com/spreadsheets/d/1iuPvivSypupo44l6GtmR-2qZ3za7cTk7KzsOVp_kv2c/edit"",""16!e58"")"),0)</f>
        <v>0</v>
      </c>
      <c r="L417" s="18">
        <f t="shared" ca="1" si="1138"/>
        <v>1396</v>
      </c>
      <c r="M417" s="18">
        <f t="shared" ca="1" si="1139"/>
        <v>2684</v>
      </c>
      <c r="N417" s="19">
        <f t="shared" ca="1" si="1140"/>
        <v>193.31759090909065</v>
      </c>
      <c r="O417" s="16">
        <v>1580</v>
      </c>
      <c r="P417" s="33">
        <f t="shared" ca="1" si="1141"/>
        <v>1.6987341772151898</v>
      </c>
      <c r="Q417" s="21">
        <v>1.5</v>
      </c>
      <c r="R417" s="20">
        <f t="shared" ca="1" si="1142"/>
        <v>0.2103619565887852</v>
      </c>
      <c r="S417" s="22">
        <f t="shared" ca="1" si="1143"/>
        <v>0.31554293488317781</v>
      </c>
      <c r="T417" s="21">
        <f ca="1">F417/26.805</f>
        <v>317.32788658832266</v>
      </c>
      <c r="U417" s="21">
        <f t="shared" ca="1" si="1144"/>
        <v>7.2119974224618781</v>
      </c>
      <c r="V417" s="18">
        <f t="shared" ca="1" si="1145"/>
        <v>61</v>
      </c>
      <c r="W417" s="76"/>
      <c r="X417" s="8">
        <v>1</v>
      </c>
      <c r="Y417" s="8" t="s">
        <v>28</v>
      </c>
      <c r="Z417" s="8">
        <f t="shared" ref="Z417:AI417" si="1156">SUM(D412)</f>
        <v>33</v>
      </c>
      <c r="AA417" s="9">
        <f t="shared" ca="1" si="1156"/>
        <v>33</v>
      </c>
      <c r="AB417" s="11">
        <f t="shared" ca="1" si="1156"/>
        <v>6326.82599999999</v>
      </c>
      <c r="AC417" s="9">
        <f t="shared" ca="1" si="1156"/>
        <v>2723</v>
      </c>
      <c r="AD417" s="9">
        <f t="shared" ca="1" si="1156"/>
        <v>143</v>
      </c>
      <c r="AE417" s="9">
        <f t="shared" ca="1" si="1156"/>
        <v>2866</v>
      </c>
      <c r="AF417" s="9">
        <f t="shared" ca="1" si="1156"/>
        <v>3039</v>
      </c>
      <c r="AG417" s="9">
        <f t="shared" ca="1" si="1156"/>
        <v>195</v>
      </c>
      <c r="AH417" s="9">
        <f t="shared" ca="1" si="1156"/>
        <v>3234</v>
      </c>
      <c r="AI417" s="9">
        <f t="shared" ca="1" si="1156"/>
        <v>6100</v>
      </c>
      <c r="AJ417" s="11">
        <f t="shared" ref="AJ417:AJ423" ca="1" si="1157">AB417/AA417</f>
        <v>191.7219999999997</v>
      </c>
      <c r="AK417" s="8">
        <f t="shared" ref="AK417:AK418" si="1158">SUM(O412)</f>
        <v>7315</v>
      </c>
      <c r="AL417" s="12">
        <f t="shared" ref="AL417:AL423" ca="1" si="1159">AI417/AK417</f>
        <v>0.83390293916609703</v>
      </c>
      <c r="AM417" s="13">
        <f t="shared" ref="AM417:AM418" si="1160">SUM(Q412)</f>
        <v>1.5</v>
      </c>
      <c r="AN417" s="12">
        <f t="shared" ref="AN417:AN423" ca="1" si="1161">AO417/AM417</f>
        <v>0.64276568798741629</v>
      </c>
      <c r="AO417" s="14">
        <f t="shared" ref="AO417:AO423" ca="1" si="1162">AI417/AB417</f>
        <v>0.96414853198112449</v>
      </c>
      <c r="AP417" s="13">
        <f t="shared" ref="AP417:AQ417" ca="1" si="1163">SUM(T412)</f>
        <v>204.77153121662266</v>
      </c>
      <c r="AQ417" s="13">
        <f t="shared" ca="1" si="1163"/>
        <v>6.2051979156552326</v>
      </c>
      <c r="AR417" s="9">
        <f t="shared" ref="AR417:AR423" ca="1" si="1164">AI417/AA417</f>
        <v>184.84848484848484</v>
      </c>
      <c r="AS417" s="76"/>
      <c r="AT417" s="76"/>
    </row>
    <row r="418" spans="1:46" ht="15.75" customHeight="1" x14ac:dyDescent="0.25">
      <c r="A418" s="70"/>
      <c r="B418" s="16">
        <v>8</v>
      </c>
      <c r="C418" s="16" t="s">
        <v>25</v>
      </c>
      <c r="D418" s="34">
        <v>32</v>
      </c>
      <c r="E418" s="18">
        <f ca="1">IFERROR(__xludf.DUMMYFUNCTION("COUNT(IMPORTRANGE(""https://docs.google.com/spreadsheets/d/1sqWX7UerdR9KR_duBzDNfjwbPG-3hLgV1LiN2ZVZ6Js/edit"",""16!d2:D33""))"),30)</f>
        <v>30</v>
      </c>
      <c r="F418" s="23">
        <f ca="1">IFERROR(__xludf.DUMMYFUNCTION("SUM(IMPORTRANGE(""https://docs.google.com/spreadsheets/d/1sqWX7UerdR9KR_duBzDNfjwbPG-3hLgV1LiN2ZVZ6Js/edit"",""16!Q2:Q33""))"),5748.976)</f>
        <v>5748.9759999999997</v>
      </c>
      <c r="G418" s="18">
        <f ca="1">IFERROR(__xludf.DUMMYFUNCTION("IMPORTRANGE(""https://docs.google.com/spreadsheets/d/1sqWX7UerdR9KR_duBzDNfjwbPG-3hLgV1LiN2ZVZ6Js/edit"",""16!e40"")"),2425)</f>
        <v>2425</v>
      </c>
      <c r="H418" s="18">
        <f ca="1">IFERROR(__xludf.DUMMYFUNCTION("IMPORTRANGE(""https://docs.google.com/spreadsheets/d/1sqWX7UerdR9KR_duBzDNfjwbPG-3hLgV1LiN2ZVZ6Js/edit"",""16!e41"")"),343)</f>
        <v>343</v>
      </c>
      <c r="I418" s="18">
        <f t="shared" ca="1" si="1137"/>
        <v>2768</v>
      </c>
      <c r="J418" s="18">
        <f ca="1">IFERROR(__xludf.DUMMYFUNCTION("IMPORTRANGE(""https://docs.google.com/spreadsheets/d/1sqWX7UerdR9KR_duBzDNfjwbPG-3hLgV1LiN2ZVZ6Js/edit"",""16!e44"")"),3279)</f>
        <v>3279</v>
      </c>
      <c r="K418" s="18">
        <f ca="1">IFERROR(__xludf.DUMMYFUNCTION("IMPORTRANGE(""https://docs.google.com/spreadsheets/d/1sqWX7UerdR9KR_duBzDNfjwbPG-3hLgV1LiN2ZVZ6Js/edit"",""16!e45"")"),425)</f>
        <v>425</v>
      </c>
      <c r="L418" s="18">
        <f ca="1">J418+K418</f>
        <v>3704</v>
      </c>
      <c r="M418" s="18">
        <f t="shared" ca="1" si="1139"/>
        <v>6472</v>
      </c>
      <c r="N418" s="19">
        <f t="shared" ca="1" si="1140"/>
        <v>191.63253333333333</v>
      </c>
      <c r="O418" s="16">
        <v>6622</v>
      </c>
      <c r="P418" s="20">
        <f t="shared" ca="1" si="1141"/>
        <v>0.97734823316218666</v>
      </c>
      <c r="Q418" s="21">
        <v>1.5</v>
      </c>
      <c r="R418" s="20">
        <f t="shared" ca="1" si="1142"/>
        <v>0.7505104677192368</v>
      </c>
      <c r="S418" s="22">
        <f t="shared" ca="1" si="1143"/>
        <v>1.1257657015788551</v>
      </c>
      <c r="T418" s="21">
        <f ca="1">F418/23.84</f>
        <v>241.14832214765099</v>
      </c>
      <c r="U418" s="21">
        <f t="shared" ca="1" si="1144"/>
        <v>8.0382774049216987</v>
      </c>
      <c r="V418" s="18">
        <f t="shared" ca="1" si="1145"/>
        <v>215.73333333333332</v>
      </c>
      <c r="W418" s="76"/>
      <c r="X418" s="8">
        <v>2</v>
      </c>
      <c r="Y418" s="8" t="s">
        <v>30</v>
      </c>
      <c r="Z418" s="8">
        <f t="shared" ref="Z418:AI418" si="1165">SUM(D413)</f>
        <v>60</v>
      </c>
      <c r="AA418" s="9">
        <f t="shared" ca="1" si="1165"/>
        <v>58</v>
      </c>
      <c r="AB418" s="10">
        <f t="shared" ca="1" si="1165"/>
        <v>11574.772999999899</v>
      </c>
      <c r="AC418" s="9">
        <f t="shared" ca="1" si="1165"/>
        <v>3322</v>
      </c>
      <c r="AD418" s="9">
        <f t="shared" ca="1" si="1165"/>
        <v>0</v>
      </c>
      <c r="AE418" s="9">
        <f t="shared" ca="1" si="1165"/>
        <v>3322</v>
      </c>
      <c r="AF418" s="9">
        <f t="shared" ca="1" si="1165"/>
        <v>5370</v>
      </c>
      <c r="AG418" s="9">
        <f t="shared" ca="1" si="1165"/>
        <v>0</v>
      </c>
      <c r="AH418" s="9">
        <f t="shared" ca="1" si="1165"/>
        <v>5370</v>
      </c>
      <c r="AI418" s="9">
        <f t="shared" ca="1" si="1165"/>
        <v>8692</v>
      </c>
      <c r="AJ418" s="11">
        <f t="shared" ca="1" si="1157"/>
        <v>199.5650517241362</v>
      </c>
      <c r="AK418" s="8">
        <f t="shared" si="1158"/>
        <v>11164</v>
      </c>
      <c r="AL418" s="12">
        <f t="shared" ca="1" si="1159"/>
        <v>0.77857398781798637</v>
      </c>
      <c r="AM418" s="13">
        <f t="shared" si="1160"/>
        <v>1.5</v>
      </c>
      <c r="AN418" s="12">
        <f t="shared" ca="1" si="1161"/>
        <v>0.50062896841836269</v>
      </c>
      <c r="AO418" s="14">
        <f t="shared" ca="1" si="1162"/>
        <v>0.75094345262754403</v>
      </c>
      <c r="AP418" s="13">
        <f t="shared" ref="AP418:AQ418" ca="1" si="1166">SUM(T413)</f>
        <v>390.99999999999659</v>
      </c>
      <c r="AQ418" s="13">
        <f t="shared" ca="1" si="1166"/>
        <v>6.7413793103447688</v>
      </c>
      <c r="AR418" s="9">
        <f t="shared" ca="1" si="1164"/>
        <v>149.86206896551724</v>
      </c>
      <c r="AS418" s="76"/>
      <c r="AT418" s="76"/>
    </row>
    <row r="419" spans="1:46" ht="15.75" customHeight="1" x14ac:dyDescent="0.25">
      <c r="A419" s="70"/>
      <c r="B419" s="16">
        <v>9</v>
      </c>
      <c r="C419" s="16" t="s">
        <v>36</v>
      </c>
      <c r="D419" s="34">
        <v>30</v>
      </c>
      <c r="E419" s="18">
        <f ca="1">IFERROR(__xludf.DUMMYFUNCTION("COUNT(IMPORTRANGE(""https://docs.google.com/spreadsheets/d/1YNna43iTSqnwwbMJgTIPHSJEoDO8RGPRFg5pJCoQR_Y/edit"",""16!d2:d31""))"),30)</f>
        <v>30</v>
      </c>
      <c r="F419" s="23">
        <f ca="1">IFERROR(__xludf.DUMMYFUNCTION("SUM(IMPORTRANGE(""https://docs.google.com/spreadsheets/d/1YNna43iTSqnwwbMJgTIPHSJEoDO8RGPRFg5pJCoQR_Y/edit"",""16!Q2:Q31""))"),5997.76499999999)</f>
        <v>5997.7649999999903</v>
      </c>
      <c r="G419" s="18">
        <f ca="1">IFERROR(__xludf.DUMMYFUNCTION("IMPORTRANGE(""https://docs.google.com/spreadsheets/d/1YNna43iTSqnwwbMJgTIPHSJEoDO8RGPRFg5pJCoQR_Y/edit"",""16!e38"")"),1773)</f>
        <v>1773</v>
      </c>
      <c r="H419" s="18">
        <f ca="1">IFERROR(__xludf.DUMMYFUNCTION("IMPORTRANGE(""https://docs.google.com/spreadsheets/d/1YNna43iTSqnwwbMJgTIPHSJEoDO8RGPRFg5pJCoQR_Y/edit"",""16!e39"")"),0)</f>
        <v>0</v>
      </c>
      <c r="I419" s="18">
        <f t="shared" ca="1" si="1137"/>
        <v>1773</v>
      </c>
      <c r="J419" s="18">
        <f ca="1">IFERROR(__xludf.DUMMYFUNCTION("IMPORTRANGE(""https://docs.google.com/spreadsheets/d/1YNna43iTSqnwwbMJgTIPHSJEoDO8RGPRFg5pJCoQR_Y/edit"",""16!e42"")"),2388)</f>
        <v>2388</v>
      </c>
      <c r="K419" s="18">
        <f ca="1">IFERROR(__xludf.DUMMYFUNCTION("IMPORTRANGE(""https://docs.google.com/spreadsheets/d/1YNna43iTSqnwwbMJgTIPHSJEoDO8RGPRFg5pJCoQR_Y/edit"",""16!e43"")"),0)</f>
        <v>0</v>
      </c>
      <c r="L419" s="18">
        <f t="shared" ref="L419:L428" ca="1" si="1167">SUM(J419:K419)</f>
        <v>2388</v>
      </c>
      <c r="M419" s="18">
        <f t="shared" ca="1" si="1139"/>
        <v>4161</v>
      </c>
      <c r="N419" s="19">
        <f t="shared" ca="1" si="1140"/>
        <v>199.92549999999969</v>
      </c>
      <c r="O419" s="16">
        <v>4796</v>
      </c>
      <c r="P419" s="20">
        <f t="shared" ca="1" si="1141"/>
        <v>0.86759799833194329</v>
      </c>
      <c r="Q419" s="21">
        <v>1.5</v>
      </c>
      <c r="R419" s="20">
        <f t="shared" ca="1" si="1142"/>
        <v>0.46250561667554568</v>
      </c>
      <c r="S419" s="22">
        <f t="shared" ca="1" si="1143"/>
        <v>0.69375842501331852</v>
      </c>
      <c r="T419" s="21">
        <f ca="1">F419/37.414</f>
        <v>160.30803977120837</v>
      </c>
      <c r="U419" s="21">
        <f t="shared" ca="1" si="1144"/>
        <v>5.3436013257069455</v>
      </c>
      <c r="V419" s="18">
        <f t="shared" ca="1" si="1145"/>
        <v>138.69999999999999</v>
      </c>
      <c r="W419" s="76"/>
      <c r="X419" s="8">
        <v>3</v>
      </c>
      <c r="Y419" s="8" t="s">
        <v>34</v>
      </c>
      <c r="Z419" s="8">
        <f t="shared" ref="Z419:AI419" si="1168">SUM(D415)</f>
        <v>40</v>
      </c>
      <c r="AA419" s="9">
        <f t="shared" ca="1" si="1168"/>
        <v>38</v>
      </c>
      <c r="AB419" s="10">
        <f t="shared" ca="1" si="1168"/>
        <v>7625.3429999999998</v>
      </c>
      <c r="AC419" s="9">
        <f t="shared" ca="1" si="1168"/>
        <v>2761</v>
      </c>
      <c r="AD419" s="9">
        <f t="shared" ca="1" si="1168"/>
        <v>0</v>
      </c>
      <c r="AE419" s="9">
        <f t="shared" ca="1" si="1168"/>
        <v>2761</v>
      </c>
      <c r="AF419" s="9">
        <f t="shared" ca="1" si="1168"/>
        <v>3350</v>
      </c>
      <c r="AG419" s="9">
        <f t="shared" ca="1" si="1168"/>
        <v>0</v>
      </c>
      <c r="AH419" s="9">
        <f t="shared" ca="1" si="1168"/>
        <v>3350</v>
      </c>
      <c r="AI419" s="9">
        <f t="shared" ca="1" si="1168"/>
        <v>6111</v>
      </c>
      <c r="AJ419" s="11">
        <f t="shared" ca="1" si="1157"/>
        <v>200.66692105263158</v>
      </c>
      <c r="AK419" s="8">
        <f>SUM(O415)</f>
        <v>9354</v>
      </c>
      <c r="AL419" s="12">
        <f t="shared" ca="1" si="1159"/>
        <v>0.65330339961513795</v>
      </c>
      <c r="AM419" s="13">
        <f>SUM(Q415)</f>
        <v>1.5</v>
      </c>
      <c r="AN419" s="12">
        <f t="shared" ca="1" si="1161"/>
        <v>0.5342710485285711</v>
      </c>
      <c r="AO419" s="14">
        <f t="shared" ca="1" si="1162"/>
        <v>0.80140657279285665</v>
      </c>
      <c r="AP419" s="13">
        <f t="shared" ref="AP419:AQ419" ca="1" si="1169">SUM(T415)</f>
        <v>248.27737440171913</v>
      </c>
      <c r="AQ419" s="13">
        <f t="shared" ca="1" si="1169"/>
        <v>6.5336151158347135</v>
      </c>
      <c r="AR419" s="9">
        <f t="shared" ca="1" si="1164"/>
        <v>160.81578947368422</v>
      </c>
      <c r="AS419" s="76"/>
      <c r="AT419" s="76"/>
    </row>
    <row r="420" spans="1:46" ht="15.75" customHeight="1" x14ac:dyDescent="0.25">
      <c r="A420" s="70"/>
      <c r="B420" s="16">
        <v>10</v>
      </c>
      <c r="C420" s="16" t="s">
        <v>37</v>
      </c>
      <c r="D420" s="17">
        <v>30</v>
      </c>
      <c r="E420" s="18">
        <f ca="1">IFERROR(__xludf.DUMMYFUNCTION("COUNT(IMPORTRANGE(""https://docs.google.com/spreadsheets/d/1913Df5BsXS_b-nClL8LOK5w0engQYTl1mPOiyngRtO0/edit"",""16!d2:d31""))"),30)</f>
        <v>30</v>
      </c>
      <c r="F420" s="23">
        <f ca="1">IFERROR(__xludf.DUMMYFUNCTION("SUM(IMPORTRANGE(""https://docs.google.com/spreadsheets/d/1913Df5BsXS_b-nClL8LOK5w0engQYTl1mPOiyngRtO0/edit"",""16!Q2:Q31""))"),5787.396)</f>
        <v>5787.3959999999997</v>
      </c>
      <c r="G420" s="18">
        <f ca="1">IFERROR(__xludf.DUMMYFUNCTION("(IMPORTRANGE(""https://docs.google.com/spreadsheets/d/1913Df5BsXS_b-nClL8LOK5w0engQYTl1mPOiyngRtO0/edit"",""16!e38""))"),2410)</f>
        <v>2410</v>
      </c>
      <c r="H420" s="18">
        <f ca="1">IFERROR(__xludf.DUMMYFUNCTION("(IMPORTRANGE(""https://docs.google.com/spreadsheets/d/1913Df5BsXS_b-nClL8LOK5w0engQYTl1mPOiyngRtO0/edit"",""16!e39""))"),0)</f>
        <v>0</v>
      </c>
      <c r="I420" s="18">
        <f t="shared" ca="1" si="1137"/>
        <v>2410</v>
      </c>
      <c r="J420" s="18">
        <f ca="1">IFERROR(__xludf.DUMMYFUNCTION("(IMPORTRANGE(""https://docs.google.com/spreadsheets/d/1913Df5BsXS_b-nClL8LOK5w0engQYTl1mPOiyngRtO0/edit"",""16!e42""))"),2984)</f>
        <v>2984</v>
      </c>
      <c r="K420" s="18">
        <f ca="1">IFERROR(__xludf.DUMMYFUNCTION("(IMPORTRANGE(""https://docs.google.com/spreadsheets/d/1913Df5BsXS_b-nClL8LOK5w0engQYTl1mPOiyngRtO0/edit"",""16!e43""))"),0)</f>
        <v>0</v>
      </c>
      <c r="L420" s="18">
        <f t="shared" ca="1" si="1167"/>
        <v>2984</v>
      </c>
      <c r="M420" s="18">
        <f t="shared" ca="1" si="1139"/>
        <v>5394</v>
      </c>
      <c r="N420" s="19">
        <f t="shared" ca="1" si="1140"/>
        <v>192.91319999999999</v>
      </c>
      <c r="O420" s="16">
        <v>5887</v>
      </c>
      <c r="P420" s="20">
        <f t="shared" ca="1" si="1141"/>
        <v>0.91625615763546797</v>
      </c>
      <c r="Q420" s="21">
        <v>1.5</v>
      </c>
      <c r="R420" s="20">
        <f t="shared" ca="1" si="1142"/>
        <v>0.62135025838909252</v>
      </c>
      <c r="S420" s="22">
        <f t="shared" ca="1" si="1143"/>
        <v>0.93202538758363873</v>
      </c>
      <c r="T420" s="21">
        <f ca="1">F420/24.792</f>
        <v>233.43804453049367</v>
      </c>
      <c r="U420" s="21">
        <f t="shared" ca="1" si="1144"/>
        <v>7.7812681510164561</v>
      </c>
      <c r="V420" s="18">
        <f t="shared" ca="1" si="1145"/>
        <v>179.8</v>
      </c>
      <c r="W420" s="76"/>
      <c r="X420" s="8">
        <v>4</v>
      </c>
      <c r="Y420" s="8" t="s">
        <v>38</v>
      </c>
      <c r="Z420" s="8">
        <f t="shared" ref="Z420:AI420" si="1170">SUM(D423)</f>
        <v>30</v>
      </c>
      <c r="AA420" s="9">
        <f t="shared" ca="1" si="1170"/>
        <v>30</v>
      </c>
      <c r="AB420" s="10">
        <f t="shared" ca="1" si="1170"/>
        <v>6057.1349999999902</v>
      </c>
      <c r="AC420" s="9">
        <f t="shared" ca="1" si="1170"/>
        <v>1863</v>
      </c>
      <c r="AD420" s="9">
        <f t="shared" ca="1" si="1170"/>
        <v>0</v>
      </c>
      <c r="AE420" s="9">
        <f t="shared" ca="1" si="1170"/>
        <v>1863</v>
      </c>
      <c r="AF420" s="9">
        <f t="shared" ca="1" si="1170"/>
        <v>3443</v>
      </c>
      <c r="AG420" s="9">
        <f t="shared" ca="1" si="1170"/>
        <v>36</v>
      </c>
      <c r="AH420" s="9">
        <f t="shared" ca="1" si="1170"/>
        <v>3479</v>
      </c>
      <c r="AI420" s="9">
        <f t="shared" ca="1" si="1170"/>
        <v>5342</v>
      </c>
      <c r="AJ420" s="11">
        <f t="shared" ca="1" si="1157"/>
        <v>201.90449999999967</v>
      </c>
      <c r="AK420" s="8">
        <v>7324</v>
      </c>
      <c r="AL420" s="12">
        <f t="shared" ca="1" si="1159"/>
        <v>0.72938285090114696</v>
      </c>
      <c r="AM420" s="13">
        <f>SUM(Q423)</f>
        <v>1.5</v>
      </c>
      <c r="AN420" s="12">
        <f t="shared" ca="1" si="1161"/>
        <v>0.58795673752249855</v>
      </c>
      <c r="AO420" s="14">
        <f t="shared" ca="1" si="1162"/>
        <v>0.88193510628374783</v>
      </c>
      <c r="AP420" s="13">
        <f t="shared" ref="AP420:AQ420" ca="1" si="1171">SUM(T423)</f>
        <v>146.99999999999977</v>
      </c>
      <c r="AQ420" s="13">
        <f t="shared" ca="1" si="1171"/>
        <v>4.8999999999999924</v>
      </c>
      <c r="AR420" s="9">
        <f t="shared" ca="1" si="1164"/>
        <v>178.06666666666666</v>
      </c>
      <c r="AS420" s="76"/>
      <c r="AT420" s="76"/>
    </row>
    <row r="421" spans="1:46" ht="15.75" customHeight="1" x14ac:dyDescent="0.25">
      <c r="A421" s="70"/>
      <c r="B421" s="16">
        <v>12</v>
      </c>
      <c r="C421" s="16" t="s">
        <v>39</v>
      </c>
      <c r="D421" s="17">
        <v>28</v>
      </c>
      <c r="E421" s="18">
        <f ca="1">IFERROR(__xludf.DUMMYFUNCTION("COUNT(IMPORTRANGE(""https://docs.google.com/spreadsheets/d/1wMeol_MpSIcocGxt3WZGl46mJ2tc80mANPvP_YzaP18/edit"",""16!d2:d29""))"),27)</f>
        <v>27</v>
      </c>
      <c r="F421" s="23">
        <f ca="1">IFERROR(__xludf.DUMMYFUNCTION("SUM(IMPORTRANGE(""https://docs.google.com/spreadsheets/d/1wMeol_MpSIcocGxt3WZGl46mJ2tc80mANPvP_YzaP18/edit"",""16!Q2:Q29""))"),5318.459)</f>
        <v>5318.4589999999998</v>
      </c>
      <c r="G421" s="18">
        <f ca="1">IFERROR(__xludf.DUMMYFUNCTION("IMPORTRANGE(""https://docs.google.com/spreadsheets/d/1wMeol_MpSIcocGxt3WZGl46mJ2tc80mANPvP_YzaP18/edit"",""16!e36"")"),1271)</f>
        <v>1271</v>
      </c>
      <c r="H421" s="18">
        <f ca="1">IFERROR(__xludf.DUMMYFUNCTION("(IMPORTRANGE(""https://docs.google.com/spreadsheets/d/1wMeol_MpSIcocGxt3WZGl46mJ2tc80mANPvP_YzaP18/edit"",""16!e37""))"),0)</f>
        <v>0</v>
      </c>
      <c r="I421" s="18">
        <f t="shared" ca="1" si="1137"/>
        <v>1271</v>
      </c>
      <c r="J421" s="18">
        <f ca="1">IFERROR(__xludf.DUMMYFUNCTION("IMPORTRANGE(""https://docs.google.com/spreadsheets/d/1wMeol_MpSIcocGxt3WZGl46mJ2tc80mANPvP_YzaP18/edit"",""16!e40"")"),2069)</f>
        <v>2069</v>
      </c>
      <c r="K421" s="18">
        <f ca="1">IFERROR(__xludf.DUMMYFUNCTION("IMPORTRANGE(""https://docs.google.com/spreadsheets/d/1wMeol_MpSIcocGxt3WZGl46mJ2tc80mANPvP_YzaP18/edit"",""16!e41"")"),0)</f>
        <v>0</v>
      </c>
      <c r="L421" s="18">
        <f t="shared" ca="1" si="1167"/>
        <v>2069</v>
      </c>
      <c r="M421" s="18">
        <f t="shared" ca="1" si="1139"/>
        <v>3340</v>
      </c>
      <c r="N421" s="19">
        <f t="shared" ca="1" si="1140"/>
        <v>196.97996296296296</v>
      </c>
      <c r="O421" s="16">
        <v>3569</v>
      </c>
      <c r="P421" s="20">
        <f t="shared" ca="1" si="1141"/>
        <v>0.93583636873073694</v>
      </c>
      <c r="Q421" s="21">
        <v>1.5</v>
      </c>
      <c r="R421" s="20">
        <f t="shared" ca="1" si="1142"/>
        <v>0.41866763787530686</v>
      </c>
      <c r="S421" s="22">
        <f t="shared" ca="1" si="1143"/>
        <v>0.62800145681296027</v>
      </c>
      <c r="T421" s="21">
        <f ca="1">F421/21.463</f>
        <v>247.7966267530168</v>
      </c>
      <c r="U421" s="21">
        <f t="shared" ca="1" si="1144"/>
        <v>9.177652842704326</v>
      </c>
      <c r="V421" s="18">
        <f t="shared" ca="1" si="1145"/>
        <v>123.70370370370371</v>
      </c>
      <c r="W421" s="76"/>
      <c r="X421" s="8">
        <v>5</v>
      </c>
      <c r="Y421" s="8" t="s">
        <v>40</v>
      </c>
      <c r="Z421" s="8">
        <f t="shared" ref="Z421:AI421" si="1172">SUM(D425)</f>
        <v>30</v>
      </c>
      <c r="AA421" s="9">
        <f t="shared" ca="1" si="1172"/>
        <v>30</v>
      </c>
      <c r="AB421" s="10">
        <f t="shared" ca="1" si="1172"/>
        <v>5916.1439999999902</v>
      </c>
      <c r="AC421" s="9">
        <f t="shared" ca="1" si="1172"/>
        <v>3906</v>
      </c>
      <c r="AD421" s="9">
        <f t="shared" ca="1" si="1172"/>
        <v>0</v>
      </c>
      <c r="AE421" s="9">
        <f t="shared" ca="1" si="1172"/>
        <v>3906</v>
      </c>
      <c r="AF421" s="9">
        <f t="shared" ca="1" si="1172"/>
        <v>3424</v>
      </c>
      <c r="AG421" s="9">
        <f t="shared" ca="1" si="1172"/>
        <v>0</v>
      </c>
      <c r="AH421" s="9">
        <f t="shared" ca="1" si="1172"/>
        <v>3424</v>
      </c>
      <c r="AI421" s="9">
        <f t="shared" ca="1" si="1172"/>
        <v>7330</v>
      </c>
      <c r="AJ421" s="11">
        <f t="shared" ca="1" si="1157"/>
        <v>197.20479999999966</v>
      </c>
      <c r="AK421" s="8">
        <f t="shared" ref="AK421:AK422" si="1173">SUM(O425)</f>
        <v>8239</v>
      </c>
      <c r="AL421" s="12">
        <f t="shared" ca="1" si="1159"/>
        <v>0.88967107658696443</v>
      </c>
      <c r="AM421" s="13">
        <f t="shared" ref="AM421:AM422" si="1174">SUM(Q425)</f>
        <v>1.5</v>
      </c>
      <c r="AN421" s="12">
        <f t="shared" ca="1" si="1161"/>
        <v>0.82598845914951946</v>
      </c>
      <c r="AO421" s="14">
        <f t="shared" ca="1" si="1162"/>
        <v>1.2389826887242792</v>
      </c>
      <c r="AP421" s="13">
        <f t="shared" ref="AP421:AQ421" ca="1" si="1175">SUM(T425)</f>
        <v>207.99999999999966</v>
      </c>
      <c r="AQ421" s="13">
        <f t="shared" ca="1" si="1175"/>
        <v>6.933333333333322</v>
      </c>
      <c r="AR421" s="9">
        <f t="shared" ca="1" si="1164"/>
        <v>244.33333333333334</v>
      </c>
      <c r="AS421" s="76"/>
      <c r="AT421" s="76"/>
    </row>
    <row r="422" spans="1:46" ht="15.75" customHeight="1" x14ac:dyDescent="0.25">
      <c r="A422" s="70"/>
      <c r="B422" s="16">
        <v>12</v>
      </c>
      <c r="C422" s="16" t="s">
        <v>41</v>
      </c>
      <c r="D422" s="17">
        <v>24</v>
      </c>
      <c r="E422" s="18">
        <f ca="1">IFERROR(__xludf.DUMMYFUNCTION("COUNT(IMPORTRANGE(""https://docs.google.com/spreadsheets/d/1sHk6_yuc4kORC_xnhEeazoemV_hVUQVqRpfoNae-PLk/edit"",""16!d2:d25""))"),24)</f>
        <v>24</v>
      </c>
      <c r="F422" s="23">
        <f ca="1">IFERROR(__xludf.DUMMYFUNCTION("SUM(IMPORTRANGE(""https://docs.google.com/spreadsheets/d/1sHk6_yuc4kORC_xnhEeazoemV_hVUQVqRpfoNae-PLk/edit"",""16!Q2:Q25""))"),4691.1)</f>
        <v>4691.1000000000004</v>
      </c>
      <c r="G422" s="18">
        <f ca="1">IFERROR(__xludf.DUMMYFUNCTION("IMPORTRANGE(""https://docs.google.com/spreadsheets/d/1sHk6_yuc4kORC_xnhEeazoemV_hVUQVqRpfoNae-PLk/edit"",""16!e32"")"),1315)</f>
        <v>1315</v>
      </c>
      <c r="H422" s="18">
        <f ca="1">IFERROR(__xludf.DUMMYFUNCTION("IMPORTRANGE(""https://docs.google.com/spreadsheets/d/1sHk6_yuc4kORC_xnhEeazoemV_hVUQVqRpfoNae-PLk/edit"",""16!e33"")"),0)</f>
        <v>0</v>
      </c>
      <c r="I422" s="18">
        <f t="shared" ca="1" si="1137"/>
        <v>1315</v>
      </c>
      <c r="J422" s="18">
        <f ca="1">IFERROR(__xludf.DUMMYFUNCTION("IMPORTRANGE(""https://docs.google.com/spreadsheets/d/1sHk6_yuc4kORC_xnhEeazoemV_hVUQVqRpfoNae-PLk/edit"",""16!e36"")"),1763)</f>
        <v>1763</v>
      </c>
      <c r="K422" s="18">
        <f ca="1">IFERROR(__xludf.DUMMYFUNCTION("IMPORTRANGE(""https://docs.google.com/spreadsheets/d/1sHk6_yuc4kORC_xnhEeazoemV_hVUQVqRpfoNae-PLk/edit"",""16!e37"")"),0)</f>
        <v>0</v>
      </c>
      <c r="L422" s="18">
        <f t="shared" ca="1" si="1167"/>
        <v>1763</v>
      </c>
      <c r="M422" s="18">
        <f t="shared" ca="1" si="1139"/>
        <v>3078</v>
      </c>
      <c r="N422" s="19">
        <f t="shared" ca="1" si="1140"/>
        <v>195.46250000000001</v>
      </c>
      <c r="O422" s="16">
        <v>3801</v>
      </c>
      <c r="P422" s="20">
        <f t="shared" ca="1" si="1141"/>
        <v>0.80978689818468819</v>
      </c>
      <c r="Q422" s="21">
        <v>1.5</v>
      </c>
      <c r="R422" s="20">
        <f t="shared" ca="1" si="1142"/>
        <v>0.43742405832320769</v>
      </c>
      <c r="S422" s="22">
        <f t="shared" ca="1" si="1143"/>
        <v>0.65613608748481156</v>
      </c>
      <c r="T422" s="21">
        <f ca="1">F422/29.628</f>
        <v>158.33333333333334</v>
      </c>
      <c r="U422" s="21">
        <f t="shared" ca="1" si="1144"/>
        <v>6.5972222222222223</v>
      </c>
      <c r="V422" s="18">
        <f t="shared" ca="1" si="1145"/>
        <v>128.25</v>
      </c>
      <c r="W422" s="76"/>
      <c r="X422" s="8">
        <v>6</v>
      </c>
      <c r="Y422" s="8" t="s">
        <v>42</v>
      </c>
      <c r="Z422" s="8">
        <f t="shared" ref="Z422:AI422" si="1176">SUM(D426)</f>
        <v>33</v>
      </c>
      <c r="AA422" s="9">
        <f t="shared" ca="1" si="1176"/>
        <v>32</v>
      </c>
      <c r="AB422" s="10">
        <f t="shared" ca="1" si="1176"/>
        <v>6000.2639999999901</v>
      </c>
      <c r="AC422" s="9">
        <f t="shared" ca="1" si="1176"/>
        <v>2915</v>
      </c>
      <c r="AD422" s="9">
        <f t="shared" ca="1" si="1176"/>
        <v>29</v>
      </c>
      <c r="AE422" s="9">
        <f t="shared" ca="1" si="1176"/>
        <v>2944</v>
      </c>
      <c r="AF422" s="9">
        <f t="shared" ca="1" si="1176"/>
        <v>4524</v>
      </c>
      <c r="AG422" s="9">
        <f t="shared" ca="1" si="1176"/>
        <v>0</v>
      </c>
      <c r="AH422" s="9">
        <f t="shared" ca="1" si="1176"/>
        <v>4524</v>
      </c>
      <c r="AI422" s="9">
        <f t="shared" ca="1" si="1176"/>
        <v>7468</v>
      </c>
      <c r="AJ422" s="11">
        <f t="shared" ca="1" si="1157"/>
        <v>187.50824999999969</v>
      </c>
      <c r="AK422" s="8">
        <f t="shared" si="1173"/>
        <v>9877</v>
      </c>
      <c r="AL422" s="12">
        <f t="shared" ca="1" si="1159"/>
        <v>0.75610003037359519</v>
      </c>
      <c r="AM422" s="13">
        <f t="shared" si="1174"/>
        <v>1.5</v>
      </c>
      <c r="AN422" s="12">
        <f t="shared" ca="1" si="1161"/>
        <v>0.82974126916193602</v>
      </c>
      <c r="AO422" s="14">
        <f t="shared" ca="1" si="1162"/>
        <v>1.244611903742904</v>
      </c>
      <c r="AP422" s="13">
        <f t="shared" ref="AP422:AQ422" ca="1" si="1177">SUM(T426)</f>
        <v>229.41173771745326</v>
      </c>
      <c r="AQ422" s="13">
        <f t="shared" ca="1" si="1177"/>
        <v>7.1691168036704145</v>
      </c>
      <c r="AR422" s="9">
        <f t="shared" ca="1" si="1164"/>
        <v>233.375</v>
      </c>
      <c r="AS422" s="76"/>
      <c r="AT422" s="76"/>
    </row>
    <row r="423" spans="1:46" ht="15.75" customHeight="1" x14ac:dyDescent="0.25">
      <c r="A423" s="70"/>
      <c r="B423" s="16">
        <v>13</v>
      </c>
      <c r="C423" s="16" t="s">
        <v>43</v>
      </c>
      <c r="D423" s="17">
        <v>30</v>
      </c>
      <c r="E423" s="18">
        <f ca="1">IFERROR(__xludf.DUMMYFUNCTION("COUNT(IMPORTRANGE(""https://docs.google.com/spreadsheets/d/1uGXvAN2jA6kmcEHUY4KqOHHewllZsujDdA6KVDfBCoA/edit"",""16!d2:d31""))"),30)</f>
        <v>30</v>
      </c>
      <c r="F423" s="23">
        <f ca="1">IFERROR(__xludf.DUMMYFUNCTION("SUM(IMPORTRANGE(""https://docs.google.com/spreadsheets/d/1uGXvAN2jA6kmcEHUY4KqOHHewllZsujDdA6KVDfBCoA/edit"",""16!Q2:Q31""))"),6057.13499999999)</f>
        <v>6057.1349999999902</v>
      </c>
      <c r="G423" s="18">
        <f ca="1">IFERROR(__xludf.DUMMYFUNCTION("IMPORTRANGE(""https://docs.google.com/spreadsheets/d/1uGXvAN2jA6kmcEHUY4KqOHHewllZsujDdA6KVDfBCoA/edit"",""16!e38"")"),1863)</f>
        <v>1863</v>
      </c>
      <c r="H423" s="18">
        <f ca="1">IFERROR(__xludf.DUMMYFUNCTION("IMPORTRANGE(""https://docs.google.com/spreadsheets/d/1uGXvAN2jA6kmcEHUY4KqOHHewllZsujDdA6KVDfBCoA/edit"",""16!e39"")"),0)</f>
        <v>0</v>
      </c>
      <c r="I423" s="18">
        <f t="shared" ca="1" si="1137"/>
        <v>1863</v>
      </c>
      <c r="J423" s="18">
        <f ca="1">IFERROR(__xludf.DUMMYFUNCTION("IMPORTRANGE(""https://docs.google.com/spreadsheets/d/1uGXvAN2jA6kmcEHUY4KqOHHewllZsujDdA6KVDfBCoA/edit"",""16!e42"")"),3443)</f>
        <v>3443</v>
      </c>
      <c r="K423" s="18">
        <f ca="1">IFERROR(__xludf.DUMMYFUNCTION("IMPORTRANGE(""https://docs.google.com/spreadsheets/d/1uGXvAN2jA6kmcEHUY4KqOHHewllZsujDdA6KVDfBCoA/edit"",""16!e43"")"),36)</f>
        <v>36</v>
      </c>
      <c r="L423" s="18">
        <f t="shared" ca="1" si="1167"/>
        <v>3479</v>
      </c>
      <c r="M423" s="18">
        <f t="shared" ca="1" si="1139"/>
        <v>5342</v>
      </c>
      <c r="N423" s="19">
        <f t="shared" ca="1" si="1140"/>
        <v>201.90449999999967</v>
      </c>
      <c r="O423" s="16">
        <v>8345</v>
      </c>
      <c r="P423" s="20">
        <f t="shared" ca="1" si="1141"/>
        <v>0.64014379868184546</v>
      </c>
      <c r="Q423" s="21">
        <v>1.5</v>
      </c>
      <c r="R423" s="20">
        <f t="shared" ca="1" si="1142"/>
        <v>0.58795673752249855</v>
      </c>
      <c r="S423" s="22">
        <f t="shared" ca="1" si="1143"/>
        <v>0.88193510628374783</v>
      </c>
      <c r="T423" s="21">
        <f ca="1">F423/41.205</f>
        <v>146.99999999999977</v>
      </c>
      <c r="U423" s="21">
        <f t="shared" ca="1" si="1144"/>
        <v>4.8999999999999924</v>
      </c>
      <c r="V423" s="18">
        <f t="shared" ca="1" si="1145"/>
        <v>178.06666666666666</v>
      </c>
      <c r="W423" s="76"/>
      <c r="X423" s="24" t="s">
        <v>33</v>
      </c>
      <c r="Y423" s="24">
        <v>6</v>
      </c>
      <c r="Z423" s="24">
        <f t="shared" ref="Z423:AI423" si="1178">SUM(Z417:Z422)</f>
        <v>226</v>
      </c>
      <c r="AA423" s="25">
        <f t="shared" ca="1" si="1178"/>
        <v>221</v>
      </c>
      <c r="AB423" s="27">
        <f t="shared" ca="1" si="1178"/>
        <v>43500.484999999862</v>
      </c>
      <c r="AC423" s="25">
        <f t="shared" ca="1" si="1178"/>
        <v>17490</v>
      </c>
      <c r="AD423" s="25">
        <f t="shared" ca="1" si="1178"/>
        <v>172</v>
      </c>
      <c r="AE423" s="25">
        <f t="shared" ca="1" si="1178"/>
        <v>17662</v>
      </c>
      <c r="AF423" s="25">
        <f t="shared" ca="1" si="1178"/>
        <v>23150</v>
      </c>
      <c r="AG423" s="25">
        <f t="shared" ca="1" si="1178"/>
        <v>231</v>
      </c>
      <c r="AH423" s="25">
        <f t="shared" ca="1" si="1178"/>
        <v>23381</v>
      </c>
      <c r="AI423" s="25">
        <f t="shared" ca="1" si="1178"/>
        <v>41043</v>
      </c>
      <c r="AJ423" s="27">
        <f t="shared" ca="1" si="1157"/>
        <v>196.83477375565548</v>
      </c>
      <c r="AK423" s="24">
        <f>SUM(AK417:AK422)</f>
        <v>53273</v>
      </c>
      <c r="AL423" s="28">
        <f t="shared" ca="1" si="1159"/>
        <v>0.77042779644472814</v>
      </c>
      <c r="AM423" s="29">
        <v>1.5</v>
      </c>
      <c r="AN423" s="28">
        <f t="shared" ca="1" si="1161"/>
        <v>0.62900448121440677</v>
      </c>
      <c r="AO423" s="30">
        <f t="shared" ca="1" si="1162"/>
        <v>0.94350672182161022</v>
      </c>
      <c r="AP423" s="29">
        <f ca="1">SUM(AP417:AP422)</f>
        <v>1428.460643335791</v>
      </c>
      <c r="AQ423" s="29">
        <f ca="1">AP423/AA423</f>
        <v>6.4636228205239412</v>
      </c>
      <c r="AR423" s="25">
        <f t="shared" ca="1" si="1164"/>
        <v>185.71493212669682</v>
      </c>
      <c r="AS423" s="76"/>
      <c r="AT423" s="76"/>
    </row>
    <row r="424" spans="1:46" ht="15.75" customHeight="1" x14ac:dyDescent="0.25">
      <c r="A424" s="70"/>
      <c r="B424" s="16">
        <v>14</v>
      </c>
      <c r="C424" s="16" t="s">
        <v>27</v>
      </c>
      <c r="D424" s="17">
        <v>30</v>
      </c>
      <c r="E424" s="18">
        <f ca="1">IFERROR(__xludf.DUMMYFUNCTION("COUNT(IMPORTRANGE(""https://docs.google.com/spreadsheets/d/1iYtf3wkjJIgOL8ej0-L89wY8FLXKi6EiRbi9UqA1Bzw/edit"",""16!d2:d31""))"),27)</f>
        <v>27</v>
      </c>
      <c r="F424" s="23">
        <f ca="1">IFERROR(__xludf.DUMMYFUNCTION("SUM(IMPORTRANGE(""https://docs.google.com/spreadsheets/d/1iYtf3wkjJIgOL8ej0-L89wY8FLXKi6EiRbi9UqA1Bzw/edit"",""16!Q2:Q31""))"),5066.06)</f>
        <v>5066.0600000000004</v>
      </c>
      <c r="G424" s="18">
        <f ca="1">IFERROR(__xludf.DUMMYFUNCTION("IMPORTRANGE(""https://docs.google.com/spreadsheets/d/1iYtf3wkjJIgOL8ej0-L89wY8FLXKi6EiRbi9UqA1Bzw/edit"",""16!e38"")"),2577)</f>
        <v>2577</v>
      </c>
      <c r="H424" s="18">
        <f ca="1">IFERROR(__xludf.DUMMYFUNCTION("IMPORTRANGE(""https://docs.google.com/spreadsheets/d/1iYtf3wkjJIgOL8ej0-L89wY8FLXKi6EiRbi9UqA1Bzw/edit"",""16!e39"")"),213)</f>
        <v>213</v>
      </c>
      <c r="I424" s="18">
        <f t="shared" ca="1" si="1137"/>
        <v>2790</v>
      </c>
      <c r="J424" s="18">
        <f ca="1">IFERROR(__xludf.DUMMYFUNCTION("IMPORTRANGE(""https://docs.google.com/spreadsheets/d/1iYtf3wkjJIgOL8ej0-L89wY8FLXKi6EiRbi9UqA1Bzw/edit"",""16!e42"")"),2849)</f>
        <v>2849</v>
      </c>
      <c r="K424" s="18">
        <f ca="1">IFERROR(__xludf.DUMMYFUNCTION("IMPORTRANGE(""https://docs.google.com/spreadsheets/d/1iYtf3wkjJIgOL8ej0-L89wY8FLXKi6EiRbi9UqA1Bzw/edit"",""16!e43"")"),226)</f>
        <v>226</v>
      </c>
      <c r="L424" s="18">
        <f t="shared" ca="1" si="1167"/>
        <v>3075</v>
      </c>
      <c r="M424" s="18">
        <f t="shared" ca="1" si="1139"/>
        <v>5865</v>
      </c>
      <c r="N424" s="19">
        <f t="shared" ca="1" si="1140"/>
        <v>187.63185185185188</v>
      </c>
      <c r="O424" s="16">
        <v>8101</v>
      </c>
      <c r="P424" s="20">
        <f t="shared" ca="1" si="1141"/>
        <v>0.72398469324774717</v>
      </c>
      <c r="Q424" s="21">
        <v>1.5</v>
      </c>
      <c r="R424" s="20">
        <f t="shared" ca="1" si="1142"/>
        <v>0.77180293956250023</v>
      </c>
      <c r="S424" s="22">
        <f t="shared" ca="1" si="1143"/>
        <v>1.1577044093437503</v>
      </c>
      <c r="T424" s="21">
        <f ca="1">F424/19.985</f>
        <v>253.49311983987994</v>
      </c>
      <c r="U424" s="21">
        <f t="shared" ca="1" si="1144"/>
        <v>9.3886340681437019</v>
      </c>
      <c r="V424" s="18">
        <f t="shared" ca="1" si="1145"/>
        <v>217.22222222222223</v>
      </c>
      <c r="W424" s="76"/>
      <c r="X424" s="97" t="s">
        <v>44</v>
      </c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9"/>
      <c r="AS424" s="76"/>
      <c r="AT424" s="76"/>
    </row>
    <row r="425" spans="1:46" ht="15.75" customHeight="1" x14ac:dyDescent="0.25">
      <c r="A425" s="70"/>
      <c r="B425" s="16">
        <v>15</v>
      </c>
      <c r="C425" s="16" t="s">
        <v>40</v>
      </c>
      <c r="D425" s="17">
        <v>30</v>
      </c>
      <c r="E425" s="18">
        <f ca="1">IFERROR(__xludf.DUMMYFUNCTION("COUNT(IMPORTRANGE(""https://docs.google.com/spreadsheets/d/1Wdf8MsoDBzMSsrzOXwaGQzbVjVqOWfKSqYmbncevZgA/edit"",""16!d2:d31""))"),30)</f>
        <v>30</v>
      </c>
      <c r="F425" s="23">
        <f ca="1">IFERROR(__xludf.DUMMYFUNCTION("SUM(IMPORTRANGE(""https://docs.google.com/spreadsheets/d/1Wdf8MsoDBzMSsrzOXwaGQzbVjVqOWfKSqYmbncevZgA/edit"",""16!Q2:Q31""))"),5916.14399999999)</f>
        <v>5916.1439999999902</v>
      </c>
      <c r="G425" s="18">
        <f ca="1">IFERROR(__xludf.DUMMYFUNCTION("IMPORTRANGE(""https://docs.google.com/spreadsheets/d/1Wdf8MsoDBzMSsrzOXwaGQzbVjVqOWfKSqYmbncevZgA/edit"",""16!e38"")"),3906)</f>
        <v>3906</v>
      </c>
      <c r="H425" s="18">
        <f ca="1">IFERROR(__xludf.DUMMYFUNCTION("IMPORTRANGE(""https://docs.google.com/spreadsheets/d/1Wdf8MsoDBzMSsrzOXwaGQzbVjVqOWfKSqYmbncevZgA/edit"",""16!e39"")"),0)</f>
        <v>0</v>
      </c>
      <c r="I425" s="18">
        <f t="shared" ca="1" si="1137"/>
        <v>3906</v>
      </c>
      <c r="J425" s="18">
        <f ca="1">IFERROR(__xludf.DUMMYFUNCTION("IMPORTRANGE(""https://docs.google.com/spreadsheets/d/1Wdf8MsoDBzMSsrzOXwaGQzbVjVqOWfKSqYmbncevZgA/edit"",""16!e42"")"),3424)</f>
        <v>3424</v>
      </c>
      <c r="K425" s="18">
        <f ca="1">IFERROR(__xludf.DUMMYFUNCTION("IMPORTRANGE(""https://docs.google.com/spreadsheets/d/1Wdf8MsoDBzMSsrzOXwaGQzbVjVqOWfKSqYmbncevZgA/edit"",""16!e43"")"),0)</f>
        <v>0</v>
      </c>
      <c r="L425" s="18">
        <f t="shared" ca="1" si="1167"/>
        <v>3424</v>
      </c>
      <c r="M425" s="18">
        <f t="shared" ca="1" si="1139"/>
        <v>7330</v>
      </c>
      <c r="N425" s="19">
        <f t="shared" ca="1" si="1140"/>
        <v>197.20479999999966</v>
      </c>
      <c r="O425" s="16">
        <v>8239</v>
      </c>
      <c r="P425" s="20">
        <f t="shared" ca="1" si="1141"/>
        <v>0.88967107658696443</v>
      </c>
      <c r="Q425" s="21">
        <v>1.5</v>
      </c>
      <c r="R425" s="20">
        <f t="shared" ca="1" si="1142"/>
        <v>0.82598845914951946</v>
      </c>
      <c r="S425" s="22">
        <f t="shared" ca="1" si="1143"/>
        <v>1.2389826887242792</v>
      </c>
      <c r="T425" s="21">
        <f ca="1">F425/28.443</f>
        <v>207.99999999999966</v>
      </c>
      <c r="U425" s="21">
        <f t="shared" ca="1" si="1144"/>
        <v>6.933333333333322</v>
      </c>
      <c r="V425" s="18">
        <f t="shared" ca="1" si="1145"/>
        <v>244.33333333333334</v>
      </c>
      <c r="W425" s="76"/>
      <c r="X425" s="1" t="s">
        <v>2</v>
      </c>
      <c r="Y425" s="1" t="s">
        <v>3</v>
      </c>
      <c r="Z425" s="1" t="s">
        <v>4</v>
      </c>
      <c r="AA425" s="1" t="s">
        <v>5</v>
      </c>
      <c r="AB425" s="2" t="s">
        <v>6</v>
      </c>
      <c r="AC425" s="1" t="s">
        <v>7</v>
      </c>
      <c r="AD425" s="1" t="s">
        <v>8</v>
      </c>
      <c r="AE425" s="1" t="s">
        <v>9</v>
      </c>
      <c r="AF425" s="1" t="s">
        <v>10</v>
      </c>
      <c r="AG425" s="1" t="s">
        <v>11</v>
      </c>
      <c r="AH425" s="1" t="s">
        <v>12</v>
      </c>
      <c r="AI425" s="1" t="s">
        <v>13</v>
      </c>
      <c r="AJ425" s="2" t="s">
        <v>14</v>
      </c>
      <c r="AK425" s="1" t="s">
        <v>15</v>
      </c>
      <c r="AL425" s="1" t="s">
        <v>16</v>
      </c>
      <c r="AM425" s="3" t="s">
        <v>17</v>
      </c>
      <c r="AN425" s="4" t="s">
        <v>18</v>
      </c>
      <c r="AO425" s="5" t="s">
        <v>19</v>
      </c>
      <c r="AP425" s="6" t="s">
        <v>20</v>
      </c>
      <c r="AQ425" s="6" t="s">
        <v>21</v>
      </c>
      <c r="AR425" s="7" t="s">
        <v>22</v>
      </c>
      <c r="AS425" s="76"/>
      <c r="AT425" s="76"/>
    </row>
    <row r="426" spans="1:46" ht="15.75" customHeight="1" x14ac:dyDescent="0.25">
      <c r="A426" s="70"/>
      <c r="B426" s="16">
        <v>16</v>
      </c>
      <c r="C426" s="16" t="s">
        <v>42</v>
      </c>
      <c r="D426" s="17">
        <v>33</v>
      </c>
      <c r="E426" s="18">
        <f ca="1">IFERROR(__xludf.DUMMYFUNCTION("COUNT(IMPORTRANGE(""https://docs.google.com/spreadsheets/d/1Z5uB5HbeAKcHmG4EOw3rf2J8NpyvDiha6RReERAMvA0/edit"",""16!d2:d34""))"),32)</f>
        <v>32</v>
      </c>
      <c r="F426" s="23">
        <f ca="1">IFERROR(__xludf.DUMMYFUNCTION("SUM(IMPORTRANGE(""https://docs.google.com/spreadsheets/d/1Z5uB5HbeAKcHmG4EOw3rf2J8NpyvDiha6RReERAMvA0/edit"",""16!Q2:Q34""))"),6000.26399999999)</f>
        <v>6000.2639999999901</v>
      </c>
      <c r="G426" s="18">
        <f ca="1">IFERROR(__xludf.DUMMYFUNCTION("IMPORTRANGE(""https://docs.google.com/spreadsheets/d/1Z5uB5HbeAKcHmG4EOw3rf2J8NpyvDiha6RReERAMvA0/edit"",""16!e41"")"),2915)</f>
        <v>2915</v>
      </c>
      <c r="H426" s="18">
        <f ca="1">IFERROR(__xludf.DUMMYFUNCTION("IMPORTRANGE(""https://docs.google.com/spreadsheets/d/1Z5uB5HbeAKcHmG4EOw3rf2J8NpyvDiha6RReERAMvA0/edit"",""16!e42"")"),29)</f>
        <v>29</v>
      </c>
      <c r="I426" s="18">
        <f t="shared" ca="1" si="1137"/>
        <v>2944</v>
      </c>
      <c r="J426" s="18">
        <f ca="1">IFERROR(__xludf.DUMMYFUNCTION("IMPORTRANGE(""https://docs.google.com/spreadsheets/d/1Z5uB5HbeAKcHmG4EOw3rf2J8NpyvDiha6RReERAMvA0/edit"",""16!e45"")"),4524)</f>
        <v>4524</v>
      </c>
      <c r="K426" s="18">
        <f ca="1">IFERROR(__xludf.DUMMYFUNCTION("IMPORTRANGE(""https://docs.google.com/spreadsheets/d/1Z5uB5HbeAKcHmG4EOw3rf2J8NpyvDiha6RReERAMvA0/edit"",""16!e46"")"),0)</f>
        <v>0</v>
      </c>
      <c r="L426" s="18">
        <f t="shared" ca="1" si="1167"/>
        <v>4524</v>
      </c>
      <c r="M426" s="18">
        <f t="shared" ca="1" si="1139"/>
        <v>7468</v>
      </c>
      <c r="N426" s="19">
        <f t="shared" ca="1" si="1140"/>
        <v>187.50824999999969</v>
      </c>
      <c r="O426" s="16">
        <v>9877</v>
      </c>
      <c r="P426" s="20">
        <f t="shared" ca="1" si="1141"/>
        <v>0.75610003037359519</v>
      </c>
      <c r="Q426" s="21">
        <v>1.5</v>
      </c>
      <c r="R426" s="20">
        <f t="shared" ca="1" si="1142"/>
        <v>0.82974126916193602</v>
      </c>
      <c r="S426" s="22">
        <f t="shared" ca="1" si="1143"/>
        <v>1.244611903742904</v>
      </c>
      <c r="T426" s="21">
        <f ca="1">F426/26.155</f>
        <v>229.41173771745326</v>
      </c>
      <c r="U426" s="21">
        <f t="shared" ca="1" si="1144"/>
        <v>7.1691168036704145</v>
      </c>
      <c r="V426" s="18">
        <f t="shared" ca="1" si="1145"/>
        <v>233.375</v>
      </c>
      <c r="W426" s="76"/>
      <c r="X426" s="8">
        <v>1</v>
      </c>
      <c r="Y426" s="8" t="s">
        <v>26</v>
      </c>
      <c r="Z426" s="8">
        <f t="shared" ref="Z426:AI426" si="1179">SUM(D411)</f>
        <v>20</v>
      </c>
      <c r="AA426" s="9">
        <f t="shared" ca="1" si="1179"/>
        <v>19</v>
      </c>
      <c r="AB426" s="11">
        <f t="shared" ca="1" si="1179"/>
        <v>3762.9270000000001</v>
      </c>
      <c r="AC426" s="9">
        <f t="shared" ca="1" si="1179"/>
        <v>2179</v>
      </c>
      <c r="AD426" s="9">
        <f t="shared" ca="1" si="1179"/>
        <v>0</v>
      </c>
      <c r="AE426" s="9">
        <f t="shared" ca="1" si="1179"/>
        <v>2179</v>
      </c>
      <c r="AF426" s="9">
        <f t="shared" ca="1" si="1179"/>
        <v>2697</v>
      </c>
      <c r="AG426" s="9">
        <f t="shared" ca="1" si="1179"/>
        <v>0</v>
      </c>
      <c r="AH426" s="9">
        <f t="shared" ca="1" si="1179"/>
        <v>2697</v>
      </c>
      <c r="AI426" s="9">
        <f t="shared" ca="1" si="1179"/>
        <v>4876</v>
      </c>
      <c r="AJ426" s="11">
        <f t="shared" ref="AJ426:AJ432" ca="1" si="1180">AB426/AA426</f>
        <v>198.04878947368422</v>
      </c>
      <c r="AK426" s="8">
        <f>SUM(O411)</f>
        <v>5161</v>
      </c>
      <c r="AL426" s="12">
        <f t="shared" ref="AL426:AL432" ca="1" si="1181">AI426/AK426</f>
        <v>0.94477814377058711</v>
      </c>
      <c r="AM426" s="13">
        <f>SUM(Q411)</f>
        <v>1.5</v>
      </c>
      <c r="AN426" s="12">
        <f t="shared" ref="AN426:AN432" ca="1" si="1182">AO426/AM426</f>
        <v>0.86386652376372608</v>
      </c>
      <c r="AO426" s="14">
        <f t="shared" ref="AO426:AO432" ca="1" si="1183">AI426/AB426</f>
        <v>1.2957997856455892</v>
      </c>
      <c r="AP426" s="13">
        <f t="shared" ref="AP426:AQ426" ca="1" si="1184">SUM(T411)</f>
        <v>261.04245577523415</v>
      </c>
      <c r="AQ426" s="13">
        <f t="shared" ca="1" si="1184"/>
        <v>13.739076619749165</v>
      </c>
      <c r="AR426" s="9">
        <f t="shared" ref="AR426:AR432" ca="1" si="1185">AI426/AA426</f>
        <v>256.63157894736844</v>
      </c>
      <c r="AS426" s="76"/>
      <c r="AT426" s="76"/>
    </row>
    <row r="427" spans="1:46" ht="15.75" customHeight="1" x14ac:dyDescent="0.25">
      <c r="A427" s="70"/>
      <c r="B427" s="16">
        <v>17</v>
      </c>
      <c r="C427" s="16" t="s">
        <v>29</v>
      </c>
      <c r="D427" s="17">
        <v>30</v>
      </c>
      <c r="E427" s="18">
        <f ca="1">IFERROR(__xludf.DUMMYFUNCTION("COUNT(IMPORTRANGE(""https://docs.google.com/spreadsheets/d/1wfJqI0e9wVPqEQv3N6b8KgINjqI0OBECEyIFeY9j3i8/edit"",""16!d2:d31""))"),30)</f>
        <v>30</v>
      </c>
      <c r="F427" s="23">
        <f ca="1">IFERROR(__xludf.DUMMYFUNCTION("SUM(IMPORTRANGE(""https://docs.google.com/spreadsheets/d/1wfJqI0e9wVPqEQv3N6b8KgINjqI0OBECEyIFeY9j3i8/edit"",""16!Q2:Q31""))"),6013.45699999999)</f>
        <v>6013.4569999999903</v>
      </c>
      <c r="G427" s="18">
        <f ca="1">IFERROR(__xludf.DUMMYFUNCTION("IMPORTRANGE(""https://docs.google.com/spreadsheets/d/1wfJqI0e9wVPqEQv3N6b8KgINjqI0OBECEyIFeY9j3i8/edit"",""16!e38"")"),2919)</f>
        <v>2919</v>
      </c>
      <c r="H427" s="18">
        <f ca="1">IFERROR(__xludf.DUMMYFUNCTION("IMPORTRANGE(""https://docs.google.com/spreadsheets/d/1wfJqI0e9wVPqEQv3N6b8KgINjqI0OBECEyIFeY9j3i8/edit"",""16!e39"")"),0)</f>
        <v>0</v>
      </c>
      <c r="I427" s="18">
        <f t="shared" ca="1" si="1137"/>
        <v>2919</v>
      </c>
      <c r="J427" s="18">
        <f ca="1">IFERROR(__xludf.DUMMYFUNCTION("IMPORTRANGE(""https://docs.google.com/spreadsheets/d/1wfJqI0e9wVPqEQv3N6b8KgINjqI0OBECEyIFeY9j3i8/edit"",""16!e42"")"),4378)</f>
        <v>4378</v>
      </c>
      <c r="K427" s="18">
        <f ca="1">IFERROR(__xludf.DUMMYFUNCTION("IMPORTRANGE(""https://docs.google.com/spreadsheets/d/1wfJqI0e9wVPqEQv3N6b8KgINjqI0OBECEyIFeY9j3i8/edit"",""16!e43"")"),0)</f>
        <v>0</v>
      </c>
      <c r="L427" s="18">
        <f t="shared" ca="1" si="1167"/>
        <v>4378</v>
      </c>
      <c r="M427" s="18">
        <f t="shared" ca="1" si="1139"/>
        <v>7297</v>
      </c>
      <c r="N427" s="19">
        <f t="shared" ca="1" si="1140"/>
        <v>200.44856666666635</v>
      </c>
      <c r="O427" s="16">
        <v>9201</v>
      </c>
      <c r="P427" s="20">
        <f t="shared" ca="1" si="1141"/>
        <v>0.79306597109009891</v>
      </c>
      <c r="Q427" s="21">
        <v>1.5</v>
      </c>
      <c r="R427" s="20">
        <f t="shared" ca="1" si="1142"/>
        <v>0.80896340768158392</v>
      </c>
      <c r="S427" s="22">
        <f t="shared" ca="1" si="1143"/>
        <v>1.2134451115223759</v>
      </c>
      <c r="T427" s="21">
        <f ca="1">F427/26.491</f>
        <v>226.99999999999963</v>
      </c>
      <c r="U427" s="21">
        <f t="shared" ca="1" si="1144"/>
        <v>7.566666666666654</v>
      </c>
      <c r="V427" s="18">
        <f t="shared" ca="1" si="1145"/>
        <v>243.23333333333332</v>
      </c>
      <c r="W427" s="76"/>
      <c r="X427" s="8">
        <v>2</v>
      </c>
      <c r="Y427" s="8" t="s">
        <v>32</v>
      </c>
      <c r="Z427" s="8">
        <f t="shared" ref="Z427:AI427" si="1186">SUM(D414)</f>
        <v>42</v>
      </c>
      <c r="AA427" s="9">
        <f t="shared" ca="1" si="1186"/>
        <v>42</v>
      </c>
      <c r="AB427" s="10">
        <f t="shared" ca="1" si="1186"/>
        <v>8090.1279999999897</v>
      </c>
      <c r="AC427" s="8">
        <f t="shared" ca="1" si="1186"/>
        <v>4785</v>
      </c>
      <c r="AD427" s="8">
        <f t="shared" ca="1" si="1186"/>
        <v>0</v>
      </c>
      <c r="AE427" s="9">
        <f t="shared" ca="1" si="1186"/>
        <v>4785</v>
      </c>
      <c r="AF427" s="8">
        <f t="shared" ca="1" si="1186"/>
        <v>5150</v>
      </c>
      <c r="AG427" s="8">
        <f t="shared" ca="1" si="1186"/>
        <v>106</v>
      </c>
      <c r="AH427" s="9">
        <f t="shared" ca="1" si="1186"/>
        <v>5256</v>
      </c>
      <c r="AI427" s="9">
        <f t="shared" ca="1" si="1186"/>
        <v>10041</v>
      </c>
      <c r="AJ427" s="11">
        <f t="shared" ca="1" si="1180"/>
        <v>192.622095238095</v>
      </c>
      <c r="AK427" s="8">
        <f>SUM(O414)</f>
        <v>13817</v>
      </c>
      <c r="AL427" s="12">
        <f t="shared" ca="1" si="1181"/>
        <v>0.72671346891510458</v>
      </c>
      <c r="AM427" s="13">
        <f>SUM(Q414)</f>
        <v>1.5</v>
      </c>
      <c r="AN427" s="12">
        <f t="shared" ca="1" si="1182"/>
        <v>0.82742819396677136</v>
      </c>
      <c r="AO427" s="14">
        <f t="shared" ca="1" si="1183"/>
        <v>1.241142290950157</v>
      </c>
      <c r="AP427" s="13">
        <f t="shared" ref="AP427:AQ427" ca="1" si="1187">SUM(T414)</f>
        <v>322.45717246602055</v>
      </c>
      <c r="AQ427" s="13">
        <f t="shared" ca="1" si="1187"/>
        <v>7.6775517253814414</v>
      </c>
      <c r="AR427" s="9">
        <f t="shared" ca="1" si="1185"/>
        <v>239.07142857142858</v>
      </c>
      <c r="AS427" s="76"/>
      <c r="AT427" s="76"/>
    </row>
    <row r="428" spans="1:46" ht="15.75" customHeight="1" x14ac:dyDescent="0.25">
      <c r="A428" s="70"/>
      <c r="B428" s="16">
        <v>18</v>
      </c>
      <c r="C428" s="16" t="s">
        <v>31</v>
      </c>
      <c r="D428" s="17">
        <v>15</v>
      </c>
      <c r="E428" s="18">
        <f ca="1">IFERROR(__xludf.DUMMYFUNCTION("COUNT(IMPORTRANGE(""https://docs.google.com/spreadsheets/d/1-y2KhTAo7d8kowgUuWUDfRQuRMUAFteRYEXorT3_wOs/edit"",""16!d2:d16""))"),14)</f>
        <v>14</v>
      </c>
      <c r="F428" s="19">
        <f ca="1">IFERROR(__xludf.DUMMYFUNCTION("SUM(IMPORTRANGE(""https://docs.google.com/spreadsheets/d/1-y2KhTAo7d8kowgUuWUDfRQuRMUAFteRYEXorT3_wOs/edit"",""16!Q2:Q16""))"),2694.83)</f>
        <v>2694.83</v>
      </c>
      <c r="G428" s="18">
        <f ca="1">IFERROR(__xludf.DUMMYFUNCTION("IMPORTRANGE(""https://docs.google.com/spreadsheets/d/1-y2KhTAo7d8kowgUuWUDfRQuRMUAFteRYEXorT3_wOs/edit"",""16!e23"")"),846)</f>
        <v>846</v>
      </c>
      <c r="H428" s="18">
        <f ca="1">IFERROR(__xludf.DUMMYFUNCTION("IMPORTRANGE(""https://docs.google.com/spreadsheets/d/1-y2KhTAo7d8kowgUuWUDfRQuRMUAFteRYEXorT3_wOs/edit"",""16!e24"")"),93)</f>
        <v>93</v>
      </c>
      <c r="I428" s="18">
        <f t="shared" ca="1" si="1137"/>
        <v>939</v>
      </c>
      <c r="J428" s="18">
        <f ca="1">IFERROR(__xludf.DUMMYFUNCTION("IMPORTRANGE(""https://docs.google.com/spreadsheets/d/1-y2KhTAo7d8kowgUuWUDfRQuRMUAFteRYEXorT3_wOs/edit"",""16!e27"")"),1006)</f>
        <v>1006</v>
      </c>
      <c r="K428" s="18">
        <f ca="1">IFERROR(__xludf.DUMMYFUNCTION("IMPORTRANGE(""https://docs.google.com/spreadsheets/d/1-y2KhTAo7d8kowgUuWUDfRQuRMUAFteRYEXorT3_wOs/edit"",""16!e28"")"),53)</f>
        <v>53</v>
      </c>
      <c r="L428" s="18">
        <f t="shared" ca="1" si="1167"/>
        <v>1059</v>
      </c>
      <c r="M428" s="18">
        <f t="shared" ca="1" si="1139"/>
        <v>1998</v>
      </c>
      <c r="N428" s="19">
        <f t="shared" ca="1" si="1140"/>
        <v>192.48785714285714</v>
      </c>
      <c r="O428" s="16">
        <v>2717</v>
      </c>
      <c r="P428" s="20">
        <f t="shared" ca="1" si="1141"/>
        <v>0.73536989326463009</v>
      </c>
      <c r="Q428" s="21">
        <v>1.5</v>
      </c>
      <c r="R428" s="20">
        <f t="shared" ca="1" si="1142"/>
        <v>0.49427978759328051</v>
      </c>
      <c r="S428" s="22">
        <f t="shared" ca="1" si="1143"/>
        <v>0.74141968138992076</v>
      </c>
      <c r="T428" s="21">
        <f ca="1">F428/43.465</f>
        <v>61.999999999999993</v>
      </c>
      <c r="U428" s="21">
        <f t="shared" ca="1" si="1144"/>
        <v>4.4285714285714279</v>
      </c>
      <c r="V428" s="18">
        <f t="shared" ca="1" si="1145"/>
        <v>142.71428571428572</v>
      </c>
      <c r="W428" s="76"/>
      <c r="X428" s="8">
        <v>3</v>
      </c>
      <c r="Y428" s="8" t="s">
        <v>36</v>
      </c>
      <c r="Z428" s="8">
        <f t="shared" ref="Z428:AI428" si="1188">SUM(D419)</f>
        <v>30</v>
      </c>
      <c r="AA428" s="9">
        <f t="shared" ca="1" si="1188"/>
        <v>30</v>
      </c>
      <c r="AB428" s="10">
        <f t="shared" ca="1" si="1188"/>
        <v>5997.7649999999903</v>
      </c>
      <c r="AC428" s="9">
        <f t="shared" ca="1" si="1188"/>
        <v>1773</v>
      </c>
      <c r="AD428" s="9">
        <f t="shared" ca="1" si="1188"/>
        <v>0</v>
      </c>
      <c r="AE428" s="9">
        <f t="shared" ca="1" si="1188"/>
        <v>1773</v>
      </c>
      <c r="AF428" s="9">
        <f t="shared" ca="1" si="1188"/>
        <v>2388</v>
      </c>
      <c r="AG428" s="9">
        <f t="shared" ca="1" si="1188"/>
        <v>0</v>
      </c>
      <c r="AH428" s="9">
        <f t="shared" ca="1" si="1188"/>
        <v>2388</v>
      </c>
      <c r="AI428" s="9">
        <f t="shared" ca="1" si="1188"/>
        <v>4161</v>
      </c>
      <c r="AJ428" s="11">
        <f t="shared" ca="1" si="1180"/>
        <v>199.92549999999969</v>
      </c>
      <c r="AK428" s="8">
        <f t="shared" ref="AK428:AK431" si="1189">SUM(O419)</f>
        <v>4796</v>
      </c>
      <c r="AL428" s="12">
        <f t="shared" ca="1" si="1181"/>
        <v>0.86759799833194329</v>
      </c>
      <c r="AM428" s="13">
        <f t="shared" ref="AM428:AM431" si="1190">SUM(Q419)</f>
        <v>1.5</v>
      </c>
      <c r="AN428" s="12">
        <f t="shared" ca="1" si="1182"/>
        <v>0.46250561667554568</v>
      </c>
      <c r="AO428" s="14">
        <f t="shared" ca="1" si="1183"/>
        <v>0.69375842501331852</v>
      </c>
      <c r="AP428" s="13">
        <f t="shared" ref="AP428:AQ428" ca="1" si="1191">SUM(T419)</f>
        <v>160.30803977120837</v>
      </c>
      <c r="AQ428" s="13">
        <f t="shared" ca="1" si="1191"/>
        <v>5.3436013257069455</v>
      </c>
      <c r="AR428" s="9">
        <f t="shared" ca="1" si="1185"/>
        <v>138.69999999999999</v>
      </c>
      <c r="AS428" s="76"/>
      <c r="AT428" s="76"/>
    </row>
    <row r="429" spans="1:46" ht="15.75" customHeight="1" x14ac:dyDescent="0.2">
      <c r="A429" s="70"/>
      <c r="B429" s="98" t="s">
        <v>33</v>
      </c>
      <c r="C429" s="98">
        <v>18</v>
      </c>
      <c r="D429" s="98">
        <f t="shared" ref="D429:M429" si="1192">SUM(D411:D428)</f>
        <v>586</v>
      </c>
      <c r="E429" s="74">
        <f t="shared" ca="1" si="1192"/>
        <v>573</v>
      </c>
      <c r="F429" s="99">
        <f t="shared" ca="1" si="1192"/>
        <v>111756.85699999983</v>
      </c>
      <c r="G429" s="74">
        <f t="shared" ca="1" si="1192"/>
        <v>42939</v>
      </c>
      <c r="H429" s="74">
        <f t="shared" ca="1" si="1192"/>
        <v>864</v>
      </c>
      <c r="I429" s="74">
        <f t="shared" ca="1" si="1192"/>
        <v>43803</v>
      </c>
      <c r="J429" s="74">
        <f t="shared" ca="1" si="1192"/>
        <v>56244</v>
      </c>
      <c r="K429" s="74">
        <f t="shared" ca="1" si="1192"/>
        <v>1041</v>
      </c>
      <c r="L429" s="74">
        <f t="shared" ca="1" si="1192"/>
        <v>57285</v>
      </c>
      <c r="M429" s="74">
        <f t="shared" ca="1" si="1192"/>
        <v>101088</v>
      </c>
      <c r="N429" s="99">
        <f t="shared" ca="1" si="1140"/>
        <v>195.03814485165765</v>
      </c>
      <c r="O429" s="98">
        <f>SUM(O411:O428)</f>
        <v>126399</v>
      </c>
      <c r="P429" s="69">
        <f t="shared" ca="1" si="1141"/>
        <v>0.79975316260413454</v>
      </c>
      <c r="Q429" s="72">
        <v>1.5</v>
      </c>
      <c r="R429" s="69">
        <f t="shared" ca="1" si="1142"/>
        <v>0.60302340106075192</v>
      </c>
      <c r="S429" s="73">
        <f t="shared" ca="1" si="1143"/>
        <v>0.90453510159112793</v>
      </c>
      <c r="T429" s="72">
        <f ca="1">SUM(T411:T428)</f>
        <v>4107.8056445409511</v>
      </c>
      <c r="U429" s="72">
        <f t="shared" ca="1" si="1144"/>
        <v>7.1689452784309795</v>
      </c>
      <c r="V429" s="74">
        <f t="shared" ca="1" si="1145"/>
        <v>176.41884816753927</v>
      </c>
      <c r="W429" s="76"/>
      <c r="X429" s="8">
        <v>4</v>
      </c>
      <c r="Y429" s="8" t="s">
        <v>37</v>
      </c>
      <c r="Z429" s="8">
        <f t="shared" ref="Z429:AI429" si="1193">SUM(D420)</f>
        <v>30</v>
      </c>
      <c r="AA429" s="9">
        <f t="shared" ca="1" si="1193"/>
        <v>30</v>
      </c>
      <c r="AB429" s="10">
        <f t="shared" ca="1" si="1193"/>
        <v>5787.3959999999997</v>
      </c>
      <c r="AC429" s="9">
        <f t="shared" ca="1" si="1193"/>
        <v>2410</v>
      </c>
      <c r="AD429" s="9">
        <f t="shared" ca="1" si="1193"/>
        <v>0</v>
      </c>
      <c r="AE429" s="9">
        <f t="shared" ca="1" si="1193"/>
        <v>2410</v>
      </c>
      <c r="AF429" s="9">
        <f t="shared" ca="1" si="1193"/>
        <v>2984</v>
      </c>
      <c r="AG429" s="9">
        <f t="shared" ca="1" si="1193"/>
        <v>0</v>
      </c>
      <c r="AH429" s="9">
        <f t="shared" ca="1" si="1193"/>
        <v>2984</v>
      </c>
      <c r="AI429" s="9">
        <f t="shared" ca="1" si="1193"/>
        <v>5394</v>
      </c>
      <c r="AJ429" s="11">
        <f t="shared" ca="1" si="1180"/>
        <v>192.91319999999999</v>
      </c>
      <c r="AK429" s="8">
        <f t="shared" si="1189"/>
        <v>5887</v>
      </c>
      <c r="AL429" s="12">
        <f t="shared" ca="1" si="1181"/>
        <v>0.91625615763546797</v>
      </c>
      <c r="AM429" s="13">
        <f t="shared" si="1190"/>
        <v>1.5</v>
      </c>
      <c r="AN429" s="12">
        <f t="shared" ca="1" si="1182"/>
        <v>0.62135025838909252</v>
      </c>
      <c r="AO429" s="14">
        <f t="shared" ca="1" si="1183"/>
        <v>0.93202538758363873</v>
      </c>
      <c r="AP429" s="13">
        <f t="shared" ref="AP429:AQ429" ca="1" si="1194">SUM(T420)</f>
        <v>233.43804453049367</v>
      </c>
      <c r="AQ429" s="13">
        <f t="shared" ca="1" si="1194"/>
        <v>7.7812681510164561</v>
      </c>
      <c r="AR429" s="9">
        <f t="shared" ca="1" si="1185"/>
        <v>179.8</v>
      </c>
      <c r="AS429" s="76"/>
      <c r="AT429" s="76"/>
    </row>
    <row r="430" spans="1:46" ht="15.75" customHeight="1" x14ac:dyDescent="0.2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6"/>
      <c r="X430" s="8">
        <v>5</v>
      </c>
      <c r="Y430" s="8" t="s">
        <v>39</v>
      </c>
      <c r="Z430" s="8">
        <f t="shared" ref="Z430:AI430" si="1195">SUM(D421)</f>
        <v>28</v>
      </c>
      <c r="AA430" s="9">
        <f t="shared" ca="1" si="1195"/>
        <v>27</v>
      </c>
      <c r="AB430" s="10">
        <f t="shared" ca="1" si="1195"/>
        <v>5318.4589999999998</v>
      </c>
      <c r="AC430" s="9">
        <f t="shared" ca="1" si="1195"/>
        <v>1271</v>
      </c>
      <c r="AD430" s="9">
        <f t="shared" ca="1" si="1195"/>
        <v>0</v>
      </c>
      <c r="AE430" s="9">
        <f t="shared" ca="1" si="1195"/>
        <v>1271</v>
      </c>
      <c r="AF430" s="9">
        <f t="shared" ca="1" si="1195"/>
        <v>2069</v>
      </c>
      <c r="AG430" s="9">
        <f t="shared" ca="1" si="1195"/>
        <v>0</v>
      </c>
      <c r="AH430" s="9">
        <f t="shared" ca="1" si="1195"/>
        <v>2069</v>
      </c>
      <c r="AI430" s="9">
        <f t="shared" ca="1" si="1195"/>
        <v>3340</v>
      </c>
      <c r="AJ430" s="11">
        <f t="shared" ca="1" si="1180"/>
        <v>196.97996296296296</v>
      </c>
      <c r="AK430" s="8">
        <f t="shared" si="1189"/>
        <v>3569</v>
      </c>
      <c r="AL430" s="12">
        <f t="shared" ca="1" si="1181"/>
        <v>0.93583636873073694</v>
      </c>
      <c r="AM430" s="13">
        <f t="shared" si="1190"/>
        <v>1.5</v>
      </c>
      <c r="AN430" s="12">
        <f t="shared" ca="1" si="1182"/>
        <v>0.41866763787530686</v>
      </c>
      <c r="AO430" s="14">
        <f t="shared" ca="1" si="1183"/>
        <v>0.62800145681296027</v>
      </c>
      <c r="AP430" s="13">
        <f t="shared" ref="AP430:AQ430" ca="1" si="1196">SUM(T421)</f>
        <v>247.7966267530168</v>
      </c>
      <c r="AQ430" s="13">
        <f t="shared" ca="1" si="1196"/>
        <v>9.177652842704326</v>
      </c>
      <c r="AR430" s="9">
        <f t="shared" ca="1" si="1185"/>
        <v>123.70370370370371</v>
      </c>
      <c r="AS430" s="76"/>
      <c r="AT430" s="76"/>
    </row>
    <row r="431" spans="1:46" ht="15.75" customHeight="1" x14ac:dyDescent="0.2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6"/>
      <c r="X431" s="8">
        <v>6</v>
      </c>
      <c r="Y431" s="8" t="s">
        <v>41</v>
      </c>
      <c r="Z431" s="8">
        <f t="shared" ref="Z431:AI431" si="1197">SUM(D422)</f>
        <v>24</v>
      </c>
      <c r="AA431" s="9">
        <f t="shared" ca="1" si="1197"/>
        <v>24</v>
      </c>
      <c r="AB431" s="10">
        <f t="shared" ca="1" si="1197"/>
        <v>4691.1000000000004</v>
      </c>
      <c r="AC431" s="9">
        <f t="shared" ca="1" si="1197"/>
        <v>1315</v>
      </c>
      <c r="AD431" s="9">
        <f t="shared" ca="1" si="1197"/>
        <v>0</v>
      </c>
      <c r="AE431" s="9">
        <f t="shared" ca="1" si="1197"/>
        <v>1315</v>
      </c>
      <c r="AF431" s="9">
        <f t="shared" ca="1" si="1197"/>
        <v>1763</v>
      </c>
      <c r="AG431" s="9">
        <f t="shared" ca="1" si="1197"/>
        <v>0</v>
      </c>
      <c r="AH431" s="9">
        <f t="shared" ca="1" si="1197"/>
        <v>1763</v>
      </c>
      <c r="AI431" s="9">
        <f t="shared" ca="1" si="1197"/>
        <v>3078</v>
      </c>
      <c r="AJ431" s="11">
        <f t="shared" ca="1" si="1180"/>
        <v>195.46250000000001</v>
      </c>
      <c r="AK431" s="8">
        <f t="shared" si="1189"/>
        <v>3801</v>
      </c>
      <c r="AL431" s="12">
        <f t="shared" ca="1" si="1181"/>
        <v>0.80978689818468819</v>
      </c>
      <c r="AM431" s="13">
        <f t="shared" si="1190"/>
        <v>1.5</v>
      </c>
      <c r="AN431" s="12">
        <f t="shared" ca="1" si="1182"/>
        <v>0.43742405832320769</v>
      </c>
      <c r="AO431" s="14">
        <f t="shared" ca="1" si="1183"/>
        <v>0.65613608748481156</v>
      </c>
      <c r="AP431" s="13">
        <f t="shared" ref="AP431:AQ431" ca="1" si="1198">SUM(T422)</f>
        <v>158.33333333333334</v>
      </c>
      <c r="AQ431" s="13">
        <f t="shared" ca="1" si="1198"/>
        <v>6.5972222222222223</v>
      </c>
      <c r="AR431" s="9">
        <f t="shared" ca="1" si="1185"/>
        <v>128.25</v>
      </c>
      <c r="AS431" s="76"/>
      <c r="AT431" s="76"/>
    </row>
    <row r="432" spans="1:46" ht="15.75" customHeight="1" x14ac:dyDescent="0.25">
      <c r="A432" s="110" t="s">
        <v>45</v>
      </c>
      <c r="B432" s="76"/>
      <c r="C432" s="76"/>
      <c r="D432" s="75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24" t="s">
        <v>33</v>
      </c>
      <c r="Y432" s="24">
        <v>6</v>
      </c>
      <c r="Z432" s="24">
        <f t="shared" ref="Z432:AI432" si="1199">SUM(Z426:Z431)</f>
        <v>174</v>
      </c>
      <c r="AA432" s="25">
        <f t="shared" ca="1" si="1199"/>
        <v>172</v>
      </c>
      <c r="AB432" s="27">
        <f t="shared" ca="1" si="1199"/>
        <v>33647.77499999998</v>
      </c>
      <c r="AC432" s="25">
        <f t="shared" ca="1" si="1199"/>
        <v>13733</v>
      </c>
      <c r="AD432" s="25">
        <f t="shared" ca="1" si="1199"/>
        <v>0</v>
      </c>
      <c r="AE432" s="25">
        <f t="shared" ca="1" si="1199"/>
        <v>13733</v>
      </c>
      <c r="AF432" s="25">
        <f t="shared" ca="1" si="1199"/>
        <v>17051</v>
      </c>
      <c r="AG432" s="25">
        <f t="shared" ca="1" si="1199"/>
        <v>106</v>
      </c>
      <c r="AH432" s="25">
        <f t="shared" ca="1" si="1199"/>
        <v>17157</v>
      </c>
      <c r="AI432" s="25">
        <f t="shared" ca="1" si="1199"/>
        <v>30890</v>
      </c>
      <c r="AJ432" s="27">
        <f t="shared" ca="1" si="1180"/>
        <v>195.62659883720917</v>
      </c>
      <c r="AK432" s="24">
        <f>SUM(AK426:AK431)</f>
        <v>37031</v>
      </c>
      <c r="AL432" s="28">
        <f t="shared" ca="1" si="1181"/>
        <v>0.83416596905295559</v>
      </c>
      <c r="AM432" s="29">
        <v>1.5</v>
      </c>
      <c r="AN432" s="28">
        <f t="shared" ca="1" si="1182"/>
        <v>0.61202660007484433</v>
      </c>
      <c r="AO432" s="30">
        <f t="shared" ca="1" si="1183"/>
        <v>0.91803990011226655</v>
      </c>
      <c r="AP432" s="29">
        <f ca="1">SUM(AP426:AP431)</f>
        <v>1383.3756726293068</v>
      </c>
      <c r="AQ432" s="29">
        <f ca="1">AP432/AA432</f>
        <v>8.0428818176122494</v>
      </c>
      <c r="AR432" s="25">
        <f t="shared" ca="1" si="1185"/>
        <v>179.59302325581396</v>
      </c>
      <c r="AS432" s="76"/>
      <c r="AT432" s="76"/>
    </row>
    <row r="433" spans="1:46" ht="15.75" customHeight="1" x14ac:dyDescent="0.2">
      <c r="A433" s="110" t="s">
        <v>45</v>
      </c>
      <c r="B433" s="76"/>
      <c r="C433" s="76"/>
      <c r="D433" s="75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7" t="s">
        <v>1</v>
      </c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9"/>
      <c r="AS433" s="76"/>
      <c r="AT433" s="76"/>
    </row>
    <row r="434" spans="1:46" ht="15.75" customHeight="1" x14ac:dyDescent="0.2">
      <c r="A434" s="109">
        <v>46282</v>
      </c>
      <c r="B434" s="80" t="s">
        <v>2</v>
      </c>
      <c r="C434" s="80" t="s">
        <v>3</v>
      </c>
      <c r="D434" s="80" t="s">
        <v>4</v>
      </c>
      <c r="E434" s="80" t="s">
        <v>5</v>
      </c>
      <c r="F434" s="81" t="s">
        <v>6</v>
      </c>
      <c r="G434" s="80" t="s">
        <v>7</v>
      </c>
      <c r="H434" s="80" t="s">
        <v>8</v>
      </c>
      <c r="I434" s="80" t="s">
        <v>9</v>
      </c>
      <c r="J434" s="80" t="s">
        <v>10</v>
      </c>
      <c r="K434" s="80" t="s">
        <v>11</v>
      </c>
      <c r="L434" s="80" t="s">
        <v>12</v>
      </c>
      <c r="M434" s="80" t="s">
        <v>13</v>
      </c>
      <c r="N434" s="81" t="s">
        <v>14</v>
      </c>
      <c r="O434" s="80" t="s">
        <v>15</v>
      </c>
      <c r="P434" s="80" t="s">
        <v>16</v>
      </c>
      <c r="Q434" s="80" t="s">
        <v>17</v>
      </c>
      <c r="R434" s="80" t="s">
        <v>18</v>
      </c>
      <c r="S434" s="106" t="s">
        <v>19</v>
      </c>
      <c r="T434" s="107" t="s">
        <v>20</v>
      </c>
      <c r="U434" s="107" t="s">
        <v>21</v>
      </c>
      <c r="V434" s="105" t="s">
        <v>22</v>
      </c>
      <c r="W434" s="76"/>
      <c r="X434" s="1" t="s">
        <v>2</v>
      </c>
      <c r="Y434" s="1" t="s">
        <v>3</v>
      </c>
      <c r="Z434" s="1" t="s">
        <v>4</v>
      </c>
      <c r="AA434" s="1" t="s">
        <v>5</v>
      </c>
      <c r="AB434" s="2" t="s">
        <v>6</v>
      </c>
      <c r="AC434" s="1" t="s">
        <v>7</v>
      </c>
      <c r="AD434" s="1" t="s">
        <v>8</v>
      </c>
      <c r="AE434" s="1" t="s">
        <v>9</v>
      </c>
      <c r="AF434" s="1" t="s">
        <v>10</v>
      </c>
      <c r="AG434" s="1" t="s">
        <v>11</v>
      </c>
      <c r="AH434" s="1" t="s">
        <v>12</v>
      </c>
      <c r="AI434" s="1" t="s">
        <v>13</v>
      </c>
      <c r="AJ434" s="2" t="s">
        <v>14</v>
      </c>
      <c r="AK434" s="1" t="s">
        <v>15</v>
      </c>
      <c r="AL434" s="1" t="s">
        <v>16</v>
      </c>
      <c r="AM434" s="3" t="s">
        <v>17</v>
      </c>
      <c r="AN434" s="4" t="s">
        <v>18</v>
      </c>
      <c r="AO434" s="5" t="s">
        <v>19</v>
      </c>
      <c r="AP434" s="6" t="s">
        <v>20</v>
      </c>
      <c r="AQ434" s="6" t="s">
        <v>21</v>
      </c>
      <c r="AR434" s="7" t="s">
        <v>22</v>
      </c>
      <c r="AS434" s="76"/>
      <c r="AT434" s="76"/>
    </row>
    <row r="435" spans="1:46" ht="15.75" customHeight="1" x14ac:dyDescent="0.2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6"/>
      <c r="X435" s="8">
        <v>1</v>
      </c>
      <c r="Y435" s="8" t="s">
        <v>23</v>
      </c>
      <c r="Z435" s="8">
        <f t="shared" ref="Z435:AI435" si="1200">SUM(D443)</f>
        <v>35</v>
      </c>
      <c r="AA435" s="9">
        <f t="shared" ca="1" si="1200"/>
        <v>35</v>
      </c>
      <c r="AB435" s="10">
        <f t="shared" ca="1" si="1200"/>
        <v>6950.4399999999896</v>
      </c>
      <c r="AC435" s="9">
        <f t="shared" ca="1" si="1200"/>
        <v>1703</v>
      </c>
      <c r="AD435" s="9">
        <f t="shared" ca="1" si="1200"/>
        <v>0</v>
      </c>
      <c r="AE435" s="9">
        <f t="shared" ca="1" si="1200"/>
        <v>1703</v>
      </c>
      <c r="AF435" s="9">
        <f t="shared" ca="1" si="1200"/>
        <v>3281</v>
      </c>
      <c r="AG435" s="9">
        <f t="shared" ca="1" si="1200"/>
        <v>0</v>
      </c>
      <c r="AH435" s="9">
        <f t="shared" ca="1" si="1200"/>
        <v>3281</v>
      </c>
      <c r="AI435" s="9">
        <f t="shared" ca="1" si="1200"/>
        <v>4984</v>
      </c>
      <c r="AJ435" s="11">
        <f t="shared" ref="AJ435:AJ437" ca="1" si="1201">AB435/AA435</f>
        <v>198.58399999999969</v>
      </c>
      <c r="AK435" s="8">
        <f>SUM(O443)</f>
        <v>6853</v>
      </c>
      <c r="AL435" s="12">
        <f t="shared" ref="AL435:AL441" ca="1" si="1202">AI435/AK435</f>
        <v>0.72727272727272729</v>
      </c>
      <c r="AM435" s="13">
        <f t="shared" ref="AM435:AM437" si="1203">SUM(Q443)</f>
        <v>1.5</v>
      </c>
      <c r="AN435" s="12">
        <f t="shared" ref="AN435:AN441" ca="1" si="1204">AO435/AM435</f>
        <v>0.47805126965583061</v>
      </c>
      <c r="AO435" s="14">
        <f t="shared" ref="AO435:AO441" ca="1" si="1205">AI435/AB435</f>
        <v>0.71707690448374595</v>
      </c>
      <c r="AP435" s="13">
        <f t="shared" ref="AP435:AQ435" ca="1" si="1206">SUM(T443)</f>
        <v>205.99999999999969</v>
      </c>
      <c r="AQ435" s="13">
        <f t="shared" ca="1" si="1206"/>
        <v>5.8857142857142764</v>
      </c>
      <c r="AR435" s="9">
        <f t="shared" ref="AR435:AR441" ca="1" si="1207">AI435/AA435</f>
        <v>142.4</v>
      </c>
      <c r="AS435" s="76"/>
      <c r="AT435" s="76"/>
    </row>
    <row r="436" spans="1:46" ht="15.75" customHeight="1" x14ac:dyDescent="0.2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6"/>
      <c r="X436" s="8">
        <v>2</v>
      </c>
      <c r="Y436" s="8" t="s">
        <v>24</v>
      </c>
      <c r="Z436" s="8">
        <f t="shared" ref="Z436:AI436" si="1208">SUM(D444)</f>
        <v>44</v>
      </c>
      <c r="AA436" s="9">
        <f t="shared" ca="1" si="1208"/>
        <v>44</v>
      </c>
      <c r="AB436" s="10">
        <f t="shared" ca="1" si="1208"/>
        <v>8741.4929999999895</v>
      </c>
      <c r="AC436" s="9">
        <f t="shared" ca="1" si="1208"/>
        <v>1129</v>
      </c>
      <c r="AD436" s="9">
        <f t="shared" ca="1" si="1208"/>
        <v>0</v>
      </c>
      <c r="AE436" s="9">
        <f t="shared" ca="1" si="1208"/>
        <v>1129</v>
      </c>
      <c r="AF436" s="9">
        <f t="shared" ca="1" si="1208"/>
        <v>1549</v>
      </c>
      <c r="AG436" s="9">
        <f t="shared" ca="1" si="1208"/>
        <v>0</v>
      </c>
      <c r="AH436" s="9">
        <f t="shared" ca="1" si="1208"/>
        <v>1549</v>
      </c>
      <c r="AI436" s="9">
        <f t="shared" ca="1" si="1208"/>
        <v>2678</v>
      </c>
      <c r="AJ436" s="11">
        <f t="shared" ca="1" si="1201"/>
        <v>198.67029545454523</v>
      </c>
      <c r="AK436" s="8">
        <v>1580</v>
      </c>
      <c r="AL436" s="15">
        <f t="shared" ca="1" si="1202"/>
        <v>1.6949367088607594</v>
      </c>
      <c r="AM436" s="13">
        <f t="shared" si="1203"/>
        <v>1.5</v>
      </c>
      <c r="AN436" s="12">
        <f t="shared" ca="1" si="1204"/>
        <v>0.20423665995423612</v>
      </c>
      <c r="AO436" s="14">
        <f t="shared" ca="1" si="1205"/>
        <v>0.30635498993135418</v>
      </c>
      <c r="AP436" s="13">
        <f t="shared" ref="AP436:AQ436" ca="1" si="1209">SUM(T444)</f>
        <v>326.11426972579704</v>
      </c>
      <c r="AQ436" s="13">
        <f t="shared" ca="1" si="1209"/>
        <v>7.4116879483135696</v>
      </c>
      <c r="AR436" s="9">
        <f t="shared" ca="1" si="1207"/>
        <v>60.863636363636367</v>
      </c>
      <c r="AS436" s="76"/>
      <c r="AT436" s="76"/>
    </row>
    <row r="437" spans="1:46" ht="15.75" customHeight="1" x14ac:dyDescent="0.2">
      <c r="A437" s="70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6"/>
      <c r="X437" s="8">
        <v>3</v>
      </c>
      <c r="Y437" s="8" t="s">
        <v>25</v>
      </c>
      <c r="Z437" s="8">
        <f t="shared" ref="Z437:AI437" si="1210">SUM(D445)</f>
        <v>32</v>
      </c>
      <c r="AA437" s="9">
        <f t="shared" ca="1" si="1210"/>
        <v>31</v>
      </c>
      <c r="AB437" s="10">
        <f t="shared" ca="1" si="1210"/>
        <v>5875.6760000000004</v>
      </c>
      <c r="AC437" s="9">
        <f t="shared" ca="1" si="1210"/>
        <v>2288</v>
      </c>
      <c r="AD437" s="9">
        <f t="shared" ca="1" si="1210"/>
        <v>438</v>
      </c>
      <c r="AE437" s="9">
        <f t="shared" ca="1" si="1210"/>
        <v>2726</v>
      </c>
      <c r="AF437" s="9">
        <f t="shared" ca="1" si="1210"/>
        <v>2926</v>
      </c>
      <c r="AG437" s="9">
        <f t="shared" ca="1" si="1210"/>
        <v>406</v>
      </c>
      <c r="AH437" s="9">
        <f t="shared" ca="1" si="1210"/>
        <v>3332</v>
      </c>
      <c r="AI437" s="9">
        <f t="shared" ca="1" si="1210"/>
        <v>6058</v>
      </c>
      <c r="AJ437" s="11">
        <f t="shared" ca="1" si="1201"/>
        <v>189.53793548387097</v>
      </c>
      <c r="AK437" s="8">
        <f>SUM(O445)</f>
        <v>6622</v>
      </c>
      <c r="AL437" s="12">
        <f t="shared" ca="1" si="1202"/>
        <v>0.91482935668982179</v>
      </c>
      <c r="AM437" s="13">
        <f t="shared" si="1203"/>
        <v>1.5</v>
      </c>
      <c r="AN437" s="12">
        <f t="shared" ca="1" si="1204"/>
        <v>0.68735353458336812</v>
      </c>
      <c r="AO437" s="14">
        <f t="shared" ca="1" si="1205"/>
        <v>1.0310303018750522</v>
      </c>
      <c r="AP437" s="13">
        <f t="shared" ref="AP437:AQ437" ca="1" si="1211">SUM(T445)</f>
        <v>246.46291946308727</v>
      </c>
      <c r="AQ437" s="13">
        <f t="shared" ca="1" si="1211"/>
        <v>7.9504167568737829</v>
      </c>
      <c r="AR437" s="9">
        <f t="shared" ca="1" si="1207"/>
        <v>195.41935483870967</v>
      </c>
      <c r="AS437" s="76"/>
      <c r="AT437" s="76"/>
    </row>
    <row r="438" spans="1:46" ht="15.75" customHeight="1" x14ac:dyDescent="0.25">
      <c r="A438" s="70"/>
      <c r="B438" s="16">
        <v>1</v>
      </c>
      <c r="C438" s="16" t="s">
        <v>26</v>
      </c>
      <c r="D438" s="17">
        <v>20</v>
      </c>
      <c r="E438" s="18">
        <f ca="1">IFERROR(__xludf.DUMMYFUNCTION("COUNT(IMPORTRANGE(""https://docs.google.com/spreadsheets/d/1F0NpMx7WhcgPgxTWpryY3Z1CGg56FL6aiL4mHs43w4E/edit"",""17!d2:d21""))"),20)</f>
        <v>20</v>
      </c>
      <c r="F438" s="19">
        <f ca="1">IFERROR(__xludf.DUMMYFUNCTION("SUM(IMPORTRANGE(""https://docs.google.com/spreadsheets/d/1F0NpMx7WhcgPgxTWpryY3Z1CGg56FL6aiL4mHs43w4E/edit"",""17!Q2:Q21""))"),3849.417)</f>
        <v>3849.4169999999999</v>
      </c>
      <c r="G438" s="18">
        <f ca="1">IFERROR(__xludf.DUMMYFUNCTION("IMPORTRANGE(""https://docs.google.com/spreadsheets/d/1F0NpMx7WhcgPgxTWpryY3Z1CGg56FL6aiL4mHs43w4E/edit"",""17!e28"")"),1822)</f>
        <v>1822</v>
      </c>
      <c r="H438" s="18">
        <f ca="1">IFERROR(__xludf.DUMMYFUNCTION("IMPORTRANGE(""https://docs.google.com/spreadsheets/d/1F0NpMx7WhcgPgxTWpryY3Z1CGg56FL6aiL4mHs43w4E/edit"",""17!e29"")"),0)</f>
        <v>0</v>
      </c>
      <c r="I438" s="18">
        <f t="shared" ref="I438:I455" ca="1" si="1212">SUM(G438:H438)</f>
        <v>1822</v>
      </c>
      <c r="J438" s="18">
        <f ca="1">IFERROR(__xludf.DUMMYFUNCTION("IMPORTRANGE(""https://docs.google.com/spreadsheets/d/1F0NpMx7WhcgPgxTWpryY3Z1CGg56FL6aiL4mHs43w4E/edit"",""17!e32"")"),3153)</f>
        <v>3153</v>
      </c>
      <c r="K438" s="18">
        <f ca="1">IFERROR(__xludf.DUMMYFUNCTION("IMPORTRANGE(""https://docs.google.com/spreadsheets/d/1F0NpMx7WhcgPgxTWpryY3Z1CGg56FL6aiL4mHs43w4E/edit"",""17!e33"")"),110)</f>
        <v>110</v>
      </c>
      <c r="L438" s="18">
        <f t="shared" ref="L438:L444" ca="1" si="1213">SUM(J438:K438)</f>
        <v>3263</v>
      </c>
      <c r="M438" s="18">
        <f t="shared" ref="M438:M455" ca="1" si="1214">SUM(I438+L438)</f>
        <v>5085</v>
      </c>
      <c r="N438" s="19">
        <f t="shared" ref="N438:N456" ca="1" si="1215">F438/E438</f>
        <v>192.47084999999998</v>
      </c>
      <c r="O438" s="16">
        <v>5161</v>
      </c>
      <c r="P438" s="20">
        <f t="shared" ref="P438:P456" ca="1" si="1216">M438/O438</f>
        <v>0.98527417167215658</v>
      </c>
      <c r="Q438" s="21">
        <v>1.5</v>
      </c>
      <c r="R438" s="20">
        <f t="shared" ref="R438:R456" ca="1" si="1217">S438/Q438</f>
        <v>0.88065283652043924</v>
      </c>
      <c r="S438" s="22">
        <f t="shared" ref="S438:S456" ca="1" si="1218">M438/F438</f>
        <v>1.3209792547806589</v>
      </c>
      <c r="T438" s="21">
        <f ca="1">F438/14.415</f>
        <v>267.04245577523415</v>
      </c>
      <c r="U438" s="21">
        <f t="shared" ref="U438:U456" ca="1" si="1219">T438/E438</f>
        <v>13.352122788761708</v>
      </c>
      <c r="V438" s="18">
        <f t="shared" ref="V438:V456" ca="1" si="1220">M438/E438</f>
        <v>254.25</v>
      </c>
      <c r="W438" s="76"/>
      <c r="X438" s="8">
        <v>4</v>
      </c>
      <c r="Y438" s="8" t="s">
        <v>27</v>
      </c>
      <c r="Z438" s="8">
        <f t="shared" ref="Z438:AK438" si="1221">SUM(D451)</f>
        <v>30</v>
      </c>
      <c r="AA438" s="9">
        <f t="shared" ca="1" si="1221"/>
        <v>28</v>
      </c>
      <c r="AB438" s="10">
        <f t="shared" ca="1" si="1221"/>
        <v>5265.91</v>
      </c>
      <c r="AC438" s="9">
        <f t="shared" ca="1" si="1221"/>
        <v>2507</v>
      </c>
      <c r="AD438" s="9">
        <f t="shared" ca="1" si="1221"/>
        <v>214</v>
      </c>
      <c r="AE438" s="9">
        <f t="shared" ca="1" si="1221"/>
        <v>2721</v>
      </c>
      <c r="AF438" s="9">
        <f t="shared" ca="1" si="1221"/>
        <v>3127</v>
      </c>
      <c r="AG438" s="9">
        <f t="shared" ca="1" si="1221"/>
        <v>228</v>
      </c>
      <c r="AH438" s="9">
        <f t="shared" ca="1" si="1221"/>
        <v>3355</v>
      </c>
      <c r="AI438" s="9">
        <f t="shared" ca="1" si="1221"/>
        <v>6076</v>
      </c>
      <c r="AJ438" s="11">
        <f t="shared" ca="1" si="1221"/>
        <v>188.06821428571428</v>
      </c>
      <c r="AK438" s="8">
        <f t="shared" si="1221"/>
        <v>8101</v>
      </c>
      <c r="AL438" s="12">
        <f t="shared" ca="1" si="1202"/>
        <v>0.75003086038760647</v>
      </c>
      <c r="AM438" s="13">
        <f>SUM(Q451)</f>
        <v>1.5</v>
      </c>
      <c r="AN438" s="12">
        <f t="shared" ca="1" si="1204"/>
        <v>0.76922443920740513</v>
      </c>
      <c r="AO438" s="14">
        <f t="shared" ca="1" si="1205"/>
        <v>1.1538366588111078</v>
      </c>
      <c r="AP438" s="13">
        <f t="shared" ref="AP438:AQ438" ca="1" si="1222">SUM(T451)</f>
        <v>263.49311983987991</v>
      </c>
      <c r="AQ438" s="13">
        <f t="shared" ca="1" si="1222"/>
        <v>9.410468565709996</v>
      </c>
      <c r="AR438" s="9">
        <f t="shared" ca="1" si="1207"/>
        <v>217</v>
      </c>
      <c r="AS438" s="76"/>
      <c r="AT438" s="76"/>
    </row>
    <row r="439" spans="1:46" ht="15.75" customHeight="1" x14ac:dyDescent="0.25">
      <c r="A439" s="70"/>
      <c r="B439" s="16">
        <v>2</v>
      </c>
      <c r="C439" s="16" t="s">
        <v>28</v>
      </c>
      <c r="D439" s="17">
        <v>33</v>
      </c>
      <c r="E439" s="18">
        <f ca="1">IFERROR(__xludf.DUMMYFUNCTION("COUNT(IMPORTRANGE(""https://docs.google.com/spreadsheets/d/1H9vAqftAHb0OdeSGXHTnJFzoWUgpoH31sc0sHNN8y1o/edit"",""17!d2:d34""))"),33)</f>
        <v>33</v>
      </c>
      <c r="F439" s="19">
        <f ca="1">IFERROR(__xludf.DUMMYFUNCTION("SUM(IMPORTRANGE(""https://docs.google.com/spreadsheets/d/1H9vAqftAHb0OdeSGXHTnJFzoWUgpoH31sc0sHNN8y1o/edit"",""17!Q2:Q34""))"),6559.73)</f>
        <v>6559.73</v>
      </c>
      <c r="G439" s="18">
        <f ca="1">IFERROR(__xludf.DUMMYFUNCTION("IMPORTRANGE(""https://docs.google.com/spreadsheets/d/1H9vAqftAHb0OdeSGXHTnJFzoWUgpoH31sc0sHNN8y1o/edit"",""17!e41"")"),2724)</f>
        <v>2724</v>
      </c>
      <c r="H439" s="18">
        <f ca="1">IFERROR(__xludf.DUMMYFUNCTION("IMPORTRANGE(""https://docs.google.com/spreadsheets/d/1H9vAqftAHb0OdeSGXHTnJFzoWUgpoH31sc0sHNN8y1o/edit"",""17!e42"")"),98)</f>
        <v>98</v>
      </c>
      <c r="I439" s="18">
        <f t="shared" ca="1" si="1212"/>
        <v>2822</v>
      </c>
      <c r="J439" s="18">
        <f ca="1">IFERROR(__xludf.DUMMYFUNCTION("IMPORTRANGE(""https://docs.google.com/spreadsheets/d/1H9vAqftAHb0OdeSGXHTnJFzoWUgpoH31sc0sHNN8y1o/edit"",""17!e45"")"),3097)</f>
        <v>3097</v>
      </c>
      <c r="K439" s="18">
        <f ca="1">IFERROR(__xludf.DUMMYFUNCTION("IMPORTRANGE(""https://docs.google.com/spreadsheets/d/1H9vAqftAHb0OdeSGXHTnJFzoWUgpoH31sc0sHNN8y1o/edit"",""17!e46"")"),192)</f>
        <v>192</v>
      </c>
      <c r="L439" s="18">
        <f t="shared" ca="1" si="1213"/>
        <v>3289</v>
      </c>
      <c r="M439" s="18">
        <f t="shared" ca="1" si="1214"/>
        <v>6111</v>
      </c>
      <c r="N439" s="19">
        <f t="shared" ca="1" si="1215"/>
        <v>198.77969696969694</v>
      </c>
      <c r="O439" s="16">
        <v>7315</v>
      </c>
      <c r="P439" s="20">
        <f t="shared" ca="1" si="1216"/>
        <v>0.83540669856459326</v>
      </c>
      <c r="Q439" s="21">
        <v>1.5</v>
      </c>
      <c r="R439" s="20">
        <f t="shared" ca="1" si="1217"/>
        <v>0.62106214737496823</v>
      </c>
      <c r="S439" s="22">
        <f t="shared" ca="1" si="1218"/>
        <v>0.93159322106245235</v>
      </c>
      <c r="T439" s="21">
        <f ca="1">F439/30.897</f>
        <v>212.30960934718581</v>
      </c>
      <c r="U439" s="21">
        <f t="shared" ca="1" si="1219"/>
        <v>6.4336245256722977</v>
      </c>
      <c r="V439" s="18">
        <f t="shared" ca="1" si="1220"/>
        <v>185.18181818181819</v>
      </c>
      <c r="W439" s="76"/>
      <c r="X439" s="8">
        <v>5</v>
      </c>
      <c r="Y439" s="8" t="s">
        <v>29</v>
      </c>
      <c r="Z439" s="8">
        <f t="shared" ref="Z439:AI439" si="1223">SUM(D454)</f>
        <v>30</v>
      </c>
      <c r="AA439" s="9">
        <f t="shared" ca="1" si="1223"/>
        <v>30</v>
      </c>
      <c r="AB439" s="10">
        <f t="shared" ca="1" si="1223"/>
        <v>6172.4029999999902</v>
      </c>
      <c r="AC439" s="9">
        <f t="shared" ca="1" si="1223"/>
        <v>2759</v>
      </c>
      <c r="AD439" s="9">
        <f t="shared" ca="1" si="1223"/>
        <v>0</v>
      </c>
      <c r="AE439" s="9">
        <f t="shared" ca="1" si="1223"/>
        <v>2759</v>
      </c>
      <c r="AF439" s="9">
        <f t="shared" ca="1" si="1223"/>
        <v>4453</v>
      </c>
      <c r="AG439" s="9">
        <f t="shared" ca="1" si="1223"/>
        <v>0</v>
      </c>
      <c r="AH439" s="9">
        <f t="shared" ca="1" si="1223"/>
        <v>4453</v>
      </c>
      <c r="AI439" s="9">
        <f t="shared" ca="1" si="1223"/>
        <v>7212</v>
      </c>
      <c r="AJ439" s="11">
        <f t="shared" ref="AJ439:AJ441" ca="1" si="1224">AB439/AA439</f>
        <v>205.74676666666633</v>
      </c>
      <c r="AK439" s="8">
        <f t="shared" ref="AK439:AK440" si="1225">SUM(O454)</f>
        <v>9201</v>
      </c>
      <c r="AL439" s="12">
        <f t="shared" ca="1" si="1202"/>
        <v>0.78382784479947831</v>
      </c>
      <c r="AM439" s="13">
        <f t="shared" ref="AM439:AM440" si="1226">SUM(Q454)</f>
        <v>1.5</v>
      </c>
      <c r="AN439" s="12">
        <f t="shared" ca="1" si="1204"/>
        <v>0.77895108274686653</v>
      </c>
      <c r="AO439" s="14">
        <f t="shared" ca="1" si="1205"/>
        <v>1.1684266241202999</v>
      </c>
      <c r="AP439" s="13">
        <f t="shared" ref="AP439:AQ439" ca="1" si="1227">SUM(T454)</f>
        <v>232.99999999999963</v>
      </c>
      <c r="AQ439" s="13">
        <f t="shared" ca="1" si="1227"/>
        <v>7.7666666666666542</v>
      </c>
      <c r="AR439" s="9">
        <f t="shared" ca="1" si="1207"/>
        <v>240.4</v>
      </c>
      <c r="AS439" s="76"/>
      <c r="AT439" s="76"/>
    </row>
    <row r="440" spans="1:46" ht="15.75" customHeight="1" x14ac:dyDescent="0.25">
      <c r="A440" s="70"/>
      <c r="B440" s="16">
        <v>3</v>
      </c>
      <c r="C440" s="16" t="s">
        <v>30</v>
      </c>
      <c r="D440" s="17">
        <v>60</v>
      </c>
      <c r="E440" s="18">
        <f ca="1">IFERROR(__xludf.DUMMYFUNCTION("COUNT(IMPORTRANGE(""https://docs.google.com/spreadsheets/d/1EWN6nfpuVxbUE_9opjYCWaI7MTm5xsF6ssjklSbMZnA/edit"",""17!d2:d61""))"),60)</f>
        <v>60</v>
      </c>
      <c r="F440" s="23">
        <f ca="1">IFERROR(__xludf.DUMMYFUNCTION("SUM(IMPORTRANGE(""https://docs.google.com/spreadsheets/d/1EWN6nfpuVxbUE_9opjYCWaI7MTm5xsF6ssjklSbMZnA/edit"",""17!Q2:Q61""))"),10293.266)</f>
        <v>10293.266</v>
      </c>
      <c r="G440" s="18">
        <f ca="1">IFERROR(__xludf.DUMMYFUNCTION("IMPORTRANGE(""https://docs.google.com/spreadsheets/d/1EWN6nfpuVxbUE_9opjYCWaI7MTm5xsF6ssjklSbMZnA/edit"",""17!e68"")"),3426)</f>
        <v>3426</v>
      </c>
      <c r="H440" s="18">
        <f ca="1">IFERROR(__xludf.DUMMYFUNCTION("IMPORTRANGE(""https://docs.google.com/spreadsheets/d/1EWN6nfpuVxbUE_9opjYCWaI7MTm5xsF6ssjklSbMZnA/edit"",""17!e69"")"),0)</f>
        <v>0</v>
      </c>
      <c r="I440" s="18">
        <f t="shared" ca="1" si="1212"/>
        <v>3426</v>
      </c>
      <c r="J440" s="18">
        <f ca="1">IFERROR(__xludf.DUMMYFUNCTION("IMPORTRANGE(""https://docs.google.com/spreadsheets/d/1EWN6nfpuVxbUE_9opjYCWaI7MTm5xsF6ssjklSbMZnA/edit"",""17!e72"")"),5622)</f>
        <v>5622</v>
      </c>
      <c r="K440" s="18">
        <f ca="1">IFERROR(__xludf.DUMMYFUNCTION("IMPORTRANGE(""https://docs.google.com/spreadsheets/d/1EWN6nfpuVxbUE_9opjYCWaI7MTm5xsF6ssjklSbMZnA/edit"",""17!e73"")"),0)</f>
        <v>0</v>
      </c>
      <c r="L440" s="18">
        <f t="shared" ca="1" si="1213"/>
        <v>5622</v>
      </c>
      <c r="M440" s="18">
        <f t="shared" ca="1" si="1214"/>
        <v>9048</v>
      </c>
      <c r="N440" s="19">
        <f t="shared" ca="1" si="1215"/>
        <v>171.55443333333332</v>
      </c>
      <c r="O440" s="16">
        <v>11164</v>
      </c>
      <c r="P440" s="20">
        <f t="shared" ca="1" si="1216"/>
        <v>0.81046219992834112</v>
      </c>
      <c r="Q440" s="21">
        <v>1.5</v>
      </c>
      <c r="R440" s="20">
        <f t="shared" ca="1" si="1217"/>
        <v>0.58601419607731897</v>
      </c>
      <c r="S440" s="22">
        <f t="shared" ca="1" si="1218"/>
        <v>0.8790212941159784</v>
      </c>
      <c r="T440" s="21">
        <f ca="1">F440/29.603</f>
        <v>347.71023207107385</v>
      </c>
      <c r="U440" s="21">
        <f t="shared" ca="1" si="1219"/>
        <v>5.7951705345178972</v>
      </c>
      <c r="V440" s="18">
        <f t="shared" ca="1" si="1220"/>
        <v>150.80000000000001</v>
      </c>
      <c r="W440" s="76"/>
      <c r="X440" s="8">
        <v>6</v>
      </c>
      <c r="Y440" s="8" t="s">
        <v>31</v>
      </c>
      <c r="Z440" s="8">
        <f t="shared" ref="Z440:AI440" si="1228">SUM(D455)</f>
        <v>15</v>
      </c>
      <c r="AA440" s="9">
        <f t="shared" ca="1" si="1228"/>
        <v>14</v>
      </c>
      <c r="AB440" s="11">
        <f t="shared" ca="1" si="1228"/>
        <v>2738.2949999999901</v>
      </c>
      <c r="AC440" s="9">
        <f t="shared" ca="1" si="1228"/>
        <v>897</v>
      </c>
      <c r="AD440" s="9">
        <f t="shared" ca="1" si="1228"/>
        <v>23</v>
      </c>
      <c r="AE440" s="9">
        <f t="shared" ca="1" si="1228"/>
        <v>920</v>
      </c>
      <c r="AF440" s="9">
        <f t="shared" ca="1" si="1228"/>
        <v>875</v>
      </c>
      <c r="AG440" s="9">
        <f t="shared" ca="1" si="1228"/>
        <v>1858</v>
      </c>
      <c r="AH440" s="9">
        <f t="shared" ca="1" si="1228"/>
        <v>2733</v>
      </c>
      <c r="AI440" s="9">
        <f t="shared" ca="1" si="1228"/>
        <v>3653</v>
      </c>
      <c r="AJ440" s="11">
        <f t="shared" ca="1" si="1224"/>
        <v>195.59249999999929</v>
      </c>
      <c r="AK440" s="8">
        <f t="shared" si="1225"/>
        <v>2717</v>
      </c>
      <c r="AL440" s="12">
        <f t="shared" ca="1" si="1202"/>
        <v>1.3444976076555024</v>
      </c>
      <c r="AM440" s="13">
        <f t="shared" si="1226"/>
        <v>1.5</v>
      </c>
      <c r="AN440" s="12">
        <f t="shared" ca="1" si="1204"/>
        <v>0.88936120225663862</v>
      </c>
      <c r="AO440" s="14">
        <f t="shared" ca="1" si="1205"/>
        <v>1.3340418033849579</v>
      </c>
      <c r="AP440" s="13">
        <f t="shared" ref="AP440:AQ440" ca="1" si="1229">SUM(T455)</f>
        <v>62.999999999999766</v>
      </c>
      <c r="AQ440" s="13">
        <f t="shared" ca="1" si="1229"/>
        <v>4.4999999999999831</v>
      </c>
      <c r="AR440" s="9">
        <f t="shared" ca="1" si="1207"/>
        <v>260.92857142857144</v>
      </c>
      <c r="AS440" s="76"/>
      <c r="AT440" s="76"/>
    </row>
    <row r="441" spans="1:46" ht="15.75" customHeight="1" x14ac:dyDescent="0.25">
      <c r="A441" s="70"/>
      <c r="B441" s="16">
        <v>4</v>
      </c>
      <c r="C441" s="16" t="s">
        <v>32</v>
      </c>
      <c r="D441" s="17">
        <v>42</v>
      </c>
      <c r="E441" s="18">
        <f ca="1">IFERROR(__xludf.DUMMYFUNCTION("COUNT(IMPORTRANGE(""https://docs.google.com/spreadsheets/d/1Rmar8QqWK4XOJ-eY6xMzkAfDSw0srEXcAw89ilArun8/edit"",""17!d2:d43""))"),42)</f>
        <v>42</v>
      </c>
      <c r="F441" s="23">
        <f ca="1">IFERROR(__xludf.DUMMYFUNCTION("SUM(IMPORTRANGE(""https://docs.google.com/spreadsheets/d/1Rmar8QqWK4XOJ-eY6xMzkAfDSw0srEXcAw89ilArun8/edit"",""17!Q2:Q43""))"),8267.89999999999)</f>
        <v>8267.8999999999905</v>
      </c>
      <c r="G441" s="16">
        <f ca="1">IFERROR(__xludf.DUMMYFUNCTION("IMPORTRANGE(""https://docs.google.com/spreadsheets/d/1Rmar8QqWK4XOJ-eY6xMzkAfDSw0srEXcAw89ilArun8/edit"",""17!e50"")"),4642)</f>
        <v>4642</v>
      </c>
      <c r="H441" s="16">
        <f ca="1">IFERROR(__xludf.DUMMYFUNCTION("IMPORTRANGE(""https://docs.google.com/spreadsheets/d/1Rmar8QqWK4XOJ-eY6xMzkAfDSw0srEXcAw89ilArun8/edit"",""17!e51"")"),0)</f>
        <v>0</v>
      </c>
      <c r="I441" s="18">
        <f t="shared" ca="1" si="1212"/>
        <v>4642</v>
      </c>
      <c r="J441" s="16">
        <f ca="1">IFERROR(__xludf.DUMMYFUNCTION("IMPORTRANGE(""https://docs.google.com/spreadsheets/d/1Rmar8QqWK4XOJ-eY6xMzkAfDSw0srEXcAw89ilArun8/edit"",""17!e54"")"),5776)</f>
        <v>5776</v>
      </c>
      <c r="K441" s="16">
        <f ca="1">IFERROR(__xludf.DUMMYFUNCTION("IMPORTRANGE(""https://docs.google.com/spreadsheets/d/1Rmar8QqWK4XOJ-eY6xMzkAfDSw0srEXcAw89ilArun8/edit"",""17!e55"")"),0)</f>
        <v>0</v>
      </c>
      <c r="L441" s="18">
        <f t="shared" ca="1" si="1213"/>
        <v>5776</v>
      </c>
      <c r="M441" s="18">
        <f t="shared" ca="1" si="1214"/>
        <v>10418</v>
      </c>
      <c r="N441" s="19">
        <f t="shared" ca="1" si="1215"/>
        <v>196.85476190476169</v>
      </c>
      <c r="O441" s="16">
        <v>13817</v>
      </c>
      <c r="P441" s="20">
        <f t="shared" ca="1" si="1216"/>
        <v>0.75399869725700219</v>
      </c>
      <c r="Q441" s="21">
        <v>1.5</v>
      </c>
      <c r="R441" s="20">
        <f t="shared" ca="1" si="1217"/>
        <v>0.84003596237658185</v>
      </c>
      <c r="S441" s="22">
        <f t="shared" ca="1" si="1218"/>
        <v>1.2600539435648728</v>
      </c>
      <c r="T441" s="21">
        <f ca="1">F441/25.089</f>
        <v>329.54282753397865</v>
      </c>
      <c r="U441" s="21">
        <f t="shared" ca="1" si="1219"/>
        <v>7.8462577984280628</v>
      </c>
      <c r="V441" s="18">
        <f t="shared" ca="1" si="1220"/>
        <v>248.04761904761904</v>
      </c>
      <c r="W441" s="76"/>
      <c r="X441" s="24" t="s">
        <v>33</v>
      </c>
      <c r="Y441" s="24">
        <v>6</v>
      </c>
      <c r="Z441" s="24">
        <f t="shared" ref="Z441:AI441" si="1230">SUM(Z435:Z440)</f>
        <v>186</v>
      </c>
      <c r="AA441" s="25">
        <f t="shared" ca="1" si="1230"/>
        <v>182</v>
      </c>
      <c r="AB441" s="26">
        <f t="shared" ca="1" si="1230"/>
        <v>35744.216999999961</v>
      </c>
      <c r="AC441" s="25">
        <f t="shared" ca="1" si="1230"/>
        <v>11283</v>
      </c>
      <c r="AD441" s="25">
        <f t="shared" ca="1" si="1230"/>
        <v>675</v>
      </c>
      <c r="AE441" s="25">
        <f t="shared" ca="1" si="1230"/>
        <v>11958</v>
      </c>
      <c r="AF441" s="25">
        <f t="shared" ca="1" si="1230"/>
        <v>16211</v>
      </c>
      <c r="AG441" s="25">
        <f t="shared" ca="1" si="1230"/>
        <v>2492</v>
      </c>
      <c r="AH441" s="25">
        <f t="shared" ca="1" si="1230"/>
        <v>18703</v>
      </c>
      <c r="AI441" s="25">
        <f t="shared" ca="1" si="1230"/>
        <v>30661</v>
      </c>
      <c r="AJ441" s="27">
        <f t="shared" ca="1" si="1224"/>
        <v>196.39679670329647</v>
      </c>
      <c r="AK441" s="24">
        <f>SUM(AK435:AK440)</f>
        <v>35074</v>
      </c>
      <c r="AL441" s="28">
        <f t="shared" ca="1" si="1202"/>
        <v>0.87418030449905915</v>
      </c>
      <c r="AM441" s="29">
        <v>1.5</v>
      </c>
      <c r="AN441" s="28">
        <f t="shared" ca="1" si="1204"/>
        <v>0.57185940502394239</v>
      </c>
      <c r="AO441" s="30">
        <f t="shared" ca="1" si="1205"/>
        <v>0.85778910753591364</v>
      </c>
      <c r="AP441" s="29">
        <f ca="1">SUM(AP435:AP440)</f>
        <v>1338.0703090287632</v>
      </c>
      <c r="AQ441" s="29">
        <f ca="1">AP441/AA441</f>
        <v>7.3520346649932042</v>
      </c>
      <c r="AR441" s="25">
        <f t="shared" ca="1" si="1207"/>
        <v>168.46703296703296</v>
      </c>
      <c r="AS441" s="76"/>
      <c r="AT441" s="76"/>
    </row>
    <row r="442" spans="1:46" ht="15.75" customHeight="1" x14ac:dyDescent="0.25">
      <c r="A442" s="70"/>
      <c r="B442" s="16">
        <v>5</v>
      </c>
      <c r="C442" s="16" t="s">
        <v>34</v>
      </c>
      <c r="D442" s="17">
        <v>40</v>
      </c>
      <c r="E442" s="18">
        <f ca="1">IFERROR(__xludf.DUMMYFUNCTION("COUNT(IMPORTRANGE(""https://docs.google.com/spreadsheets/d/1u99JxAoytGQQ8GcjxXl38CGdyEWy5uIbuJJHnsotyvk/edit"",""17!d2:d41""))"),38)</f>
        <v>38</v>
      </c>
      <c r="F442" s="23">
        <f ca="1">IFERROR(__xludf.DUMMYFUNCTION("SUM(IMPORTRANGE(""https://docs.google.com/spreadsheets/d/1u99JxAoytGQQ8GcjxXl38CGdyEWy5uIbuJJHnsotyvk/edit"",""17!Q2:Q41""))"),7426.914)</f>
        <v>7426.9139999999998</v>
      </c>
      <c r="G442" s="18">
        <f ca="1">IFERROR(__xludf.DUMMYFUNCTION("IMPORTRANGE(""https://docs.google.com/spreadsheets/d/1u99JxAoytGQQ8GcjxXl38CGdyEWy5uIbuJJHnsotyvk/edit"",""17!e48"")"),2834)</f>
        <v>2834</v>
      </c>
      <c r="H442" s="18">
        <f ca="1">IFERROR(__xludf.DUMMYFUNCTION("IMPORTRANGE(""https://docs.google.com/spreadsheets/d/1u99JxAoytGQQ8GcjxXl38CGdyEWy5uIbuJJHnsotyvk/edit"",""17!e49"")"),0)</f>
        <v>0</v>
      </c>
      <c r="I442" s="18">
        <f t="shared" ca="1" si="1212"/>
        <v>2834</v>
      </c>
      <c r="J442" s="18">
        <f ca="1">IFERROR(__xludf.DUMMYFUNCTION("IMPORTRANGE(""https://docs.google.com/spreadsheets/d/1u99JxAoytGQQ8GcjxXl38CGdyEWy5uIbuJJHnsotyvk/edit"",""17!e52"")"),3263)</f>
        <v>3263</v>
      </c>
      <c r="K442" s="18">
        <f ca="1">IFERROR(__xludf.DUMMYFUNCTION("IMPORTRANGE(""https://docs.google.com/spreadsheets/d/1u99JxAoytGQQ8GcjxXl38CGdyEWy5uIbuJJHnsotyvk/edit"",""17!e53"")"),0)</f>
        <v>0</v>
      </c>
      <c r="L442" s="18">
        <f t="shared" ca="1" si="1213"/>
        <v>3263</v>
      </c>
      <c r="M442" s="18">
        <f t="shared" ca="1" si="1214"/>
        <v>6097</v>
      </c>
      <c r="N442" s="19">
        <f t="shared" ca="1" si="1215"/>
        <v>195.4451052631579</v>
      </c>
      <c r="O442" s="16">
        <v>9354</v>
      </c>
      <c r="P442" s="20">
        <f t="shared" ca="1" si="1216"/>
        <v>0.65180671370536669</v>
      </c>
      <c r="Q442" s="21">
        <v>1.5</v>
      </c>
      <c r="R442" s="20">
        <f t="shared" ca="1" si="1217"/>
        <v>0.54728877521224384</v>
      </c>
      <c r="S442" s="22">
        <f t="shared" ca="1" si="1218"/>
        <v>0.82093316281836581</v>
      </c>
      <c r="T442" s="21">
        <f ca="1">F442/30.713</f>
        <v>241.81662488197179</v>
      </c>
      <c r="U442" s="21">
        <f t="shared" ca="1" si="1219"/>
        <v>6.3635953916308363</v>
      </c>
      <c r="V442" s="18">
        <f t="shared" ca="1" si="1220"/>
        <v>160.44736842105263</v>
      </c>
      <c r="W442" s="76"/>
      <c r="X442" s="100" t="s">
        <v>35</v>
      </c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9"/>
      <c r="AS442" s="76"/>
      <c r="AT442" s="76"/>
    </row>
    <row r="443" spans="1:46" ht="15.75" customHeight="1" x14ac:dyDescent="0.25">
      <c r="A443" s="70"/>
      <c r="B443" s="16">
        <v>6</v>
      </c>
      <c r="C443" s="16" t="s">
        <v>23</v>
      </c>
      <c r="D443" s="17">
        <v>35</v>
      </c>
      <c r="E443" s="18">
        <f ca="1">IFERROR(__xludf.DUMMYFUNCTION("COUNT(IMPORTRANGE(""https://docs.google.com/spreadsheets/d/1uVc-vnTn57HE53lwrUYNZP4sGKTXisrqOoZ-6EyvLzY/edit"",""17!d2:d36""))"),35)</f>
        <v>35</v>
      </c>
      <c r="F443" s="23">
        <f ca="1">IFERROR(__xludf.DUMMYFUNCTION("SUM(IMPORTRANGE(""https://docs.google.com/spreadsheets/d/1uVc-vnTn57HE53lwrUYNZP4sGKTXisrqOoZ-6EyvLzY/edit"",""17!Q2:Q36""))"),6950.43999999999)</f>
        <v>6950.4399999999896</v>
      </c>
      <c r="G443" s="18">
        <f ca="1">IFERROR(__xludf.DUMMYFUNCTION("IMPORTRANGE(""https://docs.google.com/spreadsheets/d/1uVc-vnTn57HE53lwrUYNZP4sGKTXisrqOoZ-6EyvLzY/edit"",""17!e43"")"),1703)</f>
        <v>1703</v>
      </c>
      <c r="H443" s="18">
        <f ca="1">IFERROR(__xludf.DUMMYFUNCTION("IMPORTRANGE(""https://docs.google.com/spreadsheets/d/1uVc-vnTn57HE53lwrUYNZP4sGKTXisrqOoZ-6EyvLzY/edit"",""17!e44"")"),0)</f>
        <v>0</v>
      </c>
      <c r="I443" s="18">
        <f t="shared" ca="1" si="1212"/>
        <v>1703</v>
      </c>
      <c r="J443" s="18">
        <f ca="1">IFERROR(__xludf.DUMMYFUNCTION("IMPORTRANGE(""https://docs.google.com/spreadsheets/d/1uVc-vnTn57HE53lwrUYNZP4sGKTXisrqOoZ-6EyvLzY/edit"",""17!e47"")"),3281)</f>
        <v>3281</v>
      </c>
      <c r="K443" s="18">
        <f ca="1">IFERROR(__xludf.DUMMYFUNCTION("IMPORTRANGE(""https://docs.google.com/spreadsheets/d/1uVc-vnTn57HE53lwrUYNZP4sGKTXisrqOoZ-6EyvLzY/edit"",""17!e48"")"),0)</f>
        <v>0</v>
      </c>
      <c r="L443" s="18">
        <f t="shared" ca="1" si="1213"/>
        <v>3281</v>
      </c>
      <c r="M443" s="18">
        <f t="shared" ca="1" si="1214"/>
        <v>4984</v>
      </c>
      <c r="N443" s="19">
        <f t="shared" ca="1" si="1215"/>
        <v>198.58399999999969</v>
      </c>
      <c r="O443" s="16">
        <v>6853</v>
      </c>
      <c r="P443" s="20">
        <f t="shared" ca="1" si="1216"/>
        <v>0.72727272727272729</v>
      </c>
      <c r="Q443" s="21">
        <v>1.5</v>
      </c>
      <c r="R443" s="20">
        <f t="shared" ca="1" si="1217"/>
        <v>0.47805126965583061</v>
      </c>
      <c r="S443" s="22">
        <f t="shared" ca="1" si="1218"/>
        <v>0.71707690448374595</v>
      </c>
      <c r="T443" s="21">
        <f ca="1">F443/33.74</f>
        <v>205.99999999999969</v>
      </c>
      <c r="U443" s="21">
        <f t="shared" ca="1" si="1219"/>
        <v>5.8857142857142764</v>
      </c>
      <c r="V443" s="18">
        <f t="shared" ca="1" si="1220"/>
        <v>142.4</v>
      </c>
      <c r="W443" s="76"/>
      <c r="X443" s="1" t="s">
        <v>2</v>
      </c>
      <c r="Y443" s="1" t="s">
        <v>3</v>
      </c>
      <c r="Z443" s="1" t="s">
        <v>4</v>
      </c>
      <c r="AA443" s="1" t="s">
        <v>5</v>
      </c>
      <c r="AB443" s="2" t="s">
        <v>6</v>
      </c>
      <c r="AC443" s="1" t="s">
        <v>7</v>
      </c>
      <c r="AD443" s="1" t="s">
        <v>8</v>
      </c>
      <c r="AE443" s="1" t="s">
        <v>9</v>
      </c>
      <c r="AF443" s="1" t="s">
        <v>10</v>
      </c>
      <c r="AG443" s="1" t="s">
        <v>11</v>
      </c>
      <c r="AH443" s="1" t="s">
        <v>12</v>
      </c>
      <c r="AI443" s="1" t="s">
        <v>13</v>
      </c>
      <c r="AJ443" s="2" t="s">
        <v>14</v>
      </c>
      <c r="AK443" s="1" t="s">
        <v>15</v>
      </c>
      <c r="AL443" s="1" t="s">
        <v>16</v>
      </c>
      <c r="AM443" s="3" t="s">
        <v>17</v>
      </c>
      <c r="AN443" s="4" t="s">
        <v>18</v>
      </c>
      <c r="AO443" s="5" t="s">
        <v>19</v>
      </c>
      <c r="AP443" s="6" t="s">
        <v>20</v>
      </c>
      <c r="AQ443" s="6" t="s">
        <v>21</v>
      </c>
      <c r="AR443" s="7" t="s">
        <v>22</v>
      </c>
      <c r="AS443" s="76"/>
      <c r="AT443" s="76"/>
    </row>
    <row r="444" spans="1:46" ht="15.75" customHeight="1" x14ac:dyDescent="0.25">
      <c r="A444" s="70"/>
      <c r="B444" s="16">
        <v>7</v>
      </c>
      <c r="C444" s="16" t="s">
        <v>24</v>
      </c>
      <c r="D444" s="17">
        <v>44</v>
      </c>
      <c r="E444" s="31">
        <f ca="1">IFERROR(__xludf.DUMMYFUNCTION("COUNT(IMPORTRANGE(""https://docs.google.com/spreadsheets/d/1iuPvivSypupo44l6GtmR-2qZ3za7cTk7KzsOVp_kv2c/edit"",""17!d2:d45""))"),44)</f>
        <v>44</v>
      </c>
      <c r="F444" s="32">
        <f ca="1">IFERROR(__xludf.DUMMYFUNCTION("SUM(IMPORTRANGE(""https://docs.google.com/spreadsheets/d/1iuPvivSypupo44l6GtmR-2qZ3za7cTk7KzsOVp_kv2c/edit"",""17!Q2:Q45""))"),8741.49299999999)</f>
        <v>8741.4929999999895</v>
      </c>
      <c r="G444" s="31">
        <f ca="1">IFERROR(__xludf.DUMMYFUNCTION("IMPORTRANGE(""https://docs.google.com/spreadsheets/d/1iuPvivSypupo44l6GtmR-2qZ3za7cTk7KzsOVp_kv2c/edit"",""17!e53"")"),1129)</f>
        <v>1129</v>
      </c>
      <c r="H444" s="31">
        <f ca="1">IFERROR(__xludf.DUMMYFUNCTION("IMPORTRANGE(""https://docs.google.com/spreadsheets/d/1iuPvivSypupo44l6GtmR-2qZ3za7cTk7KzsOVp_kv2c/edit"",""17!e54"")"),0)</f>
        <v>0</v>
      </c>
      <c r="I444" s="31">
        <f t="shared" ca="1" si="1212"/>
        <v>1129</v>
      </c>
      <c r="J444" s="31">
        <f ca="1">IFERROR(__xludf.DUMMYFUNCTION("IMPORTRANGE(""https://docs.google.com/spreadsheets/d/1iuPvivSypupo44l6GtmR-2qZ3za7cTk7KzsOVp_kv2c/edit"",""17!e57"")"),1549)</f>
        <v>1549</v>
      </c>
      <c r="K444" s="31">
        <f ca="1">IFERROR(__xludf.DUMMYFUNCTION("IMPORTRANGE(""https://docs.google.com/spreadsheets/d/1iuPvivSypupo44l6GtmR-2qZ3za7cTk7KzsOVp_kv2c/edit"",""17!e58"")"),0)</f>
        <v>0</v>
      </c>
      <c r="L444" s="18">
        <f t="shared" ca="1" si="1213"/>
        <v>1549</v>
      </c>
      <c r="M444" s="18">
        <f t="shared" ca="1" si="1214"/>
        <v>2678</v>
      </c>
      <c r="N444" s="19">
        <f t="shared" ca="1" si="1215"/>
        <v>198.67029545454523</v>
      </c>
      <c r="O444" s="16">
        <v>1580</v>
      </c>
      <c r="P444" s="33">
        <f t="shared" ca="1" si="1216"/>
        <v>1.6949367088607594</v>
      </c>
      <c r="Q444" s="21">
        <v>1.5</v>
      </c>
      <c r="R444" s="20">
        <f t="shared" ca="1" si="1217"/>
        <v>0.20423665995423612</v>
      </c>
      <c r="S444" s="22">
        <f t="shared" ca="1" si="1218"/>
        <v>0.30635498993135418</v>
      </c>
      <c r="T444" s="21">
        <f ca="1">F444/26.805</f>
        <v>326.11426972579704</v>
      </c>
      <c r="U444" s="21">
        <f t="shared" ca="1" si="1219"/>
        <v>7.4116879483135696</v>
      </c>
      <c r="V444" s="18">
        <f t="shared" ca="1" si="1220"/>
        <v>60.863636363636367</v>
      </c>
      <c r="W444" s="76"/>
      <c r="X444" s="8">
        <v>1</v>
      </c>
      <c r="Y444" s="8" t="s">
        <v>28</v>
      </c>
      <c r="Z444" s="8">
        <f t="shared" ref="Z444:AI444" si="1231">SUM(D439)</f>
        <v>33</v>
      </c>
      <c r="AA444" s="9">
        <f t="shared" ca="1" si="1231"/>
        <v>33</v>
      </c>
      <c r="AB444" s="11">
        <f t="shared" ca="1" si="1231"/>
        <v>6559.73</v>
      </c>
      <c r="AC444" s="9">
        <f t="shared" ca="1" si="1231"/>
        <v>2724</v>
      </c>
      <c r="AD444" s="9">
        <f t="shared" ca="1" si="1231"/>
        <v>98</v>
      </c>
      <c r="AE444" s="9">
        <f t="shared" ca="1" si="1231"/>
        <v>2822</v>
      </c>
      <c r="AF444" s="9">
        <f t="shared" ca="1" si="1231"/>
        <v>3097</v>
      </c>
      <c r="AG444" s="9">
        <f t="shared" ca="1" si="1231"/>
        <v>192</v>
      </c>
      <c r="AH444" s="9">
        <f t="shared" ca="1" si="1231"/>
        <v>3289</v>
      </c>
      <c r="AI444" s="9">
        <f t="shared" ca="1" si="1231"/>
        <v>6111</v>
      </c>
      <c r="AJ444" s="11">
        <f t="shared" ref="AJ444:AJ450" ca="1" si="1232">AB444/AA444</f>
        <v>198.77969696969694</v>
      </c>
      <c r="AK444" s="8">
        <f t="shared" ref="AK444:AK445" si="1233">SUM(O439)</f>
        <v>7315</v>
      </c>
      <c r="AL444" s="12">
        <f t="shared" ref="AL444:AL450" ca="1" si="1234">AI444/AK444</f>
        <v>0.83540669856459326</v>
      </c>
      <c r="AM444" s="13">
        <f t="shared" ref="AM444:AM445" si="1235">SUM(Q439)</f>
        <v>1.5</v>
      </c>
      <c r="AN444" s="12">
        <f t="shared" ref="AN444:AN450" ca="1" si="1236">AO444/AM444</f>
        <v>0.62106214737496823</v>
      </c>
      <c r="AO444" s="14">
        <f t="shared" ref="AO444:AO450" ca="1" si="1237">AI444/AB444</f>
        <v>0.93159322106245235</v>
      </c>
      <c r="AP444" s="13">
        <f t="shared" ref="AP444:AQ444" ca="1" si="1238">SUM(T439)</f>
        <v>212.30960934718581</v>
      </c>
      <c r="AQ444" s="13">
        <f t="shared" ca="1" si="1238"/>
        <v>6.4336245256722977</v>
      </c>
      <c r="AR444" s="9">
        <f t="shared" ref="AR444:AR450" ca="1" si="1239">AI444/AA444</f>
        <v>185.18181818181819</v>
      </c>
      <c r="AS444" s="76"/>
      <c r="AT444" s="76"/>
    </row>
    <row r="445" spans="1:46" ht="15.75" customHeight="1" x14ac:dyDescent="0.25">
      <c r="A445" s="70"/>
      <c r="B445" s="16">
        <v>8</v>
      </c>
      <c r="C445" s="16" t="s">
        <v>25</v>
      </c>
      <c r="D445" s="34">
        <v>32</v>
      </c>
      <c r="E445" s="18">
        <f ca="1">IFERROR(__xludf.DUMMYFUNCTION("COUNT(IMPORTRANGE(""https://docs.google.com/spreadsheets/d/1sqWX7UerdR9KR_duBzDNfjwbPG-3hLgV1LiN2ZVZ6Js/edit"",""17!d2:D33""))"),31)</f>
        <v>31</v>
      </c>
      <c r="F445" s="23">
        <f ca="1">IFERROR(__xludf.DUMMYFUNCTION("SUM(IMPORTRANGE(""https://docs.google.com/spreadsheets/d/1sqWX7UerdR9KR_duBzDNfjwbPG-3hLgV1LiN2ZVZ6Js/edit"",""17!Q2:Q33""))"),5875.676)</f>
        <v>5875.6760000000004</v>
      </c>
      <c r="G445" s="18">
        <f ca="1">IFERROR(__xludf.DUMMYFUNCTION("IMPORTRANGE(""https://docs.google.com/spreadsheets/d/1sqWX7UerdR9KR_duBzDNfjwbPG-3hLgV1LiN2ZVZ6Js/edit"",""17!e40"")"),2288)</f>
        <v>2288</v>
      </c>
      <c r="H445" s="18">
        <f ca="1">IFERROR(__xludf.DUMMYFUNCTION("IMPORTRANGE(""https://docs.google.com/spreadsheets/d/1sqWX7UerdR9KR_duBzDNfjwbPG-3hLgV1LiN2ZVZ6Js/edit"",""17!e41"")"),438)</f>
        <v>438</v>
      </c>
      <c r="I445" s="18">
        <f t="shared" ca="1" si="1212"/>
        <v>2726</v>
      </c>
      <c r="J445" s="18">
        <f ca="1">IFERROR(__xludf.DUMMYFUNCTION("IMPORTRANGE(""https://docs.google.com/spreadsheets/d/1sqWX7UerdR9KR_duBzDNfjwbPG-3hLgV1LiN2ZVZ6Js/edit"",""17!e44"")"),2926)</f>
        <v>2926</v>
      </c>
      <c r="K445" s="18">
        <f ca="1">IFERROR(__xludf.DUMMYFUNCTION("IMPORTRANGE(""https://docs.google.com/spreadsheets/d/1sqWX7UerdR9KR_duBzDNfjwbPG-3hLgV1LiN2ZVZ6Js/edit"",""17!e45"")"),406)</f>
        <v>406</v>
      </c>
      <c r="L445" s="18">
        <f ca="1">J445+K445</f>
        <v>3332</v>
      </c>
      <c r="M445" s="18">
        <f t="shared" ca="1" si="1214"/>
        <v>6058</v>
      </c>
      <c r="N445" s="19">
        <f t="shared" ca="1" si="1215"/>
        <v>189.53793548387097</v>
      </c>
      <c r="O445" s="16">
        <v>6622</v>
      </c>
      <c r="P445" s="20">
        <f t="shared" ca="1" si="1216"/>
        <v>0.91482935668982179</v>
      </c>
      <c r="Q445" s="21">
        <v>1.5</v>
      </c>
      <c r="R445" s="20">
        <f t="shared" ca="1" si="1217"/>
        <v>0.68735353458336812</v>
      </c>
      <c r="S445" s="22">
        <f t="shared" ca="1" si="1218"/>
        <v>1.0310303018750522</v>
      </c>
      <c r="T445" s="21">
        <f ca="1">F445/23.84</f>
        <v>246.46291946308727</v>
      </c>
      <c r="U445" s="21">
        <f t="shared" ca="1" si="1219"/>
        <v>7.9504167568737829</v>
      </c>
      <c r="V445" s="18">
        <f t="shared" ca="1" si="1220"/>
        <v>195.41935483870967</v>
      </c>
      <c r="W445" s="76"/>
      <c r="X445" s="8">
        <v>2</v>
      </c>
      <c r="Y445" s="8" t="s">
        <v>30</v>
      </c>
      <c r="Z445" s="8">
        <f t="shared" ref="Z445:AI445" si="1240">SUM(D440)</f>
        <v>60</v>
      </c>
      <c r="AA445" s="9">
        <f t="shared" ca="1" si="1240"/>
        <v>60</v>
      </c>
      <c r="AB445" s="10">
        <f t="shared" ca="1" si="1240"/>
        <v>10293.266</v>
      </c>
      <c r="AC445" s="9">
        <f t="shared" ca="1" si="1240"/>
        <v>3426</v>
      </c>
      <c r="AD445" s="9">
        <f t="shared" ca="1" si="1240"/>
        <v>0</v>
      </c>
      <c r="AE445" s="9">
        <f t="shared" ca="1" si="1240"/>
        <v>3426</v>
      </c>
      <c r="AF445" s="9">
        <f t="shared" ca="1" si="1240"/>
        <v>5622</v>
      </c>
      <c r="AG445" s="9">
        <f t="shared" ca="1" si="1240"/>
        <v>0</v>
      </c>
      <c r="AH445" s="9">
        <f t="shared" ca="1" si="1240"/>
        <v>5622</v>
      </c>
      <c r="AI445" s="9">
        <f t="shared" ca="1" si="1240"/>
        <v>9048</v>
      </c>
      <c r="AJ445" s="11">
        <f t="shared" ca="1" si="1232"/>
        <v>171.55443333333332</v>
      </c>
      <c r="AK445" s="8">
        <f t="shared" si="1233"/>
        <v>11164</v>
      </c>
      <c r="AL445" s="12">
        <f t="shared" ca="1" si="1234"/>
        <v>0.81046219992834112</v>
      </c>
      <c r="AM445" s="13">
        <f t="shared" si="1235"/>
        <v>1.5</v>
      </c>
      <c r="AN445" s="12">
        <f t="shared" ca="1" si="1236"/>
        <v>0.58601419607731897</v>
      </c>
      <c r="AO445" s="14">
        <f t="shared" ca="1" si="1237"/>
        <v>0.8790212941159784</v>
      </c>
      <c r="AP445" s="13">
        <f t="shared" ref="AP445:AQ445" ca="1" si="1241">SUM(T440)</f>
        <v>347.71023207107385</v>
      </c>
      <c r="AQ445" s="13">
        <f t="shared" ca="1" si="1241"/>
        <v>5.7951705345178972</v>
      </c>
      <c r="AR445" s="9">
        <f t="shared" ca="1" si="1239"/>
        <v>150.80000000000001</v>
      </c>
      <c r="AS445" s="76"/>
      <c r="AT445" s="76"/>
    </row>
    <row r="446" spans="1:46" ht="15.75" customHeight="1" x14ac:dyDescent="0.25">
      <c r="A446" s="70"/>
      <c r="B446" s="16">
        <v>9</v>
      </c>
      <c r="C446" s="16" t="s">
        <v>36</v>
      </c>
      <c r="D446" s="34">
        <v>30</v>
      </c>
      <c r="E446" s="18">
        <f ca="1">IFERROR(__xludf.DUMMYFUNCTION("COUNT(IMPORTRANGE(""https://docs.google.com/spreadsheets/d/1YNna43iTSqnwwbMJgTIPHSJEoDO8RGPRFg5pJCoQR_Y/edit"",""17!d2:d31""))"),30)</f>
        <v>30</v>
      </c>
      <c r="F446" s="23">
        <f ca="1">IFERROR(__xludf.DUMMYFUNCTION("SUM(IMPORTRANGE(""https://docs.google.com/spreadsheets/d/1YNna43iTSqnwwbMJgTIPHSJEoDO8RGPRFg5pJCoQR_Y/edit"",""17!Q2:Q31""))"),5940.84599999999)</f>
        <v>5940.8459999999905</v>
      </c>
      <c r="G446" s="18">
        <f ca="1">IFERROR(__xludf.DUMMYFUNCTION("IMPORTRANGE(""https://docs.google.com/spreadsheets/d/1YNna43iTSqnwwbMJgTIPHSJEoDO8RGPRFg5pJCoQR_Y/edit"",""17!e38"")"),1551)</f>
        <v>1551</v>
      </c>
      <c r="H446" s="18">
        <f ca="1">IFERROR(__xludf.DUMMYFUNCTION("IMPORTRANGE(""https://docs.google.com/spreadsheets/d/1YNna43iTSqnwwbMJgTIPHSJEoDO8RGPRFg5pJCoQR_Y/edit"",""17!e39"")"),0)</f>
        <v>0</v>
      </c>
      <c r="I446" s="18">
        <f t="shared" ca="1" si="1212"/>
        <v>1551</v>
      </c>
      <c r="J446" s="18">
        <f ca="1">IFERROR(__xludf.DUMMYFUNCTION("IMPORTRANGE(""https://docs.google.com/spreadsheets/d/1YNna43iTSqnwwbMJgTIPHSJEoDO8RGPRFg5pJCoQR_Y/edit"",""17!e42"")"),2638)</f>
        <v>2638</v>
      </c>
      <c r="K446" s="18">
        <f ca="1">IFERROR(__xludf.DUMMYFUNCTION("IMPORTRANGE(""https://docs.google.com/spreadsheets/d/1YNna43iTSqnwwbMJgTIPHSJEoDO8RGPRFg5pJCoQR_Y/edit"",""17!e43"")"),0)</f>
        <v>0</v>
      </c>
      <c r="L446" s="18">
        <f t="shared" ref="L446:L455" ca="1" si="1242">SUM(J446:K446)</f>
        <v>2638</v>
      </c>
      <c r="M446" s="18">
        <f t="shared" ca="1" si="1214"/>
        <v>4189</v>
      </c>
      <c r="N446" s="19">
        <f t="shared" ca="1" si="1215"/>
        <v>198.02819999999969</v>
      </c>
      <c r="O446" s="16">
        <v>4796</v>
      </c>
      <c r="P446" s="20">
        <f t="shared" ca="1" si="1216"/>
        <v>0.87343619683069229</v>
      </c>
      <c r="Q446" s="21">
        <v>1.5</v>
      </c>
      <c r="R446" s="20">
        <f t="shared" ca="1" si="1217"/>
        <v>0.47007895284049966</v>
      </c>
      <c r="S446" s="22">
        <f t="shared" ca="1" si="1218"/>
        <v>0.70511842926074952</v>
      </c>
      <c r="T446" s="21">
        <f ca="1">F446/37.414</f>
        <v>158.78671085689822</v>
      </c>
      <c r="U446" s="21">
        <f t="shared" ca="1" si="1219"/>
        <v>5.2928903618966077</v>
      </c>
      <c r="V446" s="18">
        <f t="shared" ca="1" si="1220"/>
        <v>139.63333333333333</v>
      </c>
      <c r="W446" s="76"/>
      <c r="X446" s="8">
        <v>3</v>
      </c>
      <c r="Y446" s="8" t="s">
        <v>34</v>
      </c>
      <c r="Z446" s="8">
        <f t="shared" ref="Z446:AI446" si="1243">SUM(D442)</f>
        <v>40</v>
      </c>
      <c r="AA446" s="9">
        <f t="shared" ca="1" si="1243"/>
        <v>38</v>
      </c>
      <c r="AB446" s="10">
        <f t="shared" ca="1" si="1243"/>
        <v>7426.9139999999998</v>
      </c>
      <c r="AC446" s="9">
        <f t="shared" ca="1" si="1243"/>
        <v>2834</v>
      </c>
      <c r="AD446" s="9">
        <f t="shared" ca="1" si="1243"/>
        <v>0</v>
      </c>
      <c r="AE446" s="9">
        <f t="shared" ca="1" si="1243"/>
        <v>2834</v>
      </c>
      <c r="AF446" s="9">
        <f t="shared" ca="1" si="1243"/>
        <v>3263</v>
      </c>
      <c r="AG446" s="9">
        <f t="shared" ca="1" si="1243"/>
        <v>0</v>
      </c>
      <c r="AH446" s="9">
        <f t="shared" ca="1" si="1243"/>
        <v>3263</v>
      </c>
      <c r="AI446" s="9">
        <f t="shared" ca="1" si="1243"/>
        <v>6097</v>
      </c>
      <c r="AJ446" s="11">
        <f t="shared" ca="1" si="1232"/>
        <v>195.4451052631579</v>
      </c>
      <c r="AK446" s="8">
        <f>SUM(O442)</f>
        <v>9354</v>
      </c>
      <c r="AL446" s="12">
        <f t="shared" ca="1" si="1234"/>
        <v>0.65180671370536669</v>
      </c>
      <c r="AM446" s="13">
        <f>SUM(Q442)</f>
        <v>1.5</v>
      </c>
      <c r="AN446" s="12">
        <f t="shared" ca="1" si="1236"/>
        <v>0.54728877521224384</v>
      </c>
      <c r="AO446" s="14">
        <f t="shared" ca="1" si="1237"/>
        <v>0.82093316281836581</v>
      </c>
      <c r="AP446" s="13">
        <f t="shared" ref="AP446:AQ446" ca="1" si="1244">SUM(T442)</f>
        <v>241.81662488197179</v>
      </c>
      <c r="AQ446" s="13">
        <f t="shared" ca="1" si="1244"/>
        <v>6.3635953916308363</v>
      </c>
      <c r="AR446" s="9">
        <f t="shared" ca="1" si="1239"/>
        <v>160.44736842105263</v>
      </c>
      <c r="AS446" s="76"/>
      <c r="AT446" s="76"/>
    </row>
    <row r="447" spans="1:46" ht="15.75" customHeight="1" x14ac:dyDescent="0.25">
      <c r="A447" s="70"/>
      <c r="B447" s="16">
        <v>10</v>
      </c>
      <c r="C447" s="16" t="s">
        <v>37</v>
      </c>
      <c r="D447" s="17">
        <v>30</v>
      </c>
      <c r="E447" s="18">
        <f ca="1">IFERROR(__xludf.DUMMYFUNCTION("COUNT(IMPORTRANGE(""https://docs.google.com/spreadsheets/d/1913Df5BsXS_b-nClL8LOK5w0engQYTl1mPOiyngRtO0/edit"",""17!d2:d31""))"),30)</f>
        <v>30</v>
      </c>
      <c r="F447" s="23">
        <f ca="1">IFERROR(__xludf.DUMMYFUNCTION("SUM(IMPORTRANGE(""https://docs.google.com/spreadsheets/d/1913Df5BsXS_b-nClL8LOK5w0engQYTl1mPOiyngRtO0/edit"",""17!Q2:Q31""))"),5960.94)</f>
        <v>5960.94</v>
      </c>
      <c r="G447" s="18">
        <f ca="1">IFERROR(__xludf.DUMMYFUNCTION("(IMPORTRANGE(""https://docs.google.com/spreadsheets/d/1913Df5BsXS_b-nClL8LOK5w0engQYTl1mPOiyngRtO0/edit"",""17!e38""))"),2324)</f>
        <v>2324</v>
      </c>
      <c r="H447" s="18">
        <f ca="1">IFERROR(__xludf.DUMMYFUNCTION("(IMPORTRANGE(""https://docs.google.com/spreadsheets/d/1913Df5BsXS_b-nClL8LOK5w0engQYTl1mPOiyngRtO0/edit"",""17!e39""))"),0)</f>
        <v>0</v>
      </c>
      <c r="I447" s="18">
        <f t="shared" ca="1" si="1212"/>
        <v>2324</v>
      </c>
      <c r="J447" s="18">
        <f ca="1">IFERROR(__xludf.DUMMYFUNCTION("(IMPORTRANGE(""https://docs.google.com/spreadsheets/d/1913Df5BsXS_b-nClL8LOK5w0engQYTl1mPOiyngRtO0/edit"",""17!e42""))"),3269)</f>
        <v>3269</v>
      </c>
      <c r="K447" s="18">
        <f ca="1">IFERROR(__xludf.DUMMYFUNCTION("(IMPORTRANGE(""https://docs.google.com/spreadsheets/d/1913Df5BsXS_b-nClL8LOK5w0engQYTl1mPOiyngRtO0/edit"",""17!e43""))"),0)</f>
        <v>0</v>
      </c>
      <c r="L447" s="18">
        <f t="shared" ca="1" si="1242"/>
        <v>3269</v>
      </c>
      <c r="M447" s="18">
        <f t="shared" ca="1" si="1214"/>
        <v>5593</v>
      </c>
      <c r="N447" s="19">
        <f t="shared" ca="1" si="1215"/>
        <v>198.69799999999998</v>
      </c>
      <c r="O447" s="16">
        <v>5887</v>
      </c>
      <c r="P447" s="20">
        <f t="shared" ca="1" si="1216"/>
        <v>0.95005945303210459</v>
      </c>
      <c r="Q447" s="21">
        <v>1.5</v>
      </c>
      <c r="R447" s="20">
        <f t="shared" ca="1" si="1217"/>
        <v>0.62551655723202504</v>
      </c>
      <c r="S447" s="22">
        <f t="shared" ca="1" si="1218"/>
        <v>0.9382748358480375</v>
      </c>
      <c r="T447" s="21">
        <f ca="1">F447/24.792</f>
        <v>240.43804453049367</v>
      </c>
      <c r="U447" s="21">
        <f t="shared" ca="1" si="1219"/>
        <v>8.0146014843497895</v>
      </c>
      <c r="V447" s="18">
        <f t="shared" ca="1" si="1220"/>
        <v>186.43333333333334</v>
      </c>
      <c r="W447" s="76"/>
      <c r="X447" s="8">
        <v>4</v>
      </c>
      <c r="Y447" s="8" t="s">
        <v>38</v>
      </c>
      <c r="Z447" s="8">
        <f t="shared" ref="Z447:AI447" si="1245">SUM(D450)</f>
        <v>30</v>
      </c>
      <c r="AA447" s="9">
        <f t="shared" ca="1" si="1245"/>
        <v>30</v>
      </c>
      <c r="AB447" s="10">
        <f t="shared" ca="1" si="1245"/>
        <v>6406.8619999999901</v>
      </c>
      <c r="AC447" s="9">
        <f t="shared" ca="1" si="1245"/>
        <v>2182</v>
      </c>
      <c r="AD447" s="9">
        <f t="shared" ca="1" si="1245"/>
        <v>0</v>
      </c>
      <c r="AE447" s="9">
        <f t="shared" ca="1" si="1245"/>
        <v>2182</v>
      </c>
      <c r="AF447" s="9">
        <f t="shared" ca="1" si="1245"/>
        <v>2910</v>
      </c>
      <c r="AG447" s="9">
        <f t="shared" ca="1" si="1245"/>
        <v>0</v>
      </c>
      <c r="AH447" s="9">
        <f t="shared" ca="1" si="1245"/>
        <v>2910</v>
      </c>
      <c r="AI447" s="9">
        <f t="shared" ca="1" si="1245"/>
        <v>5092</v>
      </c>
      <c r="AJ447" s="11">
        <f t="shared" ca="1" si="1232"/>
        <v>213.56206666666634</v>
      </c>
      <c r="AK447" s="8">
        <v>7324</v>
      </c>
      <c r="AL447" s="12">
        <f t="shared" ca="1" si="1234"/>
        <v>0.69524849808847622</v>
      </c>
      <c r="AM447" s="13">
        <f>SUM(Q450)</f>
        <v>1.5</v>
      </c>
      <c r="AN447" s="12">
        <f t="shared" ca="1" si="1236"/>
        <v>0.52984856965339222</v>
      </c>
      <c r="AO447" s="14">
        <f t="shared" ca="1" si="1237"/>
        <v>0.79477285448008839</v>
      </c>
      <c r="AP447" s="13">
        <f t="shared" ref="AP447:AQ447" ca="1" si="1246">SUM(T450)</f>
        <v>155.48748938235627</v>
      </c>
      <c r="AQ447" s="13">
        <f t="shared" ca="1" si="1246"/>
        <v>5.1829163127452089</v>
      </c>
      <c r="AR447" s="9">
        <f t="shared" ca="1" si="1239"/>
        <v>169.73333333333332</v>
      </c>
      <c r="AS447" s="76"/>
      <c r="AT447" s="76"/>
    </row>
    <row r="448" spans="1:46" ht="15.75" customHeight="1" x14ac:dyDescent="0.25">
      <c r="A448" s="70"/>
      <c r="B448" s="16">
        <v>12</v>
      </c>
      <c r="C448" s="16" t="s">
        <v>39</v>
      </c>
      <c r="D448" s="17">
        <v>28</v>
      </c>
      <c r="E448" s="18">
        <f ca="1">IFERROR(__xludf.DUMMYFUNCTION("COUNT(IMPORTRANGE(""https://docs.google.com/spreadsheets/d/1wMeol_MpSIcocGxt3WZGl46mJ2tc80mANPvP_YzaP18/edit"",""17!d2:d29""))"),27)</f>
        <v>27</v>
      </c>
      <c r="F448" s="23">
        <f ca="1">IFERROR(__xludf.DUMMYFUNCTION("SUM(IMPORTRANGE(""https://docs.google.com/spreadsheets/d/1wMeol_MpSIcocGxt3WZGl46mJ2tc80mANPvP_YzaP18/edit"",""17!Q2:Q29""))"),5361.385)</f>
        <v>5361.3850000000002</v>
      </c>
      <c r="G448" s="18">
        <f ca="1">IFERROR(__xludf.DUMMYFUNCTION("IMPORTRANGE(""https://docs.google.com/spreadsheets/d/1wMeol_MpSIcocGxt3WZGl46mJ2tc80mANPvP_YzaP18/edit"",""17!e36"")"),1285)</f>
        <v>1285</v>
      </c>
      <c r="H448" s="18">
        <f ca="1">IFERROR(__xludf.DUMMYFUNCTION("(IMPORTRANGE(""https://docs.google.com/spreadsheets/d/1wMeol_MpSIcocGxt3WZGl46mJ2tc80mANPvP_YzaP18/edit"",""17!e37""))"),0)</f>
        <v>0</v>
      </c>
      <c r="I448" s="18">
        <f t="shared" ca="1" si="1212"/>
        <v>1285</v>
      </c>
      <c r="J448" s="18">
        <f ca="1">IFERROR(__xludf.DUMMYFUNCTION("IMPORTRANGE(""https://docs.google.com/spreadsheets/d/1wMeol_MpSIcocGxt3WZGl46mJ2tc80mANPvP_YzaP18/edit"",""17!e40"")"),1994)</f>
        <v>1994</v>
      </c>
      <c r="K448" s="18">
        <f ca="1">IFERROR(__xludf.DUMMYFUNCTION("IMPORTRANGE(""https://docs.google.com/spreadsheets/d/1wMeol_MpSIcocGxt3WZGl46mJ2tc80mANPvP_YzaP18/edit"",""17!e41"")"),0)</f>
        <v>0</v>
      </c>
      <c r="L448" s="18">
        <f t="shared" ca="1" si="1242"/>
        <v>1994</v>
      </c>
      <c r="M448" s="18">
        <f t="shared" ca="1" si="1214"/>
        <v>3279</v>
      </c>
      <c r="N448" s="19">
        <f t="shared" ca="1" si="1215"/>
        <v>198.56981481481483</v>
      </c>
      <c r="O448" s="16">
        <v>3569</v>
      </c>
      <c r="P448" s="20">
        <f t="shared" ca="1" si="1216"/>
        <v>0.91874474642757076</v>
      </c>
      <c r="Q448" s="21">
        <v>1.5</v>
      </c>
      <c r="R448" s="20">
        <f t="shared" ca="1" si="1217"/>
        <v>0.40773046516898148</v>
      </c>
      <c r="S448" s="22">
        <f t="shared" ca="1" si="1218"/>
        <v>0.61159569775347222</v>
      </c>
      <c r="T448" s="21">
        <f ca="1">F448/21.463</f>
        <v>249.79662675301682</v>
      </c>
      <c r="U448" s="21">
        <f t="shared" ca="1" si="1219"/>
        <v>9.2517269167784004</v>
      </c>
      <c r="V448" s="18">
        <f t="shared" ca="1" si="1220"/>
        <v>121.44444444444444</v>
      </c>
      <c r="W448" s="76"/>
      <c r="X448" s="8">
        <v>5</v>
      </c>
      <c r="Y448" s="8" t="s">
        <v>40</v>
      </c>
      <c r="Z448" s="8">
        <f t="shared" ref="Z448:AI448" si="1247">SUM(D452)</f>
        <v>30</v>
      </c>
      <c r="AA448" s="9">
        <f t="shared" ca="1" si="1247"/>
        <v>30</v>
      </c>
      <c r="AB448" s="10">
        <f t="shared" ca="1" si="1247"/>
        <v>5859.2579999999898</v>
      </c>
      <c r="AC448" s="9">
        <f t="shared" ca="1" si="1247"/>
        <v>3487</v>
      </c>
      <c r="AD448" s="9">
        <f t="shared" ca="1" si="1247"/>
        <v>15</v>
      </c>
      <c r="AE448" s="9">
        <f t="shared" ca="1" si="1247"/>
        <v>3502</v>
      </c>
      <c r="AF448" s="9">
        <f t="shared" ca="1" si="1247"/>
        <v>3935</v>
      </c>
      <c r="AG448" s="9">
        <f t="shared" ca="1" si="1247"/>
        <v>0</v>
      </c>
      <c r="AH448" s="9">
        <f t="shared" ca="1" si="1247"/>
        <v>3935</v>
      </c>
      <c r="AI448" s="9">
        <f t="shared" ca="1" si="1247"/>
        <v>7437</v>
      </c>
      <c r="AJ448" s="11">
        <f t="shared" ca="1" si="1232"/>
        <v>195.30859999999967</v>
      </c>
      <c r="AK448" s="8">
        <f t="shared" ref="AK448:AK449" si="1248">SUM(O452)</f>
        <v>8239</v>
      </c>
      <c r="AL448" s="12">
        <f t="shared" ca="1" si="1234"/>
        <v>0.90265808957397742</v>
      </c>
      <c r="AM448" s="13">
        <f t="shared" ref="AM448:AM449" si="1249">SUM(Q452)</f>
        <v>1.5</v>
      </c>
      <c r="AN448" s="12">
        <f t="shared" ca="1" si="1236"/>
        <v>0.84618222990010139</v>
      </c>
      <c r="AO448" s="14">
        <f t="shared" ca="1" si="1237"/>
        <v>1.2692733448501521</v>
      </c>
      <c r="AP448" s="13">
        <f t="shared" ref="AP448:AQ448" ca="1" si="1250">SUM(T452)</f>
        <v>205.99999999999963</v>
      </c>
      <c r="AQ448" s="13">
        <f t="shared" ca="1" si="1250"/>
        <v>6.8666666666666547</v>
      </c>
      <c r="AR448" s="9">
        <f t="shared" ca="1" si="1239"/>
        <v>247.9</v>
      </c>
      <c r="AS448" s="76"/>
      <c r="AT448" s="76"/>
    </row>
    <row r="449" spans="1:46" ht="15.75" customHeight="1" x14ac:dyDescent="0.25">
      <c r="A449" s="70"/>
      <c r="B449" s="16">
        <v>12</v>
      </c>
      <c r="C449" s="16" t="s">
        <v>41</v>
      </c>
      <c r="D449" s="17">
        <v>24</v>
      </c>
      <c r="E449" s="18">
        <f ca="1">IFERROR(__xludf.DUMMYFUNCTION("COUNT(IMPORTRANGE(""https://docs.google.com/spreadsheets/d/1sHk6_yuc4kORC_xnhEeazoemV_hVUQVqRpfoNae-PLk/edit"",""17!d2:d25""))"),24)</f>
        <v>24</v>
      </c>
      <c r="F449" s="23">
        <f ca="1">IFERROR(__xludf.DUMMYFUNCTION("SUM(IMPORTRANGE(""https://docs.google.com/spreadsheets/d/1sHk6_yuc4kORC_xnhEeazoemV_hVUQVqRpfoNae-PLk/edit"",""17!Q2:Q25""))"),4793.152)</f>
        <v>4793.152</v>
      </c>
      <c r="G449" s="18">
        <f ca="1">IFERROR(__xludf.DUMMYFUNCTION("IMPORTRANGE(""https://docs.google.com/spreadsheets/d/1sHk6_yuc4kORC_xnhEeazoemV_hVUQVqRpfoNae-PLk/edit"",""17!e32"")"),1291)</f>
        <v>1291</v>
      </c>
      <c r="H449" s="18">
        <f ca="1">IFERROR(__xludf.DUMMYFUNCTION("IMPORTRANGE(""https://docs.google.com/spreadsheets/d/1sHk6_yuc4kORC_xnhEeazoemV_hVUQVqRpfoNae-PLk/edit"",""17!e33"")"),0)</f>
        <v>0</v>
      </c>
      <c r="I449" s="18">
        <f t="shared" ca="1" si="1212"/>
        <v>1291</v>
      </c>
      <c r="J449" s="18">
        <f ca="1">IFERROR(__xludf.DUMMYFUNCTION("IMPORTRANGE(""https://docs.google.com/spreadsheets/d/1sHk6_yuc4kORC_xnhEeazoemV_hVUQVqRpfoNae-PLk/edit"",""17!e36"")"),1812)</f>
        <v>1812</v>
      </c>
      <c r="K449" s="18">
        <f ca="1">IFERROR(__xludf.DUMMYFUNCTION("IMPORTRANGE(""https://docs.google.com/spreadsheets/d/1sHk6_yuc4kORC_xnhEeazoemV_hVUQVqRpfoNae-PLk/edit"",""17!e37"")"),0)</f>
        <v>0</v>
      </c>
      <c r="L449" s="18">
        <f t="shared" ca="1" si="1242"/>
        <v>1812</v>
      </c>
      <c r="M449" s="18">
        <f t="shared" ca="1" si="1214"/>
        <v>3103</v>
      </c>
      <c r="N449" s="19">
        <f t="shared" ca="1" si="1215"/>
        <v>199.71466666666666</v>
      </c>
      <c r="O449" s="16">
        <v>3801</v>
      </c>
      <c r="P449" s="20">
        <f t="shared" ca="1" si="1216"/>
        <v>0.81636411470665615</v>
      </c>
      <c r="Q449" s="21">
        <v>1.5</v>
      </c>
      <c r="R449" s="20">
        <f t="shared" ca="1" si="1217"/>
        <v>0.43158795437045744</v>
      </c>
      <c r="S449" s="22">
        <f t="shared" ca="1" si="1218"/>
        <v>0.64738193155568613</v>
      </c>
      <c r="T449" s="21">
        <f ca="1">F449/29.628</f>
        <v>161.77777777777777</v>
      </c>
      <c r="U449" s="21">
        <f t="shared" ca="1" si="1219"/>
        <v>6.7407407407407405</v>
      </c>
      <c r="V449" s="18">
        <f t="shared" ca="1" si="1220"/>
        <v>129.29166666666666</v>
      </c>
      <c r="W449" s="76"/>
      <c r="X449" s="8">
        <v>6</v>
      </c>
      <c r="Y449" s="8" t="s">
        <v>42</v>
      </c>
      <c r="Z449" s="8">
        <f t="shared" ref="Z449:AI449" si="1251">SUM(D453)</f>
        <v>33</v>
      </c>
      <c r="AA449" s="9">
        <f t="shared" ca="1" si="1251"/>
        <v>33</v>
      </c>
      <c r="AB449" s="10">
        <f t="shared" ca="1" si="1251"/>
        <v>6403.3609999999899</v>
      </c>
      <c r="AC449" s="9">
        <f t="shared" ca="1" si="1251"/>
        <v>3080</v>
      </c>
      <c r="AD449" s="9">
        <f t="shared" ca="1" si="1251"/>
        <v>0</v>
      </c>
      <c r="AE449" s="9">
        <f t="shared" ca="1" si="1251"/>
        <v>3080</v>
      </c>
      <c r="AF449" s="9">
        <f t="shared" ca="1" si="1251"/>
        <v>4423</v>
      </c>
      <c r="AG449" s="9">
        <f t="shared" ca="1" si="1251"/>
        <v>0</v>
      </c>
      <c r="AH449" s="9">
        <f t="shared" ca="1" si="1251"/>
        <v>4423</v>
      </c>
      <c r="AI449" s="9">
        <f t="shared" ca="1" si="1251"/>
        <v>7503</v>
      </c>
      <c r="AJ449" s="11">
        <f t="shared" ca="1" si="1232"/>
        <v>194.04124242424211</v>
      </c>
      <c r="AK449" s="8">
        <f t="shared" si="1248"/>
        <v>9877</v>
      </c>
      <c r="AL449" s="12">
        <f t="shared" ca="1" si="1234"/>
        <v>0.7596436164827377</v>
      </c>
      <c r="AM449" s="13">
        <f t="shared" si="1249"/>
        <v>1.5</v>
      </c>
      <c r="AN449" s="12">
        <f t="shared" ca="1" si="1236"/>
        <v>0.78115227300163281</v>
      </c>
      <c r="AO449" s="14">
        <f t="shared" ca="1" si="1237"/>
        <v>1.1717284095024492</v>
      </c>
      <c r="AP449" s="13">
        <f t="shared" ref="AP449:AQ449" ca="1" si="1252">SUM(T453)</f>
        <v>244.82359013572892</v>
      </c>
      <c r="AQ449" s="13">
        <f t="shared" ca="1" si="1252"/>
        <v>7.418896670779664</v>
      </c>
      <c r="AR449" s="9">
        <f t="shared" ca="1" si="1239"/>
        <v>227.36363636363637</v>
      </c>
      <c r="AS449" s="76"/>
      <c r="AT449" s="76"/>
    </row>
    <row r="450" spans="1:46" ht="15.75" customHeight="1" x14ac:dyDescent="0.25">
      <c r="A450" s="70"/>
      <c r="B450" s="16">
        <v>13</v>
      </c>
      <c r="C450" s="16" t="s">
        <v>43</v>
      </c>
      <c r="D450" s="17">
        <v>30</v>
      </c>
      <c r="E450" s="18">
        <f ca="1">IFERROR(__xludf.DUMMYFUNCTION("COUNT(IMPORTRANGE(""https://docs.google.com/spreadsheets/d/1uGXvAN2jA6kmcEHUY4KqOHHewllZsujDdA6KVDfBCoA/edit"",""17!d2:d31""))"),30)</f>
        <v>30</v>
      </c>
      <c r="F450" s="23">
        <f ca="1">IFERROR(__xludf.DUMMYFUNCTION("SUM(IMPORTRANGE(""https://docs.google.com/spreadsheets/d/1uGXvAN2jA6kmcEHUY4KqOHHewllZsujDdA6KVDfBCoA/edit"",""17!Q2:Q31""))"),6406.86199999999)</f>
        <v>6406.8619999999901</v>
      </c>
      <c r="G450" s="18">
        <f ca="1">IFERROR(__xludf.DUMMYFUNCTION("IMPORTRANGE(""https://docs.google.com/spreadsheets/d/1uGXvAN2jA6kmcEHUY4KqOHHewllZsujDdA6KVDfBCoA/edit"",""17!e38"")"),2182)</f>
        <v>2182</v>
      </c>
      <c r="H450" s="18">
        <f ca="1">IFERROR(__xludf.DUMMYFUNCTION("IMPORTRANGE(""https://docs.google.com/spreadsheets/d/1uGXvAN2jA6kmcEHUY4KqOHHewllZsujDdA6KVDfBCoA/edit"",""17!e39"")"),0)</f>
        <v>0</v>
      </c>
      <c r="I450" s="18">
        <f t="shared" ca="1" si="1212"/>
        <v>2182</v>
      </c>
      <c r="J450" s="18">
        <f ca="1">IFERROR(__xludf.DUMMYFUNCTION("IMPORTRANGE(""https://docs.google.com/spreadsheets/d/1uGXvAN2jA6kmcEHUY4KqOHHewllZsujDdA6KVDfBCoA/edit"",""17!e42"")"),2910)</f>
        <v>2910</v>
      </c>
      <c r="K450" s="18">
        <f ca="1">IFERROR(__xludf.DUMMYFUNCTION("IMPORTRANGE(""https://docs.google.com/spreadsheets/d/1uGXvAN2jA6kmcEHUY4KqOHHewllZsujDdA6KVDfBCoA/edit"",""17!e43"")"),0)</f>
        <v>0</v>
      </c>
      <c r="L450" s="18">
        <f t="shared" ca="1" si="1242"/>
        <v>2910</v>
      </c>
      <c r="M450" s="18">
        <f t="shared" ca="1" si="1214"/>
        <v>5092</v>
      </c>
      <c r="N450" s="19">
        <f t="shared" ca="1" si="1215"/>
        <v>213.56206666666634</v>
      </c>
      <c r="O450" s="16">
        <v>8345</v>
      </c>
      <c r="P450" s="20">
        <f t="shared" ca="1" si="1216"/>
        <v>0.61018573996405034</v>
      </c>
      <c r="Q450" s="21">
        <v>1.5</v>
      </c>
      <c r="R450" s="20">
        <f t="shared" ca="1" si="1217"/>
        <v>0.52984856965339222</v>
      </c>
      <c r="S450" s="22">
        <f t="shared" ca="1" si="1218"/>
        <v>0.79477285448008839</v>
      </c>
      <c r="T450" s="21">
        <f ca="1">F450/41.205</f>
        <v>155.48748938235627</v>
      </c>
      <c r="U450" s="21">
        <f t="shared" ca="1" si="1219"/>
        <v>5.1829163127452089</v>
      </c>
      <c r="V450" s="18">
        <f t="shared" ca="1" si="1220"/>
        <v>169.73333333333332</v>
      </c>
      <c r="W450" s="76"/>
      <c r="X450" s="24" t="s">
        <v>33</v>
      </c>
      <c r="Y450" s="24">
        <v>6</v>
      </c>
      <c r="Z450" s="24">
        <f t="shared" ref="Z450:AI450" si="1253">SUM(Z444:Z449)</f>
        <v>226</v>
      </c>
      <c r="AA450" s="25">
        <f t="shared" ca="1" si="1253"/>
        <v>224</v>
      </c>
      <c r="AB450" s="27">
        <f t="shared" ca="1" si="1253"/>
        <v>42949.390999999967</v>
      </c>
      <c r="AC450" s="25">
        <f t="shared" ca="1" si="1253"/>
        <v>17733</v>
      </c>
      <c r="AD450" s="25">
        <f t="shared" ca="1" si="1253"/>
        <v>113</v>
      </c>
      <c r="AE450" s="25">
        <f t="shared" ca="1" si="1253"/>
        <v>17846</v>
      </c>
      <c r="AF450" s="25">
        <f t="shared" ca="1" si="1253"/>
        <v>23250</v>
      </c>
      <c r="AG450" s="25">
        <f t="shared" ca="1" si="1253"/>
        <v>192</v>
      </c>
      <c r="AH450" s="25">
        <f t="shared" ca="1" si="1253"/>
        <v>23442</v>
      </c>
      <c r="AI450" s="25">
        <f t="shared" ca="1" si="1253"/>
        <v>41288</v>
      </c>
      <c r="AJ450" s="27">
        <f t="shared" ca="1" si="1232"/>
        <v>191.73835267857129</v>
      </c>
      <c r="AK450" s="24">
        <f>SUM(AK444:AK449)</f>
        <v>53273</v>
      </c>
      <c r="AL450" s="28">
        <f t="shared" ca="1" si="1234"/>
        <v>0.77502674900981738</v>
      </c>
      <c r="AM450" s="29">
        <v>1.5</v>
      </c>
      <c r="AN450" s="28">
        <f t="shared" ca="1" si="1236"/>
        <v>0.64087831497618575</v>
      </c>
      <c r="AO450" s="30">
        <f t="shared" ca="1" si="1237"/>
        <v>0.96131747246427857</v>
      </c>
      <c r="AP450" s="29">
        <f ca="1">SUM(AP444:AP449)</f>
        <v>1408.1475458183161</v>
      </c>
      <c r="AQ450" s="29">
        <f ca="1">AP450/AA450</f>
        <v>6.2863729724031971</v>
      </c>
      <c r="AR450" s="25">
        <f t="shared" ca="1" si="1239"/>
        <v>184.32142857142858</v>
      </c>
      <c r="AS450" s="76"/>
      <c r="AT450" s="76"/>
    </row>
    <row r="451" spans="1:46" ht="15.75" customHeight="1" x14ac:dyDescent="0.25">
      <c r="A451" s="70"/>
      <c r="B451" s="16">
        <v>14</v>
      </c>
      <c r="C451" s="16" t="s">
        <v>27</v>
      </c>
      <c r="D451" s="17">
        <v>30</v>
      </c>
      <c r="E451" s="18">
        <f ca="1">IFERROR(__xludf.DUMMYFUNCTION("COUNT(IMPORTRANGE(""https://docs.google.com/spreadsheets/d/1iYtf3wkjJIgOL8ej0-L89wY8FLXKi6EiRbi9UqA1Bzw/edit"",""17!d2:d31""))"),28)</f>
        <v>28</v>
      </c>
      <c r="F451" s="23">
        <f ca="1">IFERROR(__xludf.DUMMYFUNCTION("SUM(IMPORTRANGE(""https://docs.google.com/spreadsheets/d/1iYtf3wkjJIgOL8ej0-L89wY8FLXKi6EiRbi9UqA1Bzw/edit"",""17!Q2:Q31""))"),5265.91)</f>
        <v>5265.91</v>
      </c>
      <c r="G451" s="18">
        <f ca="1">IFERROR(__xludf.DUMMYFUNCTION("IMPORTRANGE(""https://docs.google.com/spreadsheets/d/1iYtf3wkjJIgOL8ej0-L89wY8FLXKi6EiRbi9UqA1Bzw/edit"",""17!e38"")"),2507)</f>
        <v>2507</v>
      </c>
      <c r="H451" s="18">
        <f ca="1">IFERROR(__xludf.DUMMYFUNCTION("IMPORTRANGE(""https://docs.google.com/spreadsheets/d/1iYtf3wkjJIgOL8ej0-L89wY8FLXKi6EiRbi9UqA1Bzw/edit"",""17!e39"")"),214)</f>
        <v>214</v>
      </c>
      <c r="I451" s="18">
        <f t="shared" ca="1" si="1212"/>
        <v>2721</v>
      </c>
      <c r="J451" s="18">
        <f ca="1">IFERROR(__xludf.DUMMYFUNCTION("IMPORTRANGE(""https://docs.google.com/spreadsheets/d/1iYtf3wkjJIgOL8ej0-L89wY8FLXKi6EiRbi9UqA1Bzw/edit"",""17!e42"")"),3127)</f>
        <v>3127</v>
      </c>
      <c r="K451" s="18">
        <f ca="1">IFERROR(__xludf.DUMMYFUNCTION("IMPORTRANGE(""https://docs.google.com/spreadsheets/d/1iYtf3wkjJIgOL8ej0-L89wY8FLXKi6EiRbi9UqA1Bzw/edit"",""17!e43"")"),228)</f>
        <v>228</v>
      </c>
      <c r="L451" s="18">
        <f t="shared" ca="1" si="1242"/>
        <v>3355</v>
      </c>
      <c r="M451" s="18">
        <f t="shared" ca="1" si="1214"/>
        <v>6076</v>
      </c>
      <c r="N451" s="19">
        <f t="shared" ca="1" si="1215"/>
        <v>188.06821428571428</v>
      </c>
      <c r="O451" s="16">
        <v>8101</v>
      </c>
      <c r="P451" s="20">
        <f t="shared" ca="1" si="1216"/>
        <v>0.75003086038760647</v>
      </c>
      <c r="Q451" s="21">
        <v>1.5</v>
      </c>
      <c r="R451" s="20">
        <f t="shared" ca="1" si="1217"/>
        <v>0.76922443920740513</v>
      </c>
      <c r="S451" s="22">
        <f t="shared" ca="1" si="1218"/>
        <v>1.1538366588111078</v>
      </c>
      <c r="T451" s="21">
        <f ca="1">F451/19.985</f>
        <v>263.49311983987991</v>
      </c>
      <c r="U451" s="21">
        <f t="shared" ca="1" si="1219"/>
        <v>9.410468565709996</v>
      </c>
      <c r="V451" s="18">
        <f t="shared" ca="1" si="1220"/>
        <v>217</v>
      </c>
      <c r="W451" s="76"/>
      <c r="X451" s="97" t="s">
        <v>44</v>
      </c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9"/>
      <c r="AS451" s="76"/>
      <c r="AT451" s="76"/>
    </row>
    <row r="452" spans="1:46" ht="15.75" customHeight="1" x14ac:dyDescent="0.25">
      <c r="A452" s="70"/>
      <c r="B452" s="16">
        <v>15</v>
      </c>
      <c r="C452" s="16" t="s">
        <v>40</v>
      </c>
      <c r="D452" s="17">
        <v>30</v>
      </c>
      <c r="E452" s="18">
        <f ca="1">IFERROR(__xludf.DUMMYFUNCTION("COUNT(IMPORTRANGE(""https://docs.google.com/spreadsheets/d/1Wdf8MsoDBzMSsrzOXwaGQzbVjVqOWfKSqYmbncevZgA/edit"",""17!d2:d31""))"),30)</f>
        <v>30</v>
      </c>
      <c r="F452" s="23">
        <f ca="1">IFERROR(__xludf.DUMMYFUNCTION("SUM(IMPORTRANGE(""https://docs.google.com/spreadsheets/d/1Wdf8MsoDBzMSsrzOXwaGQzbVjVqOWfKSqYmbncevZgA/edit"",""17!Q2:Q31""))"),5859.25799999999)</f>
        <v>5859.2579999999898</v>
      </c>
      <c r="G452" s="18">
        <f ca="1">IFERROR(__xludf.DUMMYFUNCTION("IMPORTRANGE(""https://docs.google.com/spreadsheets/d/1Wdf8MsoDBzMSsrzOXwaGQzbVjVqOWfKSqYmbncevZgA/edit"",""17!e38"")"),3487)</f>
        <v>3487</v>
      </c>
      <c r="H452" s="18">
        <f ca="1">IFERROR(__xludf.DUMMYFUNCTION("IMPORTRANGE(""https://docs.google.com/spreadsheets/d/1Wdf8MsoDBzMSsrzOXwaGQzbVjVqOWfKSqYmbncevZgA/edit"",""17!e39"")"),15)</f>
        <v>15</v>
      </c>
      <c r="I452" s="18">
        <f t="shared" ca="1" si="1212"/>
        <v>3502</v>
      </c>
      <c r="J452" s="18">
        <f ca="1">IFERROR(__xludf.DUMMYFUNCTION("IMPORTRANGE(""https://docs.google.com/spreadsheets/d/1Wdf8MsoDBzMSsrzOXwaGQzbVjVqOWfKSqYmbncevZgA/edit"",""17!e42"")"),3935)</f>
        <v>3935</v>
      </c>
      <c r="K452" s="18">
        <f ca="1">IFERROR(__xludf.DUMMYFUNCTION("IMPORTRANGE(""https://docs.google.com/spreadsheets/d/1Wdf8MsoDBzMSsrzOXwaGQzbVjVqOWfKSqYmbncevZgA/edit"",""17!e43"")"),0)</f>
        <v>0</v>
      </c>
      <c r="L452" s="18">
        <f t="shared" ca="1" si="1242"/>
        <v>3935</v>
      </c>
      <c r="M452" s="18">
        <f t="shared" ca="1" si="1214"/>
        <v>7437</v>
      </c>
      <c r="N452" s="19">
        <f t="shared" ca="1" si="1215"/>
        <v>195.30859999999967</v>
      </c>
      <c r="O452" s="16">
        <v>8239</v>
      </c>
      <c r="P452" s="20">
        <f t="shared" ca="1" si="1216"/>
        <v>0.90265808957397742</v>
      </c>
      <c r="Q452" s="21">
        <v>1.5</v>
      </c>
      <c r="R452" s="20">
        <f t="shared" ca="1" si="1217"/>
        <v>0.84618222990010139</v>
      </c>
      <c r="S452" s="22">
        <f t="shared" ca="1" si="1218"/>
        <v>1.2692733448501521</v>
      </c>
      <c r="T452" s="21">
        <f ca="1">F452/28.443</f>
        <v>205.99999999999963</v>
      </c>
      <c r="U452" s="21">
        <f t="shared" ca="1" si="1219"/>
        <v>6.8666666666666547</v>
      </c>
      <c r="V452" s="18">
        <f t="shared" ca="1" si="1220"/>
        <v>247.9</v>
      </c>
      <c r="W452" s="76"/>
      <c r="X452" s="1" t="s">
        <v>2</v>
      </c>
      <c r="Y452" s="1" t="s">
        <v>3</v>
      </c>
      <c r="Z452" s="1" t="s">
        <v>4</v>
      </c>
      <c r="AA452" s="1" t="s">
        <v>5</v>
      </c>
      <c r="AB452" s="2" t="s">
        <v>6</v>
      </c>
      <c r="AC452" s="1" t="s">
        <v>7</v>
      </c>
      <c r="AD452" s="1" t="s">
        <v>8</v>
      </c>
      <c r="AE452" s="1" t="s">
        <v>9</v>
      </c>
      <c r="AF452" s="1" t="s">
        <v>10</v>
      </c>
      <c r="AG452" s="1" t="s">
        <v>11</v>
      </c>
      <c r="AH452" s="1" t="s">
        <v>12</v>
      </c>
      <c r="AI452" s="1" t="s">
        <v>13</v>
      </c>
      <c r="AJ452" s="2" t="s">
        <v>14</v>
      </c>
      <c r="AK452" s="1" t="s">
        <v>15</v>
      </c>
      <c r="AL452" s="1" t="s">
        <v>16</v>
      </c>
      <c r="AM452" s="3" t="s">
        <v>17</v>
      </c>
      <c r="AN452" s="4" t="s">
        <v>18</v>
      </c>
      <c r="AO452" s="5" t="s">
        <v>19</v>
      </c>
      <c r="AP452" s="6" t="s">
        <v>20</v>
      </c>
      <c r="AQ452" s="6" t="s">
        <v>21</v>
      </c>
      <c r="AR452" s="7" t="s">
        <v>22</v>
      </c>
      <c r="AS452" s="76"/>
      <c r="AT452" s="76"/>
    </row>
    <row r="453" spans="1:46" ht="15.75" customHeight="1" x14ac:dyDescent="0.25">
      <c r="A453" s="70"/>
      <c r="B453" s="16">
        <v>16</v>
      </c>
      <c r="C453" s="16" t="s">
        <v>42</v>
      </c>
      <c r="D453" s="17">
        <v>33</v>
      </c>
      <c r="E453" s="18">
        <f ca="1">IFERROR(__xludf.DUMMYFUNCTION("COUNT(IMPORTRANGE(""https://docs.google.com/spreadsheets/d/1Z5uB5HbeAKcHmG4EOw3rf2J8NpyvDiha6RReERAMvA0/edit"",""17!d2:d34""))"),33)</f>
        <v>33</v>
      </c>
      <c r="F453" s="23">
        <f ca="1">IFERROR(__xludf.DUMMYFUNCTION("SUM(IMPORTRANGE(""https://docs.google.com/spreadsheets/d/1Z5uB5HbeAKcHmG4EOw3rf2J8NpyvDiha6RReERAMvA0/edit"",""17!Q2:Q34""))"),6403.36099999999)</f>
        <v>6403.3609999999899</v>
      </c>
      <c r="G453" s="18">
        <f ca="1">IFERROR(__xludf.DUMMYFUNCTION("IMPORTRANGE(""https://docs.google.com/spreadsheets/d/1Z5uB5HbeAKcHmG4EOw3rf2J8NpyvDiha6RReERAMvA0/edit"",""17!e41"")"),3080)</f>
        <v>3080</v>
      </c>
      <c r="H453" s="18">
        <f ca="1">IFERROR(__xludf.DUMMYFUNCTION("IMPORTRANGE(""https://docs.google.com/spreadsheets/d/1Z5uB5HbeAKcHmG4EOw3rf2J8NpyvDiha6RReERAMvA0/edit"",""17!e42"")"),0)</f>
        <v>0</v>
      </c>
      <c r="I453" s="18">
        <f t="shared" ca="1" si="1212"/>
        <v>3080</v>
      </c>
      <c r="J453" s="18">
        <f ca="1">IFERROR(__xludf.DUMMYFUNCTION("IMPORTRANGE(""https://docs.google.com/spreadsheets/d/1Z5uB5HbeAKcHmG4EOw3rf2J8NpyvDiha6RReERAMvA0/edit"",""17!e45"")"),4423)</f>
        <v>4423</v>
      </c>
      <c r="K453" s="18">
        <f ca="1">IFERROR(__xludf.DUMMYFUNCTION("IMPORTRANGE(""https://docs.google.com/spreadsheets/d/1Z5uB5HbeAKcHmG4EOw3rf2J8NpyvDiha6RReERAMvA0/edit"",""17!e46"")"),0)</f>
        <v>0</v>
      </c>
      <c r="L453" s="18">
        <f t="shared" ca="1" si="1242"/>
        <v>4423</v>
      </c>
      <c r="M453" s="18">
        <f t="shared" ca="1" si="1214"/>
        <v>7503</v>
      </c>
      <c r="N453" s="19">
        <f t="shared" ca="1" si="1215"/>
        <v>194.04124242424211</v>
      </c>
      <c r="O453" s="16">
        <v>9877</v>
      </c>
      <c r="P453" s="20">
        <f t="shared" ca="1" si="1216"/>
        <v>0.7596436164827377</v>
      </c>
      <c r="Q453" s="21">
        <v>1.5</v>
      </c>
      <c r="R453" s="20">
        <f t="shared" ca="1" si="1217"/>
        <v>0.78115227300163281</v>
      </c>
      <c r="S453" s="22">
        <f t="shared" ca="1" si="1218"/>
        <v>1.1717284095024492</v>
      </c>
      <c r="T453" s="21">
        <f ca="1">F453/26.155</f>
        <v>244.82359013572892</v>
      </c>
      <c r="U453" s="21">
        <f t="shared" ca="1" si="1219"/>
        <v>7.418896670779664</v>
      </c>
      <c r="V453" s="18">
        <f t="shared" ca="1" si="1220"/>
        <v>227.36363636363637</v>
      </c>
      <c r="W453" s="76"/>
      <c r="X453" s="8">
        <v>1</v>
      </c>
      <c r="Y453" s="8" t="s">
        <v>26</v>
      </c>
      <c r="Z453" s="8">
        <f t="shared" ref="Z453:AI453" si="1254">SUM(D438)</f>
        <v>20</v>
      </c>
      <c r="AA453" s="9">
        <f t="shared" ca="1" si="1254"/>
        <v>20</v>
      </c>
      <c r="AB453" s="11">
        <f t="shared" ca="1" si="1254"/>
        <v>3849.4169999999999</v>
      </c>
      <c r="AC453" s="9">
        <f t="shared" ca="1" si="1254"/>
        <v>1822</v>
      </c>
      <c r="AD453" s="9">
        <f t="shared" ca="1" si="1254"/>
        <v>0</v>
      </c>
      <c r="AE453" s="9">
        <f t="shared" ca="1" si="1254"/>
        <v>1822</v>
      </c>
      <c r="AF453" s="9">
        <f t="shared" ca="1" si="1254"/>
        <v>3153</v>
      </c>
      <c r="AG453" s="9">
        <f t="shared" ca="1" si="1254"/>
        <v>110</v>
      </c>
      <c r="AH453" s="9">
        <f t="shared" ca="1" si="1254"/>
        <v>3263</v>
      </c>
      <c r="AI453" s="9">
        <f t="shared" ca="1" si="1254"/>
        <v>5085</v>
      </c>
      <c r="AJ453" s="11">
        <f t="shared" ref="AJ453:AJ459" ca="1" si="1255">AB453/AA453</f>
        <v>192.47084999999998</v>
      </c>
      <c r="AK453" s="8">
        <f>SUM(O438)</f>
        <v>5161</v>
      </c>
      <c r="AL453" s="12">
        <f t="shared" ref="AL453:AL459" ca="1" si="1256">AI453/AK453</f>
        <v>0.98527417167215658</v>
      </c>
      <c r="AM453" s="13">
        <f>SUM(Q438)</f>
        <v>1.5</v>
      </c>
      <c r="AN453" s="12">
        <f t="shared" ref="AN453:AN459" ca="1" si="1257">AO453/AM453</f>
        <v>0.88065283652043924</v>
      </c>
      <c r="AO453" s="14">
        <f t="shared" ref="AO453:AO459" ca="1" si="1258">AI453/AB453</f>
        <v>1.3209792547806589</v>
      </c>
      <c r="AP453" s="13">
        <f t="shared" ref="AP453:AQ453" ca="1" si="1259">SUM(T438)</f>
        <v>267.04245577523415</v>
      </c>
      <c r="AQ453" s="13">
        <f t="shared" ca="1" si="1259"/>
        <v>13.352122788761708</v>
      </c>
      <c r="AR453" s="9">
        <f t="shared" ref="AR453:AR459" ca="1" si="1260">AI453/AA453</f>
        <v>254.25</v>
      </c>
      <c r="AS453" s="76"/>
      <c r="AT453" s="76"/>
    </row>
    <row r="454" spans="1:46" ht="15.75" customHeight="1" x14ac:dyDescent="0.25">
      <c r="A454" s="70"/>
      <c r="B454" s="16">
        <v>17</v>
      </c>
      <c r="C454" s="16" t="s">
        <v>29</v>
      </c>
      <c r="D454" s="17">
        <v>30</v>
      </c>
      <c r="E454" s="18">
        <f ca="1">IFERROR(__xludf.DUMMYFUNCTION("COUNT(IMPORTRANGE(""https://docs.google.com/spreadsheets/d/1wfJqI0e9wVPqEQv3N6b8KgINjqI0OBECEyIFeY9j3i8/edit"",""17!d2:d31""))"),30)</f>
        <v>30</v>
      </c>
      <c r="F454" s="23">
        <f ca="1">IFERROR(__xludf.DUMMYFUNCTION("SUM(IMPORTRANGE(""https://docs.google.com/spreadsheets/d/1wfJqI0e9wVPqEQv3N6b8KgINjqI0OBECEyIFeY9j3i8/edit"",""17!Q2:Q31""))"),6172.40299999999)</f>
        <v>6172.4029999999902</v>
      </c>
      <c r="G454" s="18">
        <f ca="1">IFERROR(__xludf.DUMMYFUNCTION("IMPORTRANGE(""https://docs.google.com/spreadsheets/d/1wfJqI0e9wVPqEQv3N6b8KgINjqI0OBECEyIFeY9j3i8/edit"",""17!e38"")"),2759)</f>
        <v>2759</v>
      </c>
      <c r="H454" s="18">
        <f ca="1">IFERROR(__xludf.DUMMYFUNCTION("IMPORTRANGE(""https://docs.google.com/spreadsheets/d/1wfJqI0e9wVPqEQv3N6b8KgINjqI0OBECEyIFeY9j3i8/edit"",""17!e39"")"),0)</f>
        <v>0</v>
      </c>
      <c r="I454" s="18">
        <f t="shared" ca="1" si="1212"/>
        <v>2759</v>
      </c>
      <c r="J454" s="18">
        <f ca="1">IFERROR(__xludf.DUMMYFUNCTION("IMPORTRANGE(""https://docs.google.com/spreadsheets/d/1wfJqI0e9wVPqEQv3N6b8KgINjqI0OBECEyIFeY9j3i8/edit"",""17!e42"")"),4453)</f>
        <v>4453</v>
      </c>
      <c r="K454" s="18">
        <f ca="1">IFERROR(__xludf.DUMMYFUNCTION("IMPORTRANGE(""https://docs.google.com/spreadsheets/d/1wfJqI0e9wVPqEQv3N6b8KgINjqI0OBECEyIFeY9j3i8/edit"",""17!e43"")"),0)</f>
        <v>0</v>
      </c>
      <c r="L454" s="18">
        <f t="shared" ca="1" si="1242"/>
        <v>4453</v>
      </c>
      <c r="M454" s="18">
        <f t="shared" ca="1" si="1214"/>
        <v>7212</v>
      </c>
      <c r="N454" s="19">
        <f t="shared" ca="1" si="1215"/>
        <v>205.74676666666633</v>
      </c>
      <c r="O454" s="16">
        <v>9201</v>
      </c>
      <c r="P454" s="20">
        <f t="shared" ca="1" si="1216"/>
        <v>0.78382784479947831</v>
      </c>
      <c r="Q454" s="21">
        <v>1.5</v>
      </c>
      <c r="R454" s="20">
        <f t="shared" ca="1" si="1217"/>
        <v>0.77895108274686653</v>
      </c>
      <c r="S454" s="22">
        <f t="shared" ca="1" si="1218"/>
        <v>1.1684266241202999</v>
      </c>
      <c r="T454" s="21">
        <f ca="1">F454/26.491</f>
        <v>232.99999999999963</v>
      </c>
      <c r="U454" s="21">
        <f t="shared" ca="1" si="1219"/>
        <v>7.7666666666666542</v>
      </c>
      <c r="V454" s="18">
        <f t="shared" ca="1" si="1220"/>
        <v>240.4</v>
      </c>
      <c r="W454" s="76"/>
      <c r="X454" s="8">
        <v>2</v>
      </c>
      <c r="Y454" s="8" t="s">
        <v>32</v>
      </c>
      <c r="Z454" s="8">
        <f t="shared" ref="Z454:AI454" si="1261">SUM(D441)</f>
        <v>42</v>
      </c>
      <c r="AA454" s="9">
        <f t="shared" ca="1" si="1261"/>
        <v>42</v>
      </c>
      <c r="AB454" s="10">
        <f t="shared" ca="1" si="1261"/>
        <v>8267.8999999999905</v>
      </c>
      <c r="AC454" s="8">
        <f t="shared" ca="1" si="1261"/>
        <v>4642</v>
      </c>
      <c r="AD454" s="8">
        <f t="shared" ca="1" si="1261"/>
        <v>0</v>
      </c>
      <c r="AE454" s="9">
        <f t="shared" ca="1" si="1261"/>
        <v>4642</v>
      </c>
      <c r="AF454" s="8">
        <f t="shared" ca="1" si="1261"/>
        <v>5776</v>
      </c>
      <c r="AG454" s="8">
        <f t="shared" ca="1" si="1261"/>
        <v>0</v>
      </c>
      <c r="AH454" s="9">
        <f t="shared" ca="1" si="1261"/>
        <v>5776</v>
      </c>
      <c r="AI454" s="9">
        <f t="shared" ca="1" si="1261"/>
        <v>10418</v>
      </c>
      <c r="AJ454" s="11">
        <f t="shared" ca="1" si="1255"/>
        <v>196.85476190476169</v>
      </c>
      <c r="AK454" s="8">
        <f>SUM(O441)</f>
        <v>13817</v>
      </c>
      <c r="AL454" s="12">
        <f t="shared" ca="1" si="1256"/>
        <v>0.75399869725700219</v>
      </c>
      <c r="AM454" s="13">
        <f>SUM(Q441)</f>
        <v>1.5</v>
      </c>
      <c r="AN454" s="12">
        <f t="shared" ca="1" si="1257"/>
        <v>0.84003596237658185</v>
      </c>
      <c r="AO454" s="14">
        <f t="shared" ca="1" si="1258"/>
        <v>1.2600539435648728</v>
      </c>
      <c r="AP454" s="13">
        <f t="shared" ref="AP454:AQ454" ca="1" si="1262">SUM(T441)</f>
        <v>329.54282753397865</v>
      </c>
      <c r="AQ454" s="13">
        <f t="shared" ca="1" si="1262"/>
        <v>7.8462577984280628</v>
      </c>
      <c r="AR454" s="9">
        <f t="shared" ca="1" si="1260"/>
        <v>248.04761904761904</v>
      </c>
      <c r="AS454" s="76"/>
      <c r="AT454" s="76"/>
    </row>
    <row r="455" spans="1:46" ht="15.75" customHeight="1" x14ac:dyDescent="0.25">
      <c r="A455" s="70"/>
      <c r="B455" s="16">
        <v>18</v>
      </c>
      <c r="C455" s="16" t="s">
        <v>31</v>
      </c>
      <c r="D455" s="17">
        <v>15</v>
      </c>
      <c r="E455" s="18">
        <f ca="1">IFERROR(__xludf.DUMMYFUNCTION("COUNT(IMPORTRANGE(""https://docs.google.com/spreadsheets/d/1-y2KhTAo7d8kowgUuWUDfRQuRMUAFteRYEXorT3_wOs/edit"",""17!d2:d16""))"),14)</f>
        <v>14</v>
      </c>
      <c r="F455" s="19">
        <f ca="1">IFERROR(__xludf.DUMMYFUNCTION("SUM(IMPORTRANGE(""https://docs.google.com/spreadsheets/d/1-y2KhTAo7d8kowgUuWUDfRQuRMUAFteRYEXorT3_wOs/edit"",""17!Q2:Q16""))"),2738.29499999999)</f>
        <v>2738.2949999999901</v>
      </c>
      <c r="G455" s="18">
        <f ca="1">IFERROR(__xludf.DUMMYFUNCTION("IMPORTRANGE(""https://docs.google.com/spreadsheets/d/1-y2KhTAo7d8kowgUuWUDfRQuRMUAFteRYEXorT3_wOs/edit"",""17!e23"")"),897)</f>
        <v>897</v>
      </c>
      <c r="H455" s="18">
        <f ca="1">IFERROR(__xludf.DUMMYFUNCTION("IMPORTRANGE(""https://docs.google.com/spreadsheets/d/1-y2KhTAo7d8kowgUuWUDfRQuRMUAFteRYEXorT3_wOs/edit"",""17!e24"")"),23)</f>
        <v>23</v>
      </c>
      <c r="I455" s="18">
        <f t="shared" ca="1" si="1212"/>
        <v>920</v>
      </c>
      <c r="J455" s="18">
        <f ca="1">IFERROR(__xludf.DUMMYFUNCTION("IMPORTRANGE(""https://docs.google.com/spreadsheets/d/1-y2KhTAo7d8kowgUuWUDfRQuRMUAFteRYEXorT3_wOs/edit"",""17!e27"")"),875)</f>
        <v>875</v>
      </c>
      <c r="K455" s="18">
        <f ca="1">IFERROR(__xludf.DUMMYFUNCTION("IMPORTRANGE(""https://docs.google.com/spreadsheets/d/1-y2KhTAo7d8kowgUuWUDfRQuRMUAFteRYEXorT3_wOs/edit"",""17!e28"")"),1858)</f>
        <v>1858</v>
      </c>
      <c r="L455" s="18">
        <f t="shared" ca="1" si="1242"/>
        <v>2733</v>
      </c>
      <c r="M455" s="18">
        <f t="shared" ca="1" si="1214"/>
        <v>3653</v>
      </c>
      <c r="N455" s="19">
        <f t="shared" ca="1" si="1215"/>
        <v>195.59249999999929</v>
      </c>
      <c r="O455" s="16">
        <v>2717</v>
      </c>
      <c r="P455" s="20">
        <f t="shared" ca="1" si="1216"/>
        <v>1.3444976076555024</v>
      </c>
      <c r="Q455" s="21">
        <v>1.5</v>
      </c>
      <c r="R455" s="20">
        <f t="shared" ca="1" si="1217"/>
        <v>0.88936120225663862</v>
      </c>
      <c r="S455" s="22">
        <f t="shared" ca="1" si="1218"/>
        <v>1.3340418033849579</v>
      </c>
      <c r="T455" s="21">
        <f ca="1">F455/43.465</f>
        <v>62.999999999999766</v>
      </c>
      <c r="U455" s="21">
        <f t="shared" ca="1" si="1219"/>
        <v>4.4999999999999831</v>
      </c>
      <c r="V455" s="18">
        <f t="shared" ca="1" si="1220"/>
        <v>260.92857142857144</v>
      </c>
      <c r="W455" s="76"/>
      <c r="X455" s="8">
        <v>3</v>
      </c>
      <c r="Y455" s="8" t="s">
        <v>36</v>
      </c>
      <c r="Z455" s="8">
        <f t="shared" ref="Z455:AI455" si="1263">SUM(D446)</f>
        <v>30</v>
      </c>
      <c r="AA455" s="9">
        <f t="shared" ca="1" si="1263"/>
        <v>30</v>
      </c>
      <c r="AB455" s="10">
        <f t="shared" ca="1" si="1263"/>
        <v>5940.8459999999905</v>
      </c>
      <c r="AC455" s="9">
        <f t="shared" ca="1" si="1263"/>
        <v>1551</v>
      </c>
      <c r="AD455" s="9">
        <f t="shared" ca="1" si="1263"/>
        <v>0</v>
      </c>
      <c r="AE455" s="9">
        <f t="shared" ca="1" si="1263"/>
        <v>1551</v>
      </c>
      <c r="AF455" s="9">
        <f t="shared" ca="1" si="1263"/>
        <v>2638</v>
      </c>
      <c r="AG455" s="9">
        <f t="shared" ca="1" si="1263"/>
        <v>0</v>
      </c>
      <c r="AH455" s="9">
        <f t="shared" ca="1" si="1263"/>
        <v>2638</v>
      </c>
      <c r="AI455" s="9">
        <f t="shared" ca="1" si="1263"/>
        <v>4189</v>
      </c>
      <c r="AJ455" s="11">
        <f t="shared" ca="1" si="1255"/>
        <v>198.02819999999969</v>
      </c>
      <c r="AK455" s="8">
        <f t="shared" ref="AK455:AK458" si="1264">SUM(O446)</f>
        <v>4796</v>
      </c>
      <c r="AL455" s="12">
        <f t="shared" ca="1" si="1256"/>
        <v>0.87343619683069229</v>
      </c>
      <c r="AM455" s="13">
        <f t="shared" ref="AM455:AM458" si="1265">SUM(Q446)</f>
        <v>1.5</v>
      </c>
      <c r="AN455" s="12">
        <f t="shared" ca="1" si="1257"/>
        <v>0.47007895284049966</v>
      </c>
      <c r="AO455" s="14">
        <f t="shared" ca="1" si="1258"/>
        <v>0.70511842926074952</v>
      </c>
      <c r="AP455" s="13">
        <f t="shared" ref="AP455:AQ455" ca="1" si="1266">SUM(T446)</f>
        <v>158.78671085689822</v>
      </c>
      <c r="AQ455" s="13">
        <f t="shared" ca="1" si="1266"/>
        <v>5.2928903618966077</v>
      </c>
      <c r="AR455" s="9">
        <f t="shared" ca="1" si="1260"/>
        <v>139.63333333333333</v>
      </c>
      <c r="AS455" s="76"/>
      <c r="AT455" s="76"/>
    </row>
    <row r="456" spans="1:46" ht="15.75" customHeight="1" x14ac:dyDescent="0.2">
      <c r="A456" s="70"/>
      <c r="B456" s="98" t="s">
        <v>33</v>
      </c>
      <c r="C456" s="98">
        <v>18</v>
      </c>
      <c r="D456" s="98">
        <f t="shared" ref="D456:M456" si="1267">SUM(D438:D455)</f>
        <v>586</v>
      </c>
      <c r="E456" s="74">
        <f t="shared" ca="1" si="1267"/>
        <v>579</v>
      </c>
      <c r="F456" s="99">
        <f t="shared" ca="1" si="1267"/>
        <v>112867.24799999991</v>
      </c>
      <c r="G456" s="74">
        <f t="shared" ca="1" si="1267"/>
        <v>41931</v>
      </c>
      <c r="H456" s="74">
        <f t="shared" ca="1" si="1267"/>
        <v>788</v>
      </c>
      <c r="I456" s="74">
        <f t="shared" ca="1" si="1267"/>
        <v>42719</v>
      </c>
      <c r="J456" s="74">
        <f t="shared" ca="1" si="1267"/>
        <v>58103</v>
      </c>
      <c r="K456" s="74">
        <f t="shared" ca="1" si="1267"/>
        <v>2794</v>
      </c>
      <c r="L456" s="74">
        <f t="shared" ca="1" si="1267"/>
        <v>60897</v>
      </c>
      <c r="M456" s="74">
        <f t="shared" ca="1" si="1267"/>
        <v>103616</v>
      </c>
      <c r="N456" s="99">
        <f t="shared" ca="1" si="1215"/>
        <v>194.93479792746098</v>
      </c>
      <c r="O456" s="98">
        <f>SUM(O438:O455)</f>
        <v>126399</v>
      </c>
      <c r="P456" s="69">
        <f t="shared" ca="1" si="1216"/>
        <v>0.81975332083323449</v>
      </c>
      <c r="Q456" s="72">
        <v>1.5</v>
      </c>
      <c r="R456" s="69">
        <f t="shared" ca="1" si="1217"/>
        <v>0.61202283707079841</v>
      </c>
      <c r="S456" s="73">
        <f t="shared" ca="1" si="1218"/>
        <v>0.91803425560619756</v>
      </c>
      <c r="T456" s="72">
        <f ca="1">SUM(T438:T455)</f>
        <v>4153.6022980744792</v>
      </c>
      <c r="U456" s="72">
        <f t="shared" ca="1" si="1219"/>
        <v>7.1737518101459052</v>
      </c>
      <c r="V456" s="74">
        <f t="shared" ca="1" si="1220"/>
        <v>178.95682210708117</v>
      </c>
      <c r="W456" s="76"/>
      <c r="X456" s="8">
        <v>4</v>
      </c>
      <c r="Y456" s="8" t="s">
        <v>37</v>
      </c>
      <c r="Z456" s="8">
        <f t="shared" ref="Z456:AI456" si="1268">SUM(D447)</f>
        <v>30</v>
      </c>
      <c r="AA456" s="9">
        <f t="shared" ca="1" si="1268"/>
        <v>30</v>
      </c>
      <c r="AB456" s="10">
        <f t="shared" ca="1" si="1268"/>
        <v>5960.94</v>
      </c>
      <c r="AC456" s="9">
        <f t="shared" ca="1" si="1268"/>
        <v>2324</v>
      </c>
      <c r="AD456" s="9">
        <f t="shared" ca="1" si="1268"/>
        <v>0</v>
      </c>
      <c r="AE456" s="9">
        <f t="shared" ca="1" si="1268"/>
        <v>2324</v>
      </c>
      <c r="AF456" s="9">
        <f t="shared" ca="1" si="1268"/>
        <v>3269</v>
      </c>
      <c r="AG456" s="9">
        <f t="shared" ca="1" si="1268"/>
        <v>0</v>
      </c>
      <c r="AH456" s="9">
        <f t="shared" ca="1" si="1268"/>
        <v>3269</v>
      </c>
      <c r="AI456" s="9">
        <f t="shared" ca="1" si="1268"/>
        <v>5593</v>
      </c>
      <c r="AJ456" s="11">
        <f t="shared" ca="1" si="1255"/>
        <v>198.69799999999998</v>
      </c>
      <c r="AK456" s="8">
        <f t="shared" si="1264"/>
        <v>5887</v>
      </c>
      <c r="AL456" s="12">
        <f t="shared" ca="1" si="1256"/>
        <v>0.95005945303210459</v>
      </c>
      <c r="AM456" s="13">
        <f t="shared" si="1265"/>
        <v>1.5</v>
      </c>
      <c r="AN456" s="12">
        <f t="shared" ca="1" si="1257"/>
        <v>0.62551655723202504</v>
      </c>
      <c r="AO456" s="14">
        <f t="shared" ca="1" si="1258"/>
        <v>0.9382748358480375</v>
      </c>
      <c r="AP456" s="13">
        <f t="shared" ref="AP456:AQ456" ca="1" si="1269">SUM(T447)</f>
        <v>240.43804453049367</v>
      </c>
      <c r="AQ456" s="13">
        <f t="shared" ca="1" si="1269"/>
        <v>8.0146014843497895</v>
      </c>
      <c r="AR456" s="9">
        <f t="shared" ca="1" si="1260"/>
        <v>186.43333333333334</v>
      </c>
      <c r="AS456" s="76"/>
      <c r="AT456" s="76"/>
    </row>
    <row r="457" spans="1:46" ht="15.75" customHeight="1" x14ac:dyDescent="0.2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6"/>
      <c r="X457" s="8">
        <v>5</v>
      </c>
      <c r="Y457" s="8" t="s">
        <v>39</v>
      </c>
      <c r="Z457" s="8">
        <f t="shared" ref="Z457:AI457" si="1270">SUM(D448)</f>
        <v>28</v>
      </c>
      <c r="AA457" s="9">
        <f t="shared" ca="1" si="1270"/>
        <v>27</v>
      </c>
      <c r="AB457" s="10">
        <f t="shared" ca="1" si="1270"/>
        <v>5361.3850000000002</v>
      </c>
      <c r="AC457" s="9">
        <f t="shared" ca="1" si="1270"/>
        <v>1285</v>
      </c>
      <c r="AD457" s="9">
        <f t="shared" ca="1" si="1270"/>
        <v>0</v>
      </c>
      <c r="AE457" s="9">
        <f t="shared" ca="1" si="1270"/>
        <v>1285</v>
      </c>
      <c r="AF457" s="9">
        <f t="shared" ca="1" si="1270"/>
        <v>1994</v>
      </c>
      <c r="AG457" s="9">
        <f t="shared" ca="1" si="1270"/>
        <v>0</v>
      </c>
      <c r="AH457" s="9">
        <f t="shared" ca="1" si="1270"/>
        <v>1994</v>
      </c>
      <c r="AI457" s="9">
        <f t="shared" ca="1" si="1270"/>
        <v>3279</v>
      </c>
      <c r="AJ457" s="11">
        <f t="shared" ca="1" si="1255"/>
        <v>198.56981481481483</v>
      </c>
      <c r="AK457" s="8">
        <f t="shared" si="1264"/>
        <v>3569</v>
      </c>
      <c r="AL457" s="12">
        <f t="shared" ca="1" si="1256"/>
        <v>0.91874474642757076</v>
      </c>
      <c r="AM457" s="13">
        <f t="shared" si="1265"/>
        <v>1.5</v>
      </c>
      <c r="AN457" s="12">
        <f t="shared" ca="1" si="1257"/>
        <v>0.40773046516898148</v>
      </c>
      <c r="AO457" s="14">
        <f t="shared" ca="1" si="1258"/>
        <v>0.61159569775347222</v>
      </c>
      <c r="AP457" s="13">
        <f t="shared" ref="AP457:AQ457" ca="1" si="1271">SUM(T448)</f>
        <v>249.79662675301682</v>
      </c>
      <c r="AQ457" s="13">
        <f t="shared" ca="1" si="1271"/>
        <v>9.2517269167784004</v>
      </c>
      <c r="AR457" s="9">
        <f t="shared" ca="1" si="1260"/>
        <v>121.44444444444444</v>
      </c>
      <c r="AS457" s="76"/>
      <c r="AT457" s="76"/>
    </row>
    <row r="458" spans="1:46" ht="15.75" customHeight="1" x14ac:dyDescent="0.2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6"/>
      <c r="X458" s="8">
        <v>6</v>
      </c>
      <c r="Y458" s="8" t="s">
        <v>41</v>
      </c>
      <c r="Z458" s="8">
        <f t="shared" ref="Z458:AI458" si="1272">SUM(D449)</f>
        <v>24</v>
      </c>
      <c r="AA458" s="9">
        <f t="shared" ca="1" si="1272"/>
        <v>24</v>
      </c>
      <c r="AB458" s="10">
        <f t="shared" ca="1" si="1272"/>
        <v>4793.152</v>
      </c>
      <c r="AC458" s="9">
        <f t="shared" ca="1" si="1272"/>
        <v>1291</v>
      </c>
      <c r="AD458" s="9">
        <f t="shared" ca="1" si="1272"/>
        <v>0</v>
      </c>
      <c r="AE458" s="9">
        <f t="shared" ca="1" si="1272"/>
        <v>1291</v>
      </c>
      <c r="AF458" s="9">
        <f t="shared" ca="1" si="1272"/>
        <v>1812</v>
      </c>
      <c r="AG458" s="9">
        <f t="shared" ca="1" si="1272"/>
        <v>0</v>
      </c>
      <c r="AH458" s="9">
        <f t="shared" ca="1" si="1272"/>
        <v>1812</v>
      </c>
      <c r="AI458" s="9">
        <f t="shared" ca="1" si="1272"/>
        <v>3103</v>
      </c>
      <c r="AJ458" s="11">
        <f t="shared" ca="1" si="1255"/>
        <v>199.71466666666666</v>
      </c>
      <c r="AK458" s="8">
        <f t="shared" si="1264"/>
        <v>3801</v>
      </c>
      <c r="AL458" s="12">
        <f t="shared" ca="1" si="1256"/>
        <v>0.81636411470665615</v>
      </c>
      <c r="AM458" s="13">
        <f t="shared" si="1265"/>
        <v>1.5</v>
      </c>
      <c r="AN458" s="12">
        <f t="shared" ca="1" si="1257"/>
        <v>0.43158795437045744</v>
      </c>
      <c r="AO458" s="14">
        <f t="shared" ca="1" si="1258"/>
        <v>0.64738193155568613</v>
      </c>
      <c r="AP458" s="13">
        <f t="shared" ref="AP458:AQ458" ca="1" si="1273">SUM(T449)</f>
        <v>161.77777777777777</v>
      </c>
      <c r="AQ458" s="13">
        <f t="shared" ca="1" si="1273"/>
        <v>6.7407407407407405</v>
      </c>
      <c r="AR458" s="9">
        <f t="shared" ca="1" si="1260"/>
        <v>129.29166666666666</v>
      </c>
      <c r="AS458" s="76"/>
      <c r="AT458" s="76"/>
    </row>
    <row r="459" spans="1:46" ht="15.75" customHeight="1" x14ac:dyDescent="0.25">
      <c r="A459" s="110" t="s">
        <v>45</v>
      </c>
      <c r="B459" s="76"/>
      <c r="C459" s="76"/>
      <c r="D459" s="75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24" t="s">
        <v>33</v>
      </c>
      <c r="Y459" s="24">
        <v>6</v>
      </c>
      <c r="Z459" s="24">
        <f t="shared" ref="Z459:AI459" si="1274">SUM(Z453:Z458)</f>
        <v>174</v>
      </c>
      <c r="AA459" s="25">
        <f t="shared" ca="1" si="1274"/>
        <v>173</v>
      </c>
      <c r="AB459" s="27">
        <f t="shared" ca="1" si="1274"/>
        <v>34173.639999999978</v>
      </c>
      <c r="AC459" s="25">
        <f t="shared" ca="1" si="1274"/>
        <v>12915</v>
      </c>
      <c r="AD459" s="25">
        <f t="shared" ca="1" si="1274"/>
        <v>0</v>
      </c>
      <c r="AE459" s="25">
        <f t="shared" ca="1" si="1274"/>
        <v>12915</v>
      </c>
      <c r="AF459" s="25">
        <f t="shared" ca="1" si="1274"/>
        <v>18642</v>
      </c>
      <c r="AG459" s="25">
        <f t="shared" ca="1" si="1274"/>
        <v>110</v>
      </c>
      <c r="AH459" s="25">
        <f t="shared" ca="1" si="1274"/>
        <v>18752</v>
      </c>
      <c r="AI459" s="25">
        <f t="shared" ca="1" si="1274"/>
        <v>31667</v>
      </c>
      <c r="AJ459" s="27">
        <f t="shared" ca="1" si="1255"/>
        <v>197.53549132947964</v>
      </c>
      <c r="AK459" s="24">
        <f>SUM(AK453:AK458)</f>
        <v>37031</v>
      </c>
      <c r="AL459" s="28">
        <f t="shared" ca="1" si="1256"/>
        <v>0.85514838918743752</v>
      </c>
      <c r="AM459" s="29">
        <v>1.5</v>
      </c>
      <c r="AN459" s="28">
        <f t="shared" ca="1" si="1257"/>
        <v>0.61776659827087033</v>
      </c>
      <c r="AO459" s="30">
        <f t="shared" ca="1" si="1258"/>
        <v>0.92664989740630554</v>
      </c>
      <c r="AP459" s="29">
        <f ca="1">SUM(AP453:AP458)</f>
        <v>1407.3844432273995</v>
      </c>
      <c r="AQ459" s="29">
        <f ca="1">AP459/AA459</f>
        <v>8.1351701920658925</v>
      </c>
      <c r="AR459" s="25">
        <f t="shared" ca="1" si="1260"/>
        <v>183.04624277456648</v>
      </c>
      <c r="AS459" s="76"/>
      <c r="AT459" s="76"/>
    </row>
    <row r="460" spans="1:46" ht="15.75" customHeight="1" x14ac:dyDescent="0.2">
      <c r="A460" s="110" t="s">
        <v>45</v>
      </c>
      <c r="B460" s="76"/>
      <c r="C460" s="76"/>
      <c r="D460" s="75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7" t="s">
        <v>1</v>
      </c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9"/>
      <c r="AS460" s="76"/>
      <c r="AT460" s="76"/>
    </row>
    <row r="461" spans="1:46" ht="15.75" customHeight="1" x14ac:dyDescent="0.2">
      <c r="A461" s="109">
        <v>46283</v>
      </c>
      <c r="B461" s="80" t="s">
        <v>2</v>
      </c>
      <c r="C461" s="80" t="s">
        <v>3</v>
      </c>
      <c r="D461" s="80" t="s">
        <v>4</v>
      </c>
      <c r="E461" s="80" t="s">
        <v>5</v>
      </c>
      <c r="F461" s="81" t="s">
        <v>6</v>
      </c>
      <c r="G461" s="80" t="s">
        <v>7</v>
      </c>
      <c r="H461" s="80" t="s">
        <v>8</v>
      </c>
      <c r="I461" s="80" t="s">
        <v>9</v>
      </c>
      <c r="J461" s="80" t="s">
        <v>10</v>
      </c>
      <c r="K461" s="80" t="s">
        <v>11</v>
      </c>
      <c r="L461" s="80" t="s">
        <v>12</v>
      </c>
      <c r="M461" s="80" t="s">
        <v>13</v>
      </c>
      <c r="N461" s="81" t="s">
        <v>14</v>
      </c>
      <c r="O461" s="80" t="s">
        <v>15</v>
      </c>
      <c r="P461" s="80" t="s">
        <v>16</v>
      </c>
      <c r="Q461" s="80" t="s">
        <v>17</v>
      </c>
      <c r="R461" s="80" t="s">
        <v>18</v>
      </c>
      <c r="S461" s="106" t="s">
        <v>19</v>
      </c>
      <c r="T461" s="107" t="s">
        <v>20</v>
      </c>
      <c r="U461" s="107" t="s">
        <v>21</v>
      </c>
      <c r="V461" s="105" t="s">
        <v>22</v>
      </c>
      <c r="W461" s="76"/>
      <c r="X461" s="1" t="s">
        <v>2</v>
      </c>
      <c r="Y461" s="1" t="s">
        <v>3</v>
      </c>
      <c r="Z461" s="1" t="s">
        <v>4</v>
      </c>
      <c r="AA461" s="1" t="s">
        <v>5</v>
      </c>
      <c r="AB461" s="2" t="s">
        <v>6</v>
      </c>
      <c r="AC461" s="1" t="s">
        <v>7</v>
      </c>
      <c r="AD461" s="1" t="s">
        <v>8</v>
      </c>
      <c r="AE461" s="1" t="s">
        <v>9</v>
      </c>
      <c r="AF461" s="1" t="s">
        <v>10</v>
      </c>
      <c r="AG461" s="1" t="s">
        <v>11</v>
      </c>
      <c r="AH461" s="1" t="s">
        <v>12</v>
      </c>
      <c r="AI461" s="1" t="s">
        <v>13</v>
      </c>
      <c r="AJ461" s="2" t="s">
        <v>14</v>
      </c>
      <c r="AK461" s="1" t="s">
        <v>15</v>
      </c>
      <c r="AL461" s="1" t="s">
        <v>16</v>
      </c>
      <c r="AM461" s="3" t="s">
        <v>17</v>
      </c>
      <c r="AN461" s="4" t="s">
        <v>18</v>
      </c>
      <c r="AO461" s="5" t="s">
        <v>19</v>
      </c>
      <c r="AP461" s="6" t="s">
        <v>20</v>
      </c>
      <c r="AQ461" s="6" t="s">
        <v>21</v>
      </c>
      <c r="AR461" s="7" t="s">
        <v>22</v>
      </c>
      <c r="AS461" s="76"/>
      <c r="AT461" s="76"/>
    </row>
    <row r="462" spans="1:46" ht="15.75" customHeight="1" x14ac:dyDescent="0.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6"/>
      <c r="X462" s="8">
        <v>1</v>
      </c>
      <c r="Y462" s="8" t="s">
        <v>23</v>
      </c>
      <c r="Z462" s="8">
        <f t="shared" ref="Z462:AI462" si="1275">SUM(D470)</f>
        <v>35</v>
      </c>
      <c r="AA462" s="9">
        <f t="shared" ca="1" si="1275"/>
        <v>34</v>
      </c>
      <c r="AB462" s="10">
        <f t="shared" ca="1" si="1275"/>
        <v>6309.3799999999901</v>
      </c>
      <c r="AC462" s="9">
        <f t="shared" ca="1" si="1275"/>
        <v>1632</v>
      </c>
      <c r="AD462" s="9">
        <f t="shared" ca="1" si="1275"/>
        <v>52</v>
      </c>
      <c r="AE462" s="9">
        <f t="shared" ca="1" si="1275"/>
        <v>1684</v>
      </c>
      <c r="AF462" s="9">
        <f t="shared" ca="1" si="1275"/>
        <v>3494</v>
      </c>
      <c r="AG462" s="9">
        <f t="shared" ca="1" si="1275"/>
        <v>87</v>
      </c>
      <c r="AH462" s="9">
        <f t="shared" ca="1" si="1275"/>
        <v>3581</v>
      </c>
      <c r="AI462" s="9">
        <f t="shared" ca="1" si="1275"/>
        <v>5265</v>
      </c>
      <c r="AJ462" s="11">
        <f t="shared" ref="AJ462:AJ464" ca="1" si="1276">AB462/AA462</f>
        <v>185.56999999999971</v>
      </c>
      <c r="AK462" s="8">
        <f>SUM(O470)</f>
        <v>6853</v>
      </c>
      <c r="AL462" s="12">
        <f t="shared" ref="AL462:AL468" ca="1" si="1277">AI462/AK462</f>
        <v>0.76827666715307164</v>
      </c>
      <c r="AM462" s="13">
        <f t="shared" ref="AM462:AM464" si="1278">SUM(Q470)</f>
        <v>1.5</v>
      </c>
      <c r="AN462" s="12">
        <f t="shared" ref="AN462:AN468" ca="1" si="1279">AO462/AM462</f>
        <v>0.55631456656597089</v>
      </c>
      <c r="AO462" s="14">
        <f t="shared" ref="AO462:AO468" ca="1" si="1280">AI462/AB462</f>
        <v>0.83447184984895639</v>
      </c>
      <c r="AP462" s="13">
        <f t="shared" ref="AP462:AQ462" ca="1" si="1281">SUM(T470)</f>
        <v>186.99999999999969</v>
      </c>
      <c r="AQ462" s="13">
        <f t="shared" ca="1" si="1281"/>
        <v>5.4999999999999911</v>
      </c>
      <c r="AR462" s="9">
        <f t="shared" ref="AR462:AR468" ca="1" si="1282">AI462/AA462</f>
        <v>154.85294117647058</v>
      </c>
      <c r="AS462" s="76"/>
      <c r="AT462" s="76"/>
    </row>
    <row r="463" spans="1:46" ht="15.75" customHeight="1" x14ac:dyDescent="0.2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6"/>
      <c r="X463" s="8">
        <v>2</v>
      </c>
      <c r="Y463" s="8" t="s">
        <v>24</v>
      </c>
      <c r="Z463" s="8">
        <f t="shared" ref="Z463:AI463" si="1283">SUM(D471)</f>
        <v>44</v>
      </c>
      <c r="AA463" s="9">
        <f t="shared" ca="1" si="1283"/>
        <v>44</v>
      </c>
      <c r="AB463" s="10">
        <f t="shared" ca="1" si="1283"/>
        <v>8805.9679999999898</v>
      </c>
      <c r="AC463" s="9">
        <f t="shared" ca="1" si="1283"/>
        <v>1266</v>
      </c>
      <c r="AD463" s="9">
        <f t="shared" ca="1" si="1283"/>
        <v>0</v>
      </c>
      <c r="AE463" s="9">
        <f t="shared" ca="1" si="1283"/>
        <v>1266</v>
      </c>
      <c r="AF463" s="9">
        <f t="shared" ca="1" si="1283"/>
        <v>1408</v>
      </c>
      <c r="AG463" s="9">
        <f t="shared" ca="1" si="1283"/>
        <v>0</v>
      </c>
      <c r="AH463" s="9">
        <f t="shared" ca="1" si="1283"/>
        <v>1408</v>
      </c>
      <c r="AI463" s="9">
        <f t="shared" ca="1" si="1283"/>
        <v>2674</v>
      </c>
      <c r="AJ463" s="11">
        <f t="shared" ca="1" si="1276"/>
        <v>200.13563636363614</v>
      </c>
      <c r="AK463" s="8">
        <v>1580</v>
      </c>
      <c r="AL463" s="15">
        <f t="shared" ca="1" si="1277"/>
        <v>1.6924050632911392</v>
      </c>
      <c r="AM463" s="13">
        <f t="shared" si="1278"/>
        <v>1.5</v>
      </c>
      <c r="AN463" s="12">
        <f t="shared" ca="1" si="1279"/>
        <v>0.202438467487807</v>
      </c>
      <c r="AO463" s="14">
        <f t="shared" ca="1" si="1280"/>
        <v>0.30365770123171049</v>
      </c>
      <c r="AP463" s="13">
        <f t="shared" ref="AP463:AQ463" ca="1" si="1284">SUM(T471)</f>
        <v>328.51960455138931</v>
      </c>
      <c r="AQ463" s="13">
        <f t="shared" ca="1" si="1284"/>
        <v>7.4663546488952113</v>
      </c>
      <c r="AR463" s="9">
        <f t="shared" ca="1" si="1282"/>
        <v>60.772727272727273</v>
      </c>
      <c r="AS463" s="76"/>
      <c r="AT463" s="76"/>
    </row>
    <row r="464" spans="1:46" ht="15.75" customHeight="1" x14ac:dyDescent="0.2">
      <c r="A464" s="70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6"/>
      <c r="X464" s="8">
        <v>3</v>
      </c>
      <c r="Y464" s="8" t="s">
        <v>25</v>
      </c>
      <c r="Z464" s="8">
        <f t="shared" ref="Z464:AI464" si="1285">SUM(D472)</f>
        <v>32</v>
      </c>
      <c r="AA464" s="9">
        <f t="shared" ca="1" si="1285"/>
        <v>32</v>
      </c>
      <c r="AB464" s="10">
        <f t="shared" ca="1" si="1285"/>
        <v>5639.0439999999999</v>
      </c>
      <c r="AC464" s="9">
        <f t="shared" ca="1" si="1285"/>
        <v>2113</v>
      </c>
      <c r="AD464" s="9">
        <f t="shared" ca="1" si="1285"/>
        <v>439</v>
      </c>
      <c r="AE464" s="9">
        <f t="shared" ca="1" si="1285"/>
        <v>2552</v>
      </c>
      <c r="AF464" s="9">
        <f t="shared" ca="1" si="1285"/>
        <v>3262</v>
      </c>
      <c r="AG464" s="9">
        <f t="shared" ca="1" si="1285"/>
        <v>451</v>
      </c>
      <c r="AH464" s="9">
        <f t="shared" ca="1" si="1285"/>
        <v>3713</v>
      </c>
      <c r="AI464" s="9">
        <f t="shared" ca="1" si="1285"/>
        <v>6265</v>
      </c>
      <c r="AJ464" s="11">
        <f t="shared" ca="1" si="1276"/>
        <v>176.220125</v>
      </c>
      <c r="AK464" s="8">
        <f>SUM(O472)</f>
        <v>6622</v>
      </c>
      <c r="AL464" s="12">
        <f t="shared" ca="1" si="1277"/>
        <v>0.94608879492600417</v>
      </c>
      <c r="AM464" s="13">
        <f t="shared" si="1278"/>
        <v>1.5</v>
      </c>
      <c r="AN464" s="12">
        <f t="shared" ca="1" si="1279"/>
        <v>0.74066928129425247</v>
      </c>
      <c r="AO464" s="14">
        <f t="shared" ca="1" si="1280"/>
        <v>1.1110039219413788</v>
      </c>
      <c r="AP464" s="13">
        <f t="shared" ref="AP464:AQ464" ca="1" si="1286">SUM(T472)</f>
        <v>236.53708053691275</v>
      </c>
      <c r="AQ464" s="13">
        <f t="shared" ca="1" si="1286"/>
        <v>7.3917837667785236</v>
      </c>
      <c r="AR464" s="9">
        <f t="shared" ca="1" si="1282"/>
        <v>195.78125</v>
      </c>
      <c r="AS464" s="76"/>
      <c r="AT464" s="76"/>
    </row>
    <row r="465" spans="1:46" ht="15.75" customHeight="1" x14ac:dyDescent="0.25">
      <c r="A465" s="70"/>
      <c r="B465" s="16">
        <v>1</v>
      </c>
      <c r="C465" s="16" t="s">
        <v>26</v>
      </c>
      <c r="D465" s="17">
        <v>20</v>
      </c>
      <c r="E465" s="18">
        <f ca="1">IFERROR(__xludf.DUMMYFUNCTION("COUNT(IMPORTRANGE(""https://docs.google.com/spreadsheets/d/1F0NpMx7WhcgPgxTWpryY3Z1CGg56FL6aiL4mHs43w4E/edit"",""18!d2:d21""))"),20)</f>
        <v>20</v>
      </c>
      <c r="F465" s="19">
        <f ca="1">IFERROR(__xludf.DUMMYFUNCTION("SUM(IMPORTRANGE(""https://docs.google.com/spreadsheets/d/1F0NpMx7WhcgPgxTWpryY3Z1CGg56FL6aiL4mHs43w4E/edit"",""18!Q2:Q21""))"),3935.907)</f>
        <v>3935.9070000000002</v>
      </c>
      <c r="G465" s="18">
        <f ca="1">IFERROR(__xludf.DUMMYFUNCTION("IMPORTRANGE(""https://docs.google.com/spreadsheets/d/1F0NpMx7WhcgPgxTWpryY3Z1CGg56FL6aiL4mHs43w4E/edit"",""18!e28"")"),1653)</f>
        <v>1653</v>
      </c>
      <c r="H465" s="18">
        <f ca="1">IFERROR(__xludf.DUMMYFUNCTION("IMPORTRANGE(""https://docs.google.com/spreadsheets/d/1F0NpMx7WhcgPgxTWpryY3Z1CGg56FL6aiL4mHs43w4E/edit"",""18!e29"")"),0)</f>
        <v>0</v>
      </c>
      <c r="I465" s="18">
        <f t="shared" ref="I465:I482" ca="1" si="1287">SUM(G465:H465)</f>
        <v>1653</v>
      </c>
      <c r="J465" s="18">
        <f ca="1">IFERROR(__xludf.DUMMYFUNCTION("IMPORTRANGE(""https://docs.google.com/spreadsheets/d/1F0NpMx7WhcgPgxTWpryY3Z1CGg56FL6aiL4mHs43w4E/edit"",""18!e32"")"),3151)</f>
        <v>3151</v>
      </c>
      <c r="K465" s="18">
        <f ca="1">IFERROR(__xludf.DUMMYFUNCTION("IMPORTRANGE(""https://docs.google.com/spreadsheets/d/1F0NpMx7WhcgPgxTWpryY3Z1CGg56FL6aiL4mHs43w4E/edit"",""18!e33"")"),0)</f>
        <v>0</v>
      </c>
      <c r="L465" s="18">
        <f t="shared" ref="L465:L471" ca="1" si="1288">SUM(J465:K465)</f>
        <v>3151</v>
      </c>
      <c r="M465" s="18">
        <f t="shared" ref="M465:M482" ca="1" si="1289">SUM(I465+L465)</f>
        <v>4804</v>
      </c>
      <c r="N465" s="19">
        <f t="shared" ref="N465:N483" ca="1" si="1290">F465/E465</f>
        <v>196.79535000000001</v>
      </c>
      <c r="O465" s="16">
        <v>5161</v>
      </c>
      <c r="P465" s="20">
        <f t="shared" ref="P465:P483" ca="1" si="1291">M465/O465</f>
        <v>0.93082735903894598</v>
      </c>
      <c r="Q465" s="21">
        <v>1.5</v>
      </c>
      <c r="R465" s="20">
        <f t="shared" ref="R465:R483" ca="1" si="1292">S465/Q465</f>
        <v>0.81370486311456702</v>
      </c>
      <c r="S465" s="22">
        <f t="shared" ref="S465:S483" ca="1" si="1293">M465/F465</f>
        <v>1.2205572946718506</v>
      </c>
      <c r="T465" s="21">
        <f ca="1">F465/14.415</f>
        <v>273.04245577523415</v>
      </c>
      <c r="U465" s="21">
        <f t="shared" ref="U465:U483" ca="1" si="1294">T465/E465</f>
        <v>13.652122788761707</v>
      </c>
      <c r="V465" s="18">
        <f t="shared" ref="V465:V483" ca="1" si="1295">M465/E465</f>
        <v>240.2</v>
      </c>
      <c r="W465" s="76"/>
      <c r="X465" s="8">
        <v>4</v>
      </c>
      <c r="Y465" s="8" t="s">
        <v>27</v>
      </c>
      <c r="Z465" s="8">
        <f t="shared" ref="Z465:AK465" si="1296">SUM(D478)</f>
        <v>30</v>
      </c>
      <c r="AA465" s="9">
        <f t="shared" ca="1" si="1296"/>
        <v>28</v>
      </c>
      <c r="AB465" s="10">
        <f t="shared" ca="1" si="1296"/>
        <v>5098.0909999999903</v>
      </c>
      <c r="AC465" s="9">
        <f t="shared" ca="1" si="1296"/>
        <v>2433</v>
      </c>
      <c r="AD465" s="9">
        <f t="shared" ca="1" si="1296"/>
        <v>216</v>
      </c>
      <c r="AE465" s="9">
        <f t="shared" ca="1" si="1296"/>
        <v>2649</v>
      </c>
      <c r="AF465" s="9">
        <f t="shared" ca="1" si="1296"/>
        <v>2875</v>
      </c>
      <c r="AG465" s="9">
        <f t="shared" ca="1" si="1296"/>
        <v>241</v>
      </c>
      <c r="AH465" s="9">
        <f t="shared" ca="1" si="1296"/>
        <v>3116</v>
      </c>
      <c r="AI465" s="9">
        <f t="shared" ca="1" si="1296"/>
        <v>5765</v>
      </c>
      <c r="AJ465" s="11">
        <f t="shared" ca="1" si="1296"/>
        <v>182.07467857142822</v>
      </c>
      <c r="AK465" s="8">
        <f t="shared" si="1296"/>
        <v>8101</v>
      </c>
      <c r="AL465" s="12">
        <f t="shared" ca="1" si="1277"/>
        <v>0.71164053820515982</v>
      </c>
      <c r="AM465" s="13">
        <f>SUM(Q478)</f>
        <v>1.5</v>
      </c>
      <c r="AN465" s="12">
        <f t="shared" ca="1" si="1279"/>
        <v>0.7538769577344423</v>
      </c>
      <c r="AO465" s="14">
        <f t="shared" ca="1" si="1280"/>
        <v>1.1308154366016634</v>
      </c>
      <c r="AP465" s="13">
        <f t="shared" ref="AP465:AQ465" ca="1" si="1297">SUM(T478)</f>
        <v>255.09587190392747</v>
      </c>
      <c r="AQ465" s="13">
        <f t="shared" ca="1" si="1297"/>
        <v>9.1105668537116955</v>
      </c>
      <c r="AR465" s="9">
        <f t="shared" ca="1" si="1282"/>
        <v>205.89285714285714</v>
      </c>
      <c r="AS465" s="76"/>
      <c r="AT465" s="76"/>
    </row>
    <row r="466" spans="1:46" ht="15.75" customHeight="1" x14ac:dyDescent="0.25">
      <c r="A466" s="70"/>
      <c r="B466" s="16">
        <v>2</v>
      </c>
      <c r="C466" s="16" t="s">
        <v>28</v>
      </c>
      <c r="D466" s="17">
        <v>33</v>
      </c>
      <c r="E466" s="18">
        <f ca="1">IFERROR(__xludf.DUMMYFUNCTION("COUNT(IMPORTRANGE(""https://docs.google.com/spreadsheets/d/1H9vAqftAHb0OdeSGXHTnJFzoWUgpoH31sc0sHNN8y1o/edit"",""18!d2:d34""))"),33)</f>
        <v>33</v>
      </c>
      <c r="F466" s="19">
        <f ca="1">IFERROR(__xludf.DUMMYFUNCTION("SUM(IMPORTRANGE(""https://docs.google.com/spreadsheets/d/1H9vAqftAHb0OdeSGXHTnJFzoWUgpoH31sc0sHNN8y1o/edit"",""18!Q2:Q34""))"),6298.28199999999)</f>
        <v>6298.2819999999901</v>
      </c>
      <c r="G466" s="18">
        <f ca="1">IFERROR(__xludf.DUMMYFUNCTION("IMPORTRANGE(""https://docs.google.com/spreadsheets/d/1H9vAqftAHb0OdeSGXHTnJFzoWUgpoH31sc0sHNN8y1o/edit"",""18!e41"")"),2607)</f>
        <v>2607</v>
      </c>
      <c r="H466" s="18">
        <f ca="1">IFERROR(__xludf.DUMMYFUNCTION("IMPORTRANGE(""https://docs.google.com/spreadsheets/d/1H9vAqftAHb0OdeSGXHTnJFzoWUgpoH31sc0sHNN8y1o/edit"",""18!e42"")"),63)</f>
        <v>63</v>
      </c>
      <c r="I466" s="18">
        <f t="shared" ca="1" si="1287"/>
        <v>2670</v>
      </c>
      <c r="J466" s="18">
        <f ca="1">IFERROR(__xludf.DUMMYFUNCTION("IMPORTRANGE(""https://docs.google.com/spreadsheets/d/1H9vAqftAHb0OdeSGXHTnJFzoWUgpoH31sc0sHNN8y1o/edit"",""18!e45"")"),3092)</f>
        <v>3092</v>
      </c>
      <c r="K466" s="18">
        <f ca="1">IFERROR(__xludf.DUMMYFUNCTION("IMPORTRANGE(""https://docs.google.com/spreadsheets/d/1H9vAqftAHb0OdeSGXHTnJFzoWUgpoH31sc0sHNN8y1o/edit"",""18!e46"")"),245)</f>
        <v>245</v>
      </c>
      <c r="L466" s="18">
        <f t="shared" ca="1" si="1288"/>
        <v>3337</v>
      </c>
      <c r="M466" s="18">
        <f t="shared" ca="1" si="1289"/>
        <v>6007</v>
      </c>
      <c r="N466" s="19">
        <f t="shared" ca="1" si="1290"/>
        <v>190.85703030303</v>
      </c>
      <c r="O466" s="16">
        <v>7315</v>
      </c>
      <c r="P466" s="20">
        <f t="shared" ca="1" si="1291"/>
        <v>0.82118933697881069</v>
      </c>
      <c r="Q466" s="21">
        <v>1.5</v>
      </c>
      <c r="R466" s="20">
        <f t="shared" ca="1" si="1292"/>
        <v>0.63583476679301965</v>
      </c>
      <c r="S466" s="22">
        <f t="shared" ca="1" si="1293"/>
        <v>0.95375215018952941</v>
      </c>
      <c r="T466" s="21">
        <f ca="1">F466/30.897</f>
        <v>203.84768747774834</v>
      </c>
      <c r="U466" s="21">
        <f t="shared" ca="1" si="1294"/>
        <v>6.1772026508408588</v>
      </c>
      <c r="V466" s="18">
        <f t="shared" ca="1" si="1295"/>
        <v>182.03030303030303</v>
      </c>
      <c r="W466" s="76"/>
      <c r="X466" s="8">
        <v>5</v>
      </c>
      <c r="Y466" s="8" t="s">
        <v>29</v>
      </c>
      <c r="Z466" s="8">
        <f t="shared" ref="Z466:AI466" si="1298">SUM(D481)</f>
        <v>30</v>
      </c>
      <c r="AA466" s="9">
        <f t="shared" ca="1" si="1298"/>
        <v>30</v>
      </c>
      <c r="AB466" s="10">
        <f t="shared" ca="1" si="1298"/>
        <v>6172.4029999999902</v>
      </c>
      <c r="AC466" s="9">
        <f t="shared" ca="1" si="1298"/>
        <v>2876</v>
      </c>
      <c r="AD466" s="9">
        <f t="shared" ca="1" si="1298"/>
        <v>0</v>
      </c>
      <c r="AE466" s="9">
        <f t="shared" ca="1" si="1298"/>
        <v>2876</v>
      </c>
      <c r="AF466" s="9">
        <f t="shared" ca="1" si="1298"/>
        <v>4144</v>
      </c>
      <c r="AG466" s="9">
        <f t="shared" ca="1" si="1298"/>
        <v>0</v>
      </c>
      <c r="AH466" s="9">
        <f t="shared" ca="1" si="1298"/>
        <v>4144</v>
      </c>
      <c r="AI466" s="9">
        <f t="shared" ca="1" si="1298"/>
        <v>7020</v>
      </c>
      <c r="AJ466" s="11">
        <f t="shared" ref="AJ466:AJ468" ca="1" si="1299">AB466/AA466</f>
        <v>205.74676666666633</v>
      </c>
      <c r="AK466" s="8">
        <f t="shared" ref="AK466:AK467" si="1300">SUM(O481)</f>
        <v>9201</v>
      </c>
      <c r="AL466" s="12">
        <f t="shared" ca="1" si="1277"/>
        <v>0.76296054776654709</v>
      </c>
      <c r="AM466" s="13">
        <f t="shared" ref="AM466:AM467" si="1301">SUM(Q481)</f>
        <v>1.5</v>
      </c>
      <c r="AN466" s="12">
        <f t="shared" ca="1" si="1279"/>
        <v>0.75821361631766548</v>
      </c>
      <c r="AO466" s="14">
        <f t="shared" ca="1" si="1280"/>
        <v>1.1373204244764983</v>
      </c>
      <c r="AP466" s="13">
        <f t="shared" ref="AP466:AQ466" ca="1" si="1302">SUM(T481)</f>
        <v>232.99999999999963</v>
      </c>
      <c r="AQ466" s="13">
        <f t="shared" ca="1" si="1302"/>
        <v>7.7666666666666542</v>
      </c>
      <c r="AR466" s="9">
        <f t="shared" ca="1" si="1282"/>
        <v>234</v>
      </c>
      <c r="AS466" s="76"/>
      <c r="AT466" s="76"/>
    </row>
    <row r="467" spans="1:46" ht="15.75" customHeight="1" x14ac:dyDescent="0.25">
      <c r="A467" s="70"/>
      <c r="B467" s="16">
        <v>3</v>
      </c>
      <c r="C467" s="16" t="s">
        <v>30</v>
      </c>
      <c r="D467" s="17">
        <v>60</v>
      </c>
      <c r="E467" s="18">
        <f ca="1">IFERROR(__xludf.DUMMYFUNCTION("COUNT(IMPORTRANGE(""https://docs.google.com/spreadsheets/d/1EWN6nfpuVxbUE_9opjYCWaI7MTm5xsF6ssjklSbMZnA/edit"",""18!d2:d61""))"),60)</f>
        <v>60</v>
      </c>
      <c r="F467" s="23">
        <f ca="1">IFERROR(__xludf.DUMMYFUNCTION("SUM(IMPORTRANGE(""https://docs.google.com/spreadsheets/d/1EWN6nfpuVxbUE_9opjYCWaI7MTm5xsF6ssjklSbMZnA/edit"",""18!Q2:Q61""))"),11337.9489999999)</f>
        <v>11337.9489999999</v>
      </c>
      <c r="G467" s="18">
        <f ca="1">IFERROR(__xludf.DUMMYFUNCTION("IMPORTRANGE(""https://docs.google.com/spreadsheets/d/1EWN6nfpuVxbUE_9opjYCWaI7MTm5xsF6ssjklSbMZnA/edit"",""18!e68"")"),3764)</f>
        <v>3764</v>
      </c>
      <c r="H467" s="18">
        <f ca="1">IFERROR(__xludf.DUMMYFUNCTION("IMPORTRANGE(""https://docs.google.com/spreadsheets/d/1EWN6nfpuVxbUE_9opjYCWaI7MTm5xsF6ssjklSbMZnA/edit"",""18!e69"")"),0)</f>
        <v>0</v>
      </c>
      <c r="I467" s="18">
        <f t="shared" ca="1" si="1287"/>
        <v>3764</v>
      </c>
      <c r="J467" s="18">
        <f ca="1">IFERROR(__xludf.DUMMYFUNCTION("IMPORTRANGE(""https://docs.google.com/spreadsheets/d/1EWN6nfpuVxbUE_9opjYCWaI7MTm5xsF6ssjklSbMZnA/edit"",""18!e72"")"),5723)</f>
        <v>5723</v>
      </c>
      <c r="K467" s="18">
        <f ca="1">IFERROR(__xludf.DUMMYFUNCTION("IMPORTRANGE(""https://docs.google.com/spreadsheets/d/1EWN6nfpuVxbUE_9opjYCWaI7MTm5xsF6ssjklSbMZnA/edit"",""18!e73"")"),0)</f>
        <v>0</v>
      </c>
      <c r="L467" s="18">
        <f t="shared" ca="1" si="1288"/>
        <v>5723</v>
      </c>
      <c r="M467" s="18">
        <f t="shared" ca="1" si="1289"/>
        <v>9487</v>
      </c>
      <c r="N467" s="19">
        <f t="shared" ca="1" si="1290"/>
        <v>188.96581666666501</v>
      </c>
      <c r="O467" s="16">
        <v>11164</v>
      </c>
      <c r="P467" s="20">
        <f t="shared" ca="1" si="1291"/>
        <v>0.84978502328914363</v>
      </c>
      <c r="Q467" s="21">
        <v>1.5</v>
      </c>
      <c r="R467" s="20">
        <f t="shared" ca="1" si="1292"/>
        <v>0.55783163839127536</v>
      </c>
      <c r="S467" s="22">
        <f t="shared" ca="1" si="1293"/>
        <v>0.83674745758691305</v>
      </c>
      <c r="T467" s="21">
        <f ca="1">F467/29.603</f>
        <v>382.99999999999665</v>
      </c>
      <c r="U467" s="21">
        <f t="shared" ca="1" si="1294"/>
        <v>6.3833333333332778</v>
      </c>
      <c r="V467" s="18">
        <f t="shared" ca="1" si="1295"/>
        <v>158.11666666666667</v>
      </c>
      <c r="W467" s="76"/>
      <c r="X467" s="8">
        <v>6</v>
      </c>
      <c r="Y467" s="8" t="s">
        <v>31</v>
      </c>
      <c r="Z467" s="8">
        <f t="shared" ref="Z467:AI467" si="1303">SUM(D482)</f>
        <v>15</v>
      </c>
      <c r="AA467" s="9">
        <f t="shared" ca="1" si="1303"/>
        <v>14</v>
      </c>
      <c r="AB467" s="11">
        <f t="shared" ca="1" si="1303"/>
        <v>2738.2949999999901</v>
      </c>
      <c r="AC467" s="9">
        <f t="shared" ca="1" si="1303"/>
        <v>755</v>
      </c>
      <c r="AD467" s="9">
        <f t="shared" ca="1" si="1303"/>
        <v>11</v>
      </c>
      <c r="AE467" s="9">
        <f t="shared" ca="1" si="1303"/>
        <v>766</v>
      </c>
      <c r="AF467" s="9">
        <f t="shared" ca="1" si="1303"/>
        <v>1074</v>
      </c>
      <c r="AG467" s="9">
        <f t="shared" ca="1" si="1303"/>
        <v>0</v>
      </c>
      <c r="AH467" s="9">
        <f t="shared" ca="1" si="1303"/>
        <v>1074</v>
      </c>
      <c r="AI467" s="9">
        <f t="shared" ca="1" si="1303"/>
        <v>1840</v>
      </c>
      <c r="AJ467" s="11">
        <f t="shared" ca="1" si="1299"/>
        <v>195.59249999999929</v>
      </c>
      <c r="AK467" s="8">
        <f t="shared" si="1300"/>
        <v>2717</v>
      </c>
      <c r="AL467" s="12">
        <f t="shared" ca="1" si="1277"/>
        <v>0.67721751932278251</v>
      </c>
      <c r="AM467" s="13">
        <f t="shared" si="1301"/>
        <v>1.5</v>
      </c>
      <c r="AN467" s="12">
        <f t="shared" ca="1" si="1279"/>
        <v>0.44796731786263755</v>
      </c>
      <c r="AO467" s="14">
        <f t="shared" ca="1" si="1280"/>
        <v>0.67195097679395632</v>
      </c>
      <c r="AP467" s="13">
        <f t="shared" ref="AP467:AQ467" ca="1" si="1304">SUM(T482)</f>
        <v>62.999999999999766</v>
      </c>
      <c r="AQ467" s="13">
        <f t="shared" ca="1" si="1304"/>
        <v>4.4999999999999831</v>
      </c>
      <c r="AR467" s="9">
        <f t="shared" ca="1" si="1282"/>
        <v>131.42857142857142</v>
      </c>
      <c r="AS467" s="76"/>
      <c r="AT467" s="76"/>
    </row>
    <row r="468" spans="1:46" ht="15.75" customHeight="1" x14ac:dyDescent="0.25">
      <c r="A468" s="70"/>
      <c r="B468" s="16">
        <v>4</v>
      </c>
      <c r="C468" s="16" t="s">
        <v>32</v>
      </c>
      <c r="D468" s="17">
        <v>42</v>
      </c>
      <c r="E468" s="18">
        <f ca="1">IFERROR(__xludf.DUMMYFUNCTION("COUNT(IMPORTRANGE(""https://docs.google.com/spreadsheets/d/1Rmar8QqWK4XOJ-eY6xMzkAfDSw0srEXcAw89ilArun8/edit"",""18!d2:d43""))"),41)</f>
        <v>41</v>
      </c>
      <c r="F468" s="23">
        <f ca="1">IFERROR(__xludf.DUMMYFUNCTION("SUM(IMPORTRANGE(""https://docs.google.com/spreadsheets/d/1Rmar8QqWK4XOJ-eY6xMzkAfDSw0srEXcAw89ilArun8/edit"",""1!Q2:Q43""))"),8240.66199999999)</f>
        <v>8240.6619999999893</v>
      </c>
      <c r="G468" s="16">
        <f ca="1">IFERROR(__xludf.DUMMYFUNCTION("IMPORTRANGE(""https://docs.google.com/spreadsheets/d/1Rmar8QqWK4XOJ-eY6xMzkAfDSw0srEXcAw89ilArun8/edit"",""18!e50"")"),4792)</f>
        <v>4792</v>
      </c>
      <c r="H468" s="16">
        <f ca="1">IFERROR(__xludf.DUMMYFUNCTION("IMPORTRANGE(""https://docs.google.com/spreadsheets/d/1Rmar8QqWK4XOJ-eY6xMzkAfDSw0srEXcAw89ilArun8/edit"",""18!e51"")"),0)</f>
        <v>0</v>
      </c>
      <c r="I468" s="18">
        <f t="shared" ca="1" si="1287"/>
        <v>4792</v>
      </c>
      <c r="J468" s="16">
        <f ca="1">IFERROR(__xludf.DUMMYFUNCTION("IMPORTRANGE(""https://docs.google.com/spreadsheets/d/1Rmar8QqWK4XOJ-eY6xMzkAfDSw0srEXcAw89ilArun8/edit"",""18!e54"")"),5230)</f>
        <v>5230</v>
      </c>
      <c r="K468" s="16">
        <f ca="1">IFERROR(__xludf.DUMMYFUNCTION("IMPORTRANGE(""https://docs.google.com/spreadsheets/d/1Rmar8QqWK4XOJ-eY6xMzkAfDSw0srEXcAw89ilArun8/edit"",""18!e55"")"),65)</f>
        <v>65</v>
      </c>
      <c r="L468" s="18">
        <f t="shared" ca="1" si="1288"/>
        <v>5295</v>
      </c>
      <c r="M468" s="18">
        <f t="shared" ca="1" si="1289"/>
        <v>10087</v>
      </c>
      <c r="N468" s="19">
        <f t="shared" ca="1" si="1290"/>
        <v>200.99175609756071</v>
      </c>
      <c r="O468" s="16">
        <v>13817</v>
      </c>
      <c r="P468" s="20">
        <f t="shared" ca="1" si="1291"/>
        <v>0.73004270102048197</v>
      </c>
      <c r="Q468" s="21">
        <v>1.5</v>
      </c>
      <c r="R468" s="20">
        <f t="shared" ca="1" si="1292"/>
        <v>0.81603476355014626</v>
      </c>
      <c r="S468" s="22">
        <f t="shared" ca="1" si="1293"/>
        <v>1.2240521453252193</v>
      </c>
      <c r="T468" s="21">
        <f ca="1">F468/25.089</f>
        <v>328.45717246602055</v>
      </c>
      <c r="U468" s="21">
        <f t="shared" ca="1" si="1294"/>
        <v>8.0111505479517202</v>
      </c>
      <c r="V468" s="18">
        <f t="shared" ca="1" si="1295"/>
        <v>246.02439024390245</v>
      </c>
      <c r="W468" s="76"/>
      <c r="X468" s="24" t="s">
        <v>33</v>
      </c>
      <c r="Y468" s="24">
        <v>6</v>
      </c>
      <c r="Z468" s="24">
        <f t="shared" ref="Z468:AI468" si="1305">SUM(Z462:Z467)</f>
        <v>186</v>
      </c>
      <c r="AA468" s="25">
        <f t="shared" ca="1" si="1305"/>
        <v>182</v>
      </c>
      <c r="AB468" s="26">
        <f t="shared" ca="1" si="1305"/>
        <v>34763.180999999946</v>
      </c>
      <c r="AC468" s="25">
        <f t="shared" ca="1" si="1305"/>
        <v>11075</v>
      </c>
      <c r="AD468" s="25">
        <f t="shared" ca="1" si="1305"/>
        <v>718</v>
      </c>
      <c r="AE468" s="25">
        <f t="shared" ca="1" si="1305"/>
        <v>11793</v>
      </c>
      <c r="AF468" s="25">
        <f t="shared" ca="1" si="1305"/>
        <v>16257</v>
      </c>
      <c r="AG468" s="25">
        <f t="shared" ca="1" si="1305"/>
        <v>779</v>
      </c>
      <c r="AH468" s="25">
        <f t="shared" ca="1" si="1305"/>
        <v>17036</v>
      </c>
      <c r="AI468" s="25">
        <f t="shared" ca="1" si="1305"/>
        <v>28829</v>
      </c>
      <c r="AJ468" s="27">
        <f t="shared" ca="1" si="1299"/>
        <v>191.0064890109887</v>
      </c>
      <c r="AK468" s="24">
        <f>SUM(AK462:AK467)</f>
        <v>35074</v>
      </c>
      <c r="AL468" s="28">
        <f t="shared" ca="1" si="1277"/>
        <v>0.82194788162171406</v>
      </c>
      <c r="AM468" s="29">
        <v>1.5</v>
      </c>
      <c r="AN468" s="28">
        <f t="shared" ca="1" si="1279"/>
        <v>0.55286463380130157</v>
      </c>
      <c r="AO468" s="30">
        <f t="shared" ca="1" si="1280"/>
        <v>0.82929695070195231</v>
      </c>
      <c r="AP468" s="29">
        <f ca="1">SUM(AP462:AP467)</f>
        <v>1303.1525569922285</v>
      </c>
      <c r="AQ468" s="29">
        <f ca="1">AP468/AA468</f>
        <v>7.1601788845726837</v>
      </c>
      <c r="AR468" s="25">
        <f t="shared" ca="1" si="1282"/>
        <v>158.40109890109889</v>
      </c>
      <c r="AS468" s="76"/>
      <c r="AT468" s="76"/>
    </row>
    <row r="469" spans="1:46" ht="15.75" customHeight="1" x14ac:dyDescent="0.25">
      <c r="A469" s="70"/>
      <c r="B469" s="16">
        <v>5</v>
      </c>
      <c r="C469" s="16" t="s">
        <v>34</v>
      </c>
      <c r="D469" s="17">
        <v>40</v>
      </c>
      <c r="E469" s="18">
        <f ca="1">IFERROR(__xludf.DUMMYFUNCTION("COUNT(IMPORTRANGE(""https://docs.google.com/spreadsheets/d/1u99JxAoytGQQ8GcjxXl38CGdyEWy5uIbuJJHnsotyvk/edit"",""18!d2:d41""))"),38)</f>
        <v>38</v>
      </c>
      <c r="F469" s="23">
        <f ca="1">IFERROR(__xludf.DUMMYFUNCTION("SUM(IMPORTRANGE(""https://docs.google.com/spreadsheets/d/1u99JxAoytGQQ8GcjxXl38CGdyEWy5uIbuJJHnsotyvk/edit"",""18!Q2:Q41""))"),7088.157)</f>
        <v>7088.1570000000002</v>
      </c>
      <c r="G469" s="18">
        <f ca="1">IFERROR(__xludf.DUMMYFUNCTION("IMPORTRANGE(""https://docs.google.com/spreadsheets/d/1u99JxAoytGQQ8GcjxXl38CGdyEWy5uIbuJJHnsotyvk/edit"",""18!e48"")"),3029)</f>
        <v>3029</v>
      </c>
      <c r="H469" s="18">
        <f ca="1">IFERROR(__xludf.DUMMYFUNCTION("IMPORTRANGE(""https://docs.google.com/spreadsheets/d/1u99JxAoytGQQ8GcjxXl38CGdyEWy5uIbuJJHnsotyvk/edit"",""18!e49"")"),0)</f>
        <v>0</v>
      </c>
      <c r="I469" s="18">
        <f t="shared" ca="1" si="1287"/>
        <v>3029</v>
      </c>
      <c r="J469" s="18">
        <f ca="1">IFERROR(__xludf.DUMMYFUNCTION("IMPORTRANGE(""https://docs.google.com/spreadsheets/d/1u99JxAoytGQQ8GcjxXl38CGdyEWy5uIbuJJHnsotyvk/edit"",""18!e52"")"),3001)</f>
        <v>3001</v>
      </c>
      <c r="K469" s="18">
        <f ca="1">IFERROR(__xludf.DUMMYFUNCTION("IMPORTRANGE(""https://docs.google.com/spreadsheets/d/1u99JxAoytGQQ8GcjxXl38CGdyEWy5uIbuJJHnsotyvk/edit"",""18!e53"")"),0)</f>
        <v>0</v>
      </c>
      <c r="L469" s="18">
        <f t="shared" ca="1" si="1288"/>
        <v>3001</v>
      </c>
      <c r="M469" s="18">
        <f t="shared" ca="1" si="1289"/>
        <v>6030</v>
      </c>
      <c r="N469" s="19">
        <f t="shared" ca="1" si="1290"/>
        <v>186.53044736842105</v>
      </c>
      <c r="O469" s="16">
        <v>9354</v>
      </c>
      <c r="P469" s="20">
        <f t="shared" ca="1" si="1291"/>
        <v>0.64464400256574728</v>
      </c>
      <c r="Q469" s="21">
        <v>1.5</v>
      </c>
      <c r="R469" s="20">
        <f t="shared" ca="1" si="1292"/>
        <v>0.56714319392191792</v>
      </c>
      <c r="S469" s="22">
        <f t="shared" ca="1" si="1293"/>
        <v>0.85071479088287683</v>
      </c>
      <c r="T469" s="21">
        <f ca="1">F469/30.713</f>
        <v>230.78686549669521</v>
      </c>
      <c r="U469" s="21">
        <f t="shared" ca="1" si="1294"/>
        <v>6.0733385657025059</v>
      </c>
      <c r="V469" s="18">
        <f t="shared" ca="1" si="1295"/>
        <v>158.68421052631578</v>
      </c>
      <c r="W469" s="76"/>
      <c r="X469" s="100" t="s">
        <v>35</v>
      </c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9"/>
      <c r="AS469" s="76"/>
      <c r="AT469" s="76"/>
    </row>
    <row r="470" spans="1:46" ht="15.75" customHeight="1" x14ac:dyDescent="0.25">
      <c r="A470" s="70"/>
      <c r="B470" s="16">
        <v>6</v>
      </c>
      <c r="C470" s="16" t="s">
        <v>23</v>
      </c>
      <c r="D470" s="17">
        <v>35</v>
      </c>
      <c r="E470" s="18">
        <f ca="1">IFERROR(__xludf.DUMMYFUNCTION("COUNT(IMPORTRANGE(""https://docs.google.com/spreadsheets/d/1uVc-vnTn57HE53lwrUYNZP4sGKTXisrqOoZ-6EyvLzY/edit"",""18!d2:d36""))"),34)</f>
        <v>34</v>
      </c>
      <c r="F470" s="23">
        <f ca="1">IFERROR(__xludf.DUMMYFUNCTION("SUM(IMPORTRANGE(""https://docs.google.com/spreadsheets/d/1uVc-vnTn57HE53lwrUYNZP4sGKTXisrqOoZ-6EyvLzY/edit"",""18!Q2:Q36""))"),6309.37999999999)</f>
        <v>6309.3799999999901</v>
      </c>
      <c r="G470" s="18">
        <f ca="1">IFERROR(__xludf.DUMMYFUNCTION("IMPORTRANGE(""https://docs.google.com/spreadsheets/d/1uVc-vnTn57HE53lwrUYNZP4sGKTXisrqOoZ-6EyvLzY/edit"",""18!e43"")"),1632)</f>
        <v>1632</v>
      </c>
      <c r="H470" s="18">
        <f ca="1">IFERROR(__xludf.DUMMYFUNCTION("IMPORTRANGE(""https://docs.google.com/spreadsheets/d/1uVc-vnTn57HE53lwrUYNZP4sGKTXisrqOoZ-6EyvLzY/edit"",""18!e44"")"),52)</f>
        <v>52</v>
      </c>
      <c r="I470" s="18">
        <f t="shared" ca="1" si="1287"/>
        <v>1684</v>
      </c>
      <c r="J470" s="18">
        <f ca="1">IFERROR(__xludf.DUMMYFUNCTION("IMPORTRANGE(""https://docs.google.com/spreadsheets/d/1uVc-vnTn57HE53lwrUYNZP4sGKTXisrqOoZ-6EyvLzY/edit"",""18!e47"")"),3494)</f>
        <v>3494</v>
      </c>
      <c r="K470" s="18">
        <f ca="1">IFERROR(__xludf.DUMMYFUNCTION("IMPORTRANGE(""https://docs.google.com/spreadsheets/d/1uVc-vnTn57HE53lwrUYNZP4sGKTXisrqOoZ-6EyvLzY/edit"",""18!e48"")"),87)</f>
        <v>87</v>
      </c>
      <c r="L470" s="18">
        <f t="shared" ca="1" si="1288"/>
        <v>3581</v>
      </c>
      <c r="M470" s="18">
        <f t="shared" ca="1" si="1289"/>
        <v>5265</v>
      </c>
      <c r="N470" s="19">
        <f t="shared" ca="1" si="1290"/>
        <v>185.56999999999971</v>
      </c>
      <c r="O470" s="16">
        <v>6853</v>
      </c>
      <c r="P470" s="20">
        <f t="shared" ca="1" si="1291"/>
        <v>0.76827666715307164</v>
      </c>
      <c r="Q470" s="21">
        <v>1.5</v>
      </c>
      <c r="R470" s="20">
        <f t="shared" ca="1" si="1292"/>
        <v>0.55631456656597089</v>
      </c>
      <c r="S470" s="22">
        <f t="shared" ca="1" si="1293"/>
        <v>0.83447184984895639</v>
      </c>
      <c r="T470" s="21">
        <f ca="1">F470/33.74</f>
        <v>186.99999999999969</v>
      </c>
      <c r="U470" s="21">
        <f t="shared" ca="1" si="1294"/>
        <v>5.4999999999999911</v>
      </c>
      <c r="V470" s="18">
        <f t="shared" ca="1" si="1295"/>
        <v>154.85294117647058</v>
      </c>
      <c r="W470" s="76"/>
      <c r="X470" s="1" t="s">
        <v>2</v>
      </c>
      <c r="Y470" s="1" t="s">
        <v>3</v>
      </c>
      <c r="Z470" s="1" t="s">
        <v>4</v>
      </c>
      <c r="AA470" s="1" t="s">
        <v>5</v>
      </c>
      <c r="AB470" s="2" t="s">
        <v>6</v>
      </c>
      <c r="AC470" s="1" t="s">
        <v>7</v>
      </c>
      <c r="AD470" s="1" t="s">
        <v>8</v>
      </c>
      <c r="AE470" s="1" t="s">
        <v>9</v>
      </c>
      <c r="AF470" s="1" t="s">
        <v>10</v>
      </c>
      <c r="AG470" s="1" t="s">
        <v>11</v>
      </c>
      <c r="AH470" s="1" t="s">
        <v>12</v>
      </c>
      <c r="AI470" s="1" t="s">
        <v>13</v>
      </c>
      <c r="AJ470" s="2" t="s">
        <v>14</v>
      </c>
      <c r="AK470" s="1" t="s">
        <v>15</v>
      </c>
      <c r="AL470" s="1" t="s">
        <v>16</v>
      </c>
      <c r="AM470" s="3" t="s">
        <v>17</v>
      </c>
      <c r="AN470" s="4" t="s">
        <v>18</v>
      </c>
      <c r="AO470" s="5" t="s">
        <v>19</v>
      </c>
      <c r="AP470" s="6" t="s">
        <v>20</v>
      </c>
      <c r="AQ470" s="6" t="s">
        <v>21</v>
      </c>
      <c r="AR470" s="7" t="s">
        <v>22</v>
      </c>
      <c r="AS470" s="76"/>
      <c r="AT470" s="76"/>
    </row>
    <row r="471" spans="1:46" ht="15.75" customHeight="1" x14ac:dyDescent="0.25">
      <c r="A471" s="70"/>
      <c r="B471" s="16">
        <v>7</v>
      </c>
      <c r="C471" s="16" t="s">
        <v>24</v>
      </c>
      <c r="D471" s="17">
        <v>44</v>
      </c>
      <c r="E471" s="31">
        <f ca="1">IFERROR(__xludf.DUMMYFUNCTION("COUNT(IMPORTRANGE(""https://docs.google.com/spreadsheets/d/1iuPvivSypupo44l6GtmR-2qZ3za7cTk7KzsOVp_kv2c/edit"",""18!d2:d45""))"),44)</f>
        <v>44</v>
      </c>
      <c r="F471" s="32">
        <f ca="1">IFERROR(__xludf.DUMMYFUNCTION("SUM(IMPORTRANGE(""https://docs.google.com/spreadsheets/d/1iuPvivSypupo44l6GtmR-2qZ3za7cTk7KzsOVp_kv2c/edit"",""18!Q2:Q45""))"),8805.96799999999)</f>
        <v>8805.9679999999898</v>
      </c>
      <c r="G471" s="31">
        <f ca="1">IFERROR(__xludf.DUMMYFUNCTION("IMPORTRANGE(""https://docs.google.com/spreadsheets/d/1iuPvivSypupo44l6GtmR-2qZ3za7cTk7KzsOVp_kv2c/edit"",""18!e53"")"),1266)</f>
        <v>1266</v>
      </c>
      <c r="H471" s="31">
        <f ca="1">IFERROR(__xludf.DUMMYFUNCTION("IMPORTRANGE(""https://docs.google.com/spreadsheets/d/1iuPvivSypupo44l6GtmR-2qZ3za7cTk7KzsOVp_kv2c/edit"",""18!e54"")"),0)</f>
        <v>0</v>
      </c>
      <c r="I471" s="31">
        <f t="shared" ca="1" si="1287"/>
        <v>1266</v>
      </c>
      <c r="J471" s="31">
        <f ca="1">IFERROR(__xludf.DUMMYFUNCTION("IMPORTRANGE(""https://docs.google.com/spreadsheets/d/1iuPvivSypupo44l6GtmR-2qZ3za7cTk7KzsOVp_kv2c/edit"",""18!e57"")"),1408)</f>
        <v>1408</v>
      </c>
      <c r="K471" s="31">
        <f ca="1">IFERROR(__xludf.DUMMYFUNCTION("IMPORTRANGE(""https://docs.google.com/spreadsheets/d/1iuPvivSypupo44l6GtmR-2qZ3za7cTk7KzsOVp_kv2c/edit"",""18!e58"")"),0)</f>
        <v>0</v>
      </c>
      <c r="L471" s="18">
        <f t="shared" ca="1" si="1288"/>
        <v>1408</v>
      </c>
      <c r="M471" s="18">
        <f t="shared" ca="1" si="1289"/>
        <v>2674</v>
      </c>
      <c r="N471" s="19">
        <f t="shared" ca="1" si="1290"/>
        <v>200.13563636363614</v>
      </c>
      <c r="O471" s="16">
        <v>1580</v>
      </c>
      <c r="P471" s="33">
        <f t="shared" ca="1" si="1291"/>
        <v>1.6924050632911392</v>
      </c>
      <c r="Q471" s="21">
        <v>1.5</v>
      </c>
      <c r="R471" s="20">
        <f t="shared" ca="1" si="1292"/>
        <v>0.202438467487807</v>
      </c>
      <c r="S471" s="22">
        <f t="shared" ca="1" si="1293"/>
        <v>0.30365770123171049</v>
      </c>
      <c r="T471" s="21">
        <f ca="1">F471/26.805</f>
        <v>328.51960455138931</v>
      </c>
      <c r="U471" s="21">
        <f t="shared" ca="1" si="1294"/>
        <v>7.4663546488952113</v>
      </c>
      <c r="V471" s="18">
        <f t="shared" ca="1" si="1295"/>
        <v>60.772727272727273</v>
      </c>
      <c r="W471" s="76"/>
      <c r="X471" s="8">
        <v>1</v>
      </c>
      <c r="Y471" s="8" t="s">
        <v>28</v>
      </c>
      <c r="Z471" s="8">
        <f t="shared" ref="Z471:AI471" si="1306">SUM(D466)</f>
        <v>33</v>
      </c>
      <c r="AA471" s="9">
        <f t="shared" ca="1" si="1306"/>
        <v>33</v>
      </c>
      <c r="AB471" s="11">
        <f t="shared" ca="1" si="1306"/>
        <v>6298.2819999999901</v>
      </c>
      <c r="AC471" s="9">
        <f t="shared" ca="1" si="1306"/>
        <v>2607</v>
      </c>
      <c r="AD471" s="9">
        <f t="shared" ca="1" si="1306"/>
        <v>63</v>
      </c>
      <c r="AE471" s="9">
        <f t="shared" ca="1" si="1306"/>
        <v>2670</v>
      </c>
      <c r="AF471" s="9">
        <f t="shared" ca="1" si="1306"/>
        <v>3092</v>
      </c>
      <c r="AG471" s="9">
        <f t="shared" ca="1" si="1306"/>
        <v>245</v>
      </c>
      <c r="AH471" s="9">
        <f t="shared" ca="1" si="1306"/>
        <v>3337</v>
      </c>
      <c r="AI471" s="9">
        <f t="shared" ca="1" si="1306"/>
        <v>6007</v>
      </c>
      <c r="AJ471" s="11">
        <f t="shared" ref="AJ471:AJ477" ca="1" si="1307">AB471/AA471</f>
        <v>190.85703030303</v>
      </c>
      <c r="AK471" s="8">
        <f t="shared" ref="AK471:AK472" si="1308">SUM(O466)</f>
        <v>7315</v>
      </c>
      <c r="AL471" s="12">
        <f t="shared" ref="AL471:AL477" ca="1" si="1309">AI471/AK471</f>
        <v>0.82118933697881069</v>
      </c>
      <c r="AM471" s="13">
        <f t="shared" ref="AM471:AM472" si="1310">SUM(Q466)</f>
        <v>1.5</v>
      </c>
      <c r="AN471" s="12">
        <f t="shared" ref="AN471:AN477" ca="1" si="1311">AO471/AM471</f>
        <v>0.63583476679301965</v>
      </c>
      <c r="AO471" s="14">
        <f t="shared" ref="AO471:AO477" ca="1" si="1312">AI471/AB471</f>
        <v>0.95375215018952941</v>
      </c>
      <c r="AP471" s="13">
        <f t="shared" ref="AP471:AQ471" ca="1" si="1313">SUM(T466)</f>
        <v>203.84768747774834</v>
      </c>
      <c r="AQ471" s="13">
        <f t="shared" ca="1" si="1313"/>
        <v>6.1772026508408588</v>
      </c>
      <c r="AR471" s="9">
        <f t="shared" ref="AR471:AR477" ca="1" si="1314">AI471/AA471</f>
        <v>182.03030303030303</v>
      </c>
      <c r="AS471" s="76"/>
      <c r="AT471" s="76"/>
    </row>
    <row r="472" spans="1:46" ht="15.75" customHeight="1" x14ac:dyDescent="0.25">
      <c r="A472" s="70"/>
      <c r="B472" s="16">
        <v>8</v>
      </c>
      <c r="C472" s="16" t="s">
        <v>25</v>
      </c>
      <c r="D472" s="34">
        <v>32</v>
      </c>
      <c r="E472" s="18">
        <f ca="1">IFERROR(__xludf.DUMMYFUNCTION("COUNT(IMPORTRANGE(""https://docs.google.com/spreadsheets/d/1sqWX7UerdR9KR_duBzDNfjwbPG-3hLgV1LiN2ZVZ6Js/edit"",""18!d2:D33""))"),32)</f>
        <v>32</v>
      </c>
      <c r="F472" s="23">
        <f ca="1">IFERROR(__xludf.DUMMYFUNCTION("SUM(IMPORTRANGE(""https://docs.google.com/spreadsheets/d/1sqWX7UerdR9KR_duBzDNfjwbPG-3hLgV1LiN2ZVZ6Js/edit"",""18!Q2:Q33""))"),5639.044)</f>
        <v>5639.0439999999999</v>
      </c>
      <c r="G472" s="18">
        <f ca="1">IFERROR(__xludf.DUMMYFUNCTION("IMPORTRANGE(""https://docs.google.com/spreadsheets/d/1sqWX7UerdR9KR_duBzDNfjwbPG-3hLgV1LiN2ZVZ6Js/edit"",""18!e40"")"),2113)</f>
        <v>2113</v>
      </c>
      <c r="H472" s="18">
        <f ca="1">IFERROR(__xludf.DUMMYFUNCTION("IMPORTRANGE(""https://docs.google.com/spreadsheets/d/1sqWX7UerdR9KR_duBzDNfjwbPG-3hLgV1LiN2ZVZ6Js/edit"",""18!e41"")"),439)</f>
        <v>439</v>
      </c>
      <c r="I472" s="18">
        <f t="shared" ca="1" si="1287"/>
        <v>2552</v>
      </c>
      <c r="J472" s="18">
        <f ca="1">IFERROR(__xludf.DUMMYFUNCTION("IMPORTRANGE(""https://docs.google.com/spreadsheets/d/1sqWX7UerdR9KR_duBzDNfjwbPG-3hLgV1LiN2ZVZ6Js/edit"",""18!e44"")"),3262)</f>
        <v>3262</v>
      </c>
      <c r="K472" s="18">
        <f ca="1">IFERROR(__xludf.DUMMYFUNCTION("IMPORTRANGE(""https://docs.google.com/spreadsheets/d/1sqWX7UerdR9KR_duBzDNfjwbPG-3hLgV1LiN2ZVZ6Js/edit"",""18!e45"")"),451)</f>
        <v>451</v>
      </c>
      <c r="L472" s="18">
        <f ca="1">J472+K472</f>
        <v>3713</v>
      </c>
      <c r="M472" s="18">
        <f t="shared" ca="1" si="1289"/>
        <v>6265</v>
      </c>
      <c r="N472" s="19">
        <f t="shared" ca="1" si="1290"/>
        <v>176.220125</v>
      </c>
      <c r="O472" s="16">
        <v>6622</v>
      </c>
      <c r="P472" s="20">
        <f t="shared" ca="1" si="1291"/>
        <v>0.94608879492600417</v>
      </c>
      <c r="Q472" s="21">
        <v>1.5</v>
      </c>
      <c r="R472" s="20">
        <f t="shared" ca="1" si="1292"/>
        <v>0.74066928129425247</v>
      </c>
      <c r="S472" s="22">
        <f t="shared" ca="1" si="1293"/>
        <v>1.1110039219413788</v>
      </c>
      <c r="T472" s="21">
        <f ca="1">F472/23.84</f>
        <v>236.53708053691275</v>
      </c>
      <c r="U472" s="21">
        <f t="shared" ca="1" si="1294"/>
        <v>7.3917837667785236</v>
      </c>
      <c r="V472" s="18">
        <f t="shared" ca="1" si="1295"/>
        <v>195.78125</v>
      </c>
      <c r="W472" s="76"/>
      <c r="X472" s="8">
        <v>2</v>
      </c>
      <c r="Y472" s="8" t="s">
        <v>30</v>
      </c>
      <c r="Z472" s="8">
        <f t="shared" ref="Z472:AI472" si="1315">SUM(D467)</f>
        <v>60</v>
      </c>
      <c r="AA472" s="9">
        <f t="shared" ca="1" si="1315"/>
        <v>60</v>
      </c>
      <c r="AB472" s="10">
        <f t="shared" ca="1" si="1315"/>
        <v>11337.9489999999</v>
      </c>
      <c r="AC472" s="9">
        <f t="shared" ca="1" si="1315"/>
        <v>3764</v>
      </c>
      <c r="AD472" s="9">
        <f t="shared" ca="1" si="1315"/>
        <v>0</v>
      </c>
      <c r="AE472" s="9">
        <f t="shared" ca="1" si="1315"/>
        <v>3764</v>
      </c>
      <c r="AF472" s="9">
        <f t="shared" ca="1" si="1315"/>
        <v>5723</v>
      </c>
      <c r="AG472" s="9">
        <f t="shared" ca="1" si="1315"/>
        <v>0</v>
      </c>
      <c r="AH472" s="9">
        <f t="shared" ca="1" si="1315"/>
        <v>5723</v>
      </c>
      <c r="AI472" s="9">
        <f t="shared" ca="1" si="1315"/>
        <v>9487</v>
      </c>
      <c r="AJ472" s="11">
        <f t="shared" ca="1" si="1307"/>
        <v>188.96581666666501</v>
      </c>
      <c r="AK472" s="8">
        <f t="shared" si="1308"/>
        <v>11164</v>
      </c>
      <c r="AL472" s="12">
        <f t="shared" ca="1" si="1309"/>
        <v>0.84978502328914363</v>
      </c>
      <c r="AM472" s="13">
        <f t="shared" si="1310"/>
        <v>1.5</v>
      </c>
      <c r="AN472" s="12">
        <f t="shared" ca="1" si="1311"/>
        <v>0.55783163839127536</v>
      </c>
      <c r="AO472" s="14">
        <f t="shared" ca="1" si="1312"/>
        <v>0.83674745758691305</v>
      </c>
      <c r="AP472" s="13">
        <f t="shared" ref="AP472:AQ472" ca="1" si="1316">SUM(T467)</f>
        <v>382.99999999999665</v>
      </c>
      <c r="AQ472" s="13">
        <f t="shared" ca="1" si="1316"/>
        <v>6.3833333333332778</v>
      </c>
      <c r="AR472" s="9">
        <f t="shared" ca="1" si="1314"/>
        <v>158.11666666666667</v>
      </c>
      <c r="AS472" s="76"/>
      <c r="AT472" s="76"/>
    </row>
    <row r="473" spans="1:46" ht="15.75" customHeight="1" x14ac:dyDescent="0.25">
      <c r="A473" s="70"/>
      <c r="B473" s="16">
        <v>9</v>
      </c>
      <c r="C473" s="16" t="s">
        <v>36</v>
      </c>
      <c r="D473" s="34">
        <v>30</v>
      </c>
      <c r="E473" s="18">
        <f ca="1">IFERROR(__xludf.DUMMYFUNCTION("COUNT(IMPORTRANGE(""https://docs.google.com/spreadsheets/d/1YNna43iTSqnwwbMJgTIPHSJEoDO8RGPRFg5pJCoQR_Y/edit"",""18!d2:d31""))"),30)</f>
        <v>30</v>
      </c>
      <c r="F473" s="23">
        <f ca="1">IFERROR(__xludf.DUMMYFUNCTION("SUM(IMPORTRANGE(""https://docs.google.com/spreadsheets/d/1YNna43iTSqnwwbMJgTIPHSJEoDO8RGPRFg5pJCoQR_Y/edit"",""18!Q2:Q31""))"),5851.30099999999)</f>
        <v>5851.3009999999904</v>
      </c>
      <c r="G473" s="18">
        <f ca="1">IFERROR(__xludf.DUMMYFUNCTION("IMPORTRANGE(""https://docs.google.com/spreadsheets/d/1YNna43iTSqnwwbMJgTIPHSJEoDO8RGPRFg5pJCoQR_Y/edit"",""18!e38"")"),1656)</f>
        <v>1656</v>
      </c>
      <c r="H473" s="18">
        <f ca="1">IFERROR(__xludf.DUMMYFUNCTION("IMPORTRANGE(""https://docs.google.com/spreadsheets/d/1YNna43iTSqnwwbMJgTIPHSJEoDO8RGPRFg5pJCoQR_Y/edit"",""18!e39"")"),0)</f>
        <v>0</v>
      </c>
      <c r="I473" s="18">
        <f t="shared" ca="1" si="1287"/>
        <v>1656</v>
      </c>
      <c r="J473" s="18">
        <f ca="1">IFERROR(__xludf.DUMMYFUNCTION("IMPORTRANGE(""https://docs.google.com/spreadsheets/d/1YNna43iTSqnwwbMJgTIPHSJEoDO8RGPRFg5pJCoQR_Y/edit"",""18!e42"")"),1947)</f>
        <v>1947</v>
      </c>
      <c r="K473" s="18">
        <f ca="1">IFERROR(__xludf.DUMMYFUNCTION("IMPORTRANGE(""https://docs.google.com/spreadsheets/d/1YNna43iTSqnwwbMJgTIPHSJEoDO8RGPRFg5pJCoQR_Y/edit"",""18!e43"")"),0)</f>
        <v>0</v>
      </c>
      <c r="L473" s="18">
        <f t="shared" ref="L473:L482" ca="1" si="1317">SUM(J473:K473)</f>
        <v>1947</v>
      </c>
      <c r="M473" s="18">
        <f t="shared" ca="1" si="1289"/>
        <v>3603</v>
      </c>
      <c r="N473" s="19">
        <f t="shared" ca="1" si="1290"/>
        <v>195.04336666666634</v>
      </c>
      <c r="O473" s="16">
        <v>4796</v>
      </c>
      <c r="P473" s="20">
        <f t="shared" ca="1" si="1291"/>
        <v>0.75125104253544617</v>
      </c>
      <c r="Q473" s="21">
        <v>1.5</v>
      </c>
      <c r="R473" s="20">
        <f t="shared" ca="1" si="1292"/>
        <v>0.41050699664912194</v>
      </c>
      <c r="S473" s="22">
        <f t="shared" ca="1" si="1293"/>
        <v>0.6157604949736829</v>
      </c>
      <c r="T473" s="21">
        <f ca="1">F473/37.414</f>
        <v>156.39335542844898</v>
      </c>
      <c r="U473" s="21">
        <f t="shared" ca="1" si="1294"/>
        <v>5.2131118476149663</v>
      </c>
      <c r="V473" s="18">
        <f t="shared" ca="1" si="1295"/>
        <v>120.1</v>
      </c>
      <c r="W473" s="76"/>
      <c r="X473" s="8">
        <v>3</v>
      </c>
      <c r="Y473" s="8" t="s">
        <v>34</v>
      </c>
      <c r="Z473" s="8">
        <f t="shared" ref="Z473:AI473" si="1318">SUM(D469)</f>
        <v>40</v>
      </c>
      <c r="AA473" s="9">
        <f t="shared" ca="1" si="1318"/>
        <v>38</v>
      </c>
      <c r="AB473" s="10">
        <f t="shared" ca="1" si="1318"/>
        <v>7088.1570000000002</v>
      </c>
      <c r="AC473" s="9">
        <f t="shared" ca="1" si="1318"/>
        <v>3029</v>
      </c>
      <c r="AD473" s="9">
        <f t="shared" ca="1" si="1318"/>
        <v>0</v>
      </c>
      <c r="AE473" s="9">
        <f t="shared" ca="1" si="1318"/>
        <v>3029</v>
      </c>
      <c r="AF473" s="9">
        <f t="shared" ca="1" si="1318"/>
        <v>3001</v>
      </c>
      <c r="AG473" s="9">
        <f t="shared" ca="1" si="1318"/>
        <v>0</v>
      </c>
      <c r="AH473" s="9">
        <f t="shared" ca="1" si="1318"/>
        <v>3001</v>
      </c>
      <c r="AI473" s="9">
        <f t="shared" ca="1" si="1318"/>
        <v>6030</v>
      </c>
      <c r="AJ473" s="11">
        <f t="shared" ca="1" si="1307"/>
        <v>186.53044736842105</v>
      </c>
      <c r="AK473" s="8">
        <f>SUM(O469)</f>
        <v>9354</v>
      </c>
      <c r="AL473" s="12">
        <f t="shared" ca="1" si="1309"/>
        <v>0.64464400256574728</v>
      </c>
      <c r="AM473" s="13">
        <f>SUM(Q469)</f>
        <v>1.5</v>
      </c>
      <c r="AN473" s="12">
        <f t="shared" ca="1" si="1311"/>
        <v>0.56714319392191792</v>
      </c>
      <c r="AO473" s="14">
        <f t="shared" ca="1" si="1312"/>
        <v>0.85071479088287683</v>
      </c>
      <c r="AP473" s="13">
        <f t="shared" ref="AP473:AQ473" ca="1" si="1319">SUM(T469)</f>
        <v>230.78686549669521</v>
      </c>
      <c r="AQ473" s="13">
        <f t="shared" ca="1" si="1319"/>
        <v>6.0733385657025059</v>
      </c>
      <c r="AR473" s="9">
        <f t="shared" ca="1" si="1314"/>
        <v>158.68421052631578</v>
      </c>
      <c r="AS473" s="76"/>
      <c r="AT473" s="76"/>
    </row>
    <row r="474" spans="1:46" ht="15.75" customHeight="1" x14ac:dyDescent="0.25">
      <c r="A474" s="70"/>
      <c r="B474" s="16">
        <v>10</v>
      </c>
      <c r="C474" s="16" t="s">
        <v>37</v>
      </c>
      <c r="D474" s="17">
        <v>30</v>
      </c>
      <c r="E474" s="18">
        <f ca="1">IFERROR(__xludf.DUMMYFUNCTION("COUNT(IMPORTRANGE(""https://docs.google.com/spreadsheets/d/1913Df5BsXS_b-nClL8LOK5w0engQYTl1mPOiyngRtO0/edit"",""18!d2:d31""))"),30)</f>
        <v>30</v>
      </c>
      <c r="F474" s="23">
        <f ca="1">IFERROR(__xludf.DUMMYFUNCTION("SUM(IMPORTRANGE(""https://docs.google.com/spreadsheets/d/1913Df5BsXS_b-nClL8LOK5w0engQYTl1mPOiyngRtO0/edit"",""18!Q2:Q31""))"),5936.148)</f>
        <v>5936.1480000000001</v>
      </c>
      <c r="G474" s="18">
        <f ca="1">IFERROR(__xludf.DUMMYFUNCTION("(IMPORTRANGE(""https://docs.google.com/spreadsheets/d/1913Df5BsXS_b-nClL8LOK5w0engQYTl1mPOiyngRtO0/edit"",""18!e38""))"),2020)</f>
        <v>2020</v>
      </c>
      <c r="H474" s="18">
        <f ca="1">IFERROR(__xludf.DUMMYFUNCTION("(IMPORTRANGE(""https://docs.google.com/spreadsheets/d/1913Df5BsXS_b-nClL8LOK5w0engQYTl1mPOiyngRtO0/edit"",""18!e39""))"),0)</f>
        <v>0</v>
      </c>
      <c r="I474" s="18">
        <f t="shared" ca="1" si="1287"/>
        <v>2020</v>
      </c>
      <c r="J474" s="18">
        <f ca="1">IFERROR(__xludf.DUMMYFUNCTION("(IMPORTRANGE(""https://docs.google.com/spreadsheets/d/1913Df5BsXS_b-nClL8LOK5w0engQYTl1mPOiyngRtO0/edit"",""18!e42""))"),3534)</f>
        <v>3534</v>
      </c>
      <c r="K474" s="18">
        <f ca="1">IFERROR(__xludf.DUMMYFUNCTION("(IMPORTRANGE(""https://docs.google.com/spreadsheets/d/1913Df5BsXS_b-nClL8LOK5w0engQYTl1mPOiyngRtO0/edit"",""18!e43""))"),0)</f>
        <v>0</v>
      </c>
      <c r="L474" s="18">
        <f t="shared" ca="1" si="1317"/>
        <v>3534</v>
      </c>
      <c r="M474" s="18">
        <f t="shared" ca="1" si="1289"/>
        <v>5554</v>
      </c>
      <c r="N474" s="19">
        <f t="shared" ca="1" si="1290"/>
        <v>197.8716</v>
      </c>
      <c r="O474" s="16">
        <v>5887</v>
      </c>
      <c r="P474" s="20">
        <f t="shared" ca="1" si="1291"/>
        <v>0.94343468659758789</v>
      </c>
      <c r="Q474" s="21">
        <v>1.5</v>
      </c>
      <c r="R474" s="20">
        <f t="shared" ca="1" si="1292"/>
        <v>0.62374904848508939</v>
      </c>
      <c r="S474" s="22">
        <f t="shared" ca="1" si="1293"/>
        <v>0.93562357272763408</v>
      </c>
      <c r="T474" s="21">
        <f ca="1">F474/24.792</f>
        <v>239.4380445304937</v>
      </c>
      <c r="U474" s="21">
        <f t="shared" ca="1" si="1294"/>
        <v>7.9812681510164563</v>
      </c>
      <c r="V474" s="18">
        <f t="shared" ca="1" si="1295"/>
        <v>185.13333333333333</v>
      </c>
      <c r="W474" s="76"/>
      <c r="X474" s="8">
        <v>4</v>
      </c>
      <c r="Y474" s="8" t="s">
        <v>38</v>
      </c>
      <c r="Z474" s="8">
        <f t="shared" ref="Z474:AI474" si="1320">SUM(D477)</f>
        <v>30</v>
      </c>
      <c r="AA474" s="9">
        <f t="shared" ca="1" si="1320"/>
        <v>30</v>
      </c>
      <c r="AB474" s="10">
        <f t="shared" ca="1" si="1320"/>
        <v>6406.8619999999901</v>
      </c>
      <c r="AC474" s="9">
        <f t="shared" ca="1" si="1320"/>
        <v>2287</v>
      </c>
      <c r="AD474" s="9">
        <f t="shared" ca="1" si="1320"/>
        <v>0</v>
      </c>
      <c r="AE474" s="9">
        <f t="shared" ca="1" si="1320"/>
        <v>2287</v>
      </c>
      <c r="AF474" s="9">
        <f t="shared" ca="1" si="1320"/>
        <v>3125</v>
      </c>
      <c r="AG474" s="9">
        <f t="shared" ca="1" si="1320"/>
        <v>228</v>
      </c>
      <c r="AH474" s="9">
        <f t="shared" ca="1" si="1320"/>
        <v>3353</v>
      </c>
      <c r="AI474" s="9">
        <f t="shared" ca="1" si="1320"/>
        <v>5640</v>
      </c>
      <c r="AJ474" s="11">
        <f t="shared" ca="1" si="1307"/>
        <v>213.56206666666634</v>
      </c>
      <c r="AK474" s="8">
        <v>7324</v>
      </c>
      <c r="AL474" s="12">
        <f t="shared" ca="1" si="1309"/>
        <v>0.77007099945385038</v>
      </c>
      <c r="AM474" s="13">
        <f>SUM(Q477)</f>
        <v>1.5</v>
      </c>
      <c r="AN474" s="12">
        <f t="shared" ca="1" si="1311"/>
        <v>0.58687076450218623</v>
      </c>
      <c r="AO474" s="14">
        <f t="shared" ca="1" si="1312"/>
        <v>0.88030614675327934</v>
      </c>
      <c r="AP474" s="13">
        <f t="shared" ref="AP474:AQ474" ca="1" si="1321">SUM(T477)</f>
        <v>155.48748938235627</v>
      </c>
      <c r="AQ474" s="13">
        <f t="shared" ca="1" si="1321"/>
        <v>5.1829163127452089</v>
      </c>
      <c r="AR474" s="9">
        <f t="shared" ca="1" si="1314"/>
        <v>188</v>
      </c>
      <c r="AS474" s="76"/>
      <c r="AT474" s="76"/>
    </row>
    <row r="475" spans="1:46" ht="15.75" customHeight="1" x14ac:dyDescent="0.25">
      <c r="A475" s="70"/>
      <c r="B475" s="16">
        <v>12</v>
      </c>
      <c r="C475" s="16" t="s">
        <v>39</v>
      </c>
      <c r="D475" s="17">
        <v>28</v>
      </c>
      <c r="E475" s="18">
        <f ca="1">IFERROR(__xludf.DUMMYFUNCTION("COUNT(IMPORTRANGE(""https://docs.google.com/spreadsheets/d/1wMeol_MpSIcocGxt3WZGl46mJ2tc80mANPvP_YzaP18/edit"",""18!d2:d29""))"),26)</f>
        <v>26</v>
      </c>
      <c r="F475" s="23">
        <f ca="1">IFERROR(__xludf.DUMMYFUNCTION("SUM(IMPORTRANGE(""https://docs.google.com/spreadsheets/d/1wMeol_MpSIcocGxt3WZGl46mJ2tc80mANPvP_YzaP18/edit"",""18!Q2:Q29""))"),5349.744)</f>
        <v>5349.7439999999997</v>
      </c>
      <c r="G475" s="18">
        <f ca="1">IFERROR(__xludf.DUMMYFUNCTION("IMPORTRANGE(""https://docs.google.com/spreadsheets/d/1wMeol_MpSIcocGxt3WZGl46mJ2tc80mANPvP_YzaP18/edit"",""18!e36"")"),1444)</f>
        <v>1444</v>
      </c>
      <c r="H475" s="18">
        <f ca="1">IFERROR(__xludf.DUMMYFUNCTION("(IMPORTRANGE(""https://docs.google.com/spreadsheets/d/1wMeol_MpSIcocGxt3WZGl46mJ2tc80mANPvP_YzaP18/edit"",""18!e37""))"),11)</f>
        <v>11</v>
      </c>
      <c r="I475" s="18">
        <f t="shared" ca="1" si="1287"/>
        <v>1455</v>
      </c>
      <c r="J475" s="18">
        <f ca="1">IFERROR(__xludf.DUMMYFUNCTION("IMPORTRANGE(""https://docs.google.com/spreadsheets/d/1wMeol_MpSIcocGxt3WZGl46mJ2tc80mANPvP_YzaP18/edit"",""18!e40"")"),1813)</f>
        <v>1813</v>
      </c>
      <c r="K475" s="18">
        <f ca="1">IFERROR(__xludf.DUMMYFUNCTION("IMPORTRANGE(""https://docs.google.com/spreadsheets/d/1wMeol_MpSIcocGxt3WZGl46mJ2tc80mANPvP_YzaP18/edit"",""18!e41"")"),0)</f>
        <v>0</v>
      </c>
      <c r="L475" s="18">
        <f t="shared" ca="1" si="1317"/>
        <v>1813</v>
      </c>
      <c r="M475" s="18">
        <f t="shared" ca="1" si="1289"/>
        <v>3268</v>
      </c>
      <c r="N475" s="19">
        <f t="shared" ca="1" si="1290"/>
        <v>205.75938461538459</v>
      </c>
      <c r="O475" s="16">
        <v>3569</v>
      </c>
      <c r="P475" s="20">
        <f t="shared" ca="1" si="1291"/>
        <v>0.91566265060240959</v>
      </c>
      <c r="Q475" s="21">
        <v>1.5</v>
      </c>
      <c r="R475" s="20">
        <f t="shared" ca="1" si="1292"/>
        <v>0.40724690128474683</v>
      </c>
      <c r="S475" s="22">
        <f t="shared" ca="1" si="1293"/>
        <v>0.61087035192712025</v>
      </c>
      <c r="T475" s="21">
        <f ca="1">F475/21.463</f>
        <v>249.25425150258582</v>
      </c>
      <c r="U475" s="21">
        <f t="shared" ca="1" si="1294"/>
        <v>9.5867019808686855</v>
      </c>
      <c r="V475" s="18">
        <f t="shared" ca="1" si="1295"/>
        <v>125.69230769230769</v>
      </c>
      <c r="W475" s="76"/>
      <c r="X475" s="8">
        <v>5</v>
      </c>
      <c r="Y475" s="8" t="s">
        <v>40</v>
      </c>
      <c r="Z475" s="8">
        <f t="shared" ref="Z475:AI475" si="1322">SUM(D479)</f>
        <v>30</v>
      </c>
      <c r="AA475" s="9">
        <f t="shared" ca="1" si="1322"/>
        <v>30</v>
      </c>
      <c r="AB475" s="10">
        <f t="shared" ca="1" si="1322"/>
        <v>5830.8149999999896</v>
      </c>
      <c r="AC475" s="9">
        <f t="shared" ca="1" si="1322"/>
        <v>3655</v>
      </c>
      <c r="AD475" s="9">
        <f t="shared" ca="1" si="1322"/>
        <v>0</v>
      </c>
      <c r="AE475" s="9">
        <f t="shared" ca="1" si="1322"/>
        <v>3655</v>
      </c>
      <c r="AF475" s="9">
        <f t="shared" ca="1" si="1322"/>
        <v>4059</v>
      </c>
      <c r="AG475" s="9">
        <f t="shared" ca="1" si="1322"/>
        <v>0</v>
      </c>
      <c r="AH475" s="9">
        <f t="shared" ca="1" si="1322"/>
        <v>4059</v>
      </c>
      <c r="AI475" s="9">
        <f t="shared" ca="1" si="1322"/>
        <v>7714</v>
      </c>
      <c r="AJ475" s="11">
        <f t="shared" ca="1" si="1307"/>
        <v>194.36049999999966</v>
      </c>
      <c r="AK475" s="8">
        <f t="shared" ref="AK475:AK476" si="1323">SUM(O479)</f>
        <v>8239</v>
      </c>
      <c r="AL475" s="12">
        <f t="shared" ca="1" si="1309"/>
        <v>0.93627867459643166</v>
      </c>
      <c r="AM475" s="13">
        <f t="shared" ref="AM475:AM476" si="1324">SUM(Q479)</f>
        <v>1.5</v>
      </c>
      <c r="AN475" s="12">
        <f t="shared" ca="1" si="1311"/>
        <v>0.88198076369541401</v>
      </c>
      <c r="AO475" s="14">
        <f t="shared" ca="1" si="1312"/>
        <v>1.322971145543121</v>
      </c>
      <c r="AP475" s="13">
        <f t="shared" ref="AP475:AQ475" ca="1" si="1325">SUM(T479)</f>
        <v>204.99999999999963</v>
      </c>
      <c r="AQ475" s="13">
        <f t="shared" ca="1" si="1325"/>
        <v>6.8333333333333206</v>
      </c>
      <c r="AR475" s="9">
        <f t="shared" ca="1" si="1314"/>
        <v>257.13333333333333</v>
      </c>
      <c r="AS475" s="76"/>
      <c r="AT475" s="76"/>
    </row>
    <row r="476" spans="1:46" ht="15.75" customHeight="1" x14ac:dyDescent="0.25">
      <c r="A476" s="70"/>
      <c r="B476" s="16">
        <v>12</v>
      </c>
      <c r="C476" s="16" t="s">
        <v>41</v>
      </c>
      <c r="D476" s="17">
        <v>24</v>
      </c>
      <c r="E476" s="18">
        <f ca="1">IFERROR(__xludf.DUMMYFUNCTION("COUNT(IMPORTRANGE(""https://docs.google.com/spreadsheets/d/1sHk6_yuc4kORC_xnhEeazoemV_hVUQVqRpfoNae-PLk/edit"",""18!d2:d25""))"),24)</f>
        <v>24</v>
      </c>
      <c r="F476" s="23">
        <f ca="1">IFERROR(__xludf.DUMMYFUNCTION("SUM(IMPORTRANGE(""https://docs.google.com/spreadsheets/d/1sHk6_yuc4kORC_xnhEeazoemV_hVUQVqRpfoNae-PLk/edit"",""18!Q2:Q25""))"),4793.152)</f>
        <v>4793.152</v>
      </c>
      <c r="G476" s="18">
        <f ca="1">IFERROR(__xludf.DUMMYFUNCTION("IMPORTRANGE(""https://docs.google.com/spreadsheets/d/1sHk6_yuc4kORC_xnhEeazoemV_hVUQVqRpfoNae-PLk/edit"",""18!e32"")"),1254)</f>
        <v>1254</v>
      </c>
      <c r="H476" s="18">
        <f ca="1">IFERROR(__xludf.DUMMYFUNCTION("IMPORTRANGE(""https://docs.google.com/spreadsheets/d/1sHk6_yuc4kORC_xnhEeazoemV_hVUQVqRpfoNae-PLk/edit"",""18!e33"")"),149)</f>
        <v>149</v>
      </c>
      <c r="I476" s="18">
        <f t="shared" ca="1" si="1287"/>
        <v>1403</v>
      </c>
      <c r="J476" s="18">
        <f ca="1">IFERROR(__xludf.DUMMYFUNCTION("IMPORTRANGE(""https://docs.google.com/spreadsheets/d/1sHk6_yuc4kORC_xnhEeazoemV_hVUQVqRpfoNae-PLk/edit"",""18!e36"")"),1738)</f>
        <v>1738</v>
      </c>
      <c r="K476" s="18">
        <f ca="1">IFERROR(__xludf.DUMMYFUNCTION("IMPORTRANGE(""https://docs.google.com/spreadsheets/d/1sHk6_yuc4kORC_xnhEeazoemV_hVUQVqRpfoNae-PLk/edit"",""18!e37"")"),0)</f>
        <v>0</v>
      </c>
      <c r="L476" s="18">
        <f t="shared" ca="1" si="1317"/>
        <v>1738</v>
      </c>
      <c r="M476" s="18">
        <f t="shared" ca="1" si="1289"/>
        <v>3141</v>
      </c>
      <c r="N476" s="19">
        <f t="shared" ca="1" si="1290"/>
        <v>199.71466666666666</v>
      </c>
      <c r="O476" s="16">
        <v>3801</v>
      </c>
      <c r="P476" s="20">
        <f t="shared" ca="1" si="1291"/>
        <v>0.82636148382004737</v>
      </c>
      <c r="Q476" s="21">
        <v>1.5</v>
      </c>
      <c r="R476" s="20">
        <f t="shared" ca="1" si="1292"/>
        <v>0.43687327253548397</v>
      </c>
      <c r="S476" s="22">
        <f t="shared" ca="1" si="1293"/>
        <v>0.65530990880322593</v>
      </c>
      <c r="T476" s="21">
        <f ca="1">F476/29.628</f>
        <v>161.77777777777777</v>
      </c>
      <c r="U476" s="21">
        <f t="shared" ca="1" si="1294"/>
        <v>6.7407407407407405</v>
      </c>
      <c r="V476" s="18">
        <f t="shared" ca="1" si="1295"/>
        <v>130.875</v>
      </c>
      <c r="W476" s="76"/>
      <c r="X476" s="8">
        <v>6</v>
      </c>
      <c r="Y476" s="8" t="s">
        <v>42</v>
      </c>
      <c r="Z476" s="8">
        <f t="shared" ref="Z476:AI476" si="1326">SUM(D480)</f>
        <v>33</v>
      </c>
      <c r="AA476" s="9">
        <f t="shared" ca="1" si="1326"/>
        <v>33</v>
      </c>
      <c r="AB476" s="10">
        <f t="shared" ca="1" si="1326"/>
        <v>6274.1239999999898</v>
      </c>
      <c r="AC476" s="9">
        <f t="shared" ca="1" si="1326"/>
        <v>3255</v>
      </c>
      <c r="AD476" s="9">
        <f t="shared" ca="1" si="1326"/>
        <v>0</v>
      </c>
      <c r="AE476" s="9">
        <f t="shared" ca="1" si="1326"/>
        <v>3255</v>
      </c>
      <c r="AF476" s="9">
        <f t="shared" ca="1" si="1326"/>
        <v>4372</v>
      </c>
      <c r="AG476" s="9">
        <f t="shared" ca="1" si="1326"/>
        <v>0</v>
      </c>
      <c r="AH476" s="9">
        <f t="shared" ca="1" si="1326"/>
        <v>4372</v>
      </c>
      <c r="AI476" s="9">
        <f t="shared" ca="1" si="1326"/>
        <v>7627</v>
      </c>
      <c r="AJ476" s="11">
        <f t="shared" ca="1" si="1307"/>
        <v>190.1249696969694</v>
      </c>
      <c r="AK476" s="8">
        <f t="shared" si="1323"/>
        <v>9877</v>
      </c>
      <c r="AL476" s="12">
        <f t="shared" ca="1" si="1309"/>
        <v>0.77219803584084235</v>
      </c>
      <c r="AM476" s="13">
        <f t="shared" si="1324"/>
        <v>1.5</v>
      </c>
      <c r="AN476" s="12">
        <f t="shared" ca="1" si="1311"/>
        <v>0.81041858061247674</v>
      </c>
      <c r="AO476" s="14">
        <f t="shared" ca="1" si="1312"/>
        <v>1.2156278709187152</v>
      </c>
      <c r="AP476" s="13">
        <f t="shared" ref="AP476:AQ476" ca="1" si="1327">SUM(T480)</f>
        <v>239.88239342381914</v>
      </c>
      <c r="AQ476" s="13">
        <f t="shared" ca="1" si="1327"/>
        <v>7.2691634370854281</v>
      </c>
      <c r="AR476" s="9">
        <f t="shared" ca="1" si="1314"/>
        <v>231.12121212121212</v>
      </c>
      <c r="AS476" s="76"/>
      <c r="AT476" s="76"/>
    </row>
    <row r="477" spans="1:46" ht="15.75" customHeight="1" x14ac:dyDescent="0.25">
      <c r="A477" s="70"/>
      <c r="B477" s="16">
        <v>13</v>
      </c>
      <c r="C477" s="16" t="s">
        <v>43</v>
      </c>
      <c r="D477" s="17">
        <v>30</v>
      </c>
      <c r="E477" s="18">
        <f ca="1">IFERROR(__xludf.DUMMYFUNCTION("COUNT(IMPORTRANGE(""https://docs.google.com/spreadsheets/d/1uGXvAN2jA6kmcEHUY4KqOHHewllZsujDdA6KVDfBCoA/edit"",""18!d2:d31""))"),30)</f>
        <v>30</v>
      </c>
      <c r="F477" s="23">
        <f ca="1">IFERROR(__xludf.DUMMYFUNCTION("SUM(IMPORTRANGE(""https://docs.google.com/spreadsheets/d/1uGXvAN2jA6kmcEHUY4KqOHHewllZsujDdA6KVDfBCoA/edit"",""18!Q2:Q31""))"),6406.86199999999)</f>
        <v>6406.8619999999901</v>
      </c>
      <c r="G477" s="18">
        <f ca="1">IFERROR(__xludf.DUMMYFUNCTION("IMPORTRANGE(""https://docs.google.com/spreadsheets/d/1uGXvAN2jA6kmcEHUY4KqOHHewllZsujDdA6KVDfBCoA/edit"",""18!e38"")"),2287)</f>
        <v>2287</v>
      </c>
      <c r="H477" s="18">
        <f ca="1">IFERROR(__xludf.DUMMYFUNCTION("IMPORTRANGE(""https://docs.google.com/spreadsheets/d/1uGXvAN2jA6kmcEHUY4KqOHHewllZsujDdA6KVDfBCoA/edit"",""18!e39"")"),0)</f>
        <v>0</v>
      </c>
      <c r="I477" s="18">
        <f t="shared" ca="1" si="1287"/>
        <v>2287</v>
      </c>
      <c r="J477" s="18">
        <f ca="1">IFERROR(__xludf.DUMMYFUNCTION("IMPORTRANGE(""https://docs.google.com/spreadsheets/d/1uGXvAN2jA6kmcEHUY4KqOHHewllZsujDdA6KVDfBCoA/edit"",""18!e42"")"),3125)</f>
        <v>3125</v>
      </c>
      <c r="K477" s="18">
        <f ca="1">IFERROR(__xludf.DUMMYFUNCTION("IMPORTRANGE(""https://docs.google.com/spreadsheets/d/1uGXvAN2jA6kmcEHUY4KqOHHewllZsujDdA6KVDfBCoA/edit"",""18!e43"")"),228)</f>
        <v>228</v>
      </c>
      <c r="L477" s="18">
        <f t="shared" ca="1" si="1317"/>
        <v>3353</v>
      </c>
      <c r="M477" s="18">
        <f t="shared" ca="1" si="1289"/>
        <v>5640</v>
      </c>
      <c r="N477" s="19">
        <f t="shared" ca="1" si="1290"/>
        <v>213.56206666666634</v>
      </c>
      <c r="O477" s="16">
        <v>8345</v>
      </c>
      <c r="P477" s="20">
        <f t="shared" ca="1" si="1291"/>
        <v>0.67585380467345713</v>
      </c>
      <c r="Q477" s="21">
        <v>1.5</v>
      </c>
      <c r="R477" s="20">
        <f t="shared" ca="1" si="1292"/>
        <v>0.58687076450218623</v>
      </c>
      <c r="S477" s="22">
        <f t="shared" ca="1" si="1293"/>
        <v>0.88030614675327934</v>
      </c>
      <c r="T477" s="21">
        <f ca="1">F477/41.205</f>
        <v>155.48748938235627</v>
      </c>
      <c r="U477" s="21">
        <f t="shared" ca="1" si="1294"/>
        <v>5.1829163127452089</v>
      </c>
      <c r="V477" s="18">
        <f t="shared" ca="1" si="1295"/>
        <v>188</v>
      </c>
      <c r="W477" s="76"/>
      <c r="X477" s="24" t="s">
        <v>33</v>
      </c>
      <c r="Y477" s="24">
        <v>6</v>
      </c>
      <c r="Z477" s="24">
        <f t="shared" ref="Z477:AI477" si="1328">SUM(Z471:Z476)</f>
        <v>226</v>
      </c>
      <c r="AA477" s="25">
        <f t="shared" ca="1" si="1328"/>
        <v>224</v>
      </c>
      <c r="AB477" s="27">
        <f t="shared" ca="1" si="1328"/>
        <v>43236.18899999986</v>
      </c>
      <c r="AC477" s="25">
        <f t="shared" ca="1" si="1328"/>
        <v>18597</v>
      </c>
      <c r="AD477" s="25">
        <f t="shared" ca="1" si="1328"/>
        <v>63</v>
      </c>
      <c r="AE477" s="25">
        <f t="shared" ca="1" si="1328"/>
        <v>18660</v>
      </c>
      <c r="AF477" s="25">
        <f t="shared" ca="1" si="1328"/>
        <v>23372</v>
      </c>
      <c r="AG477" s="25">
        <f t="shared" ca="1" si="1328"/>
        <v>473</v>
      </c>
      <c r="AH477" s="25">
        <f t="shared" ca="1" si="1328"/>
        <v>23845</v>
      </c>
      <c r="AI477" s="25">
        <f t="shared" ca="1" si="1328"/>
        <v>42505</v>
      </c>
      <c r="AJ477" s="27">
        <f t="shared" ca="1" si="1307"/>
        <v>193.01870089285651</v>
      </c>
      <c r="AK477" s="24">
        <f>SUM(AK471:AK476)</f>
        <v>53273</v>
      </c>
      <c r="AL477" s="28">
        <f t="shared" ca="1" si="1309"/>
        <v>0.79787134195558729</v>
      </c>
      <c r="AM477" s="29">
        <v>1.5</v>
      </c>
      <c r="AN477" s="28">
        <f t="shared" ca="1" si="1311"/>
        <v>0.65539233040790801</v>
      </c>
      <c r="AO477" s="30">
        <f t="shared" ca="1" si="1312"/>
        <v>0.98308849561186207</v>
      </c>
      <c r="AP477" s="29">
        <f ca="1">SUM(AP471:AP476)</f>
        <v>1418.0044357806153</v>
      </c>
      <c r="AQ477" s="29">
        <f ca="1">AP477/AA477</f>
        <v>6.3303769454491752</v>
      </c>
      <c r="AR477" s="25">
        <f t="shared" ca="1" si="1314"/>
        <v>189.75446428571428</v>
      </c>
      <c r="AS477" s="76"/>
      <c r="AT477" s="76"/>
    </row>
    <row r="478" spans="1:46" ht="15.75" customHeight="1" x14ac:dyDescent="0.25">
      <c r="A478" s="70"/>
      <c r="B478" s="16">
        <v>14</v>
      </c>
      <c r="C478" s="16" t="s">
        <v>27</v>
      </c>
      <c r="D478" s="17">
        <v>30</v>
      </c>
      <c r="E478" s="18">
        <f ca="1">IFERROR(__xludf.DUMMYFUNCTION("COUNT(IMPORTRANGE(""https://docs.google.com/spreadsheets/d/1iYtf3wkjJIgOL8ej0-L89wY8FLXKi6EiRbi9UqA1Bzw/edit"",""18!d2:d31""))"),28)</f>
        <v>28</v>
      </c>
      <c r="F478" s="23">
        <f ca="1">IFERROR(__xludf.DUMMYFUNCTION("SUM(IMPORTRANGE(""https://docs.google.com/spreadsheets/d/1iYtf3wkjJIgOL8ej0-L89wY8FLXKi6EiRbi9UqA1Bzw/edit"",""18!Q2:Q31""))"),5098.09099999999)</f>
        <v>5098.0909999999903</v>
      </c>
      <c r="G478" s="18">
        <f ca="1">IFERROR(__xludf.DUMMYFUNCTION("IMPORTRANGE(""https://docs.google.com/spreadsheets/d/1iYtf3wkjJIgOL8ej0-L89wY8FLXKi6EiRbi9UqA1Bzw/edit"",""18!e38"")"),2433)</f>
        <v>2433</v>
      </c>
      <c r="H478" s="18">
        <f ca="1">IFERROR(__xludf.DUMMYFUNCTION("IMPORTRANGE(""https://docs.google.com/spreadsheets/d/1iYtf3wkjJIgOL8ej0-L89wY8FLXKi6EiRbi9UqA1Bzw/edit"",""18!e39"")"),216)</f>
        <v>216</v>
      </c>
      <c r="I478" s="18">
        <f t="shared" ca="1" si="1287"/>
        <v>2649</v>
      </c>
      <c r="J478" s="18">
        <f ca="1">IFERROR(__xludf.DUMMYFUNCTION("IMPORTRANGE(""https://docs.google.com/spreadsheets/d/1iYtf3wkjJIgOL8ej0-L89wY8FLXKi6EiRbi9UqA1Bzw/edit"",""18!e42"")"),2875)</f>
        <v>2875</v>
      </c>
      <c r="K478" s="18">
        <f ca="1">IFERROR(__xludf.DUMMYFUNCTION("IMPORTRANGE(""https://docs.google.com/spreadsheets/d/1iYtf3wkjJIgOL8ej0-L89wY8FLXKi6EiRbi9UqA1Bzw/edit"",""18!e43"")"),241)</f>
        <v>241</v>
      </c>
      <c r="L478" s="18">
        <f t="shared" ca="1" si="1317"/>
        <v>3116</v>
      </c>
      <c r="M478" s="18">
        <f t="shared" ca="1" si="1289"/>
        <v>5765</v>
      </c>
      <c r="N478" s="19">
        <f t="shared" ca="1" si="1290"/>
        <v>182.07467857142822</v>
      </c>
      <c r="O478" s="16">
        <v>8101</v>
      </c>
      <c r="P478" s="20">
        <f t="shared" ca="1" si="1291"/>
        <v>0.71164053820515982</v>
      </c>
      <c r="Q478" s="21">
        <v>1.5</v>
      </c>
      <c r="R478" s="20">
        <f t="shared" ca="1" si="1292"/>
        <v>0.7538769577344423</v>
      </c>
      <c r="S478" s="22">
        <f t="shared" ca="1" si="1293"/>
        <v>1.1308154366016634</v>
      </c>
      <c r="T478" s="21">
        <f ca="1">F478/19.985</f>
        <v>255.09587190392747</v>
      </c>
      <c r="U478" s="21">
        <f t="shared" ca="1" si="1294"/>
        <v>9.1105668537116955</v>
      </c>
      <c r="V478" s="18">
        <f t="shared" ca="1" si="1295"/>
        <v>205.89285714285714</v>
      </c>
      <c r="W478" s="76"/>
      <c r="X478" s="97" t="s">
        <v>44</v>
      </c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9"/>
      <c r="AS478" s="76"/>
      <c r="AT478" s="76"/>
    </row>
    <row r="479" spans="1:46" ht="15.75" customHeight="1" x14ac:dyDescent="0.25">
      <c r="A479" s="70"/>
      <c r="B479" s="16">
        <v>15</v>
      </c>
      <c r="C479" s="16" t="s">
        <v>40</v>
      </c>
      <c r="D479" s="17">
        <v>30</v>
      </c>
      <c r="E479" s="18">
        <f ca="1">IFERROR(__xludf.DUMMYFUNCTION("COUNT(IMPORTRANGE(""https://docs.google.com/spreadsheets/d/1Wdf8MsoDBzMSsrzOXwaGQzbVjVqOWfKSqYmbncevZgA/edit"",""18!d2:d31""))"),30)</f>
        <v>30</v>
      </c>
      <c r="F479" s="23">
        <f ca="1">IFERROR(__xludf.DUMMYFUNCTION("SUM(IMPORTRANGE(""https://docs.google.com/spreadsheets/d/1Wdf8MsoDBzMSsrzOXwaGQzbVjVqOWfKSqYmbncevZgA/edit"",""18!Q2:Q31""))"),5830.81499999999)</f>
        <v>5830.8149999999896</v>
      </c>
      <c r="G479" s="18">
        <f ca="1">IFERROR(__xludf.DUMMYFUNCTION("IMPORTRANGE(""https://docs.google.com/spreadsheets/d/1Wdf8MsoDBzMSsrzOXwaGQzbVjVqOWfKSqYmbncevZgA/edit"",""18!e38"")"),3655)</f>
        <v>3655</v>
      </c>
      <c r="H479" s="18">
        <f ca="1">IFERROR(__xludf.DUMMYFUNCTION("IMPORTRANGE(""https://docs.google.com/spreadsheets/d/1Wdf8MsoDBzMSsrzOXwaGQzbVjVqOWfKSqYmbncevZgA/edit"",""18!e39"")"),0)</f>
        <v>0</v>
      </c>
      <c r="I479" s="18">
        <f t="shared" ca="1" si="1287"/>
        <v>3655</v>
      </c>
      <c r="J479" s="18">
        <f ca="1">IFERROR(__xludf.DUMMYFUNCTION("IMPORTRANGE(""https://docs.google.com/spreadsheets/d/1Wdf8MsoDBzMSsrzOXwaGQzbVjVqOWfKSqYmbncevZgA/edit"",""18!e42"")"),4059)</f>
        <v>4059</v>
      </c>
      <c r="K479" s="18">
        <f ca="1">IFERROR(__xludf.DUMMYFUNCTION("IMPORTRANGE(""https://docs.google.com/spreadsheets/d/1Wdf8MsoDBzMSsrzOXwaGQzbVjVqOWfKSqYmbncevZgA/edit"",""18!e43"")"),0)</f>
        <v>0</v>
      </c>
      <c r="L479" s="18">
        <f t="shared" ca="1" si="1317"/>
        <v>4059</v>
      </c>
      <c r="M479" s="18">
        <f t="shared" ca="1" si="1289"/>
        <v>7714</v>
      </c>
      <c r="N479" s="19">
        <f t="shared" ca="1" si="1290"/>
        <v>194.36049999999966</v>
      </c>
      <c r="O479" s="16">
        <v>8239</v>
      </c>
      <c r="P479" s="20">
        <f t="shared" ca="1" si="1291"/>
        <v>0.93627867459643166</v>
      </c>
      <c r="Q479" s="21">
        <v>1.5</v>
      </c>
      <c r="R479" s="20">
        <f t="shared" ca="1" si="1292"/>
        <v>0.88198076369541401</v>
      </c>
      <c r="S479" s="22">
        <f t="shared" ca="1" si="1293"/>
        <v>1.322971145543121</v>
      </c>
      <c r="T479" s="21">
        <f ca="1">F479/28.443</f>
        <v>204.99999999999963</v>
      </c>
      <c r="U479" s="21">
        <f t="shared" ca="1" si="1294"/>
        <v>6.8333333333333206</v>
      </c>
      <c r="V479" s="18">
        <f t="shared" ca="1" si="1295"/>
        <v>257.13333333333333</v>
      </c>
      <c r="W479" s="76"/>
      <c r="X479" s="1" t="s">
        <v>2</v>
      </c>
      <c r="Y479" s="1" t="s">
        <v>3</v>
      </c>
      <c r="Z479" s="1" t="s">
        <v>4</v>
      </c>
      <c r="AA479" s="1" t="s">
        <v>5</v>
      </c>
      <c r="AB479" s="2" t="s">
        <v>6</v>
      </c>
      <c r="AC479" s="1" t="s">
        <v>7</v>
      </c>
      <c r="AD479" s="1" t="s">
        <v>8</v>
      </c>
      <c r="AE479" s="1" t="s">
        <v>9</v>
      </c>
      <c r="AF479" s="1" t="s">
        <v>10</v>
      </c>
      <c r="AG479" s="1" t="s">
        <v>11</v>
      </c>
      <c r="AH479" s="1" t="s">
        <v>12</v>
      </c>
      <c r="AI479" s="1" t="s">
        <v>13</v>
      </c>
      <c r="AJ479" s="2" t="s">
        <v>14</v>
      </c>
      <c r="AK479" s="1" t="s">
        <v>15</v>
      </c>
      <c r="AL479" s="1" t="s">
        <v>16</v>
      </c>
      <c r="AM479" s="3" t="s">
        <v>17</v>
      </c>
      <c r="AN479" s="4" t="s">
        <v>18</v>
      </c>
      <c r="AO479" s="5" t="s">
        <v>19</v>
      </c>
      <c r="AP479" s="6" t="s">
        <v>20</v>
      </c>
      <c r="AQ479" s="6" t="s">
        <v>21</v>
      </c>
      <c r="AR479" s="7" t="s">
        <v>22</v>
      </c>
      <c r="AS479" s="76"/>
      <c r="AT479" s="76"/>
    </row>
    <row r="480" spans="1:46" ht="15.75" customHeight="1" x14ac:dyDescent="0.25">
      <c r="A480" s="70"/>
      <c r="B480" s="16">
        <v>16</v>
      </c>
      <c r="C480" s="16" t="s">
        <v>42</v>
      </c>
      <c r="D480" s="17">
        <v>33</v>
      </c>
      <c r="E480" s="18">
        <f ca="1">IFERROR(__xludf.DUMMYFUNCTION("COUNT(IMPORTRANGE(""https://docs.google.com/spreadsheets/d/1Z5uB5HbeAKcHmG4EOw3rf2J8NpyvDiha6RReERAMvA0/edit"",""18!d2:d34""))"),33)</f>
        <v>33</v>
      </c>
      <c r="F480" s="23">
        <f ca="1">IFERROR(__xludf.DUMMYFUNCTION("SUM(IMPORTRANGE(""https://docs.google.com/spreadsheets/d/1Z5uB5HbeAKcHmG4EOw3rf2J8NpyvDiha6RReERAMvA0/edit"",""18!Q2:Q34""))"),6274.12399999999)</f>
        <v>6274.1239999999898</v>
      </c>
      <c r="G480" s="18">
        <f ca="1">IFERROR(__xludf.DUMMYFUNCTION("IMPORTRANGE(""https://docs.google.com/spreadsheets/d/1Z5uB5HbeAKcHmG4EOw3rf2J8NpyvDiha6RReERAMvA0/edit"",""18!e41"")"),3255)</f>
        <v>3255</v>
      </c>
      <c r="H480" s="18">
        <f ca="1">IFERROR(__xludf.DUMMYFUNCTION("IMPORTRANGE(""https://docs.google.com/spreadsheets/d/1Z5uB5HbeAKcHmG4EOw3rf2J8NpyvDiha6RReERAMvA0/edit"",""18!e42"")"),0)</f>
        <v>0</v>
      </c>
      <c r="I480" s="18">
        <f t="shared" ca="1" si="1287"/>
        <v>3255</v>
      </c>
      <c r="J480" s="18">
        <f ca="1">IFERROR(__xludf.DUMMYFUNCTION("IMPORTRANGE(""https://docs.google.com/spreadsheets/d/1Z5uB5HbeAKcHmG4EOw3rf2J8NpyvDiha6RReERAMvA0/edit"",""18!e45"")"),4372)</f>
        <v>4372</v>
      </c>
      <c r="K480" s="18">
        <f ca="1">IFERROR(__xludf.DUMMYFUNCTION("IMPORTRANGE(""https://docs.google.com/spreadsheets/d/1Z5uB5HbeAKcHmG4EOw3rf2J8NpyvDiha6RReERAMvA0/edit"",""18!e46"")"),0)</f>
        <v>0</v>
      </c>
      <c r="L480" s="18">
        <f t="shared" ca="1" si="1317"/>
        <v>4372</v>
      </c>
      <c r="M480" s="18">
        <f t="shared" ca="1" si="1289"/>
        <v>7627</v>
      </c>
      <c r="N480" s="19">
        <f t="shared" ca="1" si="1290"/>
        <v>190.1249696969694</v>
      </c>
      <c r="O480" s="16">
        <v>9877</v>
      </c>
      <c r="P480" s="20">
        <f t="shared" ca="1" si="1291"/>
        <v>0.77219803584084235</v>
      </c>
      <c r="Q480" s="21">
        <v>1.5</v>
      </c>
      <c r="R480" s="20">
        <f t="shared" ca="1" si="1292"/>
        <v>0.81041858061247674</v>
      </c>
      <c r="S480" s="22">
        <f t="shared" ca="1" si="1293"/>
        <v>1.2156278709187152</v>
      </c>
      <c r="T480" s="21">
        <f ca="1">F480/26.155</f>
        <v>239.88239342381914</v>
      </c>
      <c r="U480" s="21">
        <f t="shared" ca="1" si="1294"/>
        <v>7.2691634370854281</v>
      </c>
      <c r="V480" s="18">
        <f t="shared" ca="1" si="1295"/>
        <v>231.12121212121212</v>
      </c>
      <c r="W480" s="76"/>
      <c r="X480" s="8">
        <v>1</v>
      </c>
      <c r="Y480" s="8" t="s">
        <v>26</v>
      </c>
      <c r="Z480" s="8">
        <f t="shared" ref="Z480:AI480" si="1329">SUM(D465)</f>
        <v>20</v>
      </c>
      <c r="AA480" s="9">
        <f t="shared" ca="1" si="1329"/>
        <v>20</v>
      </c>
      <c r="AB480" s="11">
        <f t="shared" ca="1" si="1329"/>
        <v>3935.9070000000002</v>
      </c>
      <c r="AC480" s="9">
        <f t="shared" ca="1" si="1329"/>
        <v>1653</v>
      </c>
      <c r="AD480" s="9">
        <f t="shared" ca="1" si="1329"/>
        <v>0</v>
      </c>
      <c r="AE480" s="9">
        <f t="shared" ca="1" si="1329"/>
        <v>1653</v>
      </c>
      <c r="AF480" s="9">
        <f t="shared" ca="1" si="1329"/>
        <v>3151</v>
      </c>
      <c r="AG480" s="9">
        <f t="shared" ca="1" si="1329"/>
        <v>0</v>
      </c>
      <c r="AH480" s="9">
        <f t="shared" ca="1" si="1329"/>
        <v>3151</v>
      </c>
      <c r="AI480" s="9">
        <f t="shared" ca="1" si="1329"/>
        <v>4804</v>
      </c>
      <c r="AJ480" s="11">
        <f t="shared" ref="AJ480:AJ486" ca="1" si="1330">AB480/AA480</f>
        <v>196.79535000000001</v>
      </c>
      <c r="AK480" s="8">
        <f>SUM(O465)</f>
        <v>5161</v>
      </c>
      <c r="AL480" s="12">
        <f t="shared" ref="AL480:AL486" ca="1" si="1331">AI480/AK480</f>
        <v>0.93082735903894598</v>
      </c>
      <c r="AM480" s="13">
        <f>SUM(Q465)</f>
        <v>1.5</v>
      </c>
      <c r="AN480" s="12">
        <f t="shared" ref="AN480:AN486" ca="1" si="1332">AO480/AM480</f>
        <v>0.81370486311456702</v>
      </c>
      <c r="AO480" s="14">
        <f t="shared" ref="AO480:AO486" ca="1" si="1333">AI480/AB480</f>
        <v>1.2205572946718506</v>
      </c>
      <c r="AP480" s="13">
        <f t="shared" ref="AP480:AQ480" ca="1" si="1334">SUM(T465)</f>
        <v>273.04245577523415</v>
      </c>
      <c r="AQ480" s="13">
        <f t="shared" ca="1" si="1334"/>
        <v>13.652122788761707</v>
      </c>
      <c r="AR480" s="9">
        <f t="shared" ref="AR480:AR486" ca="1" si="1335">AI480/AA480</f>
        <v>240.2</v>
      </c>
      <c r="AS480" s="76"/>
      <c r="AT480" s="76"/>
    </row>
    <row r="481" spans="1:46" ht="15.75" customHeight="1" x14ac:dyDescent="0.25">
      <c r="A481" s="70"/>
      <c r="B481" s="16">
        <v>17</v>
      </c>
      <c r="C481" s="16" t="s">
        <v>29</v>
      </c>
      <c r="D481" s="17">
        <v>30</v>
      </c>
      <c r="E481" s="18">
        <f ca="1">IFERROR(__xludf.DUMMYFUNCTION("COUNT(IMPORTRANGE(""https://docs.google.com/spreadsheets/d/1wfJqI0e9wVPqEQv3N6b8KgINjqI0OBECEyIFeY9j3i8/edit"",""18!d2:d31""))"),30)</f>
        <v>30</v>
      </c>
      <c r="F481" s="23">
        <f ca="1">IFERROR(__xludf.DUMMYFUNCTION("SUM(IMPORTRANGE(""https://docs.google.com/spreadsheets/d/1wfJqI0e9wVPqEQv3N6b8KgINjqI0OBECEyIFeY9j3i8/edit"",""18!Q2:Q31""))"),6172.40299999999)</f>
        <v>6172.4029999999902</v>
      </c>
      <c r="G481" s="18">
        <f ca="1">IFERROR(__xludf.DUMMYFUNCTION("IMPORTRANGE(""https://docs.google.com/spreadsheets/d/1wfJqI0e9wVPqEQv3N6b8KgINjqI0OBECEyIFeY9j3i8/edit"",""18!e38"")"),2876)</f>
        <v>2876</v>
      </c>
      <c r="H481" s="18">
        <f ca="1">IFERROR(__xludf.DUMMYFUNCTION("IMPORTRANGE(""https://docs.google.com/spreadsheets/d/1wfJqI0e9wVPqEQv3N6b8KgINjqI0OBECEyIFeY9j3i8/edit"",""18!e39"")"),0)</f>
        <v>0</v>
      </c>
      <c r="I481" s="18">
        <f t="shared" ca="1" si="1287"/>
        <v>2876</v>
      </c>
      <c r="J481" s="18">
        <f ca="1">IFERROR(__xludf.DUMMYFUNCTION("IMPORTRANGE(""https://docs.google.com/spreadsheets/d/1wfJqI0e9wVPqEQv3N6b8KgINjqI0OBECEyIFeY9j3i8/edit"",""18!e42"")"),4144)</f>
        <v>4144</v>
      </c>
      <c r="K481" s="18">
        <f ca="1">IFERROR(__xludf.DUMMYFUNCTION("IMPORTRANGE(""https://docs.google.com/spreadsheets/d/1wfJqI0e9wVPqEQv3N6b8KgINjqI0OBECEyIFeY9j3i8/edit"",""18!e43"")"),0)</f>
        <v>0</v>
      </c>
      <c r="L481" s="18">
        <f t="shared" ca="1" si="1317"/>
        <v>4144</v>
      </c>
      <c r="M481" s="18">
        <f t="shared" ca="1" si="1289"/>
        <v>7020</v>
      </c>
      <c r="N481" s="19">
        <f t="shared" ca="1" si="1290"/>
        <v>205.74676666666633</v>
      </c>
      <c r="O481" s="16">
        <v>9201</v>
      </c>
      <c r="P481" s="20">
        <f t="shared" ca="1" si="1291"/>
        <v>0.76296054776654709</v>
      </c>
      <c r="Q481" s="21">
        <v>1.5</v>
      </c>
      <c r="R481" s="20">
        <f t="shared" ca="1" si="1292"/>
        <v>0.75821361631766548</v>
      </c>
      <c r="S481" s="22">
        <f t="shared" ca="1" si="1293"/>
        <v>1.1373204244764983</v>
      </c>
      <c r="T481" s="21">
        <f ca="1">F481/26.491</f>
        <v>232.99999999999963</v>
      </c>
      <c r="U481" s="21">
        <f t="shared" ca="1" si="1294"/>
        <v>7.7666666666666542</v>
      </c>
      <c r="V481" s="18">
        <f t="shared" ca="1" si="1295"/>
        <v>234</v>
      </c>
      <c r="W481" s="76"/>
      <c r="X481" s="8">
        <v>2</v>
      </c>
      <c r="Y481" s="8" t="s">
        <v>32</v>
      </c>
      <c r="Z481" s="8">
        <f t="shared" ref="Z481:AI481" si="1336">SUM(D468)</f>
        <v>42</v>
      </c>
      <c r="AA481" s="9">
        <f t="shared" ca="1" si="1336"/>
        <v>41</v>
      </c>
      <c r="AB481" s="10">
        <f t="shared" ca="1" si="1336"/>
        <v>8240.6619999999893</v>
      </c>
      <c r="AC481" s="8">
        <f t="shared" ca="1" si="1336"/>
        <v>4792</v>
      </c>
      <c r="AD481" s="8">
        <f t="shared" ca="1" si="1336"/>
        <v>0</v>
      </c>
      <c r="AE481" s="9">
        <f t="shared" ca="1" si="1336"/>
        <v>4792</v>
      </c>
      <c r="AF481" s="8">
        <f t="shared" ca="1" si="1336"/>
        <v>5230</v>
      </c>
      <c r="AG481" s="8">
        <f t="shared" ca="1" si="1336"/>
        <v>65</v>
      </c>
      <c r="AH481" s="9">
        <f t="shared" ca="1" si="1336"/>
        <v>5295</v>
      </c>
      <c r="AI481" s="9">
        <f t="shared" ca="1" si="1336"/>
        <v>10087</v>
      </c>
      <c r="AJ481" s="11">
        <f t="shared" ca="1" si="1330"/>
        <v>200.99175609756071</v>
      </c>
      <c r="AK481" s="8">
        <f>SUM(O468)</f>
        <v>13817</v>
      </c>
      <c r="AL481" s="12">
        <f t="shared" ca="1" si="1331"/>
        <v>0.73004270102048197</v>
      </c>
      <c r="AM481" s="13">
        <f>SUM(Q468)</f>
        <v>1.5</v>
      </c>
      <c r="AN481" s="12">
        <f t="shared" ca="1" si="1332"/>
        <v>0.81603476355014626</v>
      </c>
      <c r="AO481" s="14">
        <f t="shared" ca="1" si="1333"/>
        <v>1.2240521453252193</v>
      </c>
      <c r="AP481" s="13">
        <f t="shared" ref="AP481:AQ481" ca="1" si="1337">SUM(T468)</f>
        <v>328.45717246602055</v>
      </c>
      <c r="AQ481" s="13">
        <f t="shared" ca="1" si="1337"/>
        <v>8.0111505479517202</v>
      </c>
      <c r="AR481" s="9">
        <f t="shared" ca="1" si="1335"/>
        <v>246.02439024390245</v>
      </c>
      <c r="AS481" s="76"/>
      <c r="AT481" s="76"/>
    </row>
    <row r="482" spans="1:46" ht="15.75" customHeight="1" x14ac:dyDescent="0.25">
      <c r="A482" s="70"/>
      <c r="B482" s="16">
        <v>18</v>
      </c>
      <c r="C482" s="16" t="s">
        <v>31</v>
      </c>
      <c r="D482" s="17">
        <v>15</v>
      </c>
      <c r="E482" s="18">
        <f ca="1">IFERROR(__xludf.DUMMYFUNCTION("COUNT(IMPORTRANGE(""https://docs.google.com/spreadsheets/d/1-y2KhTAo7d8kowgUuWUDfRQuRMUAFteRYEXorT3_wOs/edit"",""18!d2:d16""))"),14)</f>
        <v>14</v>
      </c>
      <c r="F482" s="19">
        <f ca="1">IFERROR(__xludf.DUMMYFUNCTION("SUM(IMPORTRANGE(""https://docs.google.com/spreadsheets/d/1-y2KhTAo7d8kowgUuWUDfRQuRMUAFteRYEXorT3_wOs/edit"",""18!Q2:Q16""))"),2738.29499999999)</f>
        <v>2738.2949999999901</v>
      </c>
      <c r="G482" s="18">
        <f ca="1">IFERROR(__xludf.DUMMYFUNCTION("IMPORTRANGE(""https://docs.google.com/spreadsheets/d/1-y2KhTAo7d8kowgUuWUDfRQuRMUAFteRYEXorT3_wOs/edit"",""18!e23"")"),755)</f>
        <v>755</v>
      </c>
      <c r="H482" s="18">
        <f ca="1">IFERROR(__xludf.DUMMYFUNCTION("IMPORTRANGE(""https://docs.google.com/spreadsheets/d/1-y2KhTAo7d8kowgUuWUDfRQuRMUAFteRYEXorT3_wOs/edit"",""18!e24"")"),11)</f>
        <v>11</v>
      </c>
      <c r="I482" s="18">
        <f t="shared" ca="1" si="1287"/>
        <v>766</v>
      </c>
      <c r="J482" s="18">
        <f ca="1">IFERROR(__xludf.DUMMYFUNCTION("IMPORTRANGE(""https://docs.google.com/spreadsheets/d/1-y2KhTAo7d8kowgUuWUDfRQuRMUAFteRYEXorT3_wOs/edit"",""18!e27"")"),1074)</f>
        <v>1074</v>
      </c>
      <c r="K482" s="18">
        <f ca="1">IFERROR(__xludf.DUMMYFUNCTION("IMPORTRANGE(""https://docs.google.com/spreadsheets/d/1-y2KhTAo7d8kowgUuWUDfRQuRMUAFteRYEXorT3_wOs/edit"",""18!e28"")"),0)</f>
        <v>0</v>
      </c>
      <c r="L482" s="18">
        <f t="shared" ca="1" si="1317"/>
        <v>1074</v>
      </c>
      <c r="M482" s="18">
        <f t="shared" ca="1" si="1289"/>
        <v>1840</v>
      </c>
      <c r="N482" s="19">
        <f t="shared" ca="1" si="1290"/>
        <v>195.59249999999929</v>
      </c>
      <c r="O482" s="16">
        <v>2717</v>
      </c>
      <c r="P482" s="20">
        <f t="shared" ca="1" si="1291"/>
        <v>0.67721751932278251</v>
      </c>
      <c r="Q482" s="21">
        <v>1.5</v>
      </c>
      <c r="R482" s="20">
        <f t="shared" ca="1" si="1292"/>
        <v>0.44796731786263755</v>
      </c>
      <c r="S482" s="22">
        <f t="shared" ca="1" si="1293"/>
        <v>0.67195097679395632</v>
      </c>
      <c r="T482" s="21">
        <f ca="1">F482/43.465</f>
        <v>62.999999999999766</v>
      </c>
      <c r="U482" s="21">
        <f t="shared" ca="1" si="1294"/>
        <v>4.4999999999999831</v>
      </c>
      <c r="V482" s="18">
        <f t="shared" ca="1" si="1295"/>
        <v>131.42857142857142</v>
      </c>
      <c r="W482" s="76"/>
      <c r="X482" s="8">
        <v>3</v>
      </c>
      <c r="Y482" s="8" t="s">
        <v>36</v>
      </c>
      <c r="Z482" s="8">
        <f t="shared" ref="Z482:AI482" si="1338">SUM(D473)</f>
        <v>30</v>
      </c>
      <c r="AA482" s="9">
        <f t="shared" ca="1" si="1338"/>
        <v>30</v>
      </c>
      <c r="AB482" s="10">
        <f t="shared" ca="1" si="1338"/>
        <v>5851.3009999999904</v>
      </c>
      <c r="AC482" s="9">
        <f t="shared" ca="1" si="1338"/>
        <v>1656</v>
      </c>
      <c r="AD482" s="9">
        <f t="shared" ca="1" si="1338"/>
        <v>0</v>
      </c>
      <c r="AE482" s="9">
        <f t="shared" ca="1" si="1338"/>
        <v>1656</v>
      </c>
      <c r="AF482" s="9">
        <f t="shared" ca="1" si="1338"/>
        <v>1947</v>
      </c>
      <c r="AG482" s="9">
        <f t="shared" ca="1" si="1338"/>
        <v>0</v>
      </c>
      <c r="AH482" s="9">
        <f t="shared" ca="1" si="1338"/>
        <v>1947</v>
      </c>
      <c r="AI482" s="9">
        <f t="shared" ca="1" si="1338"/>
        <v>3603</v>
      </c>
      <c r="AJ482" s="11">
        <f t="shared" ca="1" si="1330"/>
        <v>195.04336666666634</v>
      </c>
      <c r="AK482" s="8">
        <f t="shared" ref="AK482:AK485" si="1339">SUM(O473)</f>
        <v>4796</v>
      </c>
      <c r="AL482" s="12">
        <f t="shared" ca="1" si="1331"/>
        <v>0.75125104253544617</v>
      </c>
      <c r="AM482" s="13">
        <f t="shared" ref="AM482:AM485" si="1340">SUM(Q473)</f>
        <v>1.5</v>
      </c>
      <c r="AN482" s="12">
        <f t="shared" ca="1" si="1332"/>
        <v>0.41050699664912194</v>
      </c>
      <c r="AO482" s="14">
        <f t="shared" ca="1" si="1333"/>
        <v>0.6157604949736829</v>
      </c>
      <c r="AP482" s="13">
        <f t="shared" ref="AP482:AQ482" ca="1" si="1341">SUM(T473)</f>
        <v>156.39335542844898</v>
      </c>
      <c r="AQ482" s="13">
        <f t="shared" ca="1" si="1341"/>
        <v>5.2131118476149663</v>
      </c>
      <c r="AR482" s="9">
        <f t="shared" ca="1" si="1335"/>
        <v>120.1</v>
      </c>
      <c r="AS482" s="76"/>
      <c r="AT482" s="76"/>
    </row>
    <row r="483" spans="1:46" ht="15.75" customHeight="1" x14ac:dyDescent="0.2">
      <c r="A483" s="70"/>
      <c r="B483" s="98" t="s">
        <v>33</v>
      </c>
      <c r="C483" s="98">
        <v>18</v>
      </c>
      <c r="D483" s="98">
        <f t="shared" ref="D483:M483" si="1342">SUM(D465:D482)</f>
        <v>586</v>
      </c>
      <c r="E483" s="74">
        <f t="shared" ca="1" si="1342"/>
        <v>577</v>
      </c>
      <c r="F483" s="99">
        <f t="shared" ca="1" si="1342"/>
        <v>112106.2839999998</v>
      </c>
      <c r="G483" s="74">
        <f t="shared" ca="1" si="1342"/>
        <v>42491</v>
      </c>
      <c r="H483" s="74">
        <f t="shared" ca="1" si="1342"/>
        <v>941</v>
      </c>
      <c r="I483" s="74">
        <f t="shared" ca="1" si="1342"/>
        <v>43432</v>
      </c>
      <c r="J483" s="74">
        <f t="shared" ca="1" si="1342"/>
        <v>57042</v>
      </c>
      <c r="K483" s="74">
        <f t="shared" ca="1" si="1342"/>
        <v>1317</v>
      </c>
      <c r="L483" s="74">
        <f t="shared" ca="1" si="1342"/>
        <v>58359</v>
      </c>
      <c r="M483" s="74">
        <f t="shared" ca="1" si="1342"/>
        <v>101791</v>
      </c>
      <c r="N483" s="99">
        <f t="shared" ca="1" si="1290"/>
        <v>194.29165337954905</v>
      </c>
      <c r="O483" s="98">
        <f>SUM(O465:O482)</f>
        <v>126399</v>
      </c>
      <c r="P483" s="69">
        <f t="shared" ca="1" si="1291"/>
        <v>0.80531491546610334</v>
      </c>
      <c r="Q483" s="72">
        <v>1.5</v>
      </c>
      <c r="R483" s="69">
        <f t="shared" ca="1" si="1292"/>
        <v>0.60532437830752461</v>
      </c>
      <c r="S483" s="73">
        <f t="shared" ca="1" si="1293"/>
        <v>0.90798656746128692</v>
      </c>
      <c r="T483" s="72">
        <f ca="1">SUM(T465:T482)</f>
        <v>4129.5200502534044</v>
      </c>
      <c r="U483" s="72">
        <f t="shared" ca="1" si="1294"/>
        <v>7.1568805030388294</v>
      </c>
      <c r="V483" s="74">
        <f t="shared" ca="1" si="1295"/>
        <v>176.41421143847487</v>
      </c>
      <c r="W483" s="76"/>
      <c r="X483" s="8">
        <v>4</v>
      </c>
      <c r="Y483" s="8" t="s">
        <v>37</v>
      </c>
      <c r="Z483" s="8">
        <f t="shared" ref="Z483:AI483" si="1343">SUM(D474)</f>
        <v>30</v>
      </c>
      <c r="AA483" s="9">
        <f t="shared" ca="1" si="1343"/>
        <v>30</v>
      </c>
      <c r="AB483" s="10">
        <f t="shared" ca="1" si="1343"/>
        <v>5936.1480000000001</v>
      </c>
      <c r="AC483" s="9">
        <f t="shared" ca="1" si="1343"/>
        <v>2020</v>
      </c>
      <c r="AD483" s="9">
        <f t="shared" ca="1" si="1343"/>
        <v>0</v>
      </c>
      <c r="AE483" s="9">
        <f t="shared" ca="1" si="1343"/>
        <v>2020</v>
      </c>
      <c r="AF483" s="9">
        <f t="shared" ca="1" si="1343"/>
        <v>3534</v>
      </c>
      <c r="AG483" s="9">
        <f t="shared" ca="1" si="1343"/>
        <v>0</v>
      </c>
      <c r="AH483" s="9">
        <f t="shared" ca="1" si="1343"/>
        <v>3534</v>
      </c>
      <c r="AI483" s="9">
        <f t="shared" ca="1" si="1343"/>
        <v>5554</v>
      </c>
      <c r="AJ483" s="11">
        <f t="shared" ca="1" si="1330"/>
        <v>197.8716</v>
      </c>
      <c r="AK483" s="8">
        <f t="shared" si="1339"/>
        <v>5887</v>
      </c>
      <c r="AL483" s="12">
        <f t="shared" ca="1" si="1331"/>
        <v>0.94343468659758789</v>
      </c>
      <c r="AM483" s="13">
        <f t="shared" si="1340"/>
        <v>1.5</v>
      </c>
      <c r="AN483" s="12">
        <f t="shared" ca="1" si="1332"/>
        <v>0.62374904848508939</v>
      </c>
      <c r="AO483" s="14">
        <f t="shared" ca="1" si="1333"/>
        <v>0.93562357272763408</v>
      </c>
      <c r="AP483" s="13">
        <f t="shared" ref="AP483:AQ483" ca="1" si="1344">SUM(T474)</f>
        <v>239.4380445304937</v>
      </c>
      <c r="AQ483" s="13">
        <f t="shared" ca="1" si="1344"/>
        <v>7.9812681510164563</v>
      </c>
      <c r="AR483" s="9">
        <f t="shared" ca="1" si="1335"/>
        <v>185.13333333333333</v>
      </c>
      <c r="AS483" s="76"/>
      <c r="AT483" s="76"/>
    </row>
    <row r="484" spans="1:46" ht="15.75" customHeight="1" x14ac:dyDescent="0.2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6"/>
      <c r="X484" s="8">
        <v>5</v>
      </c>
      <c r="Y484" s="8" t="s">
        <v>39</v>
      </c>
      <c r="Z484" s="8">
        <f t="shared" ref="Z484:AI484" si="1345">SUM(D475)</f>
        <v>28</v>
      </c>
      <c r="AA484" s="9">
        <f t="shared" ca="1" si="1345"/>
        <v>26</v>
      </c>
      <c r="AB484" s="10">
        <f t="shared" ca="1" si="1345"/>
        <v>5349.7439999999997</v>
      </c>
      <c r="AC484" s="9">
        <f t="shared" ca="1" si="1345"/>
        <v>1444</v>
      </c>
      <c r="AD484" s="9">
        <f t="shared" ca="1" si="1345"/>
        <v>11</v>
      </c>
      <c r="AE484" s="9">
        <f t="shared" ca="1" si="1345"/>
        <v>1455</v>
      </c>
      <c r="AF484" s="9">
        <f t="shared" ca="1" si="1345"/>
        <v>1813</v>
      </c>
      <c r="AG484" s="9">
        <f t="shared" ca="1" si="1345"/>
        <v>0</v>
      </c>
      <c r="AH484" s="9">
        <f t="shared" ca="1" si="1345"/>
        <v>1813</v>
      </c>
      <c r="AI484" s="9">
        <f t="shared" ca="1" si="1345"/>
        <v>3268</v>
      </c>
      <c r="AJ484" s="11">
        <f t="shared" ca="1" si="1330"/>
        <v>205.75938461538459</v>
      </c>
      <c r="AK484" s="8">
        <f t="shared" si="1339"/>
        <v>3569</v>
      </c>
      <c r="AL484" s="12">
        <f t="shared" ca="1" si="1331"/>
        <v>0.91566265060240959</v>
      </c>
      <c r="AM484" s="13">
        <f t="shared" si="1340"/>
        <v>1.5</v>
      </c>
      <c r="AN484" s="12">
        <f t="shared" ca="1" si="1332"/>
        <v>0.40724690128474683</v>
      </c>
      <c r="AO484" s="14">
        <f t="shared" ca="1" si="1333"/>
        <v>0.61087035192712025</v>
      </c>
      <c r="AP484" s="13">
        <f t="shared" ref="AP484:AQ484" ca="1" si="1346">SUM(T475)</f>
        <v>249.25425150258582</v>
      </c>
      <c r="AQ484" s="13">
        <f t="shared" ca="1" si="1346"/>
        <v>9.5867019808686855</v>
      </c>
      <c r="AR484" s="9">
        <f t="shared" ca="1" si="1335"/>
        <v>125.69230769230769</v>
      </c>
      <c r="AS484" s="76"/>
      <c r="AT484" s="76"/>
    </row>
    <row r="485" spans="1:46" ht="15.75" customHeight="1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6"/>
      <c r="X485" s="8">
        <v>6</v>
      </c>
      <c r="Y485" s="8" t="s">
        <v>41</v>
      </c>
      <c r="Z485" s="8">
        <f t="shared" ref="Z485:AI485" si="1347">SUM(D476)</f>
        <v>24</v>
      </c>
      <c r="AA485" s="9">
        <f t="shared" ca="1" si="1347"/>
        <v>24</v>
      </c>
      <c r="AB485" s="10">
        <f t="shared" ca="1" si="1347"/>
        <v>4793.152</v>
      </c>
      <c r="AC485" s="9">
        <f t="shared" ca="1" si="1347"/>
        <v>1254</v>
      </c>
      <c r="AD485" s="9">
        <f t="shared" ca="1" si="1347"/>
        <v>149</v>
      </c>
      <c r="AE485" s="9">
        <f t="shared" ca="1" si="1347"/>
        <v>1403</v>
      </c>
      <c r="AF485" s="9">
        <f t="shared" ca="1" si="1347"/>
        <v>1738</v>
      </c>
      <c r="AG485" s="9">
        <f t="shared" ca="1" si="1347"/>
        <v>0</v>
      </c>
      <c r="AH485" s="9">
        <f t="shared" ca="1" si="1347"/>
        <v>1738</v>
      </c>
      <c r="AI485" s="9">
        <f t="shared" ca="1" si="1347"/>
        <v>3141</v>
      </c>
      <c r="AJ485" s="11">
        <f t="shared" ca="1" si="1330"/>
        <v>199.71466666666666</v>
      </c>
      <c r="AK485" s="8">
        <f t="shared" si="1339"/>
        <v>3801</v>
      </c>
      <c r="AL485" s="12">
        <f t="shared" ca="1" si="1331"/>
        <v>0.82636148382004737</v>
      </c>
      <c r="AM485" s="13">
        <f t="shared" si="1340"/>
        <v>1.5</v>
      </c>
      <c r="AN485" s="12">
        <f t="shared" ca="1" si="1332"/>
        <v>0.43687327253548397</v>
      </c>
      <c r="AO485" s="14">
        <f t="shared" ca="1" si="1333"/>
        <v>0.65530990880322593</v>
      </c>
      <c r="AP485" s="13">
        <f t="shared" ref="AP485:AQ485" ca="1" si="1348">SUM(T476)</f>
        <v>161.77777777777777</v>
      </c>
      <c r="AQ485" s="13">
        <f t="shared" ca="1" si="1348"/>
        <v>6.7407407407407405</v>
      </c>
      <c r="AR485" s="9">
        <f t="shared" ca="1" si="1335"/>
        <v>130.875</v>
      </c>
      <c r="AS485" s="76"/>
      <c r="AT485" s="76"/>
    </row>
    <row r="486" spans="1:46" ht="15.75" customHeight="1" x14ac:dyDescent="0.25">
      <c r="A486" s="110" t="s">
        <v>45</v>
      </c>
      <c r="B486" s="76"/>
      <c r="C486" s="76"/>
      <c r="D486" s="75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24" t="s">
        <v>33</v>
      </c>
      <c r="Y486" s="24">
        <v>6</v>
      </c>
      <c r="Z486" s="24">
        <f t="shared" ref="Z486:AI486" si="1349">SUM(Z480:Z485)</f>
        <v>174</v>
      </c>
      <c r="AA486" s="25">
        <f t="shared" ca="1" si="1349"/>
        <v>171</v>
      </c>
      <c r="AB486" s="27">
        <f t="shared" ca="1" si="1349"/>
        <v>34106.913999999982</v>
      </c>
      <c r="AC486" s="25">
        <f t="shared" ca="1" si="1349"/>
        <v>12819</v>
      </c>
      <c r="AD486" s="25">
        <f t="shared" ca="1" si="1349"/>
        <v>160</v>
      </c>
      <c r="AE486" s="25">
        <f t="shared" ca="1" si="1349"/>
        <v>12979</v>
      </c>
      <c r="AF486" s="25">
        <f t="shared" ca="1" si="1349"/>
        <v>17413</v>
      </c>
      <c r="AG486" s="25">
        <f t="shared" ca="1" si="1349"/>
        <v>65</v>
      </c>
      <c r="AH486" s="25">
        <f t="shared" ca="1" si="1349"/>
        <v>17478</v>
      </c>
      <c r="AI486" s="25">
        <f t="shared" ca="1" si="1349"/>
        <v>30457</v>
      </c>
      <c r="AJ486" s="27">
        <f t="shared" ca="1" si="1330"/>
        <v>199.45563742690049</v>
      </c>
      <c r="AK486" s="24">
        <f>SUM(AK480:AK485)</f>
        <v>37031</v>
      </c>
      <c r="AL486" s="28">
        <f t="shared" ca="1" si="1331"/>
        <v>0.82247306310928681</v>
      </c>
      <c r="AM486" s="29">
        <v>1.5</v>
      </c>
      <c r="AN486" s="28">
        <f t="shared" ca="1" si="1332"/>
        <v>0.59532406440133157</v>
      </c>
      <c r="AO486" s="30">
        <f t="shared" ca="1" si="1333"/>
        <v>0.89298609660199735</v>
      </c>
      <c r="AP486" s="29">
        <f ca="1">SUM(AP480:AP485)</f>
        <v>1408.3630574805611</v>
      </c>
      <c r="AQ486" s="29">
        <f ca="1">AP486/AA486</f>
        <v>8.2360412718161466</v>
      </c>
      <c r="AR486" s="25">
        <f t="shared" ca="1" si="1335"/>
        <v>178.11111111111111</v>
      </c>
      <c r="AS486" s="76"/>
      <c r="AT486" s="76"/>
    </row>
    <row r="487" spans="1:46" ht="15.75" customHeight="1" x14ac:dyDescent="0.2">
      <c r="A487" s="110" t="s">
        <v>45</v>
      </c>
      <c r="B487" s="76"/>
      <c r="C487" s="76"/>
      <c r="D487" s="75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7" t="s">
        <v>1</v>
      </c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9"/>
      <c r="AS487" s="76"/>
      <c r="AT487" s="76"/>
    </row>
    <row r="488" spans="1:46" ht="15.75" customHeight="1" x14ac:dyDescent="0.2">
      <c r="A488" s="113">
        <v>46284</v>
      </c>
      <c r="B488" s="80" t="s">
        <v>2</v>
      </c>
      <c r="C488" s="80" t="s">
        <v>3</v>
      </c>
      <c r="D488" s="80" t="s">
        <v>4</v>
      </c>
      <c r="E488" s="80" t="s">
        <v>5</v>
      </c>
      <c r="F488" s="81" t="s">
        <v>6</v>
      </c>
      <c r="G488" s="80" t="s">
        <v>7</v>
      </c>
      <c r="H488" s="80" t="s">
        <v>8</v>
      </c>
      <c r="I488" s="80" t="s">
        <v>9</v>
      </c>
      <c r="J488" s="80" t="s">
        <v>10</v>
      </c>
      <c r="K488" s="80" t="s">
        <v>11</v>
      </c>
      <c r="L488" s="80" t="s">
        <v>12</v>
      </c>
      <c r="M488" s="80" t="s">
        <v>13</v>
      </c>
      <c r="N488" s="81" t="s">
        <v>14</v>
      </c>
      <c r="O488" s="80" t="s">
        <v>15</v>
      </c>
      <c r="P488" s="80" t="s">
        <v>16</v>
      </c>
      <c r="Q488" s="80" t="s">
        <v>17</v>
      </c>
      <c r="R488" s="80" t="s">
        <v>18</v>
      </c>
      <c r="S488" s="106" t="s">
        <v>19</v>
      </c>
      <c r="T488" s="107" t="s">
        <v>20</v>
      </c>
      <c r="U488" s="107" t="s">
        <v>21</v>
      </c>
      <c r="V488" s="105" t="s">
        <v>22</v>
      </c>
      <c r="W488" s="76"/>
      <c r="X488" s="1" t="s">
        <v>2</v>
      </c>
      <c r="Y488" s="1" t="s">
        <v>3</v>
      </c>
      <c r="Z488" s="1" t="s">
        <v>4</v>
      </c>
      <c r="AA488" s="1" t="s">
        <v>5</v>
      </c>
      <c r="AB488" s="2" t="s">
        <v>6</v>
      </c>
      <c r="AC488" s="1" t="s">
        <v>7</v>
      </c>
      <c r="AD488" s="1" t="s">
        <v>8</v>
      </c>
      <c r="AE488" s="1" t="s">
        <v>9</v>
      </c>
      <c r="AF488" s="1" t="s">
        <v>10</v>
      </c>
      <c r="AG488" s="1" t="s">
        <v>11</v>
      </c>
      <c r="AH488" s="1" t="s">
        <v>12</v>
      </c>
      <c r="AI488" s="1" t="s">
        <v>13</v>
      </c>
      <c r="AJ488" s="2" t="s">
        <v>14</v>
      </c>
      <c r="AK488" s="1" t="s">
        <v>15</v>
      </c>
      <c r="AL488" s="1" t="s">
        <v>16</v>
      </c>
      <c r="AM488" s="3" t="s">
        <v>17</v>
      </c>
      <c r="AN488" s="4" t="s">
        <v>18</v>
      </c>
      <c r="AO488" s="5" t="s">
        <v>19</v>
      </c>
      <c r="AP488" s="6" t="s">
        <v>20</v>
      </c>
      <c r="AQ488" s="6" t="s">
        <v>21</v>
      </c>
      <c r="AR488" s="7" t="s">
        <v>22</v>
      </c>
      <c r="AS488" s="76"/>
      <c r="AT488" s="76"/>
    </row>
    <row r="489" spans="1:46" ht="15.75" customHeight="1" x14ac:dyDescent="0.2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6"/>
      <c r="X489" s="8">
        <v>1</v>
      </c>
      <c r="Y489" s="8" t="s">
        <v>23</v>
      </c>
      <c r="Z489" s="8">
        <f t="shared" ref="Z489:AI489" si="1350">SUM(D497)</f>
        <v>28</v>
      </c>
      <c r="AA489" s="9">
        <f t="shared" ca="1" si="1350"/>
        <v>27</v>
      </c>
      <c r="AB489" s="10">
        <f t="shared" ca="1" si="1350"/>
        <v>5364.6599999999899</v>
      </c>
      <c r="AC489" s="9">
        <f t="shared" ca="1" si="1350"/>
        <v>1231</v>
      </c>
      <c r="AD489" s="9">
        <f t="shared" ca="1" si="1350"/>
        <v>0</v>
      </c>
      <c r="AE489" s="9">
        <f t="shared" ca="1" si="1350"/>
        <v>1231</v>
      </c>
      <c r="AF489" s="9">
        <f t="shared" ca="1" si="1350"/>
        <v>2721</v>
      </c>
      <c r="AG489" s="9">
        <f t="shared" ca="1" si="1350"/>
        <v>0</v>
      </c>
      <c r="AH489" s="9">
        <f t="shared" ca="1" si="1350"/>
        <v>2721</v>
      </c>
      <c r="AI489" s="9">
        <f t="shared" ca="1" si="1350"/>
        <v>3952</v>
      </c>
      <c r="AJ489" s="11">
        <f t="shared" ref="AJ489:AJ491" ca="1" si="1351">AB489/AA489</f>
        <v>198.69111111111073</v>
      </c>
      <c r="AK489" s="8">
        <f>SUM(O497)</f>
        <v>6853</v>
      </c>
      <c r="AL489" s="12">
        <f t="shared" ref="AL489:AL495" ca="1" si="1352">AI489/AK489</f>
        <v>0.57668174522107107</v>
      </c>
      <c r="AM489" s="13">
        <f t="shared" ref="AM489:AM491" si="1353">SUM(Q497)</f>
        <v>1.5</v>
      </c>
      <c r="AN489" s="12">
        <f t="shared" ref="AN489:AN495" ca="1" si="1354">AO489/AM489</f>
        <v>0.49111531143943354</v>
      </c>
      <c r="AO489" s="14">
        <f t="shared" ref="AO489:AO495" ca="1" si="1355">AI489/AB489</f>
        <v>0.73667296715915032</v>
      </c>
      <c r="AP489" s="13">
        <f t="shared" ref="AP489:AQ489" ca="1" si="1356">SUM(T497)</f>
        <v>158.99999999999969</v>
      </c>
      <c r="AQ489" s="13">
        <f t="shared" ca="1" si="1356"/>
        <v>5.8888888888888777</v>
      </c>
      <c r="AR489" s="9">
        <f t="shared" ref="AR489:AR495" ca="1" si="1357">AI489/AA489</f>
        <v>146.37037037037038</v>
      </c>
      <c r="AS489" s="76"/>
      <c r="AT489" s="76"/>
    </row>
    <row r="490" spans="1:46" ht="15.75" customHeight="1" x14ac:dyDescent="0.2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6"/>
      <c r="X490" s="8">
        <v>2</v>
      </c>
      <c r="Y490" s="8" t="s">
        <v>24</v>
      </c>
      <c r="Z490" s="8">
        <f t="shared" ref="Z490:AI490" si="1358">SUM(D498)</f>
        <v>37</v>
      </c>
      <c r="AA490" s="9">
        <f t="shared" ca="1" si="1358"/>
        <v>37</v>
      </c>
      <c r="AB490" s="10">
        <f t="shared" ca="1" si="1358"/>
        <v>6978.0429999999897</v>
      </c>
      <c r="AC490" s="9">
        <f t="shared" ca="1" si="1358"/>
        <v>737</v>
      </c>
      <c r="AD490" s="9">
        <f t="shared" ca="1" si="1358"/>
        <v>0</v>
      </c>
      <c r="AE490" s="9">
        <f t="shared" ca="1" si="1358"/>
        <v>737</v>
      </c>
      <c r="AF490" s="9">
        <f t="shared" ca="1" si="1358"/>
        <v>1101</v>
      </c>
      <c r="AG490" s="9">
        <f t="shared" ca="1" si="1358"/>
        <v>0</v>
      </c>
      <c r="AH490" s="9">
        <f t="shared" ca="1" si="1358"/>
        <v>1101</v>
      </c>
      <c r="AI490" s="9">
        <f t="shared" ca="1" si="1358"/>
        <v>1838</v>
      </c>
      <c r="AJ490" s="11">
        <f t="shared" ca="1" si="1351"/>
        <v>188.59575675675649</v>
      </c>
      <c r="AK490" s="8">
        <v>1580</v>
      </c>
      <c r="AL490" s="15">
        <f t="shared" ca="1" si="1352"/>
        <v>1.1632911392405063</v>
      </c>
      <c r="AM490" s="13">
        <f t="shared" si="1353"/>
        <v>1.5</v>
      </c>
      <c r="AN490" s="12">
        <f t="shared" ca="1" si="1354"/>
        <v>0.17559842112370691</v>
      </c>
      <c r="AO490" s="14">
        <f t="shared" ca="1" si="1355"/>
        <v>0.26339763168556035</v>
      </c>
      <c r="AP490" s="13">
        <f t="shared" ref="AP490:AQ490" ca="1" si="1359">SUM(T498)</f>
        <v>260.32617049057973</v>
      </c>
      <c r="AQ490" s="13">
        <f t="shared" ca="1" si="1359"/>
        <v>7.035842445691344</v>
      </c>
      <c r="AR490" s="9">
        <f t="shared" ca="1" si="1357"/>
        <v>49.675675675675677</v>
      </c>
      <c r="AS490" s="76"/>
      <c r="AT490" s="76"/>
    </row>
    <row r="491" spans="1:46" ht="15.75" customHeight="1" x14ac:dyDescent="0.2">
      <c r="A491" s="70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6"/>
      <c r="X491" s="8">
        <v>3</v>
      </c>
      <c r="Y491" s="8" t="s">
        <v>25</v>
      </c>
      <c r="Z491" s="8">
        <f t="shared" ref="Z491:AI491" si="1360">SUM(D499)</f>
        <v>27</v>
      </c>
      <c r="AA491" s="9">
        <f t="shared" ca="1" si="1360"/>
        <v>27</v>
      </c>
      <c r="AB491" s="10">
        <f t="shared" ca="1" si="1360"/>
        <v>5302.66</v>
      </c>
      <c r="AC491" s="9">
        <f t="shared" ca="1" si="1360"/>
        <v>1949</v>
      </c>
      <c r="AD491" s="9">
        <f t="shared" ca="1" si="1360"/>
        <v>400</v>
      </c>
      <c r="AE491" s="9">
        <f t="shared" ca="1" si="1360"/>
        <v>2349</v>
      </c>
      <c r="AF491" s="9">
        <f t="shared" ca="1" si="1360"/>
        <v>2268</v>
      </c>
      <c r="AG491" s="9">
        <f t="shared" ca="1" si="1360"/>
        <v>345</v>
      </c>
      <c r="AH491" s="9">
        <f t="shared" ca="1" si="1360"/>
        <v>2613</v>
      </c>
      <c r="AI491" s="9">
        <f t="shared" ca="1" si="1360"/>
        <v>4962</v>
      </c>
      <c r="AJ491" s="11">
        <f t="shared" ca="1" si="1351"/>
        <v>196.39481481481482</v>
      </c>
      <c r="AK491" s="8">
        <f>SUM(O499)</f>
        <v>6622</v>
      </c>
      <c r="AL491" s="12">
        <f t="shared" ca="1" si="1352"/>
        <v>0.74932044699486555</v>
      </c>
      <c r="AM491" s="13">
        <f t="shared" si="1353"/>
        <v>1.5</v>
      </c>
      <c r="AN491" s="12">
        <f t="shared" ca="1" si="1354"/>
        <v>0.62383784741997417</v>
      </c>
      <c r="AO491" s="14">
        <f t="shared" ca="1" si="1355"/>
        <v>0.93575677112996125</v>
      </c>
      <c r="AP491" s="13">
        <f t="shared" ref="AP491:AQ491" ca="1" si="1361">SUM(T499)</f>
        <v>222.42701342281879</v>
      </c>
      <c r="AQ491" s="13">
        <f t="shared" ca="1" si="1361"/>
        <v>8.2380375341784742</v>
      </c>
      <c r="AR491" s="9">
        <f t="shared" ca="1" si="1357"/>
        <v>183.77777777777777</v>
      </c>
      <c r="AS491" s="76"/>
      <c r="AT491" s="76"/>
    </row>
    <row r="492" spans="1:46" ht="15.75" customHeight="1" x14ac:dyDescent="0.25">
      <c r="A492" s="70"/>
      <c r="B492" s="16">
        <v>1</v>
      </c>
      <c r="C492" s="16" t="s">
        <v>26</v>
      </c>
      <c r="D492" s="17">
        <v>16</v>
      </c>
      <c r="E492" s="18">
        <f ca="1">IFERROR(__xludf.DUMMYFUNCTION("COUNT(IMPORTRANGE(""https://docs.google.com/spreadsheets/d/1F0NpMx7WhcgPgxTWpryY3Z1CGg56FL6aiL4mHs43w4E/edit"",""19!d2:d21""))"),16)</f>
        <v>16</v>
      </c>
      <c r="F492" s="19">
        <f ca="1">IFERROR(__xludf.DUMMYFUNCTION("SUM(IMPORTRANGE(""https://docs.google.com/spreadsheets/d/1F0NpMx7WhcgPgxTWpryY3Z1CGg56FL6aiL4mHs43w4E/edit"",""19!Q2:Q21""))"),3092.553)</f>
        <v>3092.5529999999999</v>
      </c>
      <c r="G492" s="18">
        <f ca="1">IFERROR(__xludf.DUMMYFUNCTION("IMPORTRANGE(""https://docs.google.com/spreadsheets/d/1F0NpMx7WhcgPgxTWpryY3Z1CGg56FL6aiL4mHs43w4E/edit"",""19!e28"")"),1488)</f>
        <v>1488</v>
      </c>
      <c r="H492" s="18">
        <f ca="1">IFERROR(__xludf.DUMMYFUNCTION("IMPORTRANGE(""https://docs.google.com/spreadsheets/d/1F0NpMx7WhcgPgxTWpryY3Z1CGg56FL6aiL4mHs43w4E/edit"",""19!e29"")"),29)</f>
        <v>29</v>
      </c>
      <c r="I492" s="18">
        <f t="shared" ref="I492:I509" ca="1" si="1362">SUM(G492:H492)</f>
        <v>1517</v>
      </c>
      <c r="J492" s="18">
        <f ca="1">IFERROR(__xludf.DUMMYFUNCTION("IMPORTRANGE(""https://docs.google.com/spreadsheets/d/1F0NpMx7WhcgPgxTWpryY3Z1CGg56FL6aiL4mHs43w4E/edit"",""19!e32"")"),2112)</f>
        <v>2112</v>
      </c>
      <c r="K492" s="18">
        <f ca="1">IFERROR(__xludf.DUMMYFUNCTION("IMPORTRANGE(""https://docs.google.com/spreadsheets/d/1F0NpMx7WhcgPgxTWpryY3Z1CGg56FL6aiL4mHs43w4E/edit"",""19!e33"")"),75)</f>
        <v>75</v>
      </c>
      <c r="L492" s="18">
        <f t="shared" ref="L492:L498" ca="1" si="1363">SUM(J492:K492)</f>
        <v>2187</v>
      </c>
      <c r="M492" s="18">
        <f t="shared" ref="M492:M509" ca="1" si="1364">SUM(I492+L492)</f>
        <v>3704</v>
      </c>
      <c r="N492" s="19">
        <f t="shared" ref="N492:N510" ca="1" si="1365">F492/E492</f>
        <v>193.28456249999999</v>
      </c>
      <c r="O492" s="16">
        <v>5161</v>
      </c>
      <c r="P492" s="20">
        <f t="shared" ref="P492:P510" ca="1" si="1366">M492/O492</f>
        <v>0.71769037008331715</v>
      </c>
      <c r="Q492" s="21">
        <v>1.5</v>
      </c>
      <c r="R492" s="20">
        <f t="shared" ref="R492:R510" ca="1" si="1367">S492/Q492</f>
        <v>0.79847728829007414</v>
      </c>
      <c r="S492" s="22">
        <f t="shared" ref="S492:S510" ca="1" si="1368">M492/F492</f>
        <v>1.1977159324351112</v>
      </c>
      <c r="T492" s="21">
        <f ca="1">F492/14.415</f>
        <v>214.53714880332987</v>
      </c>
      <c r="U492" s="21">
        <f t="shared" ref="U492:U510" ca="1" si="1369">T492/E492</f>
        <v>13.408571800208117</v>
      </c>
      <c r="V492" s="18">
        <f t="shared" ref="V492:V510" ca="1" si="1370">M492/E492</f>
        <v>231.5</v>
      </c>
      <c r="W492" s="76"/>
      <c r="X492" s="8">
        <v>4</v>
      </c>
      <c r="Y492" s="8" t="s">
        <v>27</v>
      </c>
      <c r="Z492" s="8">
        <f t="shared" ref="Z492:AK492" si="1371">SUM(D505)</f>
        <v>24</v>
      </c>
      <c r="AA492" s="9">
        <f t="shared" ca="1" si="1371"/>
        <v>23</v>
      </c>
      <c r="AB492" s="10">
        <f t="shared" ca="1" si="1371"/>
        <v>4312.6529999999902</v>
      </c>
      <c r="AC492" s="9">
        <f t="shared" ca="1" si="1371"/>
        <v>1546</v>
      </c>
      <c r="AD492" s="9">
        <f t="shared" ca="1" si="1371"/>
        <v>187</v>
      </c>
      <c r="AE492" s="9">
        <f t="shared" ca="1" si="1371"/>
        <v>1733</v>
      </c>
      <c r="AF492" s="9">
        <f t="shared" ca="1" si="1371"/>
        <v>2246</v>
      </c>
      <c r="AG492" s="9">
        <f t="shared" ca="1" si="1371"/>
        <v>352</v>
      </c>
      <c r="AH492" s="9">
        <f t="shared" ca="1" si="1371"/>
        <v>2598</v>
      </c>
      <c r="AI492" s="9">
        <f t="shared" ca="1" si="1371"/>
        <v>4331</v>
      </c>
      <c r="AJ492" s="11">
        <f t="shared" ca="1" si="1371"/>
        <v>187.50665217391261</v>
      </c>
      <c r="AK492" s="8">
        <f t="shared" si="1371"/>
        <v>8101</v>
      </c>
      <c r="AL492" s="12">
        <f t="shared" ca="1" si="1352"/>
        <v>0.53462535489445751</v>
      </c>
      <c r="AM492" s="13">
        <f>SUM(Q505)</f>
        <v>1.5</v>
      </c>
      <c r="AN492" s="12">
        <f t="shared" ca="1" si="1354"/>
        <v>0.66950281725270733</v>
      </c>
      <c r="AO492" s="14">
        <f t="shared" ca="1" si="1355"/>
        <v>1.004254225879061</v>
      </c>
      <c r="AP492" s="13">
        <f t="shared" ref="AP492:AQ492" ca="1" si="1372">SUM(T505)</f>
        <v>215.79449587190345</v>
      </c>
      <c r="AQ492" s="13">
        <f t="shared" ca="1" si="1372"/>
        <v>9.3823693857349326</v>
      </c>
      <c r="AR492" s="9">
        <f t="shared" ca="1" si="1357"/>
        <v>188.30434782608697</v>
      </c>
      <c r="AS492" s="76"/>
      <c r="AT492" s="76"/>
    </row>
    <row r="493" spans="1:46" ht="15.75" customHeight="1" x14ac:dyDescent="0.25">
      <c r="A493" s="70"/>
      <c r="B493" s="16">
        <v>2</v>
      </c>
      <c r="C493" s="16" t="s">
        <v>28</v>
      </c>
      <c r="D493" s="17">
        <v>26</v>
      </c>
      <c r="E493" s="18">
        <f ca="1">IFERROR(__xludf.DUMMYFUNCTION("COUNT(IMPORTRANGE(""https://docs.google.com/spreadsheets/d/1H9vAqftAHb0OdeSGXHTnJFzoWUgpoH31sc0sHNN8y1o/edit"",""19!d2:d34""))"),26)</f>
        <v>26</v>
      </c>
      <c r="F493" s="19">
        <f ca="1">IFERROR(__xludf.DUMMYFUNCTION("SUM(IMPORTRANGE(""https://docs.google.com/spreadsheets/d/1H9vAqftAHb0OdeSGXHTnJFzoWUgpoH31sc0sHNN8y1o/edit"",""19!Q2:Q34""))"),5185.99)</f>
        <v>5185.99</v>
      </c>
      <c r="G493" s="18">
        <f ca="1">IFERROR(__xludf.DUMMYFUNCTION("IMPORTRANGE(""https://docs.google.com/spreadsheets/d/1H9vAqftAHb0OdeSGXHTnJFzoWUgpoH31sc0sHNN8y1o/edit"",""19!e41"")"),1663)</f>
        <v>1663</v>
      </c>
      <c r="H493" s="18">
        <f ca="1">IFERROR(__xludf.DUMMYFUNCTION("IMPORTRANGE(""https://docs.google.com/spreadsheets/d/1H9vAqftAHb0OdeSGXHTnJFzoWUgpoH31sc0sHNN8y1o/edit"",""19!e42"")"),36)</f>
        <v>36</v>
      </c>
      <c r="I493" s="18">
        <f t="shared" ca="1" si="1362"/>
        <v>1699</v>
      </c>
      <c r="J493" s="18">
        <f ca="1">IFERROR(__xludf.DUMMYFUNCTION("IMPORTRANGE(""https://docs.google.com/spreadsheets/d/1H9vAqftAHb0OdeSGXHTnJFzoWUgpoH31sc0sHNN8y1o/edit"",""19!e45"")"),2036)</f>
        <v>2036</v>
      </c>
      <c r="K493" s="18">
        <f ca="1">IFERROR(__xludf.DUMMYFUNCTION("IMPORTRANGE(""https://docs.google.com/spreadsheets/d/1H9vAqftAHb0OdeSGXHTnJFzoWUgpoH31sc0sHNN8y1o/edit"",""19!e46"")"),96)</f>
        <v>96</v>
      </c>
      <c r="L493" s="18">
        <f t="shared" ca="1" si="1363"/>
        <v>2132</v>
      </c>
      <c r="M493" s="18">
        <f t="shared" ca="1" si="1364"/>
        <v>3831</v>
      </c>
      <c r="N493" s="19">
        <f t="shared" ca="1" si="1365"/>
        <v>199.46115384615385</v>
      </c>
      <c r="O493" s="16">
        <v>7315</v>
      </c>
      <c r="P493" s="20">
        <f t="shared" ca="1" si="1366"/>
        <v>0.52371838687628158</v>
      </c>
      <c r="Q493" s="21">
        <v>1.5</v>
      </c>
      <c r="R493" s="20">
        <f t="shared" ca="1" si="1367"/>
        <v>0.49248070281662715</v>
      </c>
      <c r="S493" s="22">
        <f t="shared" ca="1" si="1368"/>
        <v>0.73872105422494072</v>
      </c>
      <c r="T493" s="21">
        <f ca="1">F493/30.897</f>
        <v>167.84768747774865</v>
      </c>
      <c r="U493" s="21">
        <f t="shared" ca="1" si="1369"/>
        <v>6.4556802876057171</v>
      </c>
      <c r="V493" s="18">
        <f t="shared" ca="1" si="1370"/>
        <v>147.34615384615384</v>
      </c>
      <c r="W493" s="76"/>
      <c r="X493" s="8">
        <v>5</v>
      </c>
      <c r="Y493" s="8" t="s">
        <v>29</v>
      </c>
      <c r="Z493" s="8">
        <f t="shared" ref="Z493:AI493" si="1373">SUM(D508)</f>
        <v>24</v>
      </c>
      <c r="AA493" s="9">
        <f t="shared" ca="1" si="1373"/>
        <v>24</v>
      </c>
      <c r="AB493" s="10">
        <f t="shared" ca="1" si="1373"/>
        <v>4821.3619999999901</v>
      </c>
      <c r="AC493" s="9">
        <f t="shared" ca="1" si="1373"/>
        <v>2188</v>
      </c>
      <c r="AD493" s="9">
        <f t="shared" ca="1" si="1373"/>
        <v>0</v>
      </c>
      <c r="AE493" s="9">
        <f t="shared" ca="1" si="1373"/>
        <v>2188</v>
      </c>
      <c r="AF493" s="9">
        <f t="shared" ca="1" si="1373"/>
        <v>3319</v>
      </c>
      <c r="AG493" s="9">
        <f t="shared" ca="1" si="1373"/>
        <v>0</v>
      </c>
      <c r="AH493" s="9">
        <f t="shared" ca="1" si="1373"/>
        <v>3319</v>
      </c>
      <c r="AI493" s="9">
        <f t="shared" ca="1" si="1373"/>
        <v>5507</v>
      </c>
      <c r="AJ493" s="11">
        <f t="shared" ref="AJ493:AJ495" ca="1" si="1374">AB493/AA493</f>
        <v>200.89008333333291</v>
      </c>
      <c r="AK493" s="8">
        <f t="shared" ref="AK493:AK494" si="1375">SUM(O508)</f>
        <v>9201</v>
      </c>
      <c r="AL493" s="12">
        <f t="shared" ca="1" si="1352"/>
        <v>0.59852189979350068</v>
      </c>
      <c r="AM493" s="13">
        <f t="shared" ref="AM493:AM494" si="1376">SUM(Q508)</f>
        <v>1.5</v>
      </c>
      <c r="AN493" s="12">
        <f t="shared" ca="1" si="1354"/>
        <v>0.76147224235254285</v>
      </c>
      <c r="AO493" s="14">
        <f t="shared" ca="1" si="1355"/>
        <v>1.1422083635288143</v>
      </c>
      <c r="AP493" s="13">
        <f t="shared" ref="AP493:AQ493" ca="1" si="1377">SUM(T508)</f>
        <v>181.99999999999963</v>
      </c>
      <c r="AQ493" s="13">
        <f t="shared" ca="1" si="1377"/>
        <v>7.5833333333333179</v>
      </c>
      <c r="AR493" s="9">
        <f t="shared" ca="1" si="1357"/>
        <v>229.45833333333334</v>
      </c>
      <c r="AS493" s="76"/>
      <c r="AT493" s="76"/>
    </row>
    <row r="494" spans="1:46" ht="15.75" customHeight="1" x14ac:dyDescent="0.25">
      <c r="A494" s="70"/>
      <c r="B494" s="16">
        <v>3</v>
      </c>
      <c r="C494" s="16" t="s">
        <v>30</v>
      </c>
      <c r="D494" s="17">
        <v>48</v>
      </c>
      <c r="E494" s="18">
        <f ca="1">IFERROR(__xludf.DUMMYFUNCTION("COUNT(IMPORTRANGE(""https://docs.google.com/spreadsheets/d/1EWN6nfpuVxbUE_9opjYCWaI7MTm5xsF6ssjklSbMZnA/edit"",""19!d2:d61""))"),48)</f>
        <v>48</v>
      </c>
      <c r="F494" s="23">
        <f ca="1">IFERROR(__xludf.DUMMYFUNCTION("SUM(IMPORTRANGE(""https://docs.google.com/spreadsheets/d/1EWN6nfpuVxbUE_9opjYCWaI7MTm5xsF6ssjklSbMZnA/edit"",""19!Q2:Q61""))"),9409.46499999999)</f>
        <v>9409.4649999999892</v>
      </c>
      <c r="G494" s="18">
        <f ca="1">IFERROR(__xludf.DUMMYFUNCTION("IMPORTRANGE(""https://docs.google.com/spreadsheets/d/1EWN6nfpuVxbUE_9opjYCWaI7MTm5xsF6ssjklSbMZnA/edit"",""19!e68"")"),2540)</f>
        <v>2540</v>
      </c>
      <c r="H494" s="18">
        <f ca="1">IFERROR(__xludf.DUMMYFUNCTION("IMPORTRANGE(""https://docs.google.com/spreadsheets/d/1EWN6nfpuVxbUE_9opjYCWaI7MTm5xsF6ssjklSbMZnA/edit"",""19!e69"")"),0)</f>
        <v>0</v>
      </c>
      <c r="I494" s="18">
        <f t="shared" ca="1" si="1362"/>
        <v>2540</v>
      </c>
      <c r="J494" s="18">
        <f ca="1">IFERROR(__xludf.DUMMYFUNCTION("IMPORTRANGE(""https://docs.google.com/spreadsheets/d/1EWN6nfpuVxbUE_9opjYCWaI7MTm5xsF6ssjklSbMZnA/edit"",""19!e72"")"),4590)</f>
        <v>4590</v>
      </c>
      <c r="K494" s="18">
        <f ca="1">IFERROR(__xludf.DUMMYFUNCTION("IMPORTRANGE(""https://docs.google.com/spreadsheets/d/1EWN6nfpuVxbUE_9opjYCWaI7MTm5xsF6ssjklSbMZnA/edit"",""19!e73"")"),0)</f>
        <v>0</v>
      </c>
      <c r="L494" s="18">
        <f t="shared" ca="1" si="1363"/>
        <v>4590</v>
      </c>
      <c r="M494" s="18">
        <f t="shared" ca="1" si="1364"/>
        <v>7130</v>
      </c>
      <c r="N494" s="19">
        <f t="shared" ca="1" si="1365"/>
        <v>196.0305208333331</v>
      </c>
      <c r="O494" s="16">
        <v>11164</v>
      </c>
      <c r="P494" s="20">
        <f t="shared" ca="1" si="1366"/>
        <v>0.63865997850232892</v>
      </c>
      <c r="Q494" s="21">
        <v>1.5</v>
      </c>
      <c r="R494" s="20">
        <f t="shared" ca="1" si="1367"/>
        <v>0.50516510060171738</v>
      </c>
      <c r="S494" s="22">
        <f t="shared" ca="1" si="1368"/>
        <v>0.75774765090257612</v>
      </c>
      <c r="T494" s="21">
        <f ca="1">F494/29.603</f>
        <v>317.85511603553658</v>
      </c>
      <c r="U494" s="21">
        <f t="shared" ca="1" si="1369"/>
        <v>6.6219815840736791</v>
      </c>
      <c r="V494" s="18">
        <f t="shared" ca="1" si="1370"/>
        <v>148.54166666666666</v>
      </c>
      <c r="W494" s="76"/>
      <c r="X494" s="8">
        <v>6</v>
      </c>
      <c r="Y494" s="8" t="s">
        <v>31</v>
      </c>
      <c r="Z494" s="8">
        <f t="shared" ref="Z494:AI494" si="1378">SUM(D509)</f>
        <v>12</v>
      </c>
      <c r="AA494" s="9">
        <f t="shared" ca="1" si="1378"/>
        <v>12</v>
      </c>
      <c r="AB494" s="11">
        <f t="shared" ca="1" si="1378"/>
        <v>2303.645</v>
      </c>
      <c r="AC494" s="9">
        <f t="shared" ca="1" si="1378"/>
        <v>590</v>
      </c>
      <c r="AD494" s="9">
        <f t="shared" ca="1" si="1378"/>
        <v>0</v>
      </c>
      <c r="AE494" s="9">
        <f t="shared" ca="1" si="1378"/>
        <v>590</v>
      </c>
      <c r="AF494" s="9">
        <f t="shared" ca="1" si="1378"/>
        <v>744</v>
      </c>
      <c r="AG494" s="9">
        <f t="shared" ca="1" si="1378"/>
        <v>0</v>
      </c>
      <c r="AH494" s="9">
        <f t="shared" ca="1" si="1378"/>
        <v>744</v>
      </c>
      <c r="AI494" s="9">
        <f t="shared" ca="1" si="1378"/>
        <v>1334</v>
      </c>
      <c r="AJ494" s="11">
        <f t="shared" ca="1" si="1374"/>
        <v>191.97041666666667</v>
      </c>
      <c r="AK494" s="8">
        <f t="shared" si="1375"/>
        <v>2717</v>
      </c>
      <c r="AL494" s="12">
        <f t="shared" ca="1" si="1352"/>
        <v>0.49098270150901729</v>
      </c>
      <c r="AM494" s="13">
        <f t="shared" si="1376"/>
        <v>1.5</v>
      </c>
      <c r="AN494" s="12">
        <f t="shared" ca="1" si="1354"/>
        <v>0.38605485364860187</v>
      </c>
      <c r="AO494" s="14">
        <f t="shared" ca="1" si="1355"/>
        <v>0.57908228047290278</v>
      </c>
      <c r="AP494" s="13">
        <f t="shared" ref="AP494:AQ494" ca="1" si="1379">SUM(T509)</f>
        <v>52.999999999999993</v>
      </c>
      <c r="AQ494" s="13">
        <f t="shared" ca="1" si="1379"/>
        <v>4.4166666666666661</v>
      </c>
      <c r="AR494" s="9">
        <f t="shared" ca="1" si="1357"/>
        <v>111.16666666666667</v>
      </c>
      <c r="AS494" s="76"/>
      <c r="AT494" s="76"/>
    </row>
    <row r="495" spans="1:46" ht="15.75" customHeight="1" x14ac:dyDescent="0.25">
      <c r="A495" s="70"/>
      <c r="B495" s="16">
        <v>4</v>
      </c>
      <c r="C495" s="16" t="s">
        <v>32</v>
      </c>
      <c r="D495" s="17">
        <v>33</v>
      </c>
      <c r="E495" s="18">
        <f ca="1">IFERROR(__xludf.DUMMYFUNCTION("COUNT(IMPORTRANGE(""https://docs.google.com/spreadsheets/d/1Rmar8QqWK4XOJ-eY6xMzkAfDSw0srEXcAw89ilArun8/edit"",""19!d2:d43""))"),33)</f>
        <v>33</v>
      </c>
      <c r="F495" s="23">
        <f ca="1">IFERROR(__xludf.DUMMYFUNCTION("SUM(IMPORTRANGE(""https://docs.google.com/spreadsheets/d/1Rmar8QqWK4XOJ-eY6xMzkAfDSw0srEXcAw89ilArun8/edit"",""19!Q2:Q43""))"),6511.66999999999)</f>
        <v>6511.6699999999901</v>
      </c>
      <c r="G495" s="16">
        <f ca="1">IFERROR(__xludf.DUMMYFUNCTION("IMPORTRANGE(""https://docs.google.com/spreadsheets/d/1Rmar8QqWK4XOJ-eY6xMzkAfDSw0srEXcAw89ilArun8/edit"",""19!e50"")"),3612)</f>
        <v>3612</v>
      </c>
      <c r="H495" s="16">
        <f ca="1">IFERROR(__xludf.DUMMYFUNCTION("IMPORTRANGE(""https://docs.google.com/spreadsheets/d/1Rmar8QqWK4XOJ-eY6xMzkAfDSw0srEXcAw89ilArun8/edit"",""19!e51"")"),20)</f>
        <v>20</v>
      </c>
      <c r="I495" s="18">
        <f t="shared" ca="1" si="1362"/>
        <v>3632</v>
      </c>
      <c r="J495" s="16">
        <f ca="1">IFERROR(__xludf.DUMMYFUNCTION("IMPORTRANGE(""https://docs.google.com/spreadsheets/d/1Rmar8QqWK4XOJ-eY6xMzkAfDSw0srEXcAw89ilArun8/edit"",""19!e54"")"),4093)</f>
        <v>4093</v>
      </c>
      <c r="K495" s="16">
        <f ca="1">IFERROR(__xludf.DUMMYFUNCTION("IMPORTRANGE(""https://docs.google.com/spreadsheets/d/1Rmar8QqWK4XOJ-eY6xMzkAfDSw0srEXcAw89ilArun8/edit"",""19!e55"")"),118)</f>
        <v>118</v>
      </c>
      <c r="L495" s="18">
        <f t="shared" ca="1" si="1363"/>
        <v>4211</v>
      </c>
      <c r="M495" s="18">
        <f t="shared" ca="1" si="1364"/>
        <v>7843</v>
      </c>
      <c r="N495" s="19">
        <f t="shared" ca="1" si="1365"/>
        <v>197.32333333333304</v>
      </c>
      <c r="O495" s="16">
        <v>13817</v>
      </c>
      <c r="P495" s="20">
        <f t="shared" ca="1" si="1366"/>
        <v>0.56763407396685239</v>
      </c>
      <c r="Q495" s="21">
        <v>1.5</v>
      </c>
      <c r="R495" s="20">
        <f t="shared" ca="1" si="1367"/>
        <v>0.80296861890523852</v>
      </c>
      <c r="S495" s="22">
        <f t="shared" ca="1" si="1368"/>
        <v>1.2044529283578578</v>
      </c>
      <c r="T495" s="21">
        <f ca="1">F495/25.089</f>
        <v>259.54282753397865</v>
      </c>
      <c r="U495" s="21">
        <f t="shared" ca="1" si="1369"/>
        <v>7.8649341676963225</v>
      </c>
      <c r="V495" s="18">
        <f t="shared" ca="1" si="1370"/>
        <v>237.66666666666666</v>
      </c>
      <c r="W495" s="76"/>
      <c r="X495" s="24" t="s">
        <v>33</v>
      </c>
      <c r="Y495" s="24">
        <v>6</v>
      </c>
      <c r="Z495" s="24">
        <f t="shared" ref="Z495:AI495" si="1380">SUM(Z489:Z494)</f>
        <v>152</v>
      </c>
      <c r="AA495" s="25">
        <f t="shared" ca="1" si="1380"/>
        <v>150</v>
      </c>
      <c r="AB495" s="26">
        <f t="shared" ca="1" si="1380"/>
        <v>29083.022999999961</v>
      </c>
      <c r="AC495" s="25">
        <f t="shared" ca="1" si="1380"/>
        <v>8241</v>
      </c>
      <c r="AD495" s="25">
        <f t="shared" ca="1" si="1380"/>
        <v>587</v>
      </c>
      <c r="AE495" s="25">
        <f t="shared" ca="1" si="1380"/>
        <v>8828</v>
      </c>
      <c r="AF495" s="25">
        <f t="shared" ca="1" si="1380"/>
        <v>12399</v>
      </c>
      <c r="AG495" s="25">
        <f t="shared" ca="1" si="1380"/>
        <v>697</v>
      </c>
      <c r="AH495" s="25">
        <f t="shared" ca="1" si="1380"/>
        <v>13096</v>
      </c>
      <c r="AI495" s="25">
        <f t="shared" ca="1" si="1380"/>
        <v>21924</v>
      </c>
      <c r="AJ495" s="27">
        <f t="shared" ca="1" si="1374"/>
        <v>193.88681999999974</v>
      </c>
      <c r="AK495" s="24">
        <f>SUM(AK489:AK494)</f>
        <v>35074</v>
      </c>
      <c r="AL495" s="28">
        <f t="shared" ca="1" si="1352"/>
        <v>0.62507840565661177</v>
      </c>
      <c r="AM495" s="29">
        <v>1.5</v>
      </c>
      <c r="AN495" s="28">
        <f t="shared" ca="1" si="1354"/>
        <v>0.50256123649869611</v>
      </c>
      <c r="AO495" s="30">
        <f t="shared" ca="1" si="1355"/>
        <v>0.75384185474804422</v>
      </c>
      <c r="AP495" s="29">
        <f ca="1">SUM(AP489:AP494)</f>
        <v>1092.5476797853014</v>
      </c>
      <c r="AQ495" s="29">
        <f ca="1">AP495/AA495</f>
        <v>7.283651198568676</v>
      </c>
      <c r="AR495" s="25">
        <f t="shared" ca="1" si="1357"/>
        <v>146.16</v>
      </c>
      <c r="AS495" s="76"/>
      <c r="AT495" s="76"/>
    </row>
    <row r="496" spans="1:46" ht="15.75" customHeight="1" x14ac:dyDescent="0.25">
      <c r="A496" s="70"/>
      <c r="B496" s="16">
        <v>5</v>
      </c>
      <c r="C496" s="16" t="s">
        <v>34</v>
      </c>
      <c r="D496" s="17">
        <v>32</v>
      </c>
      <c r="E496" s="18">
        <f ca="1">IFERROR(__xludf.DUMMYFUNCTION("COUNT(IMPORTRANGE(""https://docs.google.com/spreadsheets/d/1u99JxAoytGQQ8GcjxXl38CGdyEWy5uIbuJJHnsotyvk/edit"",""19!d2:d41""))"),31)</f>
        <v>31</v>
      </c>
      <c r="F496" s="23">
        <f ca="1">IFERROR(__xludf.DUMMYFUNCTION("SUM(IMPORTRANGE(""https://docs.google.com/spreadsheets/d/1u99JxAoytGQQ8GcjxXl38CGdyEWy5uIbuJJHnsotyvk/edit"",""19!Q2:Q41""))"),6051.381)</f>
        <v>6051.3810000000003</v>
      </c>
      <c r="G496" s="18">
        <f ca="1">IFERROR(__xludf.DUMMYFUNCTION("IMPORTRANGE(""https://docs.google.com/spreadsheets/d/1u99JxAoytGQQ8GcjxXl38CGdyEWy5uIbuJJHnsotyvk/edit"",""19!e48"")"),2276)</f>
        <v>2276</v>
      </c>
      <c r="H496" s="18">
        <f ca="1">IFERROR(__xludf.DUMMYFUNCTION("IMPORTRANGE(""https://docs.google.com/spreadsheets/d/1u99JxAoytGQQ8GcjxXl38CGdyEWy5uIbuJJHnsotyvk/edit"",""19!e49"")"),0)</f>
        <v>0</v>
      </c>
      <c r="I496" s="18">
        <f t="shared" ca="1" si="1362"/>
        <v>2276</v>
      </c>
      <c r="J496" s="18">
        <f ca="1">IFERROR(__xludf.DUMMYFUNCTION("IMPORTRANGE(""https://docs.google.com/spreadsheets/d/1u99JxAoytGQQ8GcjxXl38CGdyEWy5uIbuJJHnsotyvk/edit"",""19!e52"")"),2425)</f>
        <v>2425</v>
      </c>
      <c r="K496" s="18">
        <f ca="1">IFERROR(__xludf.DUMMYFUNCTION("IMPORTRANGE(""https://docs.google.com/spreadsheets/d/1u99JxAoytGQQ8GcjxXl38CGdyEWy5uIbuJJHnsotyvk/edit"",""19!e53"")"),0)</f>
        <v>0</v>
      </c>
      <c r="L496" s="18">
        <f t="shared" ca="1" si="1363"/>
        <v>2425</v>
      </c>
      <c r="M496" s="18">
        <f t="shared" ca="1" si="1364"/>
        <v>4701</v>
      </c>
      <c r="N496" s="19">
        <f t="shared" ca="1" si="1365"/>
        <v>195.20583870967744</v>
      </c>
      <c r="O496" s="16">
        <v>9354</v>
      </c>
      <c r="P496" s="20">
        <f t="shared" ca="1" si="1366"/>
        <v>0.50256574727389347</v>
      </c>
      <c r="Q496" s="21">
        <v>1.5</v>
      </c>
      <c r="R496" s="20">
        <f t="shared" ca="1" si="1367"/>
        <v>0.51789831114583595</v>
      </c>
      <c r="S496" s="22">
        <f t="shared" ca="1" si="1368"/>
        <v>0.77684746671875393</v>
      </c>
      <c r="T496" s="21">
        <f ca="1">F496/30.713</f>
        <v>197.02995474229155</v>
      </c>
      <c r="U496" s="21">
        <f t="shared" ca="1" si="1369"/>
        <v>6.3558049916868242</v>
      </c>
      <c r="V496" s="18">
        <f t="shared" ca="1" si="1370"/>
        <v>151.64516129032259</v>
      </c>
      <c r="W496" s="76"/>
      <c r="X496" s="100" t="s">
        <v>35</v>
      </c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9"/>
      <c r="AS496" s="76"/>
      <c r="AT496" s="76"/>
    </row>
    <row r="497" spans="1:46" ht="15.75" customHeight="1" x14ac:dyDescent="0.25">
      <c r="A497" s="70"/>
      <c r="B497" s="16">
        <v>6</v>
      </c>
      <c r="C497" s="16" t="s">
        <v>23</v>
      </c>
      <c r="D497" s="17">
        <v>28</v>
      </c>
      <c r="E497" s="18">
        <f ca="1">IFERROR(__xludf.DUMMYFUNCTION("COUNT(IMPORTRANGE(""https://docs.google.com/spreadsheets/d/1uVc-vnTn57HE53lwrUYNZP4sGKTXisrqOoZ-6EyvLzY/edit"",""19!d2:d36""))"),27)</f>
        <v>27</v>
      </c>
      <c r="F497" s="23">
        <f ca="1">IFERROR(__xludf.DUMMYFUNCTION("SUM(IMPORTRANGE(""https://docs.google.com/spreadsheets/d/1uVc-vnTn57HE53lwrUYNZP4sGKTXisrqOoZ-6EyvLzY/edit"",""19!Q2:Q36""))"),5364.65999999999)</f>
        <v>5364.6599999999899</v>
      </c>
      <c r="G497" s="18">
        <f ca="1">IFERROR(__xludf.DUMMYFUNCTION("IMPORTRANGE(""https://docs.google.com/spreadsheets/d/1uVc-vnTn57HE53lwrUYNZP4sGKTXisrqOoZ-6EyvLzY/edit"",""19!e43"")"),1231)</f>
        <v>1231</v>
      </c>
      <c r="H497" s="18">
        <f ca="1">IFERROR(__xludf.DUMMYFUNCTION("IMPORTRANGE(""https://docs.google.com/spreadsheets/d/1uVc-vnTn57HE53lwrUYNZP4sGKTXisrqOoZ-6EyvLzY/edit"",""19!e44"")"),0)</f>
        <v>0</v>
      </c>
      <c r="I497" s="18">
        <f t="shared" ca="1" si="1362"/>
        <v>1231</v>
      </c>
      <c r="J497" s="18">
        <f ca="1">IFERROR(__xludf.DUMMYFUNCTION("IMPORTRANGE(""https://docs.google.com/spreadsheets/d/1uVc-vnTn57HE53lwrUYNZP4sGKTXisrqOoZ-6EyvLzY/edit"",""19!e47"")"),2721)</f>
        <v>2721</v>
      </c>
      <c r="K497" s="18">
        <f ca="1">IFERROR(__xludf.DUMMYFUNCTION("IMPORTRANGE(""https://docs.google.com/spreadsheets/d/1uVc-vnTn57HE53lwrUYNZP4sGKTXisrqOoZ-6EyvLzY/edit"",""19!e48"")"),0)</f>
        <v>0</v>
      </c>
      <c r="L497" s="18">
        <f t="shared" ca="1" si="1363"/>
        <v>2721</v>
      </c>
      <c r="M497" s="18">
        <f t="shared" ca="1" si="1364"/>
        <v>3952</v>
      </c>
      <c r="N497" s="19">
        <f t="shared" ca="1" si="1365"/>
        <v>198.69111111111073</v>
      </c>
      <c r="O497" s="16">
        <v>6853</v>
      </c>
      <c r="P497" s="20">
        <f t="shared" ca="1" si="1366"/>
        <v>0.57668174522107107</v>
      </c>
      <c r="Q497" s="21">
        <v>1.5</v>
      </c>
      <c r="R497" s="20">
        <f t="shared" ca="1" si="1367"/>
        <v>0.49111531143943354</v>
      </c>
      <c r="S497" s="22">
        <f t="shared" ca="1" si="1368"/>
        <v>0.73667296715915032</v>
      </c>
      <c r="T497" s="21">
        <f ca="1">F497/33.74</f>
        <v>158.99999999999969</v>
      </c>
      <c r="U497" s="21">
        <f t="shared" ca="1" si="1369"/>
        <v>5.8888888888888777</v>
      </c>
      <c r="V497" s="18">
        <f t="shared" ca="1" si="1370"/>
        <v>146.37037037037038</v>
      </c>
      <c r="W497" s="76"/>
      <c r="X497" s="1" t="s">
        <v>2</v>
      </c>
      <c r="Y497" s="1" t="s">
        <v>3</v>
      </c>
      <c r="Z497" s="1" t="s">
        <v>4</v>
      </c>
      <c r="AA497" s="1" t="s">
        <v>5</v>
      </c>
      <c r="AB497" s="2" t="s">
        <v>6</v>
      </c>
      <c r="AC497" s="1" t="s">
        <v>7</v>
      </c>
      <c r="AD497" s="1" t="s">
        <v>8</v>
      </c>
      <c r="AE497" s="1" t="s">
        <v>9</v>
      </c>
      <c r="AF497" s="1" t="s">
        <v>10</v>
      </c>
      <c r="AG497" s="1" t="s">
        <v>11</v>
      </c>
      <c r="AH497" s="1" t="s">
        <v>12</v>
      </c>
      <c r="AI497" s="1" t="s">
        <v>13</v>
      </c>
      <c r="AJ497" s="2" t="s">
        <v>14</v>
      </c>
      <c r="AK497" s="1" t="s">
        <v>15</v>
      </c>
      <c r="AL497" s="1" t="s">
        <v>16</v>
      </c>
      <c r="AM497" s="3" t="s">
        <v>17</v>
      </c>
      <c r="AN497" s="4" t="s">
        <v>18</v>
      </c>
      <c r="AO497" s="5" t="s">
        <v>19</v>
      </c>
      <c r="AP497" s="6" t="s">
        <v>20</v>
      </c>
      <c r="AQ497" s="6" t="s">
        <v>21</v>
      </c>
      <c r="AR497" s="7" t="s">
        <v>22</v>
      </c>
      <c r="AS497" s="76"/>
      <c r="AT497" s="76"/>
    </row>
    <row r="498" spans="1:46" ht="15.75" customHeight="1" x14ac:dyDescent="0.25">
      <c r="A498" s="70"/>
      <c r="B498" s="16">
        <v>7</v>
      </c>
      <c r="C498" s="16" t="s">
        <v>24</v>
      </c>
      <c r="D498" s="17">
        <v>37</v>
      </c>
      <c r="E498" s="31">
        <f ca="1">IFERROR(__xludf.DUMMYFUNCTION("COUNT(IMPORTRANGE(""https://docs.google.com/spreadsheets/d/1iuPvivSypupo44l6GtmR-2qZ3za7cTk7KzsOVp_kv2c/edit"",""19!d2:d45""))"),37)</f>
        <v>37</v>
      </c>
      <c r="F498" s="32">
        <f ca="1">IFERROR(__xludf.DUMMYFUNCTION("SUM(IMPORTRANGE(""https://docs.google.com/spreadsheets/d/1iuPvivSypupo44l6GtmR-2qZ3za7cTk7KzsOVp_kv2c/edit"",""19!Q2:Q45""))"),6978.04299999999)</f>
        <v>6978.0429999999897</v>
      </c>
      <c r="G498" s="31">
        <f ca="1">IFERROR(__xludf.DUMMYFUNCTION("IMPORTRANGE(""https://docs.google.com/spreadsheets/d/1iuPvivSypupo44l6GtmR-2qZ3za7cTk7KzsOVp_kv2c/edit"",""19!e53"")"),737)</f>
        <v>737</v>
      </c>
      <c r="H498" s="31">
        <f ca="1">IFERROR(__xludf.DUMMYFUNCTION("IMPORTRANGE(""https://docs.google.com/spreadsheets/d/1iuPvivSypupo44l6GtmR-2qZ3za7cTk7KzsOVp_kv2c/edit"",""19!e54"")"),0)</f>
        <v>0</v>
      </c>
      <c r="I498" s="31">
        <f t="shared" ca="1" si="1362"/>
        <v>737</v>
      </c>
      <c r="J498" s="31">
        <f ca="1">IFERROR(__xludf.DUMMYFUNCTION("IMPORTRANGE(""https://docs.google.com/spreadsheets/d/1iuPvivSypupo44l6GtmR-2qZ3za7cTk7KzsOVp_kv2c/edit"",""19!e57"")"),1101)</f>
        <v>1101</v>
      </c>
      <c r="K498" s="31">
        <f ca="1">IFERROR(__xludf.DUMMYFUNCTION("IMPORTRANGE(""https://docs.google.com/spreadsheets/d/1iuPvivSypupo44l6GtmR-2qZ3za7cTk7KzsOVp_kv2c/edit"",""19!e58"")"),0)</f>
        <v>0</v>
      </c>
      <c r="L498" s="18">
        <f t="shared" ca="1" si="1363"/>
        <v>1101</v>
      </c>
      <c r="M498" s="18">
        <f t="shared" ca="1" si="1364"/>
        <v>1838</v>
      </c>
      <c r="N498" s="19">
        <f t="shared" ca="1" si="1365"/>
        <v>188.59575675675649</v>
      </c>
      <c r="O498" s="16">
        <v>1580</v>
      </c>
      <c r="P498" s="33">
        <f t="shared" ca="1" si="1366"/>
        <v>1.1632911392405063</v>
      </c>
      <c r="Q498" s="21">
        <v>1.5</v>
      </c>
      <c r="R498" s="20">
        <f t="shared" ca="1" si="1367"/>
        <v>0.17559842112370691</v>
      </c>
      <c r="S498" s="22">
        <f t="shared" ca="1" si="1368"/>
        <v>0.26339763168556035</v>
      </c>
      <c r="T498" s="21">
        <f ca="1">F498/26.805</f>
        <v>260.32617049057973</v>
      </c>
      <c r="U498" s="21">
        <f t="shared" ca="1" si="1369"/>
        <v>7.035842445691344</v>
      </c>
      <c r="V498" s="18">
        <f t="shared" ca="1" si="1370"/>
        <v>49.675675675675677</v>
      </c>
      <c r="W498" s="76"/>
      <c r="X498" s="8">
        <v>1</v>
      </c>
      <c r="Y498" s="8" t="s">
        <v>28</v>
      </c>
      <c r="Z498" s="8">
        <f t="shared" ref="Z498:AI498" si="1381">SUM(D493)</f>
        <v>26</v>
      </c>
      <c r="AA498" s="9">
        <f t="shared" ca="1" si="1381"/>
        <v>26</v>
      </c>
      <c r="AB498" s="11">
        <f t="shared" ca="1" si="1381"/>
        <v>5185.99</v>
      </c>
      <c r="AC498" s="9">
        <f t="shared" ca="1" si="1381"/>
        <v>1663</v>
      </c>
      <c r="AD498" s="9">
        <f t="shared" ca="1" si="1381"/>
        <v>36</v>
      </c>
      <c r="AE498" s="9">
        <f t="shared" ca="1" si="1381"/>
        <v>1699</v>
      </c>
      <c r="AF498" s="9">
        <f t="shared" ca="1" si="1381"/>
        <v>2036</v>
      </c>
      <c r="AG498" s="9">
        <f t="shared" ca="1" si="1381"/>
        <v>96</v>
      </c>
      <c r="AH498" s="9">
        <f t="shared" ca="1" si="1381"/>
        <v>2132</v>
      </c>
      <c r="AI498" s="9">
        <f t="shared" ca="1" si="1381"/>
        <v>3831</v>
      </c>
      <c r="AJ498" s="11">
        <f t="shared" ref="AJ498:AJ504" ca="1" si="1382">AB498/AA498</f>
        <v>199.46115384615385</v>
      </c>
      <c r="AK498" s="8">
        <f t="shared" ref="AK498:AK499" si="1383">SUM(O493)</f>
        <v>7315</v>
      </c>
      <c r="AL498" s="12">
        <f t="shared" ref="AL498:AL504" ca="1" si="1384">AI498/AK498</f>
        <v>0.52371838687628158</v>
      </c>
      <c r="AM498" s="13">
        <f t="shared" ref="AM498:AM499" si="1385">SUM(Q493)</f>
        <v>1.5</v>
      </c>
      <c r="AN498" s="12">
        <f t="shared" ref="AN498:AN504" ca="1" si="1386">AO498/AM498</f>
        <v>0.49248070281662715</v>
      </c>
      <c r="AO498" s="14">
        <f t="shared" ref="AO498:AO504" ca="1" si="1387">AI498/AB498</f>
        <v>0.73872105422494072</v>
      </c>
      <c r="AP498" s="13">
        <f t="shared" ref="AP498:AQ498" ca="1" si="1388">SUM(T493)</f>
        <v>167.84768747774865</v>
      </c>
      <c r="AQ498" s="13">
        <f t="shared" ca="1" si="1388"/>
        <v>6.4556802876057171</v>
      </c>
      <c r="AR498" s="9">
        <f t="shared" ref="AR498:AR504" ca="1" si="1389">AI498/AA498</f>
        <v>147.34615384615384</v>
      </c>
      <c r="AS498" s="76"/>
      <c r="AT498" s="76"/>
    </row>
    <row r="499" spans="1:46" ht="15.75" customHeight="1" x14ac:dyDescent="0.25">
      <c r="A499" s="70"/>
      <c r="B499" s="16">
        <v>8</v>
      </c>
      <c r="C499" s="16" t="s">
        <v>25</v>
      </c>
      <c r="D499" s="34">
        <v>27</v>
      </c>
      <c r="E499" s="18">
        <f ca="1">IFERROR(__xludf.DUMMYFUNCTION("COUNT(IMPORTRANGE(""https://docs.google.com/spreadsheets/d/1sqWX7UerdR9KR_duBzDNfjwbPG-3hLgV1LiN2ZVZ6Js/edit"",""19!d2:D33""))"),27)</f>
        <v>27</v>
      </c>
      <c r="F499" s="23">
        <f ca="1">IFERROR(__xludf.DUMMYFUNCTION("SUM(IMPORTRANGE(""https://docs.google.com/spreadsheets/d/1sqWX7UerdR9KR_duBzDNfjwbPG-3hLgV1LiN2ZVZ6Js/edit"",""19!Q2:Q33""))"),5302.66)</f>
        <v>5302.66</v>
      </c>
      <c r="G499" s="18">
        <f ca="1">IFERROR(__xludf.DUMMYFUNCTION("IMPORTRANGE(""https://docs.google.com/spreadsheets/d/1sqWX7UerdR9KR_duBzDNfjwbPG-3hLgV1LiN2ZVZ6Js/edit"",""19!e40"")"),1949)</f>
        <v>1949</v>
      </c>
      <c r="H499" s="18">
        <f ca="1">IFERROR(__xludf.DUMMYFUNCTION("IMPORTRANGE(""https://docs.google.com/spreadsheets/d/1sqWX7UerdR9KR_duBzDNfjwbPG-3hLgV1LiN2ZVZ6Js/edit"",""19!e41"")"),400)</f>
        <v>400</v>
      </c>
      <c r="I499" s="18">
        <f t="shared" ca="1" si="1362"/>
        <v>2349</v>
      </c>
      <c r="J499" s="18">
        <f ca="1">IFERROR(__xludf.DUMMYFUNCTION("IMPORTRANGE(""https://docs.google.com/spreadsheets/d/1sqWX7UerdR9KR_duBzDNfjwbPG-3hLgV1LiN2ZVZ6Js/edit"",""19!e44"")"),2268)</f>
        <v>2268</v>
      </c>
      <c r="K499" s="18">
        <f ca="1">IFERROR(__xludf.DUMMYFUNCTION("IMPORTRANGE(""https://docs.google.com/spreadsheets/d/1sqWX7UerdR9KR_duBzDNfjwbPG-3hLgV1LiN2ZVZ6Js/edit"",""19!e45"")"),345)</f>
        <v>345</v>
      </c>
      <c r="L499" s="18">
        <f ca="1">J499+K499</f>
        <v>2613</v>
      </c>
      <c r="M499" s="18">
        <f t="shared" ca="1" si="1364"/>
        <v>4962</v>
      </c>
      <c r="N499" s="19">
        <f t="shared" ca="1" si="1365"/>
        <v>196.39481481481482</v>
      </c>
      <c r="O499" s="16">
        <v>6622</v>
      </c>
      <c r="P499" s="20">
        <f t="shared" ca="1" si="1366"/>
        <v>0.74932044699486555</v>
      </c>
      <c r="Q499" s="21">
        <v>1.5</v>
      </c>
      <c r="R499" s="20">
        <f t="shared" ca="1" si="1367"/>
        <v>0.62383784741997417</v>
      </c>
      <c r="S499" s="22">
        <f t="shared" ca="1" si="1368"/>
        <v>0.93575677112996125</v>
      </c>
      <c r="T499" s="21">
        <f ca="1">F499/23.84</f>
        <v>222.42701342281879</v>
      </c>
      <c r="U499" s="21">
        <f t="shared" ca="1" si="1369"/>
        <v>8.2380375341784742</v>
      </c>
      <c r="V499" s="18">
        <f t="shared" ca="1" si="1370"/>
        <v>183.77777777777777</v>
      </c>
      <c r="W499" s="76"/>
      <c r="X499" s="8">
        <v>2</v>
      </c>
      <c r="Y499" s="8" t="s">
        <v>30</v>
      </c>
      <c r="Z499" s="8">
        <f t="shared" ref="Z499:AI499" si="1390">SUM(D494)</f>
        <v>48</v>
      </c>
      <c r="AA499" s="9">
        <f t="shared" ca="1" si="1390"/>
        <v>48</v>
      </c>
      <c r="AB499" s="10">
        <f t="shared" ca="1" si="1390"/>
        <v>9409.4649999999892</v>
      </c>
      <c r="AC499" s="9">
        <f t="shared" ca="1" si="1390"/>
        <v>2540</v>
      </c>
      <c r="AD499" s="9">
        <f t="shared" ca="1" si="1390"/>
        <v>0</v>
      </c>
      <c r="AE499" s="9">
        <f t="shared" ca="1" si="1390"/>
        <v>2540</v>
      </c>
      <c r="AF499" s="9">
        <f t="shared" ca="1" si="1390"/>
        <v>4590</v>
      </c>
      <c r="AG499" s="9">
        <f t="shared" ca="1" si="1390"/>
        <v>0</v>
      </c>
      <c r="AH499" s="9">
        <f t="shared" ca="1" si="1390"/>
        <v>4590</v>
      </c>
      <c r="AI499" s="9">
        <f t="shared" ca="1" si="1390"/>
        <v>7130</v>
      </c>
      <c r="AJ499" s="11">
        <f t="shared" ca="1" si="1382"/>
        <v>196.0305208333331</v>
      </c>
      <c r="AK499" s="8">
        <f t="shared" si="1383"/>
        <v>11164</v>
      </c>
      <c r="AL499" s="12">
        <f t="shared" ca="1" si="1384"/>
        <v>0.63865997850232892</v>
      </c>
      <c r="AM499" s="13">
        <f t="shared" si="1385"/>
        <v>1.5</v>
      </c>
      <c r="AN499" s="12">
        <f t="shared" ca="1" si="1386"/>
        <v>0.50516510060171738</v>
      </c>
      <c r="AO499" s="14">
        <f t="shared" ca="1" si="1387"/>
        <v>0.75774765090257612</v>
      </c>
      <c r="AP499" s="13">
        <f t="shared" ref="AP499:AQ499" ca="1" si="1391">SUM(T494)</f>
        <v>317.85511603553658</v>
      </c>
      <c r="AQ499" s="13">
        <f t="shared" ca="1" si="1391"/>
        <v>6.6219815840736791</v>
      </c>
      <c r="AR499" s="9">
        <f t="shared" ca="1" si="1389"/>
        <v>148.54166666666666</v>
      </c>
      <c r="AS499" s="76"/>
      <c r="AT499" s="76"/>
    </row>
    <row r="500" spans="1:46" ht="15.75" customHeight="1" x14ac:dyDescent="0.25">
      <c r="A500" s="70"/>
      <c r="B500" s="16">
        <v>9</v>
      </c>
      <c r="C500" s="16" t="s">
        <v>36</v>
      </c>
      <c r="D500" s="34">
        <v>24</v>
      </c>
      <c r="E500" s="18">
        <f ca="1">IFERROR(__xludf.DUMMYFUNCTION("COUNT(IMPORTRANGE(""https://docs.google.com/spreadsheets/d/1YNna43iTSqnwwbMJgTIPHSJEoDO8RGPRFg5pJCoQR_Y/edit"",""19!d2:d31""))"),24)</f>
        <v>24</v>
      </c>
      <c r="F500" s="23">
        <f ca="1">IFERROR(__xludf.DUMMYFUNCTION("SUM(IMPORTRANGE(""https://docs.google.com/spreadsheets/d/1YNna43iTSqnwwbMJgTIPHSJEoDO8RGPRFg5pJCoQR_Y/edit"",""19!Q2:Q31""))"),4709.376)</f>
        <v>4709.3760000000002</v>
      </c>
      <c r="G500" s="18">
        <f ca="1">IFERROR(__xludf.DUMMYFUNCTION("IMPORTRANGE(""https://docs.google.com/spreadsheets/d/1YNna43iTSqnwwbMJgTIPHSJEoDO8RGPRFg5pJCoQR_Y/edit"",""19!e38"")"),1123)</f>
        <v>1123</v>
      </c>
      <c r="H500" s="18">
        <f ca="1">IFERROR(__xludf.DUMMYFUNCTION("IMPORTRANGE(""https://docs.google.com/spreadsheets/d/1YNna43iTSqnwwbMJgTIPHSJEoDO8RGPRFg5pJCoQR_Y/edit"",""19!e39"")"),0)</f>
        <v>0</v>
      </c>
      <c r="I500" s="18">
        <f t="shared" ca="1" si="1362"/>
        <v>1123</v>
      </c>
      <c r="J500" s="18">
        <f ca="1">IFERROR(__xludf.DUMMYFUNCTION("IMPORTRANGE(""https://docs.google.com/spreadsheets/d/1YNna43iTSqnwwbMJgTIPHSJEoDO8RGPRFg5pJCoQR_Y/edit"",""19!e42"")"),1717)</f>
        <v>1717</v>
      </c>
      <c r="K500" s="18">
        <f ca="1">IFERROR(__xludf.DUMMYFUNCTION("IMPORTRANGE(""https://docs.google.com/spreadsheets/d/1YNna43iTSqnwwbMJgTIPHSJEoDO8RGPRFg5pJCoQR_Y/edit"",""19!e43"")"),0)</f>
        <v>0</v>
      </c>
      <c r="L500" s="18">
        <f t="shared" ref="L500:L509" ca="1" si="1392">SUM(J500:K500)</f>
        <v>1717</v>
      </c>
      <c r="M500" s="18">
        <f t="shared" ca="1" si="1364"/>
        <v>2840</v>
      </c>
      <c r="N500" s="19">
        <f t="shared" ca="1" si="1365"/>
        <v>196.22400000000002</v>
      </c>
      <c r="O500" s="16">
        <v>4796</v>
      </c>
      <c r="P500" s="20">
        <f t="shared" ca="1" si="1366"/>
        <v>0.59216013344453711</v>
      </c>
      <c r="Q500" s="21">
        <v>1.5</v>
      </c>
      <c r="R500" s="20">
        <f t="shared" ca="1" si="1367"/>
        <v>0.40203486265130101</v>
      </c>
      <c r="S500" s="22">
        <f t="shared" ca="1" si="1368"/>
        <v>0.60305229397695148</v>
      </c>
      <c r="T500" s="21">
        <f ca="1">F500/37.414</f>
        <v>125.87202651413909</v>
      </c>
      <c r="U500" s="21">
        <f t="shared" ca="1" si="1369"/>
        <v>5.2446677714224625</v>
      </c>
      <c r="V500" s="18">
        <f t="shared" ca="1" si="1370"/>
        <v>118.33333333333333</v>
      </c>
      <c r="W500" s="76"/>
      <c r="X500" s="8">
        <v>3</v>
      </c>
      <c r="Y500" s="8" t="s">
        <v>34</v>
      </c>
      <c r="Z500" s="8">
        <f t="shared" ref="Z500:AI500" si="1393">SUM(D496)</f>
        <v>32</v>
      </c>
      <c r="AA500" s="9">
        <f t="shared" ca="1" si="1393"/>
        <v>31</v>
      </c>
      <c r="AB500" s="10">
        <f t="shared" ca="1" si="1393"/>
        <v>6051.3810000000003</v>
      </c>
      <c r="AC500" s="9">
        <f t="shared" ca="1" si="1393"/>
        <v>2276</v>
      </c>
      <c r="AD500" s="9">
        <f t="shared" ca="1" si="1393"/>
        <v>0</v>
      </c>
      <c r="AE500" s="9">
        <f t="shared" ca="1" si="1393"/>
        <v>2276</v>
      </c>
      <c r="AF500" s="9">
        <f t="shared" ca="1" si="1393"/>
        <v>2425</v>
      </c>
      <c r="AG500" s="9">
        <f t="shared" ca="1" si="1393"/>
        <v>0</v>
      </c>
      <c r="AH500" s="9">
        <f t="shared" ca="1" si="1393"/>
        <v>2425</v>
      </c>
      <c r="AI500" s="9">
        <f t="shared" ca="1" si="1393"/>
        <v>4701</v>
      </c>
      <c r="AJ500" s="11">
        <f t="shared" ca="1" si="1382"/>
        <v>195.20583870967744</v>
      </c>
      <c r="AK500" s="8">
        <f>SUM(O496)</f>
        <v>9354</v>
      </c>
      <c r="AL500" s="12">
        <f t="shared" ca="1" si="1384"/>
        <v>0.50256574727389347</v>
      </c>
      <c r="AM500" s="13">
        <f>SUM(Q496)</f>
        <v>1.5</v>
      </c>
      <c r="AN500" s="12">
        <f t="shared" ca="1" si="1386"/>
        <v>0.51789831114583595</v>
      </c>
      <c r="AO500" s="14">
        <f t="shared" ca="1" si="1387"/>
        <v>0.77684746671875393</v>
      </c>
      <c r="AP500" s="13">
        <f t="shared" ref="AP500:AQ500" ca="1" si="1394">SUM(T496)</f>
        <v>197.02995474229155</v>
      </c>
      <c r="AQ500" s="13">
        <f t="shared" ca="1" si="1394"/>
        <v>6.3558049916868242</v>
      </c>
      <c r="AR500" s="9">
        <f t="shared" ca="1" si="1389"/>
        <v>151.64516129032259</v>
      </c>
      <c r="AS500" s="76"/>
      <c r="AT500" s="76"/>
    </row>
    <row r="501" spans="1:46" ht="15.75" customHeight="1" x14ac:dyDescent="0.25">
      <c r="A501" s="70"/>
      <c r="B501" s="16">
        <v>10</v>
      </c>
      <c r="C501" s="16" t="s">
        <v>37</v>
      </c>
      <c r="D501" s="17">
        <v>24</v>
      </c>
      <c r="E501" s="18">
        <f ca="1">IFERROR(__xludf.DUMMYFUNCTION("COUNT(IMPORTRANGE(""https://docs.google.com/spreadsheets/d/1913Df5BsXS_b-nClL8LOK5w0engQYTl1mPOiyngRtO0/edit"",""19!d2:d31""))"),24)</f>
        <v>24</v>
      </c>
      <c r="F501" s="23">
        <f ca="1">IFERROR(__xludf.DUMMYFUNCTION("SUM(IMPORTRANGE(""https://docs.google.com/spreadsheets/d/1913Df5BsXS_b-nClL8LOK5w0engQYTl1mPOiyngRtO0/edit"",""19!Q2:Q31""))"),4782.234)</f>
        <v>4782.2340000000004</v>
      </c>
      <c r="G501" s="18">
        <f ca="1">IFERROR(__xludf.DUMMYFUNCTION("(IMPORTRANGE(""https://docs.google.com/spreadsheets/d/1913Df5BsXS_b-nClL8LOK5w0engQYTl1mPOiyngRtO0/edit"",""19!e38""))"),1508)</f>
        <v>1508</v>
      </c>
      <c r="H501" s="18">
        <f ca="1">IFERROR(__xludf.DUMMYFUNCTION("(IMPORTRANGE(""https://docs.google.com/spreadsheets/d/1913Df5BsXS_b-nClL8LOK5w0engQYTl1mPOiyngRtO0/edit"",""19!e39""))"),0)</f>
        <v>0</v>
      </c>
      <c r="I501" s="18">
        <f t="shared" ca="1" si="1362"/>
        <v>1508</v>
      </c>
      <c r="J501" s="18">
        <f ca="1">IFERROR(__xludf.DUMMYFUNCTION("(IMPORTRANGE(""https://docs.google.com/spreadsheets/d/1913Df5BsXS_b-nClL8LOK5w0engQYTl1mPOiyngRtO0/edit"",""19!e42""))"),2553)</f>
        <v>2553</v>
      </c>
      <c r="K501" s="18">
        <f ca="1">IFERROR(__xludf.DUMMYFUNCTION("(IMPORTRANGE(""https://docs.google.com/spreadsheets/d/1913Df5BsXS_b-nClL8LOK5w0engQYTl1mPOiyngRtO0/edit"",""19!e43""))"),0)</f>
        <v>0</v>
      </c>
      <c r="L501" s="18">
        <f t="shared" ca="1" si="1392"/>
        <v>2553</v>
      </c>
      <c r="M501" s="18">
        <f t="shared" ca="1" si="1364"/>
        <v>4061</v>
      </c>
      <c r="N501" s="19">
        <f t="shared" ca="1" si="1365"/>
        <v>199.25975000000003</v>
      </c>
      <c r="O501" s="16">
        <v>5887</v>
      </c>
      <c r="P501" s="20">
        <f t="shared" ca="1" si="1366"/>
        <v>0.68982503821980634</v>
      </c>
      <c r="Q501" s="21">
        <v>1.5</v>
      </c>
      <c r="R501" s="20">
        <f t="shared" ca="1" si="1367"/>
        <v>0.5661231410536024</v>
      </c>
      <c r="S501" s="22">
        <f t="shared" ca="1" si="1368"/>
        <v>0.84918471158040354</v>
      </c>
      <c r="T501" s="21">
        <f ca="1">F501/24.792</f>
        <v>192.89424007744435</v>
      </c>
      <c r="U501" s="21">
        <f t="shared" ca="1" si="1369"/>
        <v>8.037260003226848</v>
      </c>
      <c r="V501" s="18">
        <f t="shared" ca="1" si="1370"/>
        <v>169.20833333333334</v>
      </c>
      <c r="W501" s="76"/>
      <c r="X501" s="8">
        <v>4</v>
      </c>
      <c r="Y501" s="8" t="s">
        <v>38</v>
      </c>
      <c r="Z501" s="8">
        <f t="shared" ref="Z501:AI501" si="1395">SUM(D504)</f>
        <v>24</v>
      </c>
      <c r="AA501" s="9">
        <f t="shared" ca="1" si="1395"/>
        <v>24</v>
      </c>
      <c r="AB501" s="10">
        <f t="shared" ca="1" si="1395"/>
        <v>4657.1959999999999</v>
      </c>
      <c r="AC501" s="9">
        <f t="shared" ca="1" si="1395"/>
        <v>1490</v>
      </c>
      <c r="AD501" s="9">
        <f t="shared" ca="1" si="1395"/>
        <v>0</v>
      </c>
      <c r="AE501" s="9">
        <f t="shared" ca="1" si="1395"/>
        <v>1490</v>
      </c>
      <c r="AF501" s="9">
        <f t="shared" ca="1" si="1395"/>
        <v>2647</v>
      </c>
      <c r="AG501" s="9">
        <f t="shared" ca="1" si="1395"/>
        <v>143</v>
      </c>
      <c r="AH501" s="9">
        <f t="shared" ca="1" si="1395"/>
        <v>2790</v>
      </c>
      <c r="AI501" s="9">
        <f t="shared" ca="1" si="1395"/>
        <v>4280</v>
      </c>
      <c r="AJ501" s="11">
        <f t="shared" ca="1" si="1382"/>
        <v>194.04983333333334</v>
      </c>
      <c r="AK501" s="8">
        <v>7324</v>
      </c>
      <c r="AL501" s="12">
        <f t="shared" ca="1" si="1384"/>
        <v>0.58438012015292196</v>
      </c>
      <c r="AM501" s="13">
        <f>SUM(Q504)</f>
        <v>1.5</v>
      </c>
      <c r="AN501" s="12">
        <f t="shared" ca="1" si="1386"/>
        <v>0.61267194537943725</v>
      </c>
      <c r="AO501" s="14">
        <f t="shared" ca="1" si="1387"/>
        <v>0.91900791806915583</v>
      </c>
      <c r="AP501" s="13">
        <f t="shared" ref="AP501:AQ501" ca="1" si="1396">SUM(T504)</f>
        <v>113.02502123528699</v>
      </c>
      <c r="AQ501" s="13">
        <f t="shared" ca="1" si="1396"/>
        <v>4.7093758848036247</v>
      </c>
      <c r="AR501" s="9">
        <f t="shared" ca="1" si="1389"/>
        <v>178.33333333333334</v>
      </c>
      <c r="AS501" s="76"/>
      <c r="AT501" s="76"/>
    </row>
    <row r="502" spans="1:46" ht="15.75" customHeight="1" x14ac:dyDescent="0.25">
      <c r="A502" s="70"/>
      <c r="B502" s="16">
        <v>12</v>
      </c>
      <c r="C502" s="16" t="s">
        <v>39</v>
      </c>
      <c r="D502" s="17">
        <v>22</v>
      </c>
      <c r="E502" s="18">
        <f ca="1">IFERROR(__xludf.DUMMYFUNCTION("COUNT(IMPORTRANGE(""https://docs.google.com/spreadsheets/d/1wMeol_MpSIcocGxt3WZGl46mJ2tc80mANPvP_YzaP18/edit"",""19!d2:d29""))"),22)</f>
        <v>22</v>
      </c>
      <c r="F502" s="23">
        <f ca="1">IFERROR(__xludf.DUMMYFUNCTION("SUM(IMPORTRANGE(""https://docs.google.com/spreadsheets/d/1wMeol_MpSIcocGxt3WZGl46mJ2tc80mANPvP_YzaP18/edit"",""19!Q2:Q29""))"),4298.057)</f>
        <v>4298.0569999999998</v>
      </c>
      <c r="G502" s="18">
        <f ca="1">IFERROR(__xludf.DUMMYFUNCTION("IMPORTRANGE(""https://docs.google.com/spreadsheets/d/1wMeol_MpSIcocGxt3WZGl46mJ2tc80mANPvP_YzaP18/edit"",""19!e36"")"),1051)</f>
        <v>1051</v>
      </c>
      <c r="H502" s="18">
        <f ca="1">IFERROR(__xludf.DUMMYFUNCTION("(IMPORTRANGE(""https://docs.google.com/spreadsheets/d/1wMeol_MpSIcocGxt3WZGl46mJ2tc80mANPvP_YzaP18/edit"",""19!e37""))"),0)</f>
        <v>0</v>
      </c>
      <c r="I502" s="18">
        <f t="shared" ca="1" si="1362"/>
        <v>1051</v>
      </c>
      <c r="J502" s="18">
        <f ca="1">IFERROR(__xludf.DUMMYFUNCTION("IMPORTRANGE(""https://docs.google.com/spreadsheets/d/1wMeol_MpSIcocGxt3WZGl46mJ2tc80mANPvP_YzaP18/edit"",""19!e40"")"),1968)</f>
        <v>1968</v>
      </c>
      <c r="K502" s="18">
        <f ca="1">IFERROR(__xludf.DUMMYFUNCTION("IMPORTRANGE(""https://docs.google.com/spreadsheets/d/1wMeol_MpSIcocGxt3WZGl46mJ2tc80mANPvP_YzaP18/edit"",""19!e41"")"),0)</f>
        <v>0</v>
      </c>
      <c r="L502" s="18">
        <f t="shared" ca="1" si="1392"/>
        <v>1968</v>
      </c>
      <c r="M502" s="18">
        <f t="shared" ca="1" si="1364"/>
        <v>3019</v>
      </c>
      <c r="N502" s="19">
        <f t="shared" ca="1" si="1365"/>
        <v>195.36622727272726</v>
      </c>
      <c r="O502" s="16">
        <v>3569</v>
      </c>
      <c r="P502" s="20">
        <f t="shared" ca="1" si="1366"/>
        <v>0.84589520874194457</v>
      </c>
      <c r="Q502" s="21">
        <v>1.5</v>
      </c>
      <c r="R502" s="20">
        <f t="shared" ca="1" si="1367"/>
        <v>0.46827360983501776</v>
      </c>
      <c r="S502" s="22">
        <f t="shared" ca="1" si="1368"/>
        <v>0.70241041475252664</v>
      </c>
      <c r="T502" s="21">
        <f ca="1">F502/21.463</f>
        <v>200.25425150258582</v>
      </c>
      <c r="U502" s="21">
        <f t="shared" ca="1" si="1369"/>
        <v>9.1024659773902652</v>
      </c>
      <c r="V502" s="18">
        <f t="shared" ca="1" si="1370"/>
        <v>137.22727272727272</v>
      </c>
      <c r="W502" s="76"/>
      <c r="X502" s="8">
        <v>5</v>
      </c>
      <c r="Y502" s="8" t="s">
        <v>40</v>
      </c>
      <c r="Z502" s="8">
        <f t="shared" ref="Z502:AI502" si="1397">SUM(D506)</f>
        <v>24</v>
      </c>
      <c r="AA502" s="9">
        <f t="shared" ca="1" si="1397"/>
        <v>23</v>
      </c>
      <c r="AB502" s="10">
        <f t="shared" ca="1" si="1397"/>
        <v>4408.665</v>
      </c>
      <c r="AC502" s="9">
        <f t="shared" ca="1" si="1397"/>
        <v>2646</v>
      </c>
      <c r="AD502" s="9">
        <f t="shared" ca="1" si="1397"/>
        <v>0</v>
      </c>
      <c r="AE502" s="9">
        <f t="shared" ca="1" si="1397"/>
        <v>2646</v>
      </c>
      <c r="AF502" s="9">
        <f t="shared" ca="1" si="1397"/>
        <v>3093</v>
      </c>
      <c r="AG502" s="9">
        <f t="shared" ca="1" si="1397"/>
        <v>0</v>
      </c>
      <c r="AH502" s="9">
        <f t="shared" ca="1" si="1397"/>
        <v>3093</v>
      </c>
      <c r="AI502" s="9">
        <f t="shared" ca="1" si="1397"/>
        <v>5739</v>
      </c>
      <c r="AJ502" s="11">
        <f t="shared" ca="1" si="1382"/>
        <v>191.68108695652174</v>
      </c>
      <c r="AK502" s="8">
        <f t="shared" ref="AK502:AK503" si="1398">SUM(O506)</f>
        <v>8239</v>
      </c>
      <c r="AL502" s="12">
        <f t="shared" ca="1" si="1384"/>
        <v>0.69656511712586477</v>
      </c>
      <c r="AM502" s="13">
        <f t="shared" ref="AM502:AM503" si="1399">SUM(Q506)</f>
        <v>1.5</v>
      </c>
      <c r="AN502" s="12">
        <f t="shared" ca="1" si="1386"/>
        <v>0.86783640852729793</v>
      </c>
      <c r="AO502" s="14">
        <f t="shared" ca="1" si="1387"/>
        <v>1.301754612790947</v>
      </c>
      <c r="AP502" s="13">
        <f t="shared" ref="AP502:AQ502" ca="1" si="1400">SUM(T506)</f>
        <v>155</v>
      </c>
      <c r="AQ502" s="13">
        <f t="shared" ca="1" si="1400"/>
        <v>6.7391304347826084</v>
      </c>
      <c r="AR502" s="9">
        <f t="shared" ca="1" si="1389"/>
        <v>249.52173913043478</v>
      </c>
      <c r="AS502" s="76"/>
      <c r="AT502" s="76"/>
    </row>
    <row r="503" spans="1:46" ht="15.75" customHeight="1" x14ac:dyDescent="0.25">
      <c r="A503" s="70"/>
      <c r="B503" s="16">
        <v>12</v>
      </c>
      <c r="C503" s="16" t="s">
        <v>41</v>
      </c>
      <c r="D503" s="17">
        <v>20</v>
      </c>
      <c r="E503" s="18">
        <f ca="1">IFERROR(__xludf.DUMMYFUNCTION("COUNT(IMPORTRANGE(""https://docs.google.com/spreadsheets/d/1sHk6_yuc4kORC_xnhEeazoemV_hVUQVqRpfoNae-PLk/edit"",""19!d2:d25""))"),20)</f>
        <v>20</v>
      </c>
      <c r="F503" s="23">
        <f ca="1">IFERROR(__xludf.DUMMYFUNCTION("SUM(IMPORTRANGE(""https://docs.google.com/spreadsheets/d/1sHk6_yuc4kORC_xnhEeazoemV_hVUQVqRpfoNae-PLk/edit"",""19!Q2:Q25""))"),3993.196)</f>
        <v>3993.1959999999999</v>
      </c>
      <c r="G503" s="18">
        <f ca="1">IFERROR(__xludf.DUMMYFUNCTION("IMPORTRANGE(""https://docs.google.com/spreadsheets/d/1sHk6_yuc4kORC_xnhEeazoemV_hVUQVqRpfoNae-PLk/edit"",""19!e32"")"),911)</f>
        <v>911</v>
      </c>
      <c r="H503" s="18">
        <f ca="1">IFERROR(__xludf.DUMMYFUNCTION("IMPORTRANGE(""https://docs.google.com/spreadsheets/d/1sHk6_yuc4kORC_xnhEeazoemV_hVUQVqRpfoNae-PLk/edit"",""19!e33"")"),0)</f>
        <v>0</v>
      </c>
      <c r="I503" s="18">
        <f t="shared" ca="1" si="1362"/>
        <v>911</v>
      </c>
      <c r="J503" s="18">
        <f ca="1">IFERROR(__xludf.DUMMYFUNCTION("IMPORTRANGE(""https://docs.google.com/spreadsheets/d/1sHk6_yuc4kORC_xnhEeazoemV_hVUQVqRpfoNae-PLk/edit"",""19!e36"")"),1341)</f>
        <v>1341</v>
      </c>
      <c r="K503" s="18">
        <f ca="1">IFERROR(__xludf.DUMMYFUNCTION("IMPORTRANGE(""https://docs.google.com/spreadsheets/d/1sHk6_yuc4kORC_xnhEeazoemV_hVUQVqRpfoNae-PLk/edit"",""19!e37"")"),0)</f>
        <v>0</v>
      </c>
      <c r="L503" s="18">
        <f t="shared" ca="1" si="1392"/>
        <v>1341</v>
      </c>
      <c r="M503" s="18">
        <f t="shared" ca="1" si="1364"/>
        <v>2252</v>
      </c>
      <c r="N503" s="19">
        <f t="shared" ca="1" si="1365"/>
        <v>199.65979999999999</v>
      </c>
      <c r="O503" s="16">
        <v>3801</v>
      </c>
      <c r="P503" s="20">
        <f t="shared" ca="1" si="1366"/>
        <v>0.59247566429886867</v>
      </c>
      <c r="Q503" s="21">
        <v>1.5</v>
      </c>
      <c r="R503" s="20">
        <f t="shared" ca="1" si="1367"/>
        <v>0.37597286317359163</v>
      </c>
      <c r="S503" s="22">
        <f t="shared" ca="1" si="1368"/>
        <v>0.56395929476038742</v>
      </c>
      <c r="T503" s="21">
        <f ca="1">F503/29.628</f>
        <v>134.77777777777777</v>
      </c>
      <c r="U503" s="21">
        <f t="shared" ca="1" si="1369"/>
        <v>6.7388888888888889</v>
      </c>
      <c r="V503" s="18">
        <f t="shared" ca="1" si="1370"/>
        <v>112.6</v>
      </c>
      <c r="W503" s="76"/>
      <c r="X503" s="8">
        <v>6</v>
      </c>
      <c r="Y503" s="8" t="s">
        <v>42</v>
      </c>
      <c r="Z503" s="8">
        <f t="shared" ref="Z503:AI503" si="1401">SUM(D507)</f>
        <v>26</v>
      </c>
      <c r="AA503" s="9">
        <f t="shared" ca="1" si="1401"/>
        <v>26</v>
      </c>
      <c r="AB503" s="10">
        <f t="shared" ca="1" si="1401"/>
        <v>5083.3009999999904</v>
      </c>
      <c r="AC503" s="9">
        <f t="shared" ca="1" si="1401"/>
        <v>2346</v>
      </c>
      <c r="AD503" s="9">
        <f t="shared" ca="1" si="1401"/>
        <v>0</v>
      </c>
      <c r="AE503" s="9">
        <f t="shared" ca="1" si="1401"/>
        <v>2346</v>
      </c>
      <c r="AF503" s="9">
        <f t="shared" ca="1" si="1401"/>
        <v>3470</v>
      </c>
      <c r="AG503" s="9">
        <f t="shared" ca="1" si="1401"/>
        <v>124</v>
      </c>
      <c r="AH503" s="9">
        <f t="shared" ca="1" si="1401"/>
        <v>3594</v>
      </c>
      <c r="AI503" s="9">
        <f t="shared" ca="1" si="1401"/>
        <v>5940</v>
      </c>
      <c r="AJ503" s="11">
        <f t="shared" ca="1" si="1382"/>
        <v>195.51157692307655</v>
      </c>
      <c r="AK503" s="8">
        <f t="shared" si="1398"/>
        <v>9877</v>
      </c>
      <c r="AL503" s="12">
        <f t="shared" ca="1" si="1384"/>
        <v>0.60139718538017617</v>
      </c>
      <c r="AM503" s="13">
        <f t="shared" si="1399"/>
        <v>1.5</v>
      </c>
      <c r="AN503" s="12">
        <f t="shared" ca="1" si="1386"/>
        <v>0.77902134852923466</v>
      </c>
      <c r="AO503" s="14">
        <f t="shared" ca="1" si="1387"/>
        <v>1.168532022793852</v>
      </c>
      <c r="AP503" s="13">
        <f t="shared" ref="AP503:AQ503" ca="1" si="1402">SUM(T507)</f>
        <v>194.35293442936305</v>
      </c>
      <c r="AQ503" s="13">
        <f t="shared" ca="1" si="1402"/>
        <v>7.4751128626678094</v>
      </c>
      <c r="AR503" s="9">
        <f t="shared" ca="1" si="1389"/>
        <v>228.46153846153845</v>
      </c>
      <c r="AS503" s="76"/>
      <c r="AT503" s="76"/>
    </row>
    <row r="504" spans="1:46" ht="15.75" customHeight="1" x14ac:dyDescent="0.25">
      <c r="A504" s="70"/>
      <c r="B504" s="16">
        <v>13</v>
      </c>
      <c r="C504" s="16" t="s">
        <v>43</v>
      </c>
      <c r="D504" s="17">
        <v>24</v>
      </c>
      <c r="E504" s="18">
        <f ca="1">IFERROR(__xludf.DUMMYFUNCTION("COUNT(IMPORTRANGE(""https://docs.google.com/spreadsheets/d/1uGXvAN2jA6kmcEHUY4KqOHHewllZsujDdA6KVDfBCoA/edit"",""19!d2:d31""))"),24)</f>
        <v>24</v>
      </c>
      <c r="F504" s="23">
        <f ca="1">IFERROR(__xludf.DUMMYFUNCTION("SUM(IMPORTRANGE(""https://docs.google.com/spreadsheets/d/1uGXvAN2jA6kmcEHUY4KqOHHewllZsujDdA6KVDfBCoA/edit"",""19!Q2:Q31""))"),4657.196)</f>
        <v>4657.1959999999999</v>
      </c>
      <c r="G504" s="18">
        <f ca="1">IFERROR(__xludf.DUMMYFUNCTION("IMPORTRANGE(""https://docs.google.com/spreadsheets/d/1uGXvAN2jA6kmcEHUY4KqOHHewllZsujDdA6KVDfBCoA/edit"",""19!e38"")"),1490)</f>
        <v>1490</v>
      </c>
      <c r="H504" s="18">
        <f ca="1">IFERROR(__xludf.DUMMYFUNCTION("IMPORTRANGE(""https://docs.google.com/spreadsheets/d/1uGXvAN2jA6kmcEHUY4KqOHHewllZsujDdA6KVDfBCoA/edit"",""19!e39"")"),0)</f>
        <v>0</v>
      </c>
      <c r="I504" s="18">
        <f t="shared" ca="1" si="1362"/>
        <v>1490</v>
      </c>
      <c r="J504" s="18">
        <f ca="1">IFERROR(__xludf.DUMMYFUNCTION("IMPORTRANGE(""https://docs.google.com/spreadsheets/d/1uGXvAN2jA6kmcEHUY4KqOHHewllZsujDdA6KVDfBCoA/edit"",""19!e42"")"),2647)</f>
        <v>2647</v>
      </c>
      <c r="K504" s="18">
        <f ca="1">IFERROR(__xludf.DUMMYFUNCTION("IMPORTRANGE(""https://docs.google.com/spreadsheets/d/1uGXvAN2jA6kmcEHUY4KqOHHewllZsujDdA6KVDfBCoA/edit"",""19!e43"")"),143)</f>
        <v>143</v>
      </c>
      <c r="L504" s="18">
        <f t="shared" ca="1" si="1392"/>
        <v>2790</v>
      </c>
      <c r="M504" s="18">
        <f t="shared" ca="1" si="1364"/>
        <v>4280</v>
      </c>
      <c r="N504" s="19">
        <f t="shared" ca="1" si="1365"/>
        <v>194.04983333333334</v>
      </c>
      <c r="O504" s="16">
        <v>8345</v>
      </c>
      <c r="P504" s="20">
        <f t="shared" ca="1" si="1366"/>
        <v>0.51288196524865193</v>
      </c>
      <c r="Q504" s="21">
        <v>1.5</v>
      </c>
      <c r="R504" s="20">
        <f t="shared" ca="1" si="1367"/>
        <v>0.61267194537943725</v>
      </c>
      <c r="S504" s="22">
        <f t="shared" ca="1" si="1368"/>
        <v>0.91900791806915583</v>
      </c>
      <c r="T504" s="21">
        <f ca="1">F504/41.205</f>
        <v>113.02502123528699</v>
      </c>
      <c r="U504" s="21">
        <f t="shared" ca="1" si="1369"/>
        <v>4.7093758848036247</v>
      </c>
      <c r="V504" s="18">
        <f t="shared" ca="1" si="1370"/>
        <v>178.33333333333334</v>
      </c>
      <c r="W504" s="76"/>
      <c r="X504" s="24" t="s">
        <v>33</v>
      </c>
      <c r="Y504" s="24">
        <v>6</v>
      </c>
      <c r="Z504" s="24">
        <f t="shared" ref="Z504:AI504" si="1403">SUM(Z498:Z503)</f>
        <v>180</v>
      </c>
      <c r="AA504" s="25">
        <f t="shared" ca="1" si="1403"/>
        <v>178</v>
      </c>
      <c r="AB504" s="27">
        <f t="shared" ca="1" si="1403"/>
        <v>34795.997999999978</v>
      </c>
      <c r="AC504" s="25">
        <f t="shared" ca="1" si="1403"/>
        <v>12961</v>
      </c>
      <c r="AD504" s="25">
        <f t="shared" ca="1" si="1403"/>
        <v>36</v>
      </c>
      <c r="AE504" s="25">
        <f t="shared" ca="1" si="1403"/>
        <v>12997</v>
      </c>
      <c r="AF504" s="25">
        <f t="shared" ca="1" si="1403"/>
        <v>18261</v>
      </c>
      <c r="AG504" s="25">
        <f t="shared" ca="1" si="1403"/>
        <v>363</v>
      </c>
      <c r="AH504" s="25">
        <f t="shared" ca="1" si="1403"/>
        <v>18624</v>
      </c>
      <c r="AI504" s="25">
        <f t="shared" ca="1" si="1403"/>
        <v>31621</v>
      </c>
      <c r="AJ504" s="27">
        <f t="shared" ca="1" si="1382"/>
        <v>195.48313483146055</v>
      </c>
      <c r="AK504" s="24">
        <f>SUM(AK498:AK503)</f>
        <v>53273</v>
      </c>
      <c r="AL504" s="28">
        <f t="shared" ca="1" si="1384"/>
        <v>0.59356522065586692</v>
      </c>
      <c r="AM504" s="29">
        <v>1.5</v>
      </c>
      <c r="AN504" s="28">
        <f t="shared" ca="1" si="1386"/>
        <v>0.60583595465969042</v>
      </c>
      <c r="AO504" s="30">
        <f t="shared" ca="1" si="1387"/>
        <v>0.90875393198953569</v>
      </c>
      <c r="AP504" s="29">
        <f ca="1">SUM(AP498:AP503)</f>
        <v>1145.1107139202268</v>
      </c>
      <c r="AQ504" s="29">
        <f ca="1">AP504/AA504</f>
        <v>6.4332062579788021</v>
      </c>
      <c r="AR504" s="25">
        <f t="shared" ca="1" si="1389"/>
        <v>177.64606741573033</v>
      </c>
      <c r="AS504" s="76"/>
      <c r="AT504" s="76"/>
    </row>
    <row r="505" spans="1:46" ht="15.75" customHeight="1" x14ac:dyDescent="0.25">
      <c r="A505" s="70"/>
      <c r="B505" s="16">
        <v>14</v>
      </c>
      <c r="C505" s="16" t="s">
        <v>27</v>
      </c>
      <c r="D505" s="17">
        <v>24</v>
      </c>
      <c r="E505" s="18">
        <f ca="1">IFERROR(__xludf.DUMMYFUNCTION("COUNT(IMPORTRANGE(""https://docs.google.com/spreadsheets/d/1iYtf3wkjJIgOL8ej0-L89wY8FLXKi6EiRbi9UqA1Bzw/edit"",""19!d2:d31""))"),23)</f>
        <v>23</v>
      </c>
      <c r="F505" s="23">
        <f ca="1">IFERROR(__xludf.DUMMYFUNCTION("SUM(IMPORTRANGE(""https://docs.google.com/spreadsheets/d/1iYtf3wkjJIgOL8ej0-L89wY8FLXKi6EiRbi9UqA1Bzw/edit"",""19!Q2:Q31""))"),4312.65299999999)</f>
        <v>4312.6529999999902</v>
      </c>
      <c r="G505" s="18">
        <f ca="1">IFERROR(__xludf.DUMMYFUNCTION("IMPORTRANGE(""https://docs.google.com/spreadsheets/d/1iYtf3wkjJIgOL8ej0-L89wY8FLXKi6EiRbi9UqA1Bzw/edit"",""19!e38"")"),1546)</f>
        <v>1546</v>
      </c>
      <c r="H505" s="18">
        <f ca="1">IFERROR(__xludf.DUMMYFUNCTION("IMPORTRANGE(""https://docs.google.com/spreadsheets/d/1iYtf3wkjJIgOL8ej0-L89wY8FLXKi6EiRbi9UqA1Bzw/edit"",""19!e39"")"),187)</f>
        <v>187</v>
      </c>
      <c r="I505" s="18">
        <f t="shared" ca="1" si="1362"/>
        <v>1733</v>
      </c>
      <c r="J505" s="18">
        <f ca="1">IFERROR(__xludf.DUMMYFUNCTION("IMPORTRANGE(""https://docs.google.com/spreadsheets/d/1iYtf3wkjJIgOL8ej0-L89wY8FLXKi6EiRbi9UqA1Bzw/edit"",""19!e42"")"),2246)</f>
        <v>2246</v>
      </c>
      <c r="K505" s="18">
        <f ca="1">IFERROR(__xludf.DUMMYFUNCTION("IMPORTRANGE(""https://docs.google.com/spreadsheets/d/1iYtf3wkjJIgOL8ej0-L89wY8FLXKi6EiRbi9UqA1Bzw/edit"",""19!e43"")"),352)</f>
        <v>352</v>
      </c>
      <c r="L505" s="18">
        <f t="shared" ca="1" si="1392"/>
        <v>2598</v>
      </c>
      <c r="M505" s="18">
        <f t="shared" ca="1" si="1364"/>
        <v>4331</v>
      </c>
      <c r="N505" s="19">
        <f t="shared" ca="1" si="1365"/>
        <v>187.50665217391261</v>
      </c>
      <c r="O505" s="16">
        <v>8101</v>
      </c>
      <c r="P505" s="20">
        <f t="shared" ca="1" si="1366"/>
        <v>0.53462535489445751</v>
      </c>
      <c r="Q505" s="21">
        <v>1.5</v>
      </c>
      <c r="R505" s="20">
        <f t="shared" ca="1" si="1367"/>
        <v>0.66950281725270733</v>
      </c>
      <c r="S505" s="22">
        <f t="shared" ca="1" si="1368"/>
        <v>1.004254225879061</v>
      </c>
      <c r="T505" s="21">
        <f ca="1">F505/19.985</f>
        <v>215.79449587190345</v>
      </c>
      <c r="U505" s="21">
        <f t="shared" ca="1" si="1369"/>
        <v>9.3823693857349326</v>
      </c>
      <c r="V505" s="18">
        <f t="shared" ca="1" si="1370"/>
        <v>188.30434782608697</v>
      </c>
      <c r="W505" s="76"/>
      <c r="X505" s="97" t="s">
        <v>44</v>
      </c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9"/>
      <c r="AS505" s="76"/>
      <c r="AT505" s="76"/>
    </row>
    <row r="506" spans="1:46" ht="15.75" customHeight="1" x14ac:dyDescent="0.25">
      <c r="A506" s="70"/>
      <c r="B506" s="16">
        <v>15</v>
      </c>
      <c r="C506" s="16" t="s">
        <v>40</v>
      </c>
      <c r="D506" s="17">
        <v>24</v>
      </c>
      <c r="E506" s="18">
        <f ca="1">IFERROR(__xludf.DUMMYFUNCTION("COUNT(IMPORTRANGE(""https://docs.google.com/spreadsheets/d/1Wdf8MsoDBzMSsrzOXwaGQzbVjVqOWfKSqYmbncevZgA/edit"",""19!d2:d31""))"),23)</f>
        <v>23</v>
      </c>
      <c r="F506" s="23">
        <f ca="1">IFERROR(__xludf.DUMMYFUNCTION("SUM(IMPORTRANGE(""https://docs.google.com/spreadsheets/d/1Wdf8MsoDBzMSsrzOXwaGQzbVjVqOWfKSqYmbncevZgA/edit"",""19!Q2:Q31""))"),4408.665)</f>
        <v>4408.665</v>
      </c>
      <c r="G506" s="18">
        <f ca="1">IFERROR(__xludf.DUMMYFUNCTION("IMPORTRANGE(""https://docs.google.com/spreadsheets/d/1Wdf8MsoDBzMSsrzOXwaGQzbVjVqOWfKSqYmbncevZgA/edit"",""19!e38"")"),2646)</f>
        <v>2646</v>
      </c>
      <c r="H506" s="18">
        <f ca="1">IFERROR(__xludf.DUMMYFUNCTION("IMPORTRANGE(""https://docs.google.com/spreadsheets/d/1Wdf8MsoDBzMSsrzOXwaGQzbVjVqOWfKSqYmbncevZgA/edit"",""19!e39"")"),0)</f>
        <v>0</v>
      </c>
      <c r="I506" s="18">
        <f t="shared" ca="1" si="1362"/>
        <v>2646</v>
      </c>
      <c r="J506" s="18">
        <f ca="1">IFERROR(__xludf.DUMMYFUNCTION("IMPORTRANGE(""https://docs.google.com/spreadsheets/d/1Wdf8MsoDBzMSsrzOXwaGQzbVjVqOWfKSqYmbncevZgA/edit"",""19!e42"")"),3093)</f>
        <v>3093</v>
      </c>
      <c r="K506" s="18">
        <f ca="1">IFERROR(__xludf.DUMMYFUNCTION("IMPORTRANGE(""https://docs.google.com/spreadsheets/d/1Wdf8MsoDBzMSsrzOXwaGQzbVjVqOWfKSqYmbncevZgA/edit"",""19!e43"")"),0)</f>
        <v>0</v>
      </c>
      <c r="L506" s="18">
        <f t="shared" ca="1" si="1392"/>
        <v>3093</v>
      </c>
      <c r="M506" s="18">
        <f t="shared" ca="1" si="1364"/>
        <v>5739</v>
      </c>
      <c r="N506" s="19">
        <f t="shared" ca="1" si="1365"/>
        <v>191.68108695652174</v>
      </c>
      <c r="O506" s="16">
        <v>8239</v>
      </c>
      <c r="P506" s="20">
        <f t="shared" ca="1" si="1366"/>
        <v>0.69656511712586477</v>
      </c>
      <c r="Q506" s="21">
        <v>1.5</v>
      </c>
      <c r="R506" s="20">
        <f t="shared" ca="1" si="1367"/>
        <v>0.86783640852729793</v>
      </c>
      <c r="S506" s="22">
        <f t="shared" ca="1" si="1368"/>
        <v>1.301754612790947</v>
      </c>
      <c r="T506" s="21">
        <f ca="1">F506/28.443</f>
        <v>155</v>
      </c>
      <c r="U506" s="21">
        <f t="shared" ca="1" si="1369"/>
        <v>6.7391304347826084</v>
      </c>
      <c r="V506" s="18">
        <f t="shared" ca="1" si="1370"/>
        <v>249.52173913043478</v>
      </c>
      <c r="W506" s="76"/>
      <c r="X506" s="1" t="s">
        <v>2</v>
      </c>
      <c r="Y506" s="1" t="s">
        <v>3</v>
      </c>
      <c r="Z506" s="1" t="s">
        <v>4</v>
      </c>
      <c r="AA506" s="1" t="s">
        <v>5</v>
      </c>
      <c r="AB506" s="2" t="s">
        <v>6</v>
      </c>
      <c r="AC506" s="1" t="s">
        <v>7</v>
      </c>
      <c r="AD506" s="1" t="s">
        <v>8</v>
      </c>
      <c r="AE506" s="1" t="s">
        <v>9</v>
      </c>
      <c r="AF506" s="1" t="s">
        <v>10</v>
      </c>
      <c r="AG506" s="1" t="s">
        <v>11</v>
      </c>
      <c r="AH506" s="1" t="s">
        <v>12</v>
      </c>
      <c r="AI506" s="1" t="s">
        <v>13</v>
      </c>
      <c r="AJ506" s="2" t="s">
        <v>14</v>
      </c>
      <c r="AK506" s="1" t="s">
        <v>15</v>
      </c>
      <c r="AL506" s="1" t="s">
        <v>16</v>
      </c>
      <c r="AM506" s="3" t="s">
        <v>17</v>
      </c>
      <c r="AN506" s="4" t="s">
        <v>18</v>
      </c>
      <c r="AO506" s="5" t="s">
        <v>19</v>
      </c>
      <c r="AP506" s="6" t="s">
        <v>20</v>
      </c>
      <c r="AQ506" s="6" t="s">
        <v>21</v>
      </c>
      <c r="AR506" s="7" t="s">
        <v>22</v>
      </c>
      <c r="AS506" s="76"/>
      <c r="AT506" s="76"/>
    </row>
    <row r="507" spans="1:46" ht="15.75" customHeight="1" x14ac:dyDescent="0.25">
      <c r="A507" s="70"/>
      <c r="B507" s="16">
        <v>16</v>
      </c>
      <c r="C507" s="16" t="s">
        <v>42</v>
      </c>
      <c r="D507" s="17">
        <v>26</v>
      </c>
      <c r="E507" s="18">
        <f ca="1">IFERROR(__xludf.DUMMYFUNCTION("COUNT(IMPORTRANGE(""https://docs.google.com/spreadsheets/d/1Z5uB5HbeAKcHmG4EOw3rf2J8NpyvDiha6RReERAMvA0/edit"",""19!d2:d34""))"),26)</f>
        <v>26</v>
      </c>
      <c r="F507" s="23">
        <f ca="1">IFERROR(__xludf.DUMMYFUNCTION("SUM(IMPORTRANGE(""https://docs.google.com/spreadsheets/d/1Z5uB5HbeAKcHmG4EOw3rf2J8NpyvDiha6RReERAMvA0/edit"",""19!Q2:Q34""))"),5083.30099999999)</f>
        <v>5083.3009999999904</v>
      </c>
      <c r="G507" s="18">
        <f ca="1">IFERROR(__xludf.DUMMYFUNCTION("IMPORTRANGE(""https://docs.google.com/spreadsheets/d/1Z5uB5HbeAKcHmG4EOw3rf2J8NpyvDiha6RReERAMvA0/edit"",""19!e41"")"),2346)</f>
        <v>2346</v>
      </c>
      <c r="H507" s="18">
        <f ca="1">IFERROR(__xludf.DUMMYFUNCTION("IMPORTRANGE(""https://docs.google.com/spreadsheets/d/1Z5uB5HbeAKcHmG4EOw3rf2J8NpyvDiha6RReERAMvA0/edit"",""19!e42"")"),0)</f>
        <v>0</v>
      </c>
      <c r="I507" s="18">
        <f t="shared" ca="1" si="1362"/>
        <v>2346</v>
      </c>
      <c r="J507" s="18">
        <f ca="1">IFERROR(__xludf.DUMMYFUNCTION("IMPORTRANGE(""https://docs.google.com/spreadsheets/d/1Z5uB5HbeAKcHmG4EOw3rf2J8NpyvDiha6RReERAMvA0/edit"",""19!e45"")"),3470)</f>
        <v>3470</v>
      </c>
      <c r="K507" s="18">
        <f ca="1">IFERROR(__xludf.DUMMYFUNCTION("IMPORTRANGE(""https://docs.google.com/spreadsheets/d/1Z5uB5HbeAKcHmG4EOw3rf2J8NpyvDiha6RReERAMvA0/edit"",""19!e46"")"),124)</f>
        <v>124</v>
      </c>
      <c r="L507" s="18">
        <f t="shared" ca="1" si="1392"/>
        <v>3594</v>
      </c>
      <c r="M507" s="18">
        <f t="shared" ca="1" si="1364"/>
        <v>5940</v>
      </c>
      <c r="N507" s="19">
        <f t="shared" ca="1" si="1365"/>
        <v>195.51157692307655</v>
      </c>
      <c r="O507" s="16">
        <v>9877</v>
      </c>
      <c r="P507" s="20">
        <f t="shared" ca="1" si="1366"/>
        <v>0.60139718538017617</v>
      </c>
      <c r="Q507" s="21">
        <v>1.5</v>
      </c>
      <c r="R507" s="20">
        <f t="shared" ca="1" si="1367"/>
        <v>0.77902134852923466</v>
      </c>
      <c r="S507" s="22">
        <f t="shared" ca="1" si="1368"/>
        <v>1.168532022793852</v>
      </c>
      <c r="T507" s="21">
        <f ca="1">F507/26.155</f>
        <v>194.35293442936305</v>
      </c>
      <c r="U507" s="21">
        <f t="shared" ca="1" si="1369"/>
        <v>7.4751128626678094</v>
      </c>
      <c r="V507" s="18">
        <f t="shared" ca="1" si="1370"/>
        <v>228.46153846153845</v>
      </c>
      <c r="W507" s="76"/>
      <c r="X507" s="8">
        <v>1</v>
      </c>
      <c r="Y507" s="8" t="s">
        <v>26</v>
      </c>
      <c r="Z507" s="8">
        <f t="shared" ref="Z507:AI507" si="1404">SUM(D492)</f>
        <v>16</v>
      </c>
      <c r="AA507" s="9">
        <f t="shared" ca="1" si="1404"/>
        <v>16</v>
      </c>
      <c r="AB507" s="11">
        <f t="shared" ca="1" si="1404"/>
        <v>3092.5529999999999</v>
      </c>
      <c r="AC507" s="9">
        <f t="shared" ca="1" si="1404"/>
        <v>1488</v>
      </c>
      <c r="AD507" s="9">
        <f t="shared" ca="1" si="1404"/>
        <v>29</v>
      </c>
      <c r="AE507" s="9">
        <f t="shared" ca="1" si="1404"/>
        <v>1517</v>
      </c>
      <c r="AF507" s="9">
        <f t="shared" ca="1" si="1404"/>
        <v>2112</v>
      </c>
      <c r="AG507" s="9">
        <f t="shared" ca="1" si="1404"/>
        <v>75</v>
      </c>
      <c r="AH507" s="9">
        <f t="shared" ca="1" si="1404"/>
        <v>2187</v>
      </c>
      <c r="AI507" s="9">
        <f t="shared" ca="1" si="1404"/>
        <v>3704</v>
      </c>
      <c r="AJ507" s="11">
        <f t="shared" ref="AJ507:AJ513" ca="1" si="1405">AB507/AA507</f>
        <v>193.28456249999999</v>
      </c>
      <c r="AK507" s="8">
        <f>SUM(O492)</f>
        <v>5161</v>
      </c>
      <c r="AL507" s="12">
        <f t="shared" ref="AL507:AL513" ca="1" si="1406">AI507/AK507</f>
        <v>0.71769037008331715</v>
      </c>
      <c r="AM507" s="13">
        <f>SUM(Q492)</f>
        <v>1.5</v>
      </c>
      <c r="AN507" s="12">
        <f t="shared" ref="AN507:AN513" ca="1" si="1407">AO507/AM507</f>
        <v>0.79847728829007414</v>
      </c>
      <c r="AO507" s="14">
        <f t="shared" ref="AO507:AO513" ca="1" si="1408">AI507/AB507</f>
        <v>1.1977159324351112</v>
      </c>
      <c r="AP507" s="13">
        <f t="shared" ref="AP507:AQ507" ca="1" si="1409">SUM(T492)</f>
        <v>214.53714880332987</v>
      </c>
      <c r="AQ507" s="13">
        <f t="shared" ca="1" si="1409"/>
        <v>13.408571800208117</v>
      </c>
      <c r="AR507" s="9">
        <f t="shared" ref="AR507:AR513" ca="1" si="1410">AI507/AA507</f>
        <v>231.5</v>
      </c>
      <c r="AS507" s="76"/>
      <c r="AT507" s="76"/>
    </row>
    <row r="508" spans="1:46" ht="15.75" customHeight="1" x14ac:dyDescent="0.25">
      <c r="A508" s="70"/>
      <c r="B508" s="16">
        <v>17</v>
      </c>
      <c r="C508" s="16" t="s">
        <v>29</v>
      </c>
      <c r="D508" s="17">
        <v>24</v>
      </c>
      <c r="E508" s="18">
        <f ca="1">IFERROR(__xludf.DUMMYFUNCTION("COUNT(IMPORTRANGE(""https://docs.google.com/spreadsheets/d/1wfJqI0e9wVPqEQv3N6b8KgINjqI0OBECEyIFeY9j3i8/edit"",""19!d2:d31""))"),24)</f>
        <v>24</v>
      </c>
      <c r="F508" s="23">
        <f ca="1">IFERROR(__xludf.DUMMYFUNCTION("SUM(IMPORTRANGE(""https://docs.google.com/spreadsheets/d/1wfJqI0e9wVPqEQv3N6b8KgINjqI0OBECEyIFeY9j3i8/edit"",""19!Q2:Q31""))"),4821.36199999999)</f>
        <v>4821.3619999999901</v>
      </c>
      <c r="G508" s="18">
        <f ca="1">IFERROR(__xludf.DUMMYFUNCTION("IMPORTRANGE(""https://docs.google.com/spreadsheets/d/1wfJqI0e9wVPqEQv3N6b8KgINjqI0OBECEyIFeY9j3i8/edit"",""19!e38"")"),2188)</f>
        <v>2188</v>
      </c>
      <c r="H508" s="18">
        <f ca="1">IFERROR(__xludf.DUMMYFUNCTION("IMPORTRANGE(""https://docs.google.com/spreadsheets/d/1wfJqI0e9wVPqEQv3N6b8KgINjqI0OBECEyIFeY9j3i8/edit"",""19!e39"")"),0)</f>
        <v>0</v>
      </c>
      <c r="I508" s="18">
        <f t="shared" ca="1" si="1362"/>
        <v>2188</v>
      </c>
      <c r="J508" s="18">
        <f ca="1">IFERROR(__xludf.DUMMYFUNCTION("IMPORTRANGE(""https://docs.google.com/spreadsheets/d/1wfJqI0e9wVPqEQv3N6b8KgINjqI0OBECEyIFeY9j3i8/edit"",""19!e42"")"),3319)</f>
        <v>3319</v>
      </c>
      <c r="K508" s="18">
        <f ca="1">IFERROR(__xludf.DUMMYFUNCTION("IMPORTRANGE(""https://docs.google.com/spreadsheets/d/1wfJqI0e9wVPqEQv3N6b8KgINjqI0OBECEyIFeY9j3i8/edit"",""19!e43"")"),0)</f>
        <v>0</v>
      </c>
      <c r="L508" s="18">
        <f t="shared" ca="1" si="1392"/>
        <v>3319</v>
      </c>
      <c r="M508" s="18">
        <f t="shared" ca="1" si="1364"/>
        <v>5507</v>
      </c>
      <c r="N508" s="19">
        <f t="shared" ca="1" si="1365"/>
        <v>200.89008333333291</v>
      </c>
      <c r="O508" s="16">
        <v>9201</v>
      </c>
      <c r="P508" s="20">
        <f t="shared" ca="1" si="1366"/>
        <v>0.59852189979350068</v>
      </c>
      <c r="Q508" s="21">
        <v>1.5</v>
      </c>
      <c r="R508" s="20">
        <f t="shared" ca="1" si="1367"/>
        <v>0.76147224235254285</v>
      </c>
      <c r="S508" s="22">
        <f t="shared" ca="1" si="1368"/>
        <v>1.1422083635288143</v>
      </c>
      <c r="T508" s="21">
        <f ca="1">F508/26.491</f>
        <v>181.99999999999963</v>
      </c>
      <c r="U508" s="21">
        <f t="shared" ca="1" si="1369"/>
        <v>7.5833333333333179</v>
      </c>
      <c r="V508" s="18">
        <f t="shared" ca="1" si="1370"/>
        <v>229.45833333333334</v>
      </c>
      <c r="W508" s="76"/>
      <c r="X508" s="8">
        <v>2</v>
      </c>
      <c r="Y508" s="8" t="s">
        <v>32</v>
      </c>
      <c r="Z508" s="8">
        <f t="shared" ref="Z508:AI508" si="1411">SUM(D495)</f>
        <v>33</v>
      </c>
      <c r="AA508" s="9">
        <f t="shared" ca="1" si="1411"/>
        <v>33</v>
      </c>
      <c r="AB508" s="10">
        <f t="shared" ca="1" si="1411"/>
        <v>6511.6699999999901</v>
      </c>
      <c r="AC508" s="8">
        <f t="shared" ca="1" si="1411"/>
        <v>3612</v>
      </c>
      <c r="AD508" s="8">
        <f t="shared" ca="1" si="1411"/>
        <v>20</v>
      </c>
      <c r="AE508" s="9">
        <f t="shared" ca="1" si="1411"/>
        <v>3632</v>
      </c>
      <c r="AF508" s="8">
        <f t="shared" ca="1" si="1411"/>
        <v>4093</v>
      </c>
      <c r="AG508" s="8">
        <f t="shared" ca="1" si="1411"/>
        <v>118</v>
      </c>
      <c r="AH508" s="9">
        <f t="shared" ca="1" si="1411"/>
        <v>4211</v>
      </c>
      <c r="AI508" s="9">
        <f t="shared" ca="1" si="1411"/>
        <v>7843</v>
      </c>
      <c r="AJ508" s="11">
        <f t="shared" ca="1" si="1405"/>
        <v>197.32333333333304</v>
      </c>
      <c r="AK508" s="8">
        <f>SUM(O495)</f>
        <v>13817</v>
      </c>
      <c r="AL508" s="12">
        <f t="shared" ca="1" si="1406"/>
        <v>0.56763407396685239</v>
      </c>
      <c r="AM508" s="13">
        <f>SUM(Q495)</f>
        <v>1.5</v>
      </c>
      <c r="AN508" s="12">
        <f t="shared" ca="1" si="1407"/>
        <v>0.80296861890523852</v>
      </c>
      <c r="AO508" s="14">
        <f t="shared" ca="1" si="1408"/>
        <v>1.2044529283578578</v>
      </c>
      <c r="AP508" s="13">
        <f t="shared" ref="AP508:AQ508" ca="1" si="1412">SUM(T495)</f>
        <v>259.54282753397865</v>
      </c>
      <c r="AQ508" s="13">
        <f t="shared" ca="1" si="1412"/>
        <v>7.8649341676963225</v>
      </c>
      <c r="AR508" s="9">
        <f t="shared" ca="1" si="1410"/>
        <v>237.66666666666666</v>
      </c>
      <c r="AS508" s="76"/>
      <c r="AT508" s="76"/>
    </row>
    <row r="509" spans="1:46" ht="15.75" customHeight="1" x14ac:dyDescent="0.25">
      <c r="A509" s="70"/>
      <c r="B509" s="16">
        <v>18</v>
      </c>
      <c r="C509" s="16" t="s">
        <v>31</v>
      </c>
      <c r="D509" s="17">
        <v>12</v>
      </c>
      <c r="E509" s="18">
        <f ca="1">IFERROR(__xludf.DUMMYFUNCTION("COUNT(IMPORTRANGE(""https://docs.google.com/spreadsheets/d/1-y2KhTAo7d8kowgUuWUDfRQuRMUAFteRYEXorT3_wOs/edit"",""19!d2:d16""))"),12)</f>
        <v>12</v>
      </c>
      <c r="F509" s="19">
        <f ca="1">IFERROR(__xludf.DUMMYFUNCTION("SUM(IMPORTRANGE(""https://docs.google.com/spreadsheets/d/1-y2KhTAo7d8kowgUuWUDfRQuRMUAFteRYEXorT3_wOs/edit"",""19!Q2:Q16""))"),2303.645)</f>
        <v>2303.645</v>
      </c>
      <c r="G509" s="18">
        <f ca="1">IFERROR(__xludf.DUMMYFUNCTION("IMPORTRANGE(""https://docs.google.com/spreadsheets/d/1-y2KhTAo7d8kowgUuWUDfRQuRMUAFteRYEXorT3_wOs/edit"",""19!e23"")"),590)</f>
        <v>590</v>
      </c>
      <c r="H509" s="18">
        <f ca="1">IFERROR(__xludf.DUMMYFUNCTION("IMPORTRANGE(""https://docs.google.com/spreadsheets/d/1-y2KhTAo7d8kowgUuWUDfRQuRMUAFteRYEXorT3_wOs/edit"",""19!e24"")"),0)</f>
        <v>0</v>
      </c>
      <c r="I509" s="18">
        <f t="shared" ca="1" si="1362"/>
        <v>590</v>
      </c>
      <c r="J509" s="18">
        <f ca="1">IFERROR(__xludf.DUMMYFUNCTION("IMPORTRANGE(""https://docs.google.com/spreadsheets/d/1-y2KhTAo7d8kowgUuWUDfRQuRMUAFteRYEXorT3_wOs/edit"",""19!e27"")"),744)</f>
        <v>744</v>
      </c>
      <c r="K509" s="18">
        <f ca="1">IFERROR(__xludf.DUMMYFUNCTION("IMPORTRANGE(""https://docs.google.com/spreadsheets/d/1-y2KhTAo7d8kowgUuWUDfRQuRMUAFteRYEXorT3_wOs/edit"",""19!e28"")"),0)</f>
        <v>0</v>
      </c>
      <c r="L509" s="18">
        <f t="shared" ca="1" si="1392"/>
        <v>744</v>
      </c>
      <c r="M509" s="18">
        <f t="shared" ca="1" si="1364"/>
        <v>1334</v>
      </c>
      <c r="N509" s="19">
        <f t="shared" ca="1" si="1365"/>
        <v>191.97041666666667</v>
      </c>
      <c r="O509" s="16">
        <v>2717</v>
      </c>
      <c r="P509" s="20">
        <f t="shared" ca="1" si="1366"/>
        <v>0.49098270150901729</v>
      </c>
      <c r="Q509" s="21">
        <v>1.5</v>
      </c>
      <c r="R509" s="20">
        <f t="shared" ca="1" si="1367"/>
        <v>0.38605485364860187</v>
      </c>
      <c r="S509" s="22">
        <f t="shared" ca="1" si="1368"/>
        <v>0.57908228047290278</v>
      </c>
      <c r="T509" s="21">
        <f ca="1">F509/43.465</f>
        <v>52.999999999999993</v>
      </c>
      <c r="U509" s="21">
        <f t="shared" ca="1" si="1369"/>
        <v>4.4166666666666661</v>
      </c>
      <c r="V509" s="18">
        <f t="shared" ca="1" si="1370"/>
        <v>111.16666666666667</v>
      </c>
      <c r="W509" s="76"/>
      <c r="X509" s="8">
        <v>3</v>
      </c>
      <c r="Y509" s="8" t="s">
        <v>36</v>
      </c>
      <c r="Z509" s="8">
        <f t="shared" ref="Z509:AI509" si="1413">SUM(D500)</f>
        <v>24</v>
      </c>
      <c r="AA509" s="9">
        <f t="shared" ca="1" si="1413"/>
        <v>24</v>
      </c>
      <c r="AB509" s="10">
        <f t="shared" ca="1" si="1413"/>
        <v>4709.3760000000002</v>
      </c>
      <c r="AC509" s="9">
        <f t="shared" ca="1" si="1413"/>
        <v>1123</v>
      </c>
      <c r="AD509" s="9">
        <f t="shared" ca="1" si="1413"/>
        <v>0</v>
      </c>
      <c r="AE509" s="9">
        <f t="shared" ca="1" si="1413"/>
        <v>1123</v>
      </c>
      <c r="AF509" s="9">
        <f t="shared" ca="1" si="1413"/>
        <v>1717</v>
      </c>
      <c r="AG509" s="9">
        <f t="shared" ca="1" si="1413"/>
        <v>0</v>
      </c>
      <c r="AH509" s="9">
        <f t="shared" ca="1" si="1413"/>
        <v>1717</v>
      </c>
      <c r="AI509" s="9">
        <f t="shared" ca="1" si="1413"/>
        <v>2840</v>
      </c>
      <c r="AJ509" s="11">
        <f t="shared" ca="1" si="1405"/>
        <v>196.22400000000002</v>
      </c>
      <c r="AK509" s="8">
        <f t="shared" ref="AK509:AK512" si="1414">SUM(O500)</f>
        <v>4796</v>
      </c>
      <c r="AL509" s="12">
        <f t="shared" ca="1" si="1406"/>
        <v>0.59216013344453711</v>
      </c>
      <c r="AM509" s="13">
        <f t="shared" ref="AM509:AM512" si="1415">SUM(Q500)</f>
        <v>1.5</v>
      </c>
      <c r="AN509" s="12">
        <f t="shared" ca="1" si="1407"/>
        <v>0.40203486265130101</v>
      </c>
      <c r="AO509" s="14">
        <f t="shared" ca="1" si="1408"/>
        <v>0.60305229397695148</v>
      </c>
      <c r="AP509" s="13">
        <f t="shared" ref="AP509:AQ509" ca="1" si="1416">SUM(T500)</f>
        <v>125.87202651413909</v>
      </c>
      <c r="AQ509" s="13">
        <f t="shared" ca="1" si="1416"/>
        <v>5.2446677714224625</v>
      </c>
      <c r="AR509" s="9">
        <f t="shared" ca="1" si="1410"/>
        <v>118.33333333333333</v>
      </c>
      <c r="AS509" s="76"/>
      <c r="AT509" s="76"/>
    </row>
    <row r="510" spans="1:46" ht="15.75" customHeight="1" x14ac:dyDescent="0.2">
      <c r="A510" s="70"/>
      <c r="B510" s="98" t="s">
        <v>33</v>
      </c>
      <c r="C510" s="98">
        <v>18</v>
      </c>
      <c r="D510" s="98">
        <f t="shared" ref="D510:M510" si="1417">SUM(D492:D509)</f>
        <v>471</v>
      </c>
      <c r="E510" s="74">
        <f t="shared" ca="1" si="1417"/>
        <v>467</v>
      </c>
      <c r="F510" s="99">
        <f t="shared" ca="1" si="1417"/>
        <v>91266.106999999931</v>
      </c>
      <c r="G510" s="74">
        <f t="shared" ca="1" si="1417"/>
        <v>30895</v>
      </c>
      <c r="H510" s="74">
        <f t="shared" ca="1" si="1417"/>
        <v>672</v>
      </c>
      <c r="I510" s="74">
        <f t="shared" ca="1" si="1417"/>
        <v>31567</v>
      </c>
      <c r="J510" s="74">
        <f t="shared" ca="1" si="1417"/>
        <v>44444</v>
      </c>
      <c r="K510" s="74">
        <f t="shared" ca="1" si="1417"/>
        <v>1253</v>
      </c>
      <c r="L510" s="74">
        <f t="shared" ca="1" si="1417"/>
        <v>45697</v>
      </c>
      <c r="M510" s="74">
        <f t="shared" ca="1" si="1417"/>
        <v>77264</v>
      </c>
      <c r="N510" s="99">
        <f t="shared" ca="1" si="1365"/>
        <v>195.43063597430393</v>
      </c>
      <c r="O510" s="98">
        <f>SUM(O492:O509)</f>
        <v>126399</v>
      </c>
      <c r="P510" s="69">
        <f t="shared" ca="1" si="1366"/>
        <v>0.61127065878685749</v>
      </c>
      <c r="Q510" s="72">
        <v>1.5</v>
      </c>
      <c r="R510" s="69">
        <f t="shared" ca="1" si="1367"/>
        <v>0.56438622207621247</v>
      </c>
      <c r="S510" s="73">
        <f t="shared" ca="1" si="1368"/>
        <v>0.84657933311431877</v>
      </c>
      <c r="T510" s="72">
        <f ca="1">SUM(T492:T509)</f>
        <v>3365.5366659147835</v>
      </c>
      <c r="U510" s="72">
        <f t="shared" ca="1" si="1369"/>
        <v>7.2067166293678451</v>
      </c>
      <c r="V510" s="74">
        <f t="shared" ca="1" si="1370"/>
        <v>165.44753747323341</v>
      </c>
      <c r="W510" s="76"/>
      <c r="X510" s="8">
        <v>4</v>
      </c>
      <c r="Y510" s="8" t="s">
        <v>37</v>
      </c>
      <c r="Z510" s="8">
        <f t="shared" ref="Z510:AI510" si="1418">SUM(D501)</f>
        <v>24</v>
      </c>
      <c r="AA510" s="9">
        <f t="shared" ca="1" si="1418"/>
        <v>24</v>
      </c>
      <c r="AB510" s="10">
        <f t="shared" ca="1" si="1418"/>
        <v>4782.2340000000004</v>
      </c>
      <c r="AC510" s="9">
        <f t="shared" ca="1" si="1418"/>
        <v>1508</v>
      </c>
      <c r="AD510" s="9">
        <f t="shared" ca="1" si="1418"/>
        <v>0</v>
      </c>
      <c r="AE510" s="9">
        <f t="shared" ca="1" si="1418"/>
        <v>1508</v>
      </c>
      <c r="AF510" s="9">
        <f t="shared" ca="1" si="1418"/>
        <v>2553</v>
      </c>
      <c r="AG510" s="9">
        <f t="shared" ca="1" si="1418"/>
        <v>0</v>
      </c>
      <c r="AH510" s="9">
        <f t="shared" ca="1" si="1418"/>
        <v>2553</v>
      </c>
      <c r="AI510" s="9">
        <f t="shared" ca="1" si="1418"/>
        <v>4061</v>
      </c>
      <c r="AJ510" s="11">
        <f t="shared" ca="1" si="1405"/>
        <v>199.25975000000003</v>
      </c>
      <c r="AK510" s="8">
        <f t="shared" si="1414"/>
        <v>5887</v>
      </c>
      <c r="AL510" s="12">
        <f t="shared" ca="1" si="1406"/>
        <v>0.68982503821980634</v>
      </c>
      <c r="AM510" s="13">
        <f t="shared" si="1415"/>
        <v>1.5</v>
      </c>
      <c r="AN510" s="12">
        <f t="shared" ca="1" si="1407"/>
        <v>0.5661231410536024</v>
      </c>
      <c r="AO510" s="14">
        <f t="shared" ca="1" si="1408"/>
        <v>0.84918471158040354</v>
      </c>
      <c r="AP510" s="13">
        <f t="shared" ref="AP510:AQ510" ca="1" si="1419">SUM(T501)</f>
        <v>192.89424007744435</v>
      </c>
      <c r="AQ510" s="13">
        <f t="shared" ca="1" si="1419"/>
        <v>8.037260003226848</v>
      </c>
      <c r="AR510" s="9">
        <f t="shared" ca="1" si="1410"/>
        <v>169.20833333333334</v>
      </c>
      <c r="AS510" s="76"/>
      <c r="AT510" s="76"/>
    </row>
    <row r="511" spans="1:46" ht="15.75" customHeight="1" x14ac:dyDescent="0.2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6"/>
      <c r="X511" s="8">
        <v>5</v>
      </c>
      <c r="Y511" s="8" t="s">
        <v>39</v>
      </c>
      <c r="Z511" s="8">
        <f t="shared" ref="Z511:AI511" si="1420">SUM(D502)</f>
        <v>22</v>
      </c>
      <c r="AA511" s="9">
        <f t="shared" ca="1" si="1420"/>
        <v>22</v>
      </c>
      <c r="AB511" s="10">
        <f t="shared" ca="1" si="1420"/>
        <v>4298.0569999999998</v>
      </c>
      <c r="AC511" s="9">
        <f t="shared" ca="1" si="1420"/>
        <v>1051</v>
      </c>
      <c r="AD511" s="9">
        <f t="shared" ca="1" si="1420"/>
        <v>0</v>
      </c>
      <c r="AE511" s="9">
        <f t="shared" ca="1" si="1420"/>
        <v>1051</v>
      </c>
      <c r="AF511" s="9">
        <f t="shared" ca="1" si="1420"/>
        <v>1968</v>
      </c>
      <c r="AG511" s="9">
        <f t="shared" ca="1" si="1420"/>
        <v>0</v>
      </c>
      <c r="AH511" s="9">
        <f t="shared" ca="1" si="1420"/>
        <v>1968</v>
      </c>
      <c r="AI511" s="9">
        <f t="shared" ca="1" si="1420"/>
        <v>3019</v>
      </c>
      <c r="AJ511" s="11">
        <f t="shared" ca="1" si="1405"/>
        <v>195.36622727272726</v>
      </c>
      <c r="AK511" s="8">
        <f t="shared" si="1414"/>
        <v>3569</v>
      </c>
      <c r="AL511" s="12">
        <f t="shared" ca="1" si="1406"/>
        <v>0.84589520874194457</v>
      </c>
      <c r="AM511" s="13">
        <f t="shared" si="1415"/>
        <v>1.5</v>
      </c>
      <c r="AN511" s="12">
        <f t="shared" ca="1" si="1407"/>
        <v>0.46827360983501776</v>
      </c>
      <c r="AO511" s="14">
        <f t="shared" ca="1" si="1408"/>
        <v>0.70241041475252664</v>
      </c>
      <c r="AP511" s="13">
        <f t="shared" ref="AP511:AQ511" ca="1" si="1421">SUM(T502)</f>
        <v>200.25425150258582</v>
      </c>
      <c r="AQ511" s="13">
        <f t="shared" ca="1" si="1421"/>
        <v>9.1024659773902652</v>
      </c>
      <c r="AR511" s="9">
        <f t="shared" ca="1" si="1410"/>
        <v>137.22727272727272</v>
      </c>
      <c r="AS511" s="76"/>
      <c r="AT511" s="76"/>
    </row>
    <row r="512" spans="1:46" ht="15.75" customHeight="1" x14ac:dyDescent="0.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6"/>
      <c r="X512" s="8">
        <v>6</v>
      </c>
      <c r="Y512" s="8" t="s">
        <v>41</v>
      </c>
      <c r="Z512" s="8">
        <f t="shared" ref="Z512:AI512" si="1422">SUM(D503)</f>
        <v>20</v>
      </c>
      <c r="AA512" s="9">
        <f t="shared" ca="1" si="1422"/>
        <v>20</v>
      </c>
      <c r="AB512" s="10">
        <f t="shared" ca="1" si="1422"/>
        <v>3993.1959999999999</v>
      </c>
      <c r="AC512" s="9">
        <f t="shared" ca="1" si="1422"/>
        <v>911</v>
      </c>
      <c r="AD512" s="9">
        <f t="shared" ca="1" si="1422"/>
        <v>0</v>
      </c>
      <c r="AE512" s="9">
        <f t="shared" ca="1" si="1422"/>
        <v>911</v>
      </c>
      <c r="AF512" s="9">
        <f t="shared" ca="1" si="1422"/>
        <v>1341</v>
      </c>
      <c r="AG512" s="9">
        <f t="shared" ca="1" si="1422"/>
        <v>0</v>
      </c>
      <c r="AH512" s="9">
        <f t="shared" ca="1" si="1422"/>
        <v>1341</v>
      </c>
      <c r="AI512" s="9">
        <f t="shared" ca="1" si="1422"/>
        <v>2252</v>
      </c>
      <c r="AJ512" s="11">
        <f t="shared" ca="1" si="1405"/>
        <v>199.65979999999999</v>
      </c>
      <c r="AK512" s="8">
        <f t="shared" si="1414"/>
        <v>3801</v>
      </c>
      <c r="AL512" s="12">
        <f t="shared" ca="1" si="1406"/>
        <v>0.59247566429886867</v>
      </c>
      <c r="AM512" s="13">
        <f t="shared" si="1415"/>
        <v>1.5</v>
      </c>
      <c r="AN512" s="12">
        <f t="shared" ca="1" si="1407"/>
        <v>0.37597286317359163</v>
      </c>
      <c r="AO512" s="14">
        <f t="shared" ca="1" si="1408"/>
        <v>0.56395929476038742</v>
      </c>
      <c r="AP512" s="13">
        <f t="shared" ref="AP512:AQ512" ca="1" si="1423">SUM(T503)</f>
        <v>134.77777777777777</v>
      </c>
      <c r="AQ512" s="13">
        <f t="shared" ca="1" si="1423"/>
        <v>6.7388888888888889</v>
      </c>
      <c r="AR512" s="9">
        <f t="shared" ca="1" si="1410"/>
        <v>112.6</v>
      </c>
      <c r="AS512" s="76"/>
      <c r="AT512" s="76"/>
    </row>
    <row r="513" spans="1:46" ht="15.75" customHeight="1" x14ac:dyDescent="0.25">
      <c r="A513" s="110" t="s">
        <v>45</v>
      </c>
      <c r="B513" s="76"/>
      <c r="C513" s="76"/>
      <c r="D513" s="75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24" t="s">
        <v>33</v>
      </c>
      <c r="Y513" s="24">
        <v>6</v>
      </c>
      <c r="Z513" s="24">
        <f t="shared" ref="Z513:AI513" si="1424">SUM(Z507:Z512)</f>
        <v>139</v>
      </c>
      <c r="AA513" s="25">
        <f t="shared" ca="1" si="1424"/>
        <v>139</v>
      </c>
      <c r="AB513" s="27">
        <f t="shared" ca="1" si="1424"/>
        <v>27387.085999999992</v>
      </c>
      <c r="AC513" s="25">
        <f t="shared" ca="1" si="1424"/>
        <v>9693</v>
      </c>
      <c r="AD513" s="25">
        <f t="shared" ca="1" si="1424"/>
        <v>49</v>
      </c>
      <c r="AE513" s="25">
        <f t="shared" ca="1" si="1424"/>
        <v>9742</v>
      </c>
      <c r="AF513" s="25">
        <f t="shared" ca="1" si="1424"/>
        <v>13784</v>
      </c>
      <c r="AG513" s="25">
        <f t="shared" ca="1" si="1424"/>
        <v>193</v>
      </c>
      <c r="AH513" s="25">
        <f t="shared" ca="1" si="1424"/>
        <v>13977</v>
      </c>
      <c r="AI513" s="25">
        <f t="shared" ca="1" si="1424"/>
        <v>23719</v>
      </c>
      <c r="AJ513" s="27">
        <f t="shared" ca="1" si="1405"/>
        <v>197.02939568345317</v>
      </c>
      <c r="AK513" s="24">
        <f>SUM(AK507:AK512)</f>
        <v>37031</v>
      </c>
      <c r="AL513" s="28">
        <f t="shared" ca="1" si="1406"/>
        <v>0.64051740433690696</v>
      </c>
      <c r="AM513" s="29">
        <v>1.5</v>
      </c>
      <c r="AN513" s="28">
        <f t="shared" ca="1" si="1407"/>
        <v>0.57737674854004806</v>
      </c>
      <c r="AO513" s="30">
        <f t="shared" ca="1" si="1408"/>
        <v>0.86606512281007209</v>
      </c>
      <c r="AP513" s="29">
        <f ca="1">SUM(AP507:AP512)</f>
        <v>1127.8782722092556</v>
      </c>
      <c r="AQ513" s="29">
        <f ca="1">AP513/AA513</f>
        <v>8.1142321741673058</v>
      </c>
      <c r="AR513" s="25">
        <f t="shared" ca="1" si="1410"/>
        <v>170.64028776978418</v>
      </c>
      <c r="AS513" s="76"/>
      <c r="AT513" s="76"/>
    </row>
    <row r="514" spans="1:46" ht="15.75" customHeight="1" x14ac:dyDescent="0.2">
      <c r="A514" s="110" t="s">
        <v>45</v>
      </c>
      <c r="B514" s="76"/>
      <c r="C514" s="76"/>
      <c r="D514" s="75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7" t="s">
        <v>1</v>
      </c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9"/>
      <c r="AS514" s="76"/>
      <c r="AT514" s="76"/>
    </row>
    <row r="515" spans="1:46" ht="15.75" customHeight="1" x14ac:dyDescent="0.2">
      <c r="A515" s="113">
        <v>46285</v>
      </c>
      <c r="B515" s="80" t="s">
        <v>2</v>
      </c>
      <c r="C515" s="80" t="s">
        <v>3</v>
      </c>
      <c r="D515" s="80" t="s">
        <v>4</v>
      </c>
      <c r="E515" s="80" t="s">
        <v>5</v>
      </c>
      <c r="F515" s="81" t="s">
        <v>6</v>
      </c>
      <c r="G515" s="80" t="s">
        <v>7</v>
      </c>
      <c r="H515" s="80" t="s">
        <v>8</v>
      </c>
      <c r="I515" s="80" t="s">
        <v>9</v>
      </c>
      <c r="J515" s="80" t="s">
        <v>10</v>
      </c>
      <c r="K515" s="80" t="s">
        <v>11</v>
      </c>
      <c r="L515" s="80" t="s">
        <v>12</v>
      </c>
      <c r="M515" s="80" t="s">
        <v>13</v>
      </c>
      <c r="N515" s="81" t="s">
        <v>14</v>
      </c>
      <c r="O515" s="80" t="s">
        <v>15</v>
      </c>
      <c r="P515" s="80" t="s">
        <v>16</v>
      </c>
      <c r="Q515" s="80" t="s">
        <v>17</v>
      </c>
      <c r="R515" s="80" t="s">
        <v>18</v>
      </c>
      <c r="S515" s="106" t="s">
        <v>19</v>
      </c>
      <c r="T515" s="107" t="s">
        <v>20</v>
      </c>
      <c r="U515" s="107" t="s">
        <v>21</v>
      </c>
      <c r="V515" s="105" t="s">
        <v>22</v>
      </c>
      <c r="W515" s="76"/>
      <c r="X515" s="1" t="s">
        <v>2</v>
      </c>
      <c r="Y515" s="1" t="s">
        <v>3</v>
      </c>
      <c r="Z515" s="1" t="s">
        <v>4</v>
      </c>
      <c r="AA515" s="1" t="s">
        <v>5</v>
      </c>
      <c r="AB515" s="2" t="s">
        <v>6</v>
      </c>
      <c r="AC515" s="1" t="s">
        <v>7</v>
      </c>
      <c r="AD515" s="1" t="s">
        <v>8</v>
      </c>
      <c r="AE515" s="1" t="s">
        <v>9</v>
      </c>
      <c r="AF515" s="1" t="s">
        <v>10</v>
      </c>
      <c r="AG515" s="1" t="s">
        <v>11</v>
      </c>
      <c r="AH515" s="1" t="s">
        <v>12</v>
      </c>
      <c r="AI515" s="1" t="s">
        <v>13</v>
      </c>
      <c r="AJ515" s="2" t="s">
        <v>14</v>
      </c>
      <c r="AK515" s="1" t="s">
        <v>15</v>
      </c>
      <c r="AL515" s="1" t="s">
        <v>16</v>
      </c>
      <c r="AM515" s="3" t="s">
        <v>17</v>
      </c>
      <c r="AN515" s="4" t="s">
        <v>18</v>
      </c>
      <c r="AO515" s="5" t="s">
        <v>19</v>
      </c>
      <c r="AP515" s="6" t="s">
        <v>20</v>
      </c>
      <c r="AQ515" s="6" t="s">
        <v>21</v>
      </c>
      <c r="AR515" s="7" t="s">
        <v>22</v>
      </c>
      <c r="AS515" s="76"/>
      <c r="AT515" s="76"/>
    </row>
    <row r="516" spans="1:46" ht="15.75" customHeight="1" x14ac:dyDescent="0.2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6"/>
      <c r="X516" s="8">
        <v>1</v>
      </c>
      <c r="Y516" s="8" t="s">
        <v>23</v>
      </c>
      <c r="Z516" s="8">
        <f t="shared" ref="Z516:AI516" si="1425">SUM(D524)</f>
        <v>26</v>
      </c>
      <c r="AA516" s="9">
        <f t="shared" ca="1" si="1425"/>
        <v>26</v>
      </c>
      <c r="AB516" s="10">
        <f t="shared" ca="1" si="1425"/>
        <v>5162.2199999999903</v>
      </c>
      <c r="AC516" s="9">
        <f t="shared" ca="1" si="1425"/>
        <v>958</v>
      </c>
      <c r="AD516" s="9">
        <f t="shared" ca="1" si="1425"/>
        <v>0</v>
      </c>
      <c r="AE516" s="9">
        <f t="shared" ca="1" si="1425"/>
        <v>958</v>
      </c>
      <c r="AF516" s="9">
        <f t="shared" ca="1" si="1425"/>
        <v>2300</v>
      </c>
      <c r="AG516" s="9">
        <f t="shared" ca="1" si="1425"/>
        <v>0</v>
      </c>
      <c r="AH516" s="9">
        <f t="shared" ca="1" si="1425"/>
        <v>2300</v>
      </c>
      <c r="AI516" s="9">
        <f t="shared" ca="1" si="1425"/>
        <v>3258</v>
      </c>
      <c r="AJ516" s="11">
        <f t="shared" ref="AJ516:AJ518" ca="1" si="1426">AB516/AA516</f>
        <v>198.5469230769227</v>
      </c>
      <c r="AK516" s="8">
        <f>SUM(O524)</f>
        <v>6853</v>
      </c>
      <c r="AL516" s="12">
        <f t="shared" ref="AL516:AL522" ca="1" si="1427">AI516/AK516</f>
        <v>0.47541222822121698</v>
      </c>
      <c r="AM516" s="13">
        <f t="shared" ref="AM516:AM518" si="1428">SUM(Q524)</f>
        <v>1.5</v>
      </c>
      <c r="AN516" s="12">
        <f t="shared" ref="AN516:AN522" ca="1" si="1429">AO516/AM516</f>
        <v>0.42074921254809056</v>
      </c>
      <c r="AO516" s="14">
        <f t="shared" ref="AO516:AO522" ca="1" si="1430">AI516/AB516</f>
        <v>0.63112381882213586</v>
      </c>
      <c r="AP516" s="13">
        <f t="shared" ref="AP516:AQ516" ca="1" si="1431">SUM(T524)</f>
        <v>152.99999999999972</v>
      </c>
      <c r="AQ516" s="13">
        <f t="shared" ca="1" si="1431"/>
        <v>5.8846153846153735</v>
      </c>
      <c r="AR516" s="9">
        <f t="shared" ref="AR516:AR522" ca="1" si="1432">AI516/AA516</f>
        <v>125.30769230769231</v>
      </c>
      <c r="AS516" s="76"/>
      <c r="AT516" s="76"/>
    </row>
    <row r="517" spans="1:46" ht="15.75" customHeight="1" x14ac:dyDescent="0.2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6"/>
      <c r="X517" s="8">
        <v>2</v>
      </c>
      <c r="Y517" s="8" t="s">
        <v>24</v>
      </c>
      <c r="Z517" s="8">
        <f t="shared" ref="Z517:AI517" si="1433">SUM(D525)</f>
        <v>35</v>
      </c>
      <c r="AA517" s="9">
        <f t="shared" ca="1" si="1433"/>
        <v>35</v>
      </c>
      <c r="AB517" s="10">
        <f t="shared" ca="1" si="1433"/>
        <v>6619.2149999999901</v>
      </c>
      <c r="AC517" s="9">
        <f t="shared" ca="1" si="1433"/>
        <v>668</v>
      </c>
      <c r="AD517" s="9">
        <f t="shared" ca="1" si="1433"/>
        <v>0</v>
      </c>
      <c r="AE517" s="9">
        <f t="shared" ca="1" si="1433"/>
        <v>668</v>
      </c>
      <c r="AF517" s="9">
        <f t="shared" ca="1" si="1433"/>
        <v>972</v>
      </c>
      <c r="AG517" s="9">
        <f t="shared" ca="1" si="1433"/>
        <v>13</v>
      </c>
      <c r="AH517" s="9">
        <f t="shared" ca="1" si="1433"/>
        <v>985</v>
      </c>
      <c r="AI517" s="9">
        <f t="shared" ca="1" si="1433"/>
        <v>1653</v>
      </c>
      <c r="AJ517" s="11">
        <f t="shared" ca="1" si="1426"/>
        <v>189.12042857142828</v>
      </c>
      <c r="AK517" s="8">
        <v>1580</v>
      </c>
      <c r="AL517" s="15">
        <f t="shared" ca="1" si="1427"/>
        <v>1.0462025316455696</v>
      </c>
      <c r="AM517" s="13">
        <f t="shared" si="1428"/>
        <v>1.5</v>
      </c>
      <c r="AN517" s="12">
        <f t="shared" ca="1" si="1429"/>
        <v>0.16648499859877669</v>
      </c>
      <c r="AO517" s="14">
        <f t="shared" ca="1" si="1430"/>
        <v>0.24972749789816504</v>
      </c>
      <c r="AP517" s="13">
        <f t="shared" ref="AP517:AQ517" ca="1" si="1434">SUM(T525)</f>
        <v>246.93956351426937</v>
      </c>
      <c r="AQ517" s="13">
        <f t="shared" ca="1" si="1434"/>
        <v>7.0554161004076965</v>
      </c>
      <c r="AR517" s="9">
        <f t="shared" ca="1" si="1432"/>
        <v>47.228571428571428</v>
      </c>
      <c r="AS517" s="76"/>
      <c r="AT517" s="76"/>
    </row>
    <row r="518" spans="1:46" ht="15.75" customHeight="1" x14ac:dyDescent="0.2">
      <c r="A518" s="70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6"/>
      <c r="X518" s="8">
        <v>3</v>
      </c>
      <c r="Y518" s="8" t="s">
        <v>25</v>
      </c>
      <c r="Z518" s="8">
        <f t="shared" ref="Z518:AI518" si="1435">SUM(D526)</f>
        <v>26</v>
      </c>
      <c r="AA518" s="9">
        <f t="shared" ca="1" si="1435"/>
        <v>26</v>
      </c>
      <c r="AB518" s="10">
        <f t="shared" ca="1" si="1435"/>
        <v>5216.5680000000002</v>
      </c>
      <c r="AC518" s="9">
        <f t="shared" ca="1" si="1435"/>
        <v>1542</v>
      </c>
      <c r="AD518" s="9">
        <f t="shared" ca="1" si="1435"/>
        <v>322</v>
      </c>
      <c r="AE518" s="9">
        <f t="shared" ca="1" si="1435"/>
        <v>1864</v>
      </c>
      <c r="AF518" s="9">
        <f t="shared" ca="1" si="1435"/>
        <v>2185</v>
      </c>
      <c r="AG518" s="9">
        <f t="shared" ca="1" si="1435"/>
        <v>314</v>
      </c>
      <c r="AH518" s="9">
        <f t="shared" ca="1" si="1435"/>
        <v>2499</v>
      </c>
      <c r="AI518" s="9">
        <f t="shared" ca="1" si="1435"/>
        <v>4363</v>
      </c>
      <c r="AJ518" s="11">
        <f t="shared" ca="1" si="1426"/>
        <v>200.63723076923077</v>
      </c>
      <c r="AK518" s="8">
        <f>SUM(O526)</f>
        <v>6622</v>
      </c>
      <c r="AL518" s="12">
        <f t="shared" ca="1" si="1427"/>
        <v>0.65886439142253095</v>
      </c>
      <c r="AM518" s="13">
        <f t="shared" si="1428"/>
        <v>1.5</v>
      </c>
      <c r="AN518" s="12">
        <f t="shared" ca="1" si="1429"/>
        <v>0.55758243095204862</v>
      </c>
      <c r="AO518" s="14">
        <f t="shared" ca="1" si="1430"/>
        <v>0.83637364642807299</v>
      </c>
      <c r="AP518" s="13">
        <f t="shared" ref="AP518:AQ518" ca="1" si="1436">SUM(T526)</f>
        <v>218.81577181208056</v>
      </c>
      <c r="AQ518" s="13">
        <f t="shared" ca="1" si="1436"/>
        <v>8.4159912235415604</v>
      </c>
      <c r="AR518" s="9">
        <f t="shared" ca="1" si="1432"/>
        <v>167.80769230769232</v>
      </c>
      <c r="AS518" s="76"/>
      <c r="AT518" s="76"/>
    </row>
    <row r="519" spans="1:46" ht="15.75" customHeight="1" x14ac:dyDescent="0.25">
      <c r="A519" s="70"/>
      <c r="B519" s="16">
        <v>1</v>
      </c>
      <c r="C519" s="16" t="s">
        <v>26</v>
      </c>
      <c r="D519" s="17">
        <v>15</v>
      </c>
      <c r="E519" s="18">
        <f ca="1">IFERROR(__xludf.DUMMYFUNCTION("COUNT(IMPORTRANGE(""https://docs.google.com/spreadsheets/d/1F0NpMx7WhcgPgxTWpryY3Z1CGg56FL6aiL4mHs43w4E/edit"",""20!d2:d21""))"),15)</f>
        <v>15</v>
      </c>
      <c r="F519" s="19">
        <f ca="1">IFERROR(__xludf.DUMMYFUNCTION("SUM(IMPORTRANGE(""https://docs.google.com/spreadsheets/d/1F0NpMx7WhcgPgxTWpryY3Z1CGg56FL6aiL4mHs43w4E/edit"",""20!Q2:Q21""))"),2984.364)</f>
        <v>2984.364</v>
      </c>
      <c r="G519" s="18">
        <f ca="1">IFERROR(__xludf.DUMMYFUNCTION("IMPORTRANGE(""https://docs.google.com/spreadsheets/d/1F0NpMx7WhcgPgxTWpryY3Z1CGg56FL6aiL4mHs43w4E/edit"",""20!e28"")"),1339)</f>
        <v>1339</v>
      </c>
      <c r="H519" s="18">
        <f ca="1">IFERROR(__xludf.DUMMYFUNCTION("IMPORTRANGE(""https://docs.google.com/spreadsheets/d/1F0NpMx7WhcgPgxTWpryY3Z1CGg56FL6aiL4mHs43w4E/edit"",""20!e29"")"),0)</f>
        <v>0</v>
      </c>
      <c r="I519" s="18">
        <f t="shared" ref="I519:I536" ca="1" si="1437">SUM(G519:H519)</f>
        <v>1339</v>
      </c>
      <c r="J519" s="18">
        <f ca="1">IFERROR(__xludf.DUMMYFUNCTION("IMPORTRANGE(""https://docs.google.com/spreadsheets/d/1F0NpMx7WhcgPgxTWpryY3Z1CGg56FL6aiL4mHs43w4E/edit"",""20!e32"")"),2174)</f>
        <v>2174</v>
      </c>
      <c r="K519" s="18">
        <f ca="1">IFERROR(__xludf.DUMMYFUNCTION("IMPORTRANGE(""https://docs.google.com/spreadsheets/d/1F0NpMx7WhcgPgxTWpryY3Z1CGg56FL6aiL4mHs43w4E/edit"",""20!e33"")"),0)</f>
        <v>0</v>
      </c>
      <c r="L519" s="18">
        <f t="shared" ref="L519:L525" ca="1" si="1438">SUM(J519:K519)</f>
        <v>2174</v>
      </c>
      <c r="M519" s="18">
        <f t="shared" ref="M519:M536" ca="1" si="1439">SUM(I519+L519)</f>
        <v>3513</v>
      </c>
      <c r="N519" s="19">
        <f t="shared" ref="N519:N537" ca="1" si="1440">F519/E519</f>
        <v>198.95760000000001</v>
      </c>
      <c r="O519" s="16">
        <v>5161</v>
      </c>
      <c r="P519" s="20">
        <f t="shared" ref="P519:P537" ca="1" si="1441">M519/O519</f>
        <v>0.68068203836465802</v>
      </c>
      <c r="Q519" s="21">
        <v>1.5</v>
      </c>
      <c r="R519" s="20">
        <f t="shared" ref="R519:R537" ca="1" si="1442">S519/Q519</f>
        <v>0.78475681920838081</v>
      </c>
      <c r="S519" s="22">
        <f t="shared" ref="S519:S537" ca="1" si="1443">M519/F519</f>
        <v>1.1771352288125712</v>
      </c>
      <c r="T519" s="21">
        <f ca="1">F519/14.415</f>
        <v>207.03184183142562</v>
      </c>
      <c r="U519" s="21">
        <f t="shared" ref="U519:U537" ca="1" si="1444">T519/E519</f>
        <v>13.802122788761709</v>
      </c>
      <c r="V519" s="18">
        <f t="shared" ref="V519:V537" ca="1" si="1445">M519/E519</f>
        <v>234.2</v>
      </c>
      <c r="W519" s="76"/>
      <c r="X519" s="8">
        <v>4</v>
      </c>
      <c r="Y519" s="8" t="s">
        <v>27</v>
      </c>
      <c r="Z519" s="8">
        <f t="shared" ref="Z519:AK519" si="1446">SUM(D532)</f>
        <v>23</v>
      </c>
      <c r="AA519" s="9">
        <f t="shared" ca="1" si="1446"/>
        <v>22</v>
      </c>
      <c r="AB519" s="10">
        <f t="shared" ca="1" si="1446"/>
        <v>4386.5699999999897</v>
      </c>
      <c r="AC519" s="9">
        <f t="shared" ca="1" si="1446"/>
        <v>1474</v>
      </c>
      <c r="AD519" s="9">
        <f t="shared" ca="1" si="1446"/>
        <v>162</v>
      </c>
      <c r="AE519" s="9">
        <f t="shared" ca="1" si="1446"/>
        <v>1636</v>
      </c>
      <c r="AF519" s="9">
        <f t="shared" ca="1" si="1446"/>
        <v>2009</v>
      </c>
      <c r="AG519" s="9">
        <f t="shared" ca="1" si="1446"/>
        <v>157</v>
      </c>
      <c r="AH519" s="9">
        <f t="shared" ca="1" si="1446"/>
        <v>2166</v>
      </c>
      <c r="AI519" s="9">
        <f t="shared" ca="1" si="1446"/>
        <v>3802</v>
      </c>
      <c r="AJ519" s="11">
        <f t="shared" ca="1" si="1446"/>
        <v>199.38954545454499</v>
      </c>
      <c r="AK519" s="8">
        <f t="shared" si="1446"/>
        <v>8101</v>
      </c>
      <c r="AL519" s="12">
        <f t="shared" ca="1" si="1427"/>
        <v>0.46932477471917045</v>
      </c>
      <c r="AM519" s="13">
        <f>SUM(Q532)</f>
        <v>1.5</v>
      </c>
      <c r="AN519" s="12">
        <f t="shared" ca="1" si="1429"/>
        <v>0.57782428336186875</v>
      </c>
      <c r="AO519" s="14">
        <f t="shared" ca="1" si="1430"/>
        <v>0.86673642504280313</v>
      </c>
      <c r="AP519" s="13">
        <f t="shared" ref="AP519:AQ519" ca="1" si="1447">SUM(T532)</f>
        <v>219.4931198398794</v>
      </c>
      <c r="AQ519" s="13">
        <f t="shared" ca="1" si="1447"/>
        <v>9.97695999272179</v>
      </c>
      <c r="AR519" s="9">
        <f t="shared" ca="1" si="1432"/>
        <v>172.81818181818181</v>
      </c>
      <c r="AS519" s="76"/>
      <c r="AT519" s="76"/>
    </row>
    <row r="520" spans="1:46" ht="15.75" customHeight="1" x14ac:dyDescent="0.25">
      <c r="A520" s="70"/>
      <c r="B520" s="16">
        <v>2</v>
      </c>
      <c r="C520" s="16" t="s">
        <v>28</v>
      </c>
      <c r="D520" s="17">
        <v>24</v>
      </c>
      <c r="E520" s="18">
        <f ca="1">IFERROR(__xludf.DUMMYFUNCTION("COUNT(IMPORTRANGE(""https://docs.google.com/spreadsheets/d/1H9vAqftAHb0OdeSGXHTnJFzoWUgpoH31sc0sHNN8y1o/edit"",""20!d2:d34""))"),24)</f>
        <v>24</v>
      </c>
      <c r="F520" s="19">
        <f ca="1">IFERROR(__xludf.DUMMYFUNCTION("SUM(IMPORTRANGE(""https://docs.google.com/spreadsheets/d/1H9vAqftAHb0OdeSGXHTnJFzoWUgpoH31sc0sHNN8y1o/edit"",""20!Q2:Q34""))"),4798.601)</f>
        <v>4798.6009999999997</v>
      </c>
      <c r="G520" s="18">
        <f ca="1">IFERROR(__xludf.DUMMYFUNCTION("IMPORTRANGE(""https://docs.google.com/spreadsheets/d/1H9vAqftAHb0OdeSGXHTnJFzoWUgpoH31sc0sHNN8y1o/edit"",""20!e41"")"),1489)</f>
        <v>1489</v>
      </c>
      <c r="H520" s="18">
        <f ca="1">IFERROR(__xludf.DUMMYFUNCTION("IMPORTRANGE(""https://docs.google.com/spreadsheets/d/1H9vAqftAHb0OdeSGXHTnJFzoWUgpoH31sc0sHNN8y1o/edit"",""20!e42"")"),0)</f>
        <v>0</v>
      </c>
      <c r="I520" s="18">
        <f t="shared" ca="1" si="1437"/>
        <v>1489</v>
      </c>
      <c r="J520" s="18">
        <f ca="1">IFERROR(__xludf.DUMMYFUNCTION("IMPORTRANGE(""https://docs.google.com/spreadsheets/d/1H9vAqftAHb0OdeSGXHTnJFzoWUgpoH31sc0sHNN8y1o/edit"",""20!e45"")"),1940)</f>
        <v>1940</v>
      </c>
      <c r="K520" s="18">
        <f ca="1">IFERROR(__xludf.DUMMYFUNCTION("IMPORTRANGE(""https://docs.google.com/spreadsheets/d/1H9vAqftAHb0OdeSGXHTnJFzoWUgpoH31sc0sHNN8y1o/edit"",""20!e46"")"),106)</f>
        <v>106</v>
      </c>
      <c r="L520" s="18">
        <f t="shared" ca="1" si="1438"/>
        <v>2046</v>
      </c>
      <c r="M520" s="18">
        <f t="shared" ca="1" si="1439"/>
        <v>3535</v>
      </c>
      <c r="N520" s="19">
        <f t="shared" ca="1" si="1440"/>
        <v>199.94170833333331</v>
      </c>
      <c r="O520" s="16">
        <v>7315</v>
      </c>
      <c r="P520" s="20">
        <f t="shared" ca="1" si="1441"/>
        <v>0.48325358851674644</v>
      </c>
      <c r="Q520" s="21">
        <v>1.5</v>
      </c>
      <c r="R520" s="20">
        <f t="shared" ca="1" si="1442"/>
        <v>0.49111536188707228</v>
      </c>
      <c r="S520" s="22">
        <f t="shared" ca="1" si="1443"/>
        <v>0.73667304283060842</v>
      </c>
      <c r="T520" s="21">
        <f ca="1">F520/30.897</f>
        <v>155.30960934718581</v>
      </c>
      <c r="U520" s="21">
        <f t="shared" ca="1" si="1444"/>
        <v>6.4712337227994086</v>
      </c>
      <c r="V520" s="18">
        <f t="shared" ca="1" si="1445"/>
        <v>147.29166666666666</v>
      </c>
      <c r="W520" s="76"/>
      <c r="X520" s="8">
        <v>5</v>
      </c>
      <c r="Y520" s="8" t="s">
        <v>29</v>
      </c>
      <c r="Z520" s="8">
        <f t="shared" ref="Z520:AI520" si="1448">SUM(D535)</f>
        <v>23</v>
      </c>
      <c r="AA520" s="9">
        <f t="shared" ca="1" si="1448"/>
        <v>23</v>
      </c>
      <c r="AB520" s="10">
        <f t="shared" ca="1" si="1448"/>
        <v>4662.4159999999902</v>
      </c>
      <c r="AC520" s="9">
        <f t="shared" ca="1" si="1448"/>
        <v>1807</v>
      </c>
      <c r="AD520" s="9">
        <f t="shared" ca="1" si="1448"/>
        <v>0</v>
      </c>
      <c r="AE520" s="9">
        <f t="shared" ca="1" si="1448"/>
        <v>1807</v>
      </c>
      <c r="AF520" s="9">
        <f t="shared" ca="1" si="1448"/>
        <v>2557</v>
      </c>
      <c r="AG520" s="9">
        <f t="shared" ca="1" si="1448"/>
        <v>0</v>
      </c>
      <c r="AH520" s="9">
        <f t="shared" ca="1" si="1448"/>
        <v>2557</v>
      </c>
      <c r="AI520" s="9">
        <f t="shared" ca="1" si="1448"/>
        <v>4364</v>
      </c>
      <c r="AJ520" s="11">
        <f t="shared" ref="AJ520:AJ522" ca="1" si="1449">AB520/AA520</f>
        <v>202.71373913043436</v>
      </c>
      <c r="AK520" s="8">
        <f t="shared" ref="AK520:AK521" si="1450">SUM(O535)</f>
        <v>9201</v>
      </c>
      <c r="AL520" s="12">
        <f t="shared" ca="1" si="1427"/>
        <v>0.47429627214433212</v>
      </c>
      <c r="AM520" s="13">
        <f t="shared" ref="AM520:AM521" si="1451">SUM(Q535)</f>
        <v>1.5</v>
      </c>
      <c r="AN520" s="12">
        <f t="shared" ca="1" si="1429"/>
        <v>0.62399694350168222</v>
      </c>
      <c r="AO520" s="14">
        <f t="shared" ca="1" si="1430"/>
        <v>0.93599541525252339</v>
      </c>
      <c r="AP520" s="13">
        <f t="shared" ref="AP520:AQ520" ca="1" si="1452">SUM(T535)</f>
        <v>175.99999999999963</v>
      </c>
      <c r="AQ520" s="13">
        <f t="shared" ca="1" si="1452"/>
        <v>7.6521739130434625</v>
      </c>
      <c r="AR520" s="9">
        <f t="shared" ca="1" si="1432"/>
        <v>189.7391304347826</v>
      </c>
      <c r="AS520" s="76"/>
      <c r="AT520" s="76"/>
    </row>
    <row r="521" spans="1:46" ht="15.75" customHeight="1" x14ac:dyDescent="0.25">
      <c r="A521" s="70"/>
      <c r="B521" s="16">
        <v>3</v>
      </c>
      <c r="C521" s="16" t="s">
        <v>30</v>
      </c>
      <c r="D521" s="17">
        <v>45</v>
      </c>
      <c r="E521" s="18">
        <f ca="1">IFERROR(__xludf.DUMMYFUNCTION("COUNT(IMPORTRANGE(""https://docs.google.com/spreadsheets/d/1EWN6nfpuVxbUE_9opjYCWaI7MTm5xsF6ssjklSbMZnA/edit"",""20!d2:d61""))"),42)</f>
        <v>42</v>
      </c>
      <c r="F521" s="23">
        <f ca="1">IFERROR(__xludf.DUMMYFUNCTION("SUM(IMPORTRANGE(""https://docs.google.com/spreadsheets/d/1EWN6nfpuVxbUE_9opjYCWaI7MTm5xsF6ssjklSbMZnA/edit"",""20!Q2:Q61""))"),7836.30099999999)</f>
        <v>7836.3009999999904</v>
      </c>
      <c r="G521" s="18">
        <f ca="1">IFERROR(__xludf.DUMMYFUNCTION("IMPORTRANGE(""https://docs.google.com/spreadsheets/d/1EWN6nfpuVxbUE_9opjYCWaI7MTm5xsF6ssjklSbMZnA/edit"",""20!e68"")"),2105)</f>
        <v>2105</v>
      </c>
      <c r="H521" s="18">
        <f ca="1">IFERROR(__xludf.DUMMYFUNCTION("IMPORTRANGE(""https://docs.google.com/spreadsheets/d/1EWN6nfpuVxbUE_9opjYCWaI7MTm5xsF6ssjklSbMZnA/edit"",""20!e69"")"),0)</f>
        <v>0</v>
      </c>
      <c r="I521" s="18">
        <f t="shared" ca="1" si="1437"/>
        <v>2105</v>
      </c>
      <c r="J521" s="18">
        <f ca="1">IFERROR(__xludf.DUMMYFUNCTION("IMPORTRANGE(""https://docs.google.com/spreadsheets/d/1EWN6nfpuVxbUE_9opjYCWaI7MTm5xsF6ssjklSbMZnA/edit"",""20!e72"")"),3544)</f>
        <v>3544</v>
      </c>
      <c r="K521" s="18">
        <f ca="1">IFERROR(__xludf.DUMMYFUNCTION("IMPORTRANGE(""https://docs.google.com/spreadsheets/d/1EWN6nfpuVxbUE_9opjYCWaI7MTm5xsF6ssjklSbMZnA/edit"",""20!e73"")"),0)</f>
        <v>0</v>
      </c>
      <c r="L521" s="18">
        <f t="shared" ca="1" si="1438"/>
        <v>3544</v>
      </c>
      <c r="M521" s="18">
        <f t="shared" ca="1" si="1439"/>
        <v>5649</v>
      </c>
      <c r="N521" s="19">
        <f t="shared" ca="1" si="1440"/>
        <v>186.57859523809501</v>
      </c>
      <c r="O521" s="16">
        <v>11164</v>
      </c>
      <c r="P521" s="20">
        <f t="shared" ca="1" si="1441"/>
        <v>0.50600143317807234</v>
      </c>
      <c r="Q521" s="21">
        <v>1.5</v>
      </c>
      <c r="R521" s="20">
        <f t="shared" ca="1" si="1442"/>
        <v>0.48058388772968325</v>
      </c>
      <c r="S521" s="22">
        <f t="shared" ca="1" si="1443"/>
        <v>0.72087583159452484</v>
      </c>
      <c r="T521" s="21">
        <f ca="1">F521/29.603</f>
        <v>264.71306962132184</v>
      </c>
      <c r="U521" s="21">
        <f t="shared" ca="1" si="1444"/>
        <v>6.3026921338409965</v>
      </c>
      <c r="V521" s="18">
        <f t="shared" ca="1" si="1445"/>
        <v>134.5</v>
      </c>
      <c r="W521" s="76"/>
      <c r="X521" s="8">
        <v>6</v>
      </c>
      <c r="Y521" s="8" t="s">
        <v>31</v>
      </c>
      <c r="Z521" s="8">
        <f t="shared" ref="Z521:AI521" si="1453">SUM(D536)</f>
        <v>11</v>
      </c>
      <c r="AA521" s="9">
        <f t="shared" ca="1" si="1453"/>
        <v>10</v>
      </c>
      <c r="AB521" s="11">
        <f t="shared" ca="1" si="1453"/>
        <v>1868.9949999999999</v>
      </c>
      <c r="AC521" s="9">
        <f t="shared" ca="1" si="1453"/>
        <v>386</v>
      </c>
      <c r="AD521" s="9">
        <f t="shared" ca="1" si="1453"/>
        <v>0</v>
      </c>
      <c r="AE521" s="9">
        <f t="shared" ca="1" si="1453"/>
        <v>386</v>
      </c>
      <c r="AF521" s="9">
        <f t="shared" ca="1" si="1453"/>
        <v>542</v>
      </c>
      <c r="AG521" s="9">
        <f t="shared" ca="1" si="1453"/>
        <v>0</v>
      </c>
      <c r="AH521" s="9">
        <f t="shared" ca="1" si="1453"/>
        <v>542</v>
      </c>
      <c r="AI521" s="9">
        <f t="shared" ca="1" si="1453"/>
        <v>928</v>
      </c>
      <c r="AJ521" s="11">
        <f t="shared" ca="1" si="1449"/>
        <v>186.89949999999999</v>
      </c>
      <c r="AK521" s="8">
        <f t="shared" si="1450"/>
        <v>2717</v>
      </c>
      <c r="AL521" s="12">
        <f t="shared" ca="1" si="1427"/>
        <v>0.34155318365844684</v>
      </c>
      <c r="AM521" s="13">
        <f t="shared" si="1451"/>
        <v>1.5</v>
      </c>
      <c r="AN521" s="12">
        <f t="shared" ca="1" si="1429"/>
        <v>0.33101568846715307</v>
      </c>
      <c r="AO521" s="14">
        <f t="shared" ca="1" si="1430"/>
        <v>0.49652353270072958</v>
      </c>
      <c r="AP521" s="13">
        <f t="shared" ref="AP521:AQ521" ca="1" si="1454">SUM(T536)</f>
        <v>42.999999999999993</v>
      </c>
      <c r="AQ521" s="13">
        <f t="shared" ca="1" si="1454"/>
        <v>4.2999999999999989</v>
      </c>
      <c r="AR521" s="9">
        <f t="shared" ca="1" si="1432"/>
        <v>92.8</v>
      </c>
      <c r="AS521" s="76"/>
      <c r="AT521" s="76"/>
    </row>
    <row r="522" spans="1:46" ht="15.75" customHeight="1" x14ac:dyDescent="0.25">
      <c r="A522" s="70"/>
      <c r="B522" s="16">
        <v>4</v>
      </c>
      <c r="C522" s="16" t="s">
        <v>32</v>
      </c>
      <c r="D522" s="17">
        <v>32</v>
      </c>
      <c r="E522" s="18">
        <f ca="1">IFERROR(__xludf.DUMMYFUNCTION("COUNT(IMPORTRANGE(""https://docs.google.com/spreadsheets/d/1Rmar8QqWK4XOJ-eY6xMzkAfDSw0srEXcAw89ilArun8/edit"",""20!d2:d43""))"),32)</f>
        <v>32</v>
      </c>
      <c r="F522" s="23">
        <f ca="1">IFERROR(__xludf.DUMMYFUNCTION("SUM(IMPORTRANGE(""https://docs.google.com/spreadsheets/d/1Rmar8QqWK4XOJ-eY6xMzkAfDSw0srEXcAw89ilArun8/edit"",""20!Q2:Q43""))"),6372.60599999999)</f>
        <v>6372.6059999999898</v>
      </c>
      <c r="G522" s="16">
        <f ca="1">IFERROR(__xludf.DUMMYFUNCTION("IMPORTRANGE(""https://docs.google.com/spreadsheets/d/1Rmar8QqWK4XOJ-eY6xMzkAfDSw0srEXcAw89ilArun8/edit"",""20!e50"")"),3090)</f>
        <v>3090</v>
      </c>
      <c r="H522" s="16">
        <f ca="1">IFERROR(__xludf.DUMMYFUNCTION("IMPORTRANGE(""https://docs.google.com/spreadsheets/d/1Rmar8QqWK4XOJ-eY6xMzkAfDSw0srEXcAw89ilArun8/edit"",""20!e51"")"),0)</f>
        <v>0</v>
      </c>
      <c r="I522" s="18">
        <f t="shared" ca="1" si="1437"/>
        <v>3090</v>
      </c>
      <c r="J522" s="16">
        <f ca="1">IFERROR(__xludf.DUMMYFUNCTION("IMPORTRANGE(""https://docs.google.com/spreadsheets/d/1Rmar8QqWK4XOJ-eY6xMzkAfDSw0srEXcAw89ilArun8/edit"",""20!e54"")"),4037)</f>
        <v>4037</v>
      </c>
      <c r="K522" s="16">
        <f ca="1">IFERROR(__xludf.DUMMYFUNCTION("IMPORTRANGE(""https://docs.google.com/spreadsheets/d/1Rmar8QqWK4XOJ-eY6xMzkAfDSw0srEXcAw89ilArun8/edit"",""20!e55"")"),0)</f>
        <v>0</v>
      </c>
      <c r="L522" s="18">
        <f t="shared" ca="1" si="1438"/>
        <v>4037</v>
      </c>
      <c r="M522" s="18">
        <f t="shared" ca="1" si="1439"/>
        <v>7127</v>
      </c>
      <c r="N522" s="19">
        <f t="shared" ca="1" si="1440"/>
        <v>199.14393749999968</v>
      </c>
      <c r="O522" s="16">
        <v>13817</v>
      </c>
      <c r="P522" s="20">
        <f t="shared" ca="1" si="1441"/>
        <v>0.51581385250054279</v>
      </c>
      <c r="Q522" s="21">
        <v>1.5</v>
      </c>
      <c r="R522" s="20">
        <f t="shared" ca="1" si="1442"/>
        <v>0.74558717945740582</v>
      </c>
      <c r="S522" s="22">
        <f t="shared" ca="1" si="1443"/>
        <v>1.1183807691861087</v>
      </c>
      <c r="T522" s="21">
        <f ca="1">F522/25.089</f>
        <v>253.9999999999996</v>
      </c>
      <c r="U522" s="21">
        <f t="shared" ca="1" si="1444"/>
        <v>7.9374999999999876</v>
      </c>
      <c r="V522" s="18">
        <f t="shared" ca="1" si="1445"/>
        <v>222.71875</v>
      </c>
      <c r="W522" s="76"/>
      <c r="X522" s="24" t="s">
        <v>33</v>
      </c>
      <c r="Y522" s="24">
        <v>6</v>
      </c>
      <c r="Z522" s="24">
        <f t="shared" ref="Z522:AI522" si="1455">SUM(Z516:Z521)</f>
        <v>144</v>
      </c>
      <c r="AA522" s="25">
        <f t="shared" ca="1" si="1455"/>
        <v>142</v>
      </c>
      <c r="AB522" s="26">
        <f t="shared" ca="1" si="1455"/>
        <v>27915.983999999957</v>
      </c>
      <c r="AC522" s="25">
        <f t="shared" ca="1" si="1455"/>
        <v>6835</v>
      </c>
      <c r="AD522" s="25">
        <f t="shared" ca="1" si="1455"/>
        <v>484</v>
      </c>
      <c r="AE522" s="25">
        <f t="shared" ca="1" si="1455"/>
        <v>7319</v>
      </c>
      <c r="AF522" s="25">
        <f t="shared" ca="1" si="1455"/>
        <v>10565</v>
      </c>
      <c r="AG522" s="25">
        <f t="shared" ca="1" si="1455"/>
        <v>484</v>
      </c>
      <c r="AH522" s="25">
        <f t="shared" ca="1" si="1455"/>
        <v>11049</v>
      </c>
      <c r="AI522" s="25">
        <f t="shared" ca="1" si="1455"/>
        <v>18368</v>
      </c>
      <c r="AJ522" s="27">
        <f t="shared" ca="1" si="1449"/>
        <v>196.591436619718</v>
      </c>
      <c r="AK522" s="24">
        <f>SUM(AK516:AK521)</f>
        <v>35074</v>
      </c>
      <c r="AL522" s="28">
        <f t="shared" ca="1" si="1427"/>
        <v>0.52369276387067343</v>
      </c>
      <c r="AM522" s="29">
        <v>1.5</v>
      </c>
      <c r="AN522" s="28">
        <f t="shared" ca="1" si="1429"/>
        <v>0.43864953258797373</v>
      </c>
      <c r="AO522" s="30">
        <f t="shared" ca="1" si="1430"/>
        <v>0.65797429888196057</v>
      </c>
      <c r="AP522" s="29">
        <f ca="1">SUM(AP516:AP521)</f>
        <v>1057.2484551662285</v>
      </c>
      <c r="AQ522" s="29">
        <f ca="1">AP522/AA522</f>
        <v>7.4454116561002008</v>
      </c>
      <c r="AR522" s="25">
        <f t="shared" ca="1" si="1432"/>
        <v>129.35211267605635</v>
      </c>
      <c r="AS522" s="76"/>
      <c r="AT522" s="76"/>
    </row>
    <row r="523" spans="1:46" ht="15.75" customHeight="1" x14ac:dyDescent="0.25">
      <c r="A523" s="70"/>
      <c r="B523" s="16">
        <v>5</v>
      </c>
      <c r="C523" s="16" t="s">
        <v>34</v>
      </c>
      <c r="D523" s="17">
        <v>30</v>
      </c>
      <c r="E523" s="18">
        <f ca="1">IFERROR(__xludf.DUMMYFUNCTION("COUNT(IMPORTRANGE(""https://docs.google.com/spreadsheets/d/1u99JxAoytGQQ8GcjxXl38CGdyEWy5uIbuJJHnsotyvk/edit"",""20!d2:d41""))"),29)</f>
        <v>29</v>
      </c>
      <c r="F523" s="23">
        <f ca="1">IFERROR(__xludf.DUMMYFUNCTION("SUM(IMPORTRANGE(""https://docs.google.com/spreadsheets/d/1u99JxAoytGQQ8GcjxXl38CGdyEWy5uIbuJJHnsotyvk/edit"",""20!Q2:Q41""))"),5612.706)</f>
        <v>5612.7060000000001</v>
      </c>
      <c r="G523" s="18">
        <f ca="1">IFERROR(__xludf.DUMMYFUNCTION("IMPORTRANGE(""https://docs.google.com/spreadsheets/d/1u99JxAoytGQQ8GcjxXl38CGdyEWy5uIbuJJHnsotyvk/edit"",""20!e48"")"),1829)</f>
        <v>1829</v>
      </c>
      <c r="H523" s="18">
        <f ca="1">IFERROR(__xludf.DUMMYFUNCTION("IMPORTRANGE(""https://docs.google.com/spreadsheets/d/1u99JxAoytGQQ8GcjxXl38CGdyEWy5uIbuJJHnsotyvk/edit"",""20!e49"")"),0)</f>
        <v>0</v>
      </c>
      <c r="I523" s="18">
        <f t="shared" ca="1" si="1437"/>
        <v>1829</v>
      </c>
      <c r="J523" s="18">
        <f ca="1">IFERROR(__xludf.DUMMYFUNCTION("IMPORTRANGE(""https://docs.google.com/spreadsheets/d/1u99JxAoytGQQ8GcjxXl38CGdyEWy5uIbuJJHnsotyvk/edit"",""20!e52"")"),2201)</f>
        <v>2201</v>
      </c>
      <c r="K523" s="18">
        <f ca="1">IFERROR(__xludf.DUMMYFUNCTION("IMPORTRANGE(""https://docs.google.com/spreadsheets/d/1u99JxAoytGQQ8GcjxXl38CGdyEWy5uIbuJJHnsotyvk/edit"",""20!e53"")"),0)</f>
        <v>0</v>
      </c>
      <c r="L523" s="18">
        <f t="shared" ca="1" si="1438"/>
        <v>2201</v>
      </c>
      <c r="M523" s="18">
        <f t="shared" ca="1" si="1439"/>
        <v>4030</v>
      </c>
      <c r="N523" s="19">
        <f t="shared" ca="1" si="1440"/>
        <v>193.54158620689657</v>
      </c>
      <c r="O523" s="16">
        <v>9354</v>
      </c>
      <c r="P523" s="20">
        <f t="shared" ca="1" si="1441"/>
        <v>0.43083172974128714</v>
      </c>
      <c r="Q523" s="21">
        <v>1.5</v>
      </c>
      <c r="R523" s="20">
        <f t="shared" ca="1" si="1442"/>
        <v>0.47867582350949195</v>
      </c>
      <c r="S523" s="22">
        <f t="shared" ca="1" si="1443"/>
        <v>0.71801373526423795</v>
      </c>
      <c r="T523" s="21">
        <f ca="1">F523/30.713</f>
        <v>182.74691498713901</v>
      </c>
      <c r="U523" s="21">
        <f t="shared" ca="1" si="1444"/>
        <v>6.3016177581772075</v>
      </c>
      <c r="V523" s="18">
        <f t="shared" ca="1" si="1445"/>
        <v>138.9655172413793</v>
      </c>
      <c r="W523" s="76"/>
      <c r="X523" s="100" t="s">
        <v>35</v>
      </c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9"/>
      <c r="AS523" s="76"/>
      <c r="AT523" s="76"/>
    </row>
    <row r="524" spans="1:46" ht="15.75" customHeight="1" x14ac:dyDescent="0.25">
      <c r="A524" s="70"/>
      <c r="B524" s="16">
        <v>6</v>
      </c>
      <c r="C524" s="16" t="s">
        <v>23</v>
      </c>
      <c r="D524" s="17">
        <v>26</v>
      </c>
      <c r="E524" s="18">
        <f ca="1">IFERROR(__xludf.DUMMYFUNCTION("COUNT(IMPORTRANGE(""https://docs.google.com/spreadsheets/d/1uVc-vnTn57HE53lwrUYNZP4sGKTXisrqOoZ-6EyvLzY/edit"",""20!d2:d36""))"),26)</f>
        <v>26</v>
      </c>
      <c r="F524" s="23">
        <f ca="1">IFERROR(__xludf.DUMMYFUNCTION("SUM(IMPORTRANGE(""https://docs.google.com/spreadsheets/d/1uVc-vnTn57HE53lwrUYNZP4sGKTXisrqOoZ-6EyvLzY/edit"",""20!Q2:Q36""))"),5162.21999999999)</f>
        <v>5162.2199999999903</v>
      </c>
      <c r="G524" s="18">
        <f ca="1">IFERROR(__xludf.DUMMYFUNCTION("IMPORTRANGE(""https://docs.google.com/spreadsheets/d/1uVc-vnTn57HE53lwrUYNZP4sGKTXisrqOoZ-6EyvLzY/edit"",""20!e43"")"),958)</f>
        <v>958</v>
      </c>
      <c r="H524" s="18">
        <f ca="1">IFERROR(__xludf.DUMMYFUNCTION("IMPORTRANGE(""https://docs.google.com/spreadsheets/d/1uVc-vnTn57HE53lwrUYNZP4sGKTXisrqOoZ-6EyvLzY/edit"",""20!e44"")"),0)</f>
        <v>0</v>
      </c>
      <c r="I524" s="18">
        <f t="shared" ca="1" si="1437"/>
        <v>958</v>
      </c>
      <c r="J524" s="18">
        <f ca="1">IFERROR(__xludf.DUMMYFUNCTION("IMPORTRANGE(""https://docs.google.com/spreadsheets/d/1uVc-vnTn57HE53lwrUYNZP4sGKTXisrqOoZ-6EyvLzY/edit"",""20!e47"")"),2300)</f>
        <v>2300</v>
      </c>
      <c r="K524" s="18">
        <f ca="1">IFERROR(__xludf.DUMMYFUNCTION("IMPORTRANGE(""https://docs.google.com/spreadsheets/d/1uVc-vnTn57HE53lwrUYNZP4sGKTXisrqOoZ-6EyvLzY/edit"",""20!e48"")"),0)</f>
        <v>0</v>
      </c>
      <c r="L524" s="18">
        <f t="shared" ca="1" si="1438"/>
        <v>2300</v>
      </c>
      <c r="M524" s="18">
        <f t="shared" ca="1" si="1439"/>
        <v>3258</v>
      </c>
      <c r="N524" s="19">
        <f t="shared" ca="1" si="1440"/>
        <v>198.5469230769227</v>
      </c>
      <c r="O524" s="16">
        <v>6853</v>
      </c>
      <c r="P524" s="20">
        <f t="shared" ca="1" si="1441"/>
        <v>0.47541222822121698</v>
      </c>
      <c r="Q524" s="21">
        <v>1.5</v>
      </c>
      <c r="R524" s="20">
        <f t="shared" ca="1" si="1442"/>
        <v>0.42074921254809056</v>
      </c>
      <c r="S524" s="22">
        <f t="shared" ca="1" si="1443"/>
        <v>0.63112381882213586</v>
      </c>
      <c r="T524" s="21">
        <f ca="1">F524/33.74</f>
        <v>152.99999999999972</v>
      </c>
      <c r="U524" s="21">
        <f t="shared" ca="1" si="1444"/>
        <v>5.8846153846153735</v>
      </c>
      <c r="V524" s="18">
        <f t="shared" ca="1" si="1445"/>
        <v>125.30769230769231</v>
      </c>
      <c r="W524" s="76"/>
      <c r="X524" s="1" t="s">
        <v>2</v>
      </c>
      <c r="Y524" s="1" t="s">
        <v>3</v>
      </c>
      <c r="Z524" s="1" t="s">
        <v>4</v>
      </c>
      <c r="AA524" s="1" t="s">
        <v>5</v>
      </c>
      <c r="AB524" s="2" t="s">
        <v>6</v>
      </c>
      <c r="AC524" s="1" t="s">
        <v>7</v>
      </c>
      <c r="AD524" s="1" t="s">
        <v>8</v>
      </c>
      <c r="AE524" s="1" t="s">
        <v>9</v>
      </c>
      <c r="AF524" s="1" t="s">
        <v>10</v>
      </c>
      <c r="AG524" s="1" t="s">
        <v>11</v>
      </c>
      <c r="AH524" s="1" t="s">
        <v>12</v>
      </c>
      <c r="AI524" s="1" t="s">
        <v>13</v>
      </c>
      <c r="AJ524" s="2" t="s">
        <v>14</v>
      </c>
      <c r="AK524" s="1" t="s">
        <v>15</v>
      </c>
      <c r="AL524" s="1" t="s">
        <v>16</v>
      </c>
      <c r="AM524" s="3" t="s">
        <v>17</v>
      </c>
      <c r="AN524" s="4" t="s">
        <v>18</v>
      </c>
      <c r="AO524" s="5" t="s">
        <v>19</v>
      </c>
      <c r="AP524" s="6" t="s">
        <v>20</v>
      </c>
      <c r="AQ524" s="6" t="s">
        <v>21</v>
      </c>
      <c r="AR524" s="7" t="s">
        <v>22</v>
      </c>
      <c r="AS524" s="76"/>
      <c r="AT524" s="76"/>
    </row>
    <row r="525" spans="1:46" ht="15.75" customHeight="1" x14ac:dyDescent="0.25">
      <c r="A525" s="70"/>
      <c r="B525" s="16">
        <v>7</v>
      </c>
      <c r="C525" s="16" t="s">
        <v>24</v>
      </c>
      <c r="D525" s="17">
        <v>35</v>
      </c>
      <c r="E525" s="31">
        <f ca="1">IFERROR(__xludf.DUMMYFUNCTION("COUNT(IMPORTRANGE(""https://docs.google.com/spreadsheets/d/1iuPvivSypupo44l6GtmR-2qZ3za7cTk7KzsOVp_kv2c/edit"",""20!d2:d45""))"),35)</f>
        <v>35</v>
      </c>
      <c r="F525" s="32">
        <f ca="1">IFERROR(__xludf.DUMMYFUNCTION("SUM(IMPORTRANGE(""https://docs.google.com/spreadsheets/d/1iuPvivSypupo44l6GtmR-2qZ3za7cTk7KzsOVp_kv2c/edit"",""20!Q2:Q45""))"),6619.21499999999)</f>
        <v>6619.2149999999901</v>
      </c>
      <c r="G525" s="31">
        <f ca="1">IFERROR(__xludf.DUMMYFUNCTION("IMPORTRANGE(""https://docs.google.com/spreadsheets/d/1iuPvivSypupo44l6GtmR-2qZ3za7cTk7KzsOVp_kv2c/edit"",""20!e53"")"),668)</f>
        <v>668</v>
      </c>
      <c r="H525" s="31">
        <f ca="1">IFERROR(__xludf.DUMMYFUNCTION("IMPORTRANGE(""https://docs.google.com/spreadsheets/d/1iuPvivSypupo44l6GtmR-2qZ3za7cTk7KzsOVp_kv2c/edit"",""20!e54"")"),0)</f>
        <v>0</v>
      </c>
      <c r="I525" s="31">
        <f t="shared" ca="1" si="1437"/>
        <v>668</v>
      </c>
      <c r="J525" s="31">
        <f ca="1">IFERROR(__xludf.DUMMYFUNCTION("IMPORTRANGE(""https://docs.google.com/spreadsheets/d/1iuPvivSypupo44l6GtmR-2qZ3za7cTk7KzsOVp_kv2c/edit"",""20!e57"")"),972)</f>
        <v>972</v>
      </c>
      <c r="K525" s="31">
        <f ca="1">IFERROR(__xludf.DUMMYFUNCTION("IMPORTRANGE(""https://docs.google.com/spreadsheets/d/1iuPvivSypupo44l6GtmR-2qZ3za7cTk7KzsOVp_kv2c/edit"",""20!e58"")"),13)</f>
        <v>13</v>
      </c>
      <c r="L525" s="18">
        <f t="shared" ca="1" si="1438"/>
        <v>985</v>
      </c>
      <c r="M525" s="18">
        <f t="shared" ca="1" si="1439"/>
        <v>1653</v>
      </c>
      <c r="N525" s="19">
        <f t="shared" ca="1" si="1440"/>
        <v>189.12042857142828</v>
      </c>
      <c r="O525" s="16">
        <v>1580</v>
      </c>
      <c r="P525" s="33">
        <f t="shared" ca="1" si="1441"/>
        <v>1.0462025316455696</v>
      </c>
      <c r="Q525" s="21">
        <v>1.5</v>
      </c>
      <c r="R525" s="20">
        <f t="shared" ca="1" si="1442"/>
        <v>0.16648499859877669</v>
      </c>
      <c r="S525" s="22">
        <f t="shared" ca="1" si="1443"/>
        <v>0.24972749789816504</v>
      </c>
      <c r="T525" s="21">
        <f ca="1">F525/26.805</f>
        <v>246.93956351426937</v>
      </c>
      <c r="U525" s="21">
        <f t="shared" ca="1" si="1444"/>
        <v>7.0554161004076965</v>
      </c>
      <c r="V525" s="18">
        <f t="shared" ca="1" si="1445"/>
        <v>47.228571428571428</v>
      </c>
      <c r="W525" s="76"/>
      <c r="X525" s="8">
        <v>1</v>
      </c>
      <c r="Y525" s="8" t="s">
        <v>28</v>
      </c>
      <c r="Z525" s="8">
        <f t="shared" ref="Z525:AI525" si="1456">SUM(D520)</f>
        <v>24</v>
      </c>
      <c r="AA525" s="9">
        <f t="shared" ca="1" si="1456"/>
        <v>24</v>
      </c>
      <c r="AB525" s="11">
        <f t="shared" ca="1" si="1456"/>
        <v>4798.6009999999997</v>
      </c>
      <c r="AC525" s="9">
        <f t="shared" ca="1" si="1456"/>
        <v>1489</v>
      </c>
      <c r="AD525" s="9">
        <f t="shared" ca="1" si="1456"/>
        <v>0</v>
      </c>
      <c r="AE525" s="9">
        <f t="shared" ca="1" si="1456"/>
        <v>1489</v>
      </c>
      <c r="AF525" s="9">
        <f t="shared" ca="1" si="1456"/>
        <v>1940</v>
      </c>
      <c r="AG525" s="9">
        <f t="shared" ca="1" si="1456"/>
        <v>106</v>
      </c>
      <c r="AH525" s="9">
        <f t="shared" ca="1" si="1456"/>
        <v>2046</v>
      </c>
      <c r="AI525" s="9">
        <f t="shared" ca="1" si="1456"/>
        <v>3535</v>
      </c>
      <c r="AJ525" s="11">
        <f t="shared" ref="AJ525:AJ531" ca="1" si="1457">AB525/AA525</f>
        <v>199.94170833333331</v>
      </c>
      <c r="AK525" s="8">
        <f t="shared" ref="AK525:AK526" si="1458">SUM(O520)</f>
        <v>7315</v>
      </c>
      <c r="AL525" s="12">
        <f t="shared" ref="AL525:AL531" ca="1" si="1459">AI525/AK525</f>
        <v>0.48325358851674644</v>
      </c>
      <c r="AM525" s="13">
        <f t="shared" ref="AM525:AM526" si="1460">SUM(Q520)</f>
        <v>1.5</v>
      </c>
      <c r="AN525" s="12">
        <f t="shared" ref="AN525:AN531" ca="1" si="1461">AO525/AM525</f>
        <v>0.49111536188707228</v>
      </c>
      <c r="AO525" s="14">
        <f t="shared" ref="AO525:AO531" ca="1" si="1462">AI525/AB525</f>
        <v>0.73667304283060842</v>
      </c>
      <c r="AP525" s="13">
        <f t="shared" ref="AP525:AQ525" ca="1" si="1463">SUM(T520)</f>
        <v>155.30960934718581</v>
      </c>
      <c r="AQ525" s="13">
        <f t="shared" ca="1" si="1463"/>
        <v>6.4712337227994086</v>
      </c>
      <c r="AR525" s="9">
        <f t="shared" ref="AR525:AR531" ca="1" si="1464">AI525/AA525</f>
        <v>147.29166666666666</v>
      </c>
      <c r="AS525" s="76"/>
      <c r="AT525" s="76"/>
    </row>
    <row r="526" spans="1:46" ht="15.75" customHeight="1" x14ac:dyDescent="0.25">
      <c r="A526" s="70"/>
      <c r="B526" s="16">
        <v>8</v>
      </c>
      <c r="C526" s="16" t="s">
        <v>25</v>
      </c>
      <c r="D526" s="34">
        <v>26</v>
      </c>
      <c r="E526" s="18">
        <f ca="1">IFERROR(__xludf.DUMMYFUNCTION("COUNT(IMPORTRANGE(""https://docs.google.com/spreadsheets/d/1sqWX7UerdR9KR_duBzDNfjwbPG-3hLgV1LiN2ZVZ6Js/edit"",""20!d2:D33""))"),26)</f>
        <v>26</v>
      </c>
      <c r="F526" s="23">
        <f ca="1">IFERROR(__xludf.DUMMYFUNCTION("SUM(IMPORTRANGE(""https://docs.google.com/spreadsheets/d/1sqWX7UerdR9KR_duBzDNfjwbPG-3hLgV1LiN2ZVZ6Js/edit"",""20!Q2:Q33""))"),5216.568)</f>
        <v>5216.5680000000002</v>
      </c>
      <c r="G526" s="18">
        <f ca="1">IFERROR(__xludf.DUMMYFUNCTION("IMPORTRANGE(""https://docs.google.com/spreadsheets/d/1sqWX7UerdR9KR_duBzDNfjwbPG-3hLgV1LiN2ZVZ6Js/edit"",""20!e40"")"),1542)</f>
        <v>1542</v>
      </c>
      <c r="H526" s="18">
        <f ca="1">IFERROR(__xludf.DUMMYFUNCTION("IMPORTRANGE(""https://docs.google.com/spreadsheets/d/1sqWX7UerdR9KR_duBzDNfjwbPG-3hLgV1LiN2ZVZ6Js/edit"",""20!e41"")"),322)</f>
        <v>322</v>
      </c>
      <c r="I526" s="18">
        <f t="shared" ca="1" si="1437"/>
        <v>1864</v>
      </c>
      <c r="J526" s="18">
        <f ca="1">IFERROR(__xludf.DUMMYFUNCTION("IMPORTRANGE(""https://docs.google.com/spreadsheets/d/1sqWX7UerdR9KR_duBzDNfjwbPG-3hLgV1LiN2ZVZ6Js/edit"",""20!e44"")"),2185)</f>
        <v>2185</v>
      </c>
      <c r="K526" s="18">
        <f ca="1">IFERROR(__xludf.DUMMYFUNCTION("IMPORTRANGE(""https://docs.google.com/spreadsheets/d/1sqWX7UerdR9KR_duBzDNfjwbPG-3hLgV1LiN2ZVZ6Js/edit"",""20!e45"")"),314)</f>
        <v>314</v>
      </c>
      <c r="L526" s="18">
        <f ca="1">J526+K526</f>
        <v>2499</v>
      </c>
      <c r="M526" s="18">
        <f t="shared" ca="1" si="1439"/>
        <v>4363</v>
      </c>
      <c r="N526" s="19">
        <f t="shared" ca="1" si="1440"/>
        <v>200.63723076923077</v>
      </c>
      <c r="O526" s="16">
        <v>6622</v>
      </c>
      <c r="P526" s="20">
        <f t="shared" ca="1" si="1441"/>
        <v>0.65886439142253095</v>
      </c>
      <c r="Q526" s="21">
        <v>1.5</v>
      </c>
      <c r="R526" s="20">
        <f t="shared" ca="1" si="1442"/>
        <v>0.55758243095204862</v>
      </c>
      <c r="S526" s="22">
        <f t="shared" ca="1" si="1443"/>
        <v>0.83637364642807299</v>
      </c>
      <c r="T526" s="21">
        <f ca="1">F526/23.84</f>
        <v>218.81577181208056</v>
      </c>
      <c r="U526" s="21">
        <f t="shared" ca="1" si="1444"/>
        <v>8.4159912235415604</v>
      </c>
      <c r="V526" s="18">
        <f t="shared" ca="1" si="1445"/>
        <v>167.80769230769232</v>
      </c>
      <c r="W526" s="76"/>
      <c r="X526" s="8">
        <v>2</v>
      </c>
      <c r="Y526" s="8" t="s">
        <v>30</v>
      </c>
      <c r="Z526" s="8">
        <f t="shared" ref="Z526:AI526" si="1465">SUM(D521)</f>
        <v>45</v>
      </c>
      <c r="AA526" s="9">
        <f t="shared" ca="1" si="1465"/>
        <v>42</v>
      </c>
      <c r="AB526" s="10">
        <f t="shared" ca="1" si="1465"/>
        <v>7836.3009999999904</v>
      </c>
      <c r="AC526" s="9">
        <f t="shared" ca="1" si="1465"/>
        <v>2105</v>
      </c>
      <c r="AD526" s="9">
        <f t="shared" ca="1" si="1465"/>
        <v>0</v>
      </c>
      <c r="AE526" s="9">
        <f t="shared" ca="1" si="1465"/>
        <v>2105</v>
      </c>
      <c r="AF526" s="9">
        <f t="shared" ca="1" si="1465"/>
        <v>3544</v>
      </c>
      <c r="AG526" s="9">
        <f t="shared" ca="1" si="1465"/>
        <v>0</v>
      </c>
      <c r="AH526" s="9">
        <f t="shared" ca="1" si="1465"/>
        <v>3544</v>
      </c>
      <c r="AI526" s="9">
        <f t="shared" ca="1" si="1465"/>
        <v>5649</v>
      </c>
      <c r="AJ526" s="11">
        <f t="shared" ca="1" si="1457"/>
        <v>186.57859523809501</v>
      </c>
      <c r="AK526" s="8">
        <f t="shared" si="1458"/>
        <v>11164</v>
      </c>
      <c r="AL526" s="12">
        <f t="shared" ca="1" si="1459"/>
        <v>0.50600143317807234</v>
      </c>
      <c r="AM526" s="13">
        <f t="shared" si="1460"/>
        <v>1.5</v>
      </c>
      <c r="AN526" s="12">
        <f t="shared" ca="1" si="1461"/>
        <v>0.48058388772968325</v>
      </c>
      <c r="AO526" s="14">
        <f t="shared" ca="1" si="1462"/>
        <v>0.72087583159452484</v>
      </c>
      <c r="AP526" s="13">
        <f t="shared" ref="AP526:AQ526" ca="1" si="1466">SUM(T521)</f>
        <v>264.71306962132184</v>
      </c>
      <c r="AQ526" s="13">
        <f t="shared" ca="1" si="1466"/>
        <v>6.3026921338409965</v>
      </c>
      <c r="AR526" s="9">
        <f t="shared" ca="1" si="1464"/>
        <v>134.5</v>
      </c>
      <c r="AS526" s="76"/>
      <c r="AT526" s="76"/>
    </row>
    <row r="527" spans="1:46" ht="15.75" customHeight="1" x14ac:dyDescent="0.25">
      <c r="A527" s="70"/>
      <c r="B527" s="16">
        <v>9</v>
      </c>
      <c r="C527" s="16" t="s">
        <v>36</v>
      </c>
      <c r="D527" s="34">
        <v>23</v>
      </c>
      <c r="E527" s="18">
        <f ca="1">IFERROR(__xludf.DUMMYFUNCTION("COUNT(IMPORTRANGE(""https://docs.google.com/spreadsheets/d/1YNna43iTSqnwwbMJgTIPHSJEoDO8RGPRFg5pJCoQR_Y/edit"",""20!d2:d31""))"),23)</f>
        <v>23</v>
      </c>
      <c r="F527" s="23">
        <f ca="1">IFERROR(__xludf.DUMMYFUNCTION("SUM(IMPORTRANGE(""https://docs.google.com/spreadsheets/d/1YNna43iTSqnwwbMJgTIPHSJEoDO8RGPRFg5pJCoQR_Y/edit"",""20!Q2:Q31""))"),4354.741)</f>
        <v>4354.741</v>
      </c>
      <c r="G527" s="18">
        <f ca="1">IFERROR(__xludf.DUMMYFUNCTION("IMPORTRANGE(""https://docs.google.com/spreadsheets/d/1YNna43iTSqnwwbMJgTIPHSJEoDO8RGPRFg5pJCoQR_Y/edit"",""20!e38"")"),849)</f>
        <v>849</v>
      </c>
      <c r="H527" s="18">
        <f ca="1">IFERROR(__xludf.DUMMYFUNCTION("IMPORTRANGE(""https://docs.google.com/spreadsheets/d/1YNna43iTSqnwwbMJgTIPHSJEoDO8RGPRFg5pJCoQR_Y/edit"",""20!e39"")"),0)</f>
        <v>0</v>
      </c>
      <c r="I527" s="18">
        <f t="shared" ca="1" si="1437"/>
        <v>849</v>
      </c>
      <c r="J527" s="18">
        <f ca="1">IFERROR(__xludf.DUMMYFUNCTION("IMPORTRANGE(""https://docs.google.com/spreadsheets/d/1YNna43iTSqnwwbMJgTIPHSJEoDO8RGPRFg5pJCoQR_Y/edit"",""20!e42"")"),1530)</f>
        <v>1530</v>
      </c>
      <c r="K527" s="18">
        <f ca="1">IFERROR(__xludf.DUMMYFUNCTION("IMPORTRANGE(""https://docs.google.com/spreadsheets/d/1YNna43iTSqnwwbMJgTIPHSJEoDO8RGPRFg5pJCoQR_Y/edit"",""20!e43"")"),0)</f>
        <v>0</v>
      </c>
      <c r="L527" s="18">
        <f t="shared" ref="L527:L536" ca="1" si="1467">SUM(J527:K527)</f>
        <v>1530</v>
      </c>
      <c r="M527" s="18">
        <f t="shared" ca="1" si="1439"/>
        <v>2379</v>
      </c>
      <c r="N527" s="19">
        <f t="shared" ca="1" si="1440"/>
        <v>189.3365652173913</v>
      </c>
      <c r="O527" s="16">
        <v>4796</v>
      </c>
      <c r="P527" s="20">
        <f t="shared" ca="1" si="1441"/>
        <v>0.49603836530442036</v>
      </c>
      <c r="Q527" s="21">
        <v>1.5</v>
      </c>
      <c r="R527" s="20">
        <f t="shared" ca="1" si="1442"/>
        <v>0.3642007641786274</v>
      </c>
      <c r="S527" s="22">
        <f t="shared" ca="1" si="1443"/>
        <v>0.54630114626794113</v>
      </c>
      <c r="T527" s="21">
        <f ca="1">F527/37.414</f>
        <v>116.39335542844924</v>
      </c>
      <c r="U527" s="21">
        <f t="shared" ca="1" si="1444"/>
        <v>5.0605806708021408</v>
      </c>
      <c r="V527" s="18">
        <f t="shared" ca="1" si="1445"/>
        <v>103.43478260869566</v>
      </c>
      <c r="W527" s="76"/>
      <c r="X527" s="8">
        <v>3</v>
      </c>
      <c r="Y527" s="8" t="s">
        <v>34</v>
      </c>
      <c r="Z527" s="8">
        <f t="shared" ref="Z527:AI527" si="1468">SUM(D523)</f>
        <v>30</v>
      </c>
      <c r="AA527" s="9">
        <f t="shared" ca="1" si="1468"/>
        <v>29</v>
      </c>
      <c r="AB527" s="10">
        <f t="shared" ca="1" si="1468"/>
        <v>5612.7060000000001</v>
      </c>
      <c r="AC527" s="9">
        <f t="shared" ca="1" si="1468"/>
        <v>1829</v>
      </c>
      <c r="AD527" s="9">
        <f t="shared" ca="1" si="1468"/>
        <v>0</v>
      </c>
      <c r="AE527" s="9">
        <f t="shared" ca="1" si="1468"/>
        <v>1829</v>
      </c>
      <c r="AF527" s="9">
        <f t="shared" ca="1" si="1468"/>
        <v>2201</v>
      </c>
      <c r="AG527" s="9">
        <f t="shared" ca="1" si="1468"/>
        <v>0</v>
      </c>
      <c r="AH527" s="9">
        <f t="shared" ca="1" si="1468"/>
        <v>2201</v>
      </c>
      <c r="AI527" s="9">
        <f t="shared" ca="1" si="1468"/>
        <v>4030</v>
      </c>
      <c r="AJ527" s="11">
        <f t="shared" ca="1" si="1457"/>
        <v>193.54158620689657</v>
      </c>
      <c r="AK527" s="8">
        <f>SUM(O523)</f>
        <v>9354</v>
      </c>
      <c r="AL527" s="12">
        <f t="shared" ca="1" si="1459"/>
        <v>0.43083172974128714</v>
      </c>
      <c r="AM527" s="13">
        <f>SUM(Q523)</f>
        <v>1.5</v>
      </c>
      <c r="AN527" s="12">
        <f t="shared" ca="1" si="1461"/>
        <v>0.47867582350949195</v>
      </c>
      <c r="AO527" s="14">
        <f t="shared" ca="1" si="1462"/>
        <v>0.71801373526423795</v>
      </c>
      <c r="AP527" s="13">
        <f t="shared" ref="AP527:AQ527" ca="1" si="1469">SUM(T523)</f>
        <v>182.74691498713901</v>
      </c>
      <c r="AQ527" s="13">
        <f t="shared" ca="1" si="1469"/>
        <v>6.3016177581772075</v>
      </c>
      <c r="AR527" s="9">
        <f t="shared" ca="1" si="1464"/>
        <v>138.9655172413793</v>
      </c>
      <c r="AS527" s="76"/>
      <c r="AT527" s="76"/>
    </row>
    <row r="528" spans="1:46" ht="15.75" customHeight="1" x14ac:dyDescent="0.25">
      <c r="A528" s="70"/>
      <c r="B528" s="16">
        <v>10</v>
      </c>
      <c r="C528" s="16" t="s">
        <v>37</v>
      </c>
      <c r="D528" s="17">
        <v>23</v>
      </c>
      <c r="E528" s="18">
        <f ca="1">IFERROR(__xludf.DUMMYFUNCTION("COUNT(IMPORTRANGE(""https://docs.google.com/spreadsheets/d/1913Df5BsXS_b-nClL8LOK5w0engQYTl1mPOiyngRtO0/edit"",""20!d2:d31""))"),22)</f>
        <v>22</v>
      </c>
      <c r="F528" s="23">
        <f ca="1">IFERROR(__xludf.DUMMYFUNCTION("SUM(IMPORTRANGE(""https://docs.google.com/spreadsheets/d/1913Df5BsXS_b-nClL8LOK5w0engQYTl1mPOiyngRtO0/edit"",""20!Q2:Q31""))"),4509.522)</f>
        <v>4509.5219999999999</v>
      </c>
      <c r="G528" s="18">
        <f ca="1">IFERROR(__xludf.DUMMYFUNCTION("(IMPORTRANGE(""https://docs.google.com/spreadsheets/d/1913Df5BsXS_b-nClL8LOK5w0engQYTl1mPOiyngRtO0/edit"",""20!e38""))"),1054)</f>
        <v>1054</v>
      </c>
      <c r="H528" s="18">
        <f ca="1">IFERROR(__xludf.DUMMYFUNCTION("(IMPORTRANGE(""https://docs.google.com/spreadsheets/d/1913Df5BsXS_b-nClL8LOK5w0engQYTl1mPOiyngRtO0/edit"",""20!e39""))"),0)</f>
        <v>0</v>
      </c>
      <c r="I528" s="18">
        <f t="shared" ca="1" si="1437"/>
        <v>1054</v>
      </c>
      <c r="J528" s="18">
        <f ca="1">IFERROR(__xludf.DUMMYFUNCTION("(IMPORTRANGE(""https://docs.google.com/spreadsheets/d/1913Df5BsXS_b-nClL8LOK5w0engQYTl1mPOiyngRtO0/edit"",""20!e42""))"),2001)</f>
        <v>2001</v>
      </c>
      <c r="K528" s="18">
        <f ca="1">IFERROR(__xludf.DUMMYFUNCTION("(IMPORTRANGE(""https://docs.google.com/spreadsheets/d/1913Df5BsXS_b-nClL8LOK5w0engQYTl1mPOiyngRtO0/edit"",""20!e43""))"),0)</f>
        <v>0</v>
      </c>
      <c r="L528" s="18">
        <f t="shared" ca="1" si="1467"/>
        <v>2001</v>
      </c>
      <c r="M528" s="18">
        <f t="shared" ca="1" si="1439"/>
        <v>3055</v>
      </c>
      <c r="N528" s="19">
        <f t="shared" ca="1" si="1440"/>
        <v>204.97827272727272</v>
      </c>
      <c r="O528" s="16">
        <v>5887</v>
      </c>
      <c r="P528" s="20">
        <f t="shared" ca="1" si="1441"/>
        <v>0.51894003737047734</v>
      </c>
      <c r="Q528" s="21">
        <v>1.5</v>
      </c>
      <c r="R528" s="20">
        <f t="shared" ca="1" si="1442"/>
        <v>0.45163692885114354</v>
      </c>
      <c r="S528" s="22">
        <f t="shared" ca="1" si="1443"/>
        <v>0.67745539327671533</v>
      </c>
      <c r="T528" s="21">
        <f ca="1">F528/24.792</f>
        <v>181.89424007744432</v>
      </c>
      <c r="U528" s="21">
        <f t="shared" ca="1" si="1444"/>
        <v>8.2679200035201958</v>
      </c>
      <c r="V528" s="18">
        <f t="shared" ca="1" si="1445"/>
        <v>138.86363636363637</v>
      </c>
      <c r="W528" s="76"/>
      <c r="X528" s="8">
        <v>4</v>
      </c>
      <c r="Y528" s="8" t="s">
        <v>38</v>
      </c>
      <c r="Z528" s="8">
        <f t="shared" ref="Z528:AI528" si="1470">SUM(D531)</f>
        <v>23</v>
      </c>
      <c r="AA528" s="9">
        <f t="shared" ca="1" si="1470"/>
        <v>23</v>
      </c>
      <c r="AB528" s="10">
        <f t="shared" ca="1" si="1470"/>
        <v>4573.7550000000001</v>
      </c>
      <c r="AC528" s="9">
        <f t="shared" ca="1" si="1470"/>
        <v>1146</v>
      </c>
      <c r="AD528" s="9">
        <f t="shared" ca="1" si="1470"/>
        <v>0</v>
      </c>
      <c r="AE528" s="9">
        <f t="shared" ca="1" si="1470"/>
        <v>1146</v>
      </c>
      <c r="AF528" s="9">
        <f t="shared" ca="1" si="1470"/>
        <v>2266</v>
      </c>
      <c r="AG528" s="9">
        <f t="shared" ca="1" si="1470"/>
        <v>101</v>
      </c>
      <c r="AH528" s="9">
        <f t="shared" ca="1" si="1470"/>
        <v>2367</v>
      </c>
      <c r="AI528" s="9">
        <f t="shared" ca="1" si="1470"/>
        <v>3513</v>
      </c>
      <c r="AJ528" s="11">
        <f t="shared" ca="1" si="1457"/>
        <v>198.85891304347825</v>
      </c>
      <c r="AK528" s="8">
        <v>7324</v>
      </c>
      <c r="AL528" s="12">
        <f t="shared" ca="1" si="1459"/>
        <v>0.47965592572364829</v>
      </c>
      <c r="AM528" s="13">
        <f>SUM(Q531)</f>
        <v>1.5</v>
      </c>
      <c r="AN528" s="12">
        <f t="shared" ca="1" si="1461"/>
        <v>0.51205191358085422</v>
      </c>
      <c r="AO528" s="14">
        <f t="shared" ca="1" si="1462"/>
        <v>0.76807787037128139</v>
      </c>
      <c r="AP528" s="13">
        <f t="shared" ref="AP528:AQ528" ca="1" si="1471">SUM(T531)</f>
        <v>111.00000000000001</v>
      </c>
      <c r="AQ528" s="13">
        <f t="shared" ca="1" si="1471"/>
        <v>4.8260869565217401</v>
      </c>
      <c r="AR528" s="9">
        <f t="shared" ca="1" si="1464"/>
        <v>152.7391304347826</v>
      </c>
      <c r="AS528" s="76"/>
      <c r="AT528" s="76"/>
    </row>
    <row r="529" spans="1:46" ht="15.75" customHeight="1" x14ac:dyDescent="0.25">
      <c r="A529" s="70"/>
      <c r="B529" s="16">
        <v>12</v>
      </c>
      <c r="C529" s="16" t="s">
        <v>39</v>
      </c>
      <c r="D529" s="17">
        <v>21</v>
      </c>
      <c r="E529" s="18">
        <f ca="1">IFERROR(__xludf.DUMMYFUNCTION("COUNT(IMPORTRANGE(""https://docs.google.com/spreadsheets/d/1wMeol_MpSIcocGxt3WZGl46mJ2tc80mANPvP_YzaP18/edit"",""20!d2:d29""))"),21)</f>
        <v>21</v>
      </c>
      <c r="F529" s="23">
        <f ca="1">IFERROR(__xludf.DUMMYFUNCTION("SUM(IMPORTRANGE(""https://docs.google.com/spreadsheets/d/1wMeol_MpSIcocGxt3WZGl46mJ2tc80mANPvP_YzaP18/edit"",""20!Q2:Q29""))"),4147.816)</f>
        <v>4147.8159999999998</v>
      </c>
      <c r="G529" s="18">
        <f ca="1">IFERROR(__xludf.DUMMYFUNCTION("IMPORTRANGE(""https://docs.google.com/spreadsheets/d/1wMeol_MpSIcocGxt3WZGl46mJ2tc80mANPvP_YzaP18/edit"",""20!e36"")"),816)</f>
        <v>816</v>
      </c>
      <c r="H529" s="18">
        <f ca="1">IFERROR(__xludf.DUMMYFUNCTION("(IMPORTRANGE(""https://docs.google.com/spreadsheets/d/1wMeol_MpSIcocGxt3WZGl46mJ2tc80mANPvP_YzaP18/edit"",""20!e37""))"),0)</f>
        <v>0</v>
      </c>
      <c r="I529" s="18">
        <f t="shared" ca="1" si="1437"/>
        <v>816</v>
      </c>
      <c r="J529" s="18">
        <f ca="1">IFERROR(__xludf.DUMMYFUNCTION("IMPORTRANGE(""https://docs.google.com/spreadsheets/d/1wMeol_MpSIcocGxt3WZGl46mJ2tc80mANPvP_YzaP18/edit"",""20!e40"")"),1540)</f>
        <v>1540</v>
      </c>
      <c r="K529" s="18">
        <f ca="1">IFERROR(__xludf.DUMMYFUNCTION("IMPORTRANGE(""https://docs.google.com/spreadsheets/d/1wMeol_MpSIcocGxt3WZGl46mJ2tc80mANPvP_YzaP18/edit"",""20!e41"")"),0)</f>
        <v>0</v>
      </c>
      <c r="L529" s="18">
        <f t="shared" ca="1" si="1467"/>
        <v>1540</v>
      </c>
      <c r="M529" s="18">
        <f t="shared" ca="1" si="1439"/>
        <v>2356</v>
      </c>
      <c r="N529" s="19">
        <f t="shared" ca="1" si="1440"/>
        <v>197.51504761904761</v>
      </c>
      <c r="O529" s="16">
        <v>3569</v>
      </c>
      <c r="P529" s="20">
        <f t="shared" ca="1" si="1441"/>
        <v>0.66012888764359767</v>
      </c>
      <c r="Q529" s="21">
        <v>1.5</v>
      </c>
      <c r="R529" s="20">
        <f t="shared" ca="1" si="1442"/>
        <v>0.37867317804518491</v>
      </c>
      <c r="S529" s="22">
        <f t="shared" ca="1" si="1443"/>
        <v>0.56800976706777739</v>
      </c>
      <c r="T529" s="21">
        <f ca="1">F529/21.463</f>
        <v>193.25425150258582</v>
      </c>
      <c r="U529" s="21">
        <f t="shared" ca="1" si="1444"/>
        <v>9.2025834048850381</v>
      </c>
      <c r="V529" s="18">
        <f t="shared" ca="1" si="1445"/>
        <v>112.19047619047619</v>
      </c>
      <c r="W529" s="76"/>
      <c r="X529" s="8">
        <v>5</v>
      </c>
      <c r="Y529" s="8" t="s">
        <v>40</v>
      </c>
      <c r="Z529" s="8">
        <f t="shared" ref="Z529:AI529" si="1472">SUM(D533)</f>
        <v>23</v>
      </c>
      <c r="AA529" s="9">
        <f t="shared" ca="1" si="1472"/>
        <v>22</v>
      </c>
      <c r="AB529" s="10">
        <f t="shared" ca="1" si="1472"/>
        <v>4323.3360000000002</v>
      </c>
      <c r="AC529" s="9">
        <f t="shared" ca="1" si="1472"/>
        <v>2133</v>
      </c>
      <c r="AD529" s="9">
        <f t="shared" ca="1" si="1472"/>
        <v>30</v>
      </c>
      <c r="AE529" s="9">
        <f t="shared" ca="1" si="1472"/>
        <v>2163</v>
      </c>
      <c r="AF529" s="9">
        <f t="shared" ca="1" si="1472"/>
        <v>2746</v>
      </c>
      <c r="AG529" s="9">
        <f t="shared" ca="1" si="1472"/>
        <v>22</v>
      </c>
      <c r="AH529" s="9">
        <f t="shared" ca="1" si="1472"/>
        <v>2768</v>
      </c>
      <c r="AI529" s="9">
        <f t="shared" ca="1" si="1472"/>
        <v>4931</v>
      </c>
      <c r="AJ529" s="11">
        <f t="shared" ca="1" si="1457"/>
        <v>196.51527272727273</v>
      </c>
      <c r="AK529" s="8">
        <f t="shared" ref="AK529:AK530" si="1473">SUM(O533)</f>
        <v>8239</v>
      </c>
      <c r="AL529" s="12">
        <f t="shared" ca="1" si="1459"/>
        <v>0.59849496298094429</v>
      </c>
      <c r="AM529" s="13">
        <f t="shared" ref="AM529:AM530" si="1474">SUM(Q533)</f>
        <v>1.5</v>
      </c>
      <c r="AN529" s="12">
        <f t="shared" ca="1" si="1461"/>
        <v>0.7603696158090264</v>
      </c>
      <c r="AO529" s="14">
        <f t="shared" ca="1" si="1462"/>
        <v>1.1405544237135397</v>
      </c>
      <c r="AP529" s="13">
        <f t="shared" ref="AP529:AQ529" ca="1" si="1475">SUM(T533)</f>
        <v>152</v>
      </c>
      <c r="AQ529" s="13">
        <f t="shared" ca="1" si="1475"/>
        <v>6.9090909090909092</v>
      </c>
      <c r="AR529" s="9">
        <f t="shared" ca="1" si="1464"/>
        <v>224.13636363636363</v>
      </c>
      <c r="AS529" s="76"/>
      <c r="AT529" s="76"/>
    </row>
    <row r="530" spans="1:46" ht="15.75" customHeight="1" x14ac:dyDescent="0.25">
      <c r="A530" s="70"/>
      <c r="B530" s="16">
        <v>12</v>
      </c>
      <c r="C530" s="16" t="s">
        <v>41</v>
      </c>
      <c r="D530" s="17">
        <v>19</v>
      </c>
      <c r="E530" s="18">
        <f ca="1">IFERROR(__xludf.DUMMYFUNCTION("COUNT(IMPORTRANGE(""https://docs.google.com/spreadsheets/d/1sHk6_yuc4kORC_xnhEeazoemV_hVUQVqRpfoNae-PLk/edit"",""20!d2:d25""))"),19)</f>
        <v>19</v>
      </c>
      <c r="F530" s="23">
        <f ca="1">IFERROR(__xludf.DUMMYFUNCTION("SUM(IMPORTRANGE(""https://docs.google.com/spreadsheets/d/1sHk6_yuc4kORC_xnhEeazoemV_hVUQVqRpfoNae-PLk/edit"",""20!Q2:Q25""))"),3802.26)</f>
        <v>3802.26</v>
      </c>
      <c r="G530" s="18">
        <f ca="1">IFERROR(__xludf.DUMMYFUNCTION("IMPORTRANGE(""https://docs.google.com/spreadsheets/d/1sHk6_yuc4kORC_xnhEeazoemV_hVUQVqRpfoNae-PLk/edit"",""20!e32"")"),785)</f>
        <v>785</v>
      </c>
      <c r="H530" s="18">
        <f ca="1">IFERROR(__xludf.DUMMYFUNCTION("IMPORTRANGE(""https://docs.google.com/spreadsheets/d/1sHk6_yuc4kORC_xnhEeazoemV_hVUQVqRpfoNae-PLk/edit"",""20!e33"")"),0)</f>
        <v>0</v>
      </c>
      <c r="I530" s="18">
        <f t="shared" ca="1" si="1437"/>
        <v>785</v>
      </c>
      <c r="J530" s="18">
        <f ca="1">IFERROR(__xludf.DUMMYFUNCTION("IMPORTRANGE(""https://docs.google.com/spreadsheets/d/1sHk6_yuc4kORC_xnhEeazoemV_hVUQVqRpfoNae-PLk/edit"",""20!e36"")"),1137)</f>
        <v>1137</v>
      </c>
      <c r="K530" s="18">
        <f ca="1">IFERROR(__xludf.DUMMYFUNCTION("IMPORTRANGE(""https://docs.google.com/spreadsheets/d/1sHk6_yuc4kORC_xnhEeazoemV_hVUQVqRpfoNae-PLk/edit"",""20!e37"")"),0)</f>
        <v>0</v>
      </c>
      <c r="L530" s="18">
        <f t="shared" ca="1" si="1467"/>
        <v>1137</v>
      </c>
      <c r="M530" s="18">
        <f t="shared" ca="1" si="1439"/>
        <v>1922</v>
      </c>
      <c r="N530" s="19">
        <f t="shared" ca="1" si="1440"/>
        <v>200.11894736842106</v>
      </c>
      <c r="O530" s="16">
        <v>3801</v>
      </c>
      <c r="P530" s="20">
        <f t="shared" ca="1" si="1441"/>
        <v>0.50565640620889241</v>
      </c>
      <c r="Q530" s="21">
        <v>1.5</v>
      </c>
      <c r="R530" s="20">
        <f t="shared" ca="1" si="1442"/>
        <v>0.33699256056485699</v>
      </c>
      <c r="S530" s="22">
        <f t="shared" ca="1" si="1443"/>
        <v>0.50548884084728551</v>
      </c>
      <c r="T530" s="21">
        <f ca="1">F530/29.628</f>
        <v>128.33333333333334</v>
      </c>
      <c r="U530" s="21">
        <f t="shared" ca="1" si="1444"/>
        <v>6.7543859649122808</v>
      </c>
      <c r="V530" s="18">
        <f t="shared" ca="1" si="1445"/>
        <v>101.15789473684211</v>
      </c>
      <c r="W530" s="76"/>
      <c r="X530" s="8">
        <v>6</v>
      </c>
      <c r="Y530" s="8" t="s">
        <v>42</v>
      </c>
      <c r="Z530" s="8">
        <f t="shared" ref="Z530:AI530" si="1476">SUM(D534)</f>
        <v>24</v>
      </c>
      <c r="AA530" s="9">
        <f t="shared" ca="1" si="1476"/>
        <v>24</v>
      </c>
      <c r="AB530" s="10">
        <f t="shared" ca="1" si="1476"/>
        <v>4586.3559999999898</v>
      </c>
      <c r="AC530" s="9">
        <f t="shared" ca="1" si="1476"/>
        <v>2257</v>
      </c>
      <c r="AD530" s="9">
        <f t="shared" ca="1" si="1476"/>
        <v>0</v>
      </c>
      <c r="AE530" s="9">
        <f t="shared" ca="1" si="1476"/>
        <v>2257</v>
      </c>
      <c r="AF530" s="9">
        <f t="shared" ca="1" si="1476"/>
        <v>2922</v>
      </c>
      <c r="AG530" s="9">
        <f t="shared" ca="1" si="1476"/>
        <v>0</v>
      </c>
      <c r="AH530" s="9">
        <f t="shared" ca="1" si="1476"/>
        <v>2922</v>
      </c>
      <c r="AI530" s="9">
        <f t="shared" ca="1" si="1476"/>
        <v>5179</v>
      </c>
      <c r="AJ530" s="11">
        <f t="shared" ca="1" si="1457"/>
        <v>191.09816666666623</v>
      </c>
      <c r="AK530" s="8">
        <f t="shared" si="1473"/>
        <v>9877</v>
      </c>
      <c r="AL530" s="12">
        <f t="shared" ca="1" si="1459"/>
        <v>0.52434949883567883</v>
      </c>
      <c r="AM530" s="13">
        <f t="shared" si="1474"/>
        <v>1.5</v>
      </c>
      <c r="AN530" s="12">
        <f t="shared" ca="1" si="1461"/>
        <v>0.75281261783138387</v>
      </c>
      <c r="AO530" s="14">
        <f t="shared" ca="1" si="1462"/>
        <v>1.1292189267470758</v>
      </c>
      <c r="AP530" s="13">
        <f t="shared" ref="AP530:AQ530" ca="1" si="1477">SUM(T534)</f>
        <v>175.35293442936302</v>
      </c>
      <c r="AQ530" s="13">
        <f t="shared" ca="1" si="1477"/>
        <v>7.3063722678901257</v>
      </c>
      <c r="AR530" s="9">
        <f t="shared" ca="1" si="1464"/>
        <v>215.79166666666666</v>
      </c>
      <c r="AS530" s="76"/>
      <c r="AT530" s="76"/>
    </row>
    <row r="531" spans="1:46" ht="15.75" customHeight="1" x14ac:dyDescent="0.25">
      <c r="A531" s="70"/>
      <c r="B531" s="16">
        <v>13</v>
      </c>
      <c r="C531" s="16" t="s">
        <v>43</v>
      </c>
      <c r="D531" s="17">
        <v>23</v>
      </c>
      <c r="E531" s="18">
        <f ca="1">IFERROR(__xludf.DUMMYFUNCTION("COUNT(IMPORTRANGE(""https://docs.google.com/spreadsheets/d/1uGXvAN2jA6kmcEHUY4KqOHHewllZsujDdA6KVDfBCoA/edit"",""20!d2:d31""))"),23)</f>
        <v>23</v>
      </c>
      <c r="F531" s="23">
        <f ca="1">IFERROR(__xludf.DUMMYFUNCTION("SUM(IMPORTRANGE(""https://docs.google.com/spreadsheets/d/1uGXvAN2jA6kmcEHUY4KqOHHewllZsujDdA6KVDfBCoA/edit"",""20!Q2:Q31""))"),4573.755)</f>
        <v>4573.7550000000001</v>
      </c>
      <c r="G531" s="18">
        <f ca="1">IFERROR(__xludf.DUMMYFUNCTION("IMPORTRANGE(""https://docs.google.com/spreadsheets/d/1uGXvAN2jA6kmcEHUY4KqOHHewllZsujDdA6KVDfBCoA/edit"",""20!e38"")"),1146)</f>
        <v>1146</v>
      </c>
      <c r="H531" s="18">
        <f ca="1">IFERROR(__xludf.DUMMYFUNCTION("IMPORTRANGE(""https://docs.google.com/spreadsheets/d/1uGXvAN2jA6kmcEHUY4KqOHHewllZsujDdA6KVDfBCoA/edit"",""20!e39"")"),0)</f>
        <v>0</v>
      </c>
      <c r="I531" s="18">
        <f t="shared" ca="1" si="1437"/>
        <v>1146</v>
      </c>
      <c r="J531" s="18">
        <f ca="1">IFERROR(__xludf.DUMMYFUNCTION("IMPORTRANGE(""https://docs.google.com/spreadsheets/d/1uGXvAN2jA6kmcEHUY4KqOHHewllZsujDdA6KVDfBCoA/edit"",""20!e42"")"),2266)</f>
        <v>2266</v>
      </c>
      <c r="K531" s="18">
        <f ca="1">IFERROR(__xludf.DUMMYFUNCTION("IMPORTRANGE(""https://docs.google.com/spreadsheets/d/1uGXvAN2jA6kmcEHUY4KqOHHewllZsujDdA6KVDfBCoA/edit"",""20!e43"")"),101)</f>
        <v>101</v>
      </c>
      <c r="L531" s="18">
        <f t="shared" ca="1" si="1467"/>
        <v>2367</v>
      </c>
      <c r="M531" s="18">
        <f t="shared" ca="1" si="1439"/>
        <v>3513</v>
      </c>
      <c r="N531" s="19">
        <f t="shared" ca="1" si="1440"/>
        <v>198.85891304347825</v>
      </c>
      <c r="O531" s="16">
        <v>8345</v>
      </c>
      <c r="P531" s="20">
        <f t="shared" ca="1" si="1441"/>
        <v>0.42097064110245658</v>
      </c>
      <c r="Q531" s="21">
        <v>1.5</v>
      </c>
      <c r="R531" s="20">
        <f t="shared" ca="1" si="1442"/>
        <v>0.51205191358085422</v>
      </c>
      <c r="S531" s="22">
        <f t="shared" ca="1" si="1443"/>
        <v>0.76807787037128139</v>
      </c>
      <c r="T531" s="21">
        <f ca="1">F531/41.205</f>
        <v>111.00000000000001</v>
      </c>
      <c r="U531" s="21">
        <f t="shared" ca="1" si="1444"/>
        <v>4.8260869565217401</v>
      </c>
      <c r="V531" s="18">
        <f t="shared" ca="1" si="1445"/>
        <v>152.7391304347826</v>
      </c>
      <c r="W531" s="76"/>
      <c r="X531" s="24" t="s">
        <v>33</v>
      </c>
      <c r="Y531" s="24">
        <v>6</v>
      </c>
      <c r="Z531" s="24">
        <f t="shared" ref="Z531:AI531" si="1478">SUM(Z525:Z530)</f>
        <v>169</v>
      </c>
      <c r="AA531" s="25">
        <f t="shared" ca="1" si="1478"/>
        <v>164</v>
      </c>
      <c r="AB531" s="27">
        <f t="shared" ca="1" si="1478"/>
        <v>31731.054999999982</v>
      </c>
      <c r="AC531" s="25">
        <f t="shared" ca="1" si="1478"/>
        <v>10959</v>
      </c>
      <c r="AD531" s="25">
        <f t="shared" ca="1" si="1478"/>
        <v>30</v>
      </c>
      <c r="AE531" s="25">
        <f t="shared" ca="1" si="1478"/>
        <v>10989</v>
      </c>
      <c r="AF531" s="25">
        <f t="shared" ca="1" si="1478"/>
        <v>15619</v>
      </c>
      <c r="AG531" s="25">
        <f t="shared" ca="1" si="1478"/>
        <v>229</v>
      </c>
      <c r="AH531" s="25">
        <f t="shared" ca="1" si="1478"/>
        <v>15848</v>
      </c>
      <c r="AI531" s="25">
        <f t="shared" ca="1" si="1478"/>
        <v>26837</v>
      </c>
      <c r="AJ531" s="27">
        <f t="shared" ca="1" si="1457"/>
        <v>193.48204268292673</v>
      </c>
      <c r="AK531" s="24">
        <f>SUM(AK525:AK530)</f>
        <v>53273</v>
      </c>
      <c r="AL531" s="28">
        <f t="shared" ca="1" si="1459"/>
        <v>0.50376363260938939</v>
      </c>
      <c r="AM531" s="29">
        <v>1.5</v>
      </c>
      <c r="AN531" s="28">
        <f t="shared" ca="1" si="1461"/>
        <v>0.5638430028038256</v>
      </c>
      <c r="AO531" s="30">
        <f t="shared" ca="1" si="1462"/>
        <v>0.84576450420573834</v>
      </c>
      <c r="AP531" s="29">
        <f ca="1">SUM(AP525:AP530)</f>
        <v>1041.1225283850097</v>
      </c>
      <c r="AQ531" s="29">
        <f ca="1">AP531/AA531</f>
        <v>6.3483080999085955</v>
      </c>
      <c r="AR531" s="25">
        <f t="shared" ca="1" si="1464"/>
        <v>163.64024390243901</v>
      </c>
      <c r="AS531" s="76"/>
      <c r="AT531" s="76"/>
    </row>
    <row r="532" spans="1:46" ht="15.75" customHeight="1" x14ac:dyDescent="0.25">
      <c r="A532" s="70"/>
      <c r="B532" s="16">
        <v>14</v>
      </c>
      <c r="C532" s="16" t="s">
        <v>27</v>
      </c>
      <c r="D532" s="17">
        <v>23</v>
      </c>
      <c r="E532" s="18">
        <f ca="1">IFERROR(__xludf.DUMMYFUNCTION("COUNT(IMPORTRANGE(""https://docs.google.com/spreadsheets/d/1iYtf3wkjJIgOL8ej0-L89wY8FLXKi6EiRbi9UqA1Bzw/edit"",""20!d2:d31""))"),22)</f>
        <v>22</v>
      </c>
      <c r="F532" s="23">
        <f ca="1">IFERROR(__xludf.DUMMYFUNCTION("SUM(IMPORTRANGE(""https://docs.google.com/spreadsheets/d/1iYtf3wkjJIgOL8ej0-L89wY8FLXKi6EiRbi9UqA1Bzw/edit"",""20!Q2:Q31""))"),4386.56999999999)</f>
        <v>4386.5699999999897</v>
      </c>
      <c r="G532" s="18">
        <f ca="1">IFERROR(__xludf.DUMMYFUNCTION("IMPORTRANGE(""https://docs.google.com/spreadsheets/d/1iYtf3wkjJIgOL8ej0-L89wY8FLXKi6EiRbi9UqA1Bzw/edit"",""20!e38"")"),1474)</f>
        <v>1474</v>
      </c>
      <c r="H532" s="18">
        <f ca="1">IFERROR(__xludf.DUMMYFUNCTION("IMPORTRANGE(""https://docs.google.com/spreadsheets/d/1iYtf3wkjJIgOL8ej0-L89wY8FLXKi6EiRbi9UqA1Bzw/edit"",""20!e39"")"),162)</f>
        <v>162</v>
      </c>
      <c r="I532" s="18">
        <f t="shared" ca="1" si="1437"/>
        <v>1636</v>
      </c>
      <c r="J532" s="18">
        <f ca="1">IFERROR(__xludf.DUMMYFUNCTION("IMPORTRANGE(""https://docs.google.com/spreadsheets/d/1iYtf3wkjJIgOL8ej0-L89wY8FLXKi6EiRbi9UqA1Bzw/edit"",""20!e42"")"),2009)</f>
        <v>2009</v>
      </c>
      <c r="K532" s="18">
        <f ca="1">IFERROR(__xludf.DUMMYFUNCTION("IMPORTRANGE(""https://docs.google.com/spreadsheets/d/1iYtf3wkjJIgOL8ej0-L89wY8FLXKi6EiRbi9UqA1Bzw/edit"",""20!e43"")"),157)</f>
        <v>157</v>
      </c>
      <c r="L532" s="18">
        <f t="shared" ca="1" si="1467"/>
        <v>2166</v>
      </c>
      <c r="M532" s="18">
        <f t="shared" ca="1" si="1439"/>
        <v>3802</v>
      </c>
      <c r="N532" s="19">
        <f t="shared" ca="1" si="1440"/>
        <v>199.38954545454499</v>
      </c>
      <c r="O532" s="16">
        <v>8101</v>
      </c>
      <c r="P532" s="20">
        <f t="shared" ca="1" si="1441"/>
        <v>0.46932477471917045</v>
      </c>
      <c r="Q532" s="21">
        <v>1.5</v>
      </c>
      <c r="R532" s="20">
        <f t="shared" ca="1" si="1442"/>
        <v>0.57782428336186875</v>
      </c>
      <c r="S532" s="22">
        <f t="shared" ca="1" si="1443"/>
        <v>0.86673642504280313</v>
      </c>
      <c r="T532" s="21">
        <f ca="1">F532/19.985</f>
        <v>219.4931198398794</v>
      </c>
      <c r="U532" s="21">
        <f t="shared" ca="1" si="1444"/>
        <v>9.97695999272179</v>
      </c>
      <c r="V532" s="18">
        <f t="shared" ca="1" si="1445"/>
        <v>172.81818181818181</v>
      </c>
      <c r="W532" s="76"/>
      <c r="X532" s="97" t="s">
        <v>44</v>
      </c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9"/>
      <c r="AS532" s="76"/>
      <c r="AT532" s="76"/>
    </row>
    <row r="533" spans="1:46" ht="15.75" customHeight="1" x14ac:dyDescent="0.25">
      <c r="A533" s="70"/>
      <c r="B533" s="16">
        <v>15</v>
      </c>
      <c r="C533" s="16" t="s">
        <v>40</v>
      </c>
      <c r="D533" s="17">
        <v>23</v>
      </c>
      <c r="E533" s="18">
        <f ca="1">IFERROR(__xludf.DUMMYFUNCTION("COUNT(IMPORTRANGE(""https://docs.google.com/spreadsheets/d/1Wdf8MsoDBzMSsrzOXwaGQzbVjVqOWfKSqYmbncevZgA/edit"",""20!d2:d31""))"),22)</f>
        <v>22</v>
      </c>
      <c r="F533" s="23">
        <f ca="1">IFERROR(__xludf.DUMMYFUNCTION("SUM(IMPORTRANGE(""https://docs.google.com/spreadsheets/d/1Wdf8MsoDBzMSsrzOXwaGQzbVjVqOWfKSqYmbncevZgA/edit"",""20!Q2:Q31""))"),4323.336)</f>
        <v>4323.3360000000002</v>
      </c>
      <c r="G533" s="18">
        <f ca="1">IFERROR(__xludf.DUMMYFUNCTION("IMPORTRANGE(""https://docs.google.com/spreadsheets/d/1Wdf8MsoDBzMSsrzOXwaGQzbVjVqOWfKSqYmbncevZgA/edit"",""20!e38"")"),2133)</f>
        <v>2133</v>
      </c>
      <c r="H533" s="18">
        <f ca="1">IFERROR(__xludf.DUMMYFUNCTION("IMPORTRANGE(""https://docs.google.com/spreadsheets/d/1Wdf8MsoDBzMSsrzOXwaGQzbVjVqOWfKSqYmbncevZgA/edit"",""20!e39"")"),30)</f>
        <v>30</v>
      </c>
      <c r="I533" s="18">
        <f t="shared" ca="1" si="1437"/>
        <v>2163</v>
      </c>
      <c r="J533" s="18">
        <f ca="1">IFERROR(__xludf.DUMMYFUNCTION("IMPORTRANGE(""https://docs.google.com/spreadsheets/d/1Wdf8MsoDBzMSsrzOXwaGQzbVjVqOWfKSqYmbncevZgA/edit"",""20!e42"")"),2746)</f>
        <v>2746</v>
      </c>
      <c r="K533" s="18">
        <f ca="1">IFERROR(__xludf.DUMMYFUNCTION("IMPORTRANGE(""https://docs.google.com/spreadsheets/d/1Wdf8MsoDBzMSsrzOXwaGQzbVjVqOWfKSqYmbncevZgA/edit"",""20!e43"")"),22)</f>
        <v>22</v>
      </c>
      <c r="L533" s="18">
        <f t="shared" ca="1" si="1467"/>
        <v>2768</v>
      </c>
      <c r="M533" s="18">
        <f t="shared" ca="1" si="1439"/>
        <v>4931</v>
      </c>
      <c r="N533" s="19">
        <f t="shared" ca="1" si="1440"/>
        <v>196.51527272727273</v>
      </c>
      <c r="O533" s="16">
        <v>8239</v>
      </c>
      <c r="P533" s="20">
        <f t="shared" ca="1" si="1441"/>
        <v>0.59849496298094429</v>
      </c>
      <c r="Q533" s="21">
        <v>1.5</v>
      </c>
      <c r="R533" s="20">
        <f t="shared" ca="1" si="1442"/>
        <v>0.7603696158090264</v>
      </c>
      <c r="S533" s="22">
        <f t="shared" ca="1" si="1443"/>
        <v>1.1405544237135397</v>
      </c>
      <c r="T533" s="21">
        <f ca="1">F533/28.443</f>
        <v>152</v>
      </c>
      <c r="U533" s="21">
        <f t="shared" ca="1" si="1444"/>
        <v>6.9090909090909092</v>
      </c>
      <c r="V533" s="18">
        <f t="shared" ca="1" si="1445"/>
        <v>224.13636363636363</v>
      </c>
      <c r="W533" s="76"/>
      <c r="X533" s="1" t="s">
        <v>2</v>
      </c>
      <c r="Y533" s="1" t="s">
        <v>3</v>
      </c>
      <c r="Z533" s="1" t="s">
        <v>4</v>
      </c>
      <c r="AA533" s="1" t="s">
        <v>5</v>
      </c>
      <c r="AB533" s="2" t="s">
        <v>6</v>
      </c>
      <c r="AC533" s="1" t="s">
        <v>7</v>
      </c>
      <c r="AD533" s="1" t="s">
        <v>8</v>
      </c>
      <c r="AE533" s="1" t="s">
        <v>9</v>
      </c>
      <c r="AF533" s="1" t="s">
        <v>10</v>
      </c>
      <c r="AG533" s="1" t="s">
        <v>11</v>
      </c>
      <c r="AH533" s="1" t="s">
        <v>12</v>
      </c>
      <c r="AI533" s="1" t="s">
        <v>13</v>
      </c>
      <c r="AJ533" s="2" t="s">
        <v>14</v>
      </c>
      <c r="AK533" s="1" t="s">
        <v>15</v>
      </c>
      <c r="AL533" s="1" t="s">
        <v>16</v>
      </c>
      <c r="AM533" s="3" t="s">
        <v>17</v>
      </c>
      <c r="AN533" s="4" t="s">
        <v>18</v>
      </c>
      <c r="AO533" s="5" t="s">
        <v>19</v>
      </c>
      <c r="AP533" s="6" t="s">
        <v>20</v>
      </c>
      <c r="AQ533" s="6" t="s">
        <v>21</v>
      </c>
      <c r="AR533" s="7" t="s">
        <v>22</v>
      </c>
      <c r="AS533" s="76"/>
      <c r="AT533" s="76"/>
    </row>
    <row r="534" spans="1:46" ht="15.75" customHeight="1" x14ac:dyDescent="0.25">
      <c r="A534" s="70"/>
      <c r="B534" s="16">
        <v>16</v>
      </c>
      <c r="C534" s="16" t="s">
        <v>42</v>
      </c>
      <c r="D534" s="17">
        <v>24</v>
      </c>
      <c r="E534" s="18">
        <f ca="1">IFERROR(__xludf.DUMMYFUNCTION("COUNT(IMPORTRANGE(""https://docs.google.com/spreadsheets/d/1Z5uB5HbeAKcHmG4EOw3rf2J8NpyvDiha6RReERAMvA0/edit"",""20!d2:d34""))"),24)</f>
        <v>24</v>
      </c>
      <c r="F534" s="23">
        <f ca="1">IFERROR(__xludf.DUMMYFUNCTION("SUM(IMPORTRANGE(""https://docs.google.com/spreadsheets/d/1Z5uB5HbeAKcHmG4EOw3rf2J8NpyvDiha6RReERAMvA0/edit"",""20!Q2:Q34""))"),4586.35599999999)</f>
        <v>4586.3559999999898</v>
      </c>
      <c r="G534" s="18">
        <f ca="1">IFERROR(__xludf.DUMMYFUNCTION("IMPORTRANGE(""https://docs.google.com/spreadsheets/d/1Z5uB5HbeAKcHmG4EOw3rf2J8NpyvDiha6RReERAMvA0/edit"",""20!e41"")"),2257)</f>
        <v>2257</v>
      </c>
      <c r="H534" s="18">
        <f ca="1">IFERROR(__xludf.DUMMYFUNCTION("IMPORTRANGE(""https://docs.google.com/spreadsheets/d/1Z5uB5HbeAKcHmG4EOw3rf2J8NpyvDiha6RReERAMvA0/edit"",""20!e42"")"),0)</f>
        <v>0</v>
      </c>
      <c r="I534" s="18">
        <f t="shared" ca="1" si="1437"/>
        <v>2257</v>
      </c>
      <c r="J534" s="18">
        <f ca="1">IFERROR(__xludf.DUMMYFUNCTION("IMPORTRANGE(""https://docs.google.com/spreadsheets/d/1Z5uB5HbeAKcHmG4EOw3rf2J8NpyvDiha6RReERAMvA0/edit"",""20!e45"")"),2922)</f>
        <v>2922</v>
      </c>
      <c r="K534" s="18">
        <f ca="1">IFERROR(__xludf.DUMMYFUNCTION("IMPORTRANGE(""https://docs.google.com/spreadsheets/d/1Z5uB5HbeAKcHmG4EOw3rf2J8NpyvDiha6RReERAMvA0/edit"",""20!e46"")"),0)</f>
        <v>0</v>
      </c>
      <c r="L534" s="18">
        <f t="shared" ca="1" si="1467"/>
        <v>2922</v>
      </c>
      <c r="M534" s="18">
        <f t="shared" ca="1" si="1439"/>
        <v>5179</v>
      </c>
      <c r="N534" s="19">
        <f t="shared" ca="1" si="1440"/>
        <v>191.09816666666623</v>
      </c>
      <c r="O534" s="16">
        <v>9877</v>
      </c>
      <c r="P534" s="20">
        <f t="shared" ca="1" si="1441"/>
        <v>0.52434949883567883</v>
      </c>
      <c r="Q534" s="21">
        <v>1.5</v>
      </c>
      <c r="R534" s="20">
        <f t="shared" ca="1" si="1442"/>
        <v>0.75281261783138387</v>
      </c>
      <c r="S534" s="22">
        <f t="shared" ca="1" si="1443"/>
        <v>1.1292189267470758</v>
      </c>
      <c r="T534" s="21">
        <f ca="1">F534/26.155</f>
        <v>175.35293442936302</v>
      </c>
      <c r="U534" s="21">
        <f t="shared" ca="1" si="1444"/>
        <v>7.3063722678901257</v>
      </c>
      <c r="V534" s="18">
        <f t="shared" ca="1" si="1445"/>
        <v>215.79166666666666</v>
      </c>
      <c r="W534" s="76"/>
      <c r="X534" s="8">
        <v>1</v>
      </c>
      <c r="Y534" s="8" t="s">
        <v>26</v>
      </c>
      <c r="Z534" s="8">
        <f t="shared" ref="Z534:AI534" si="1479">SUM(D519)</f>
        <v>15</v>
      </c>
      <c r="AA534" s="9">
        <f t="shared" ca="1" si="1479"/>
        <v>15</v>
      </c>
      <c r="AB534" s="11">
        <f t="shared" ca="1" si="1479"/>
        <v>2984.364</v>
      </c>
      <c r="AC534" s="9">
        <f t="shared" ca="1" si="1479"/>
        <v>1339</v>
      </c>
      <c r="AD534" s="9">
        <f t="shared" ca="1" si="1479"/>
        <v>0</v>
      </c>
      <c r="AE534" s="9">
        <f t="shared" ca="1" si="1479"/>
        <v>1339</v>
      </c>
      <c r="AF534" s="9">
        <f t="shared" ca="1" si="1479"/>
        <v>2174</v>
      </c>
      <c r="AG534" s="9">
        <f t="shared" ca="1" si="1479"/>
        <v>0</v>
      </c>
      <c r="AH534" s="9">
        <f t="shared" ca="1" si="1479"/>
        <v>2174</v>
      </c>
      <c r="AI534" s="9">
        <f t="shared" ca="1" si="1479"/>
        <v>3513</v>
      </c>
      <c r="AJ534" s="11">
        <f t="shared" ref="AJ534:AJ540" ca="1" si="1480">AB534/AA534</f>
        <v>198.95760000000001</v>
      </c>
      <c r="AK534" s="8">
        <f>SUM(O519)</f>
        <v>5161</v>
      </c>
      <c r="AL534" s="12">
        <f t="shared" ref="AL534:AL540" ca="1" si="1481">AI534/AK534</f>
        <v>0.68068203836465802</v>
      </c>
      <c r="AM534" s="13">
        <f>SUM(Q519)</f>
        <v>1.5</v>
      </c>
      <c r="AN534" s="12">
        <f t="shared" ref="AN534:AN540" ca="1" si="1482">AO534/AM534</f>
        <v>0.78475681920838081</v>
      </c>
      <c r="AO534" s="14">
        <f t="shared" ref="AO534:AO540" ca="1" si="1483">AI534/AB534</f>
        <v>1.1771352288125712</v>
      </c>
      <c r="AP534" s="13">
        <f t="shared" ref="AP534:AQ534" ca="1" si="1484">SUM(T519)</f>
        <v>207.03184183142562</v>
      </c>
      <c r="AQ534" s="13">
        <f t="shared" ca="1" si="1484"/>
        <v>13.802122788761709</v>
      </c>
      <c r="AR534" s="9">
        <f t="shared" ref="AR534:AR540" ca="1" si="1485">AI534/AA534</f>
        <v>234.2</v>
      </c>
      <c r="AS534" s="76"/>
      <c r="AT534" s="76"/>
    </row>
    <row r="535" spans="1:46" ht="15.75" customHeight="1" x14ac:dyDescent="0.25">
      <c r="A535" s="70"/>
      <c r="B535" s="16">
        <v>17</v>
      </c>
      <c r="C535" s="16" t="s">
        <v>29</v>
      </c>
      <c r="D535" s="17">
        <v>23</v>
      </c>
      <c r="E535" s="18">
        <f ca="1">IFERROR(__xludf.DUMMYFUNCTION("COUNT(IMPORTRANGE(""https://docs.google.com/spreadsheets/d/1wfJqI0e9wVPqEQv3N6b8KgINjqI0OBECEyIFeY9j3i8/edit"",""20!d2:d31""))"),23)</f>
        <v>23</v>
      </c>
      <c r="F535" s="23">
        <f ca="1">IFERROR(__xludf.DUMMYFUNCTION("SUM(IMPORTRANGE(""https://docs.google.com/spreadsheets/d/1wfJqI0e9wVPqEQv3N6b8KgINjqI0OBECEyIFeY9j3i8/edit"",""20!Q2:Q31""))"),4662.41599999999)</f>
        <v>4662.4159999999902</v>
      </c>
      <c r="G535" s="18">
        <f ca="1">IFERROR(__xludf.DUMMYFUNCTION("IMPORTRANGE(""https://docs.google.com/spreadsheets/d/1wfJqI0e9wVPqEQv3N6b8KgINjqI0OBECEyIFeY9j3i8/edit"",""20!e38"")"),1807)</f>
        <v>1807</v>
      </c>
      <c r="H535" s="18">
        <f ca="1">IFERROR(__xludf.DUMMYFUNCTION("IMPORTRANGE(""https://docs.google.com/spreadsheets/d/1wfJqI0e9wVPqEQv3N6b8KgINjqI0OBECEyIFeY9j3i8/edit"",""20!e39"")"),0)</f>
        <v>0</v>
      </c>
      <c r="I535" s="18">
        <f t="shared" ca="1" si="1437"/>
        <v>1807</v>
      </c>
      <c r="J535" s="18">
        <f ca="1">IFERROR(__xludf.DUMMYFUNCTION("IMPORTRANGE(""https://docs.google.com/spreadsheets/d/1wfJqI0e9wVPqEQv3N6b8KgINjqI0OBECEyIFeY9j3i8/edit"",""20!e42"")"),2557)</f>
        <v>2557</v>
      </c>
      <c r="K535" s="18">
        <f ca="1">IFERROR(__xludf.DUMMYFUNCTION("IMPORTRANGE(""https://docs.google.com/spreadsheets/d/1wfJqI0e9wVPqEQv3N6b8KgINjqI0OBECEyIFeY9j3i8/edit"",""20!e43"")"),0)</f>
        <v>0</v>
      </c>
      <c r="L535" s="18">
        <f t="shared" ca="1" si="1467"/>
        <v>2557</v>
      </c>
      <c r="M535" s="18">
        <f t="shared" ca="1" si="1439"/>
        <v>4364</v>
      </c>
      <c r="N535" s="19">
        <f t="shared" ca="1" si="1440"/>
        <v>202.71373913043436</v>
      </c>
      <c r="O535" s="16">
        <v>9201</v>
      </c>
      <c r="P535" s="20">
        <f t="shared" ca="1" si="1441"/>
        <v>0.47429627214433212</v>
      </c>
      <c r="Q535" s="21">
        <v>1.5</v>
      </c>
      <c r="R535" s="20">
        <f t="shared" ca="1" si="1442"/>
        <v>0.62399694350168222</v>
      </c>
      <c r="S535" s="22">
        <f t="shared" ca="1" si="1443"/>
        <v>0.93599541525252339</v>
      </c>
      <c r="T535" s="21">
        <f ca="1">F535/26.491</f>
        <v>175.99999999999963</v>
      </c>
      <c r="U535" s="21">
        <f t="shared" ca="1" si="1444"/>
        <v>7.6521739130434625</v>
      </c>
      <c r="V535" s="18">
        <f t="shared" ca="1" si="1445"/>
        <v>189.7391304347826</v>
      </c>
      <c r="W535" s="76"/>
      <c r="X535" s="8">
        <v>2</v>
      </c>
      <c r="Y535" s="8" t="s">
        <v>32</v>
      </c>
      <c r="Z535" s="8">
        <f t="shared" ref="Z535:AI535" si="1486">SUM(D522)</f>
        <v>32</v>
      </c>
      <c r="AA535" s="9">
        <f t="shared" ca="1" si="1486"/>
        <v>32</v>
      </c>
      <c r="AB535" s="10">
        <f t="shared" ca="1" si="1486"/>
        <v>6372.6059999999898</v>
      </c>
      <c r="AC535" s="8">
        <f t="shared" ca="1" si="1486"/>
        <v>3090</v>
      </c>
      <c r="AD535" s="8">
        <f t="shared" ca="1" si="1486"/>
        <v>0</v>
      </c>
      <c r="AE535" s="9">
        <f t="shared" ca="1" si="1486"/>
        <v>3090</v>
      </c>
      <c r="AF535" s="8">
        <f t="shared" ca="1" si="1486"/>
        <v>4037</v>
      </c>
      <c r="AG535" s="8">
        <f t="shared" ca="1" si="1486"/>
        <v>0</v>
      </c>
      <c r="AH535" s="9">
        <f t="shared" ca="1" si="1486"/>
        <v>4037</v>
      </c>
      <c r="AI535" s="9">
        <f t="shared" ca="1" si="1486"/>
        <v>7127</v>
      </c>
      <c r="AJ535" s="11">
        <f t="shared" ca="1" si="1480"/>
        <v>199.14393749999968</v>
      </c>
      <c r="AK535" s="8">
        <f>SUM(O522)</f>
        <v>13817</v>
      </c>
      <c r="AL535" s="12">
        <f t="shared" ca="1" si="1481"/>
        <v>0.51581385250054279</v>
      </c>
      <c r="AM535" s="13">
        <f>SUM(Q522)</f>
        <v>1.5</v>
      </c>
      <c r="AN535" s="12">
        <f t="shared" ca="1" si="1482"/>
        <v>0.74558717945740582</v>
      </c>
      <c r="AO535" s="14">
        <f t="shared" ca="1" si="1483"/>
        <v>1.1183807691861087</v>
      </c>
      <c r="AP535" s="13">
        <f t="shared" ref="AP535:AQ535" ca="1" si="1487">SUM(T522)</f>
        <v>253.9999999999996</v>
      </c>
      <c r="AQ535" s="13">
        <f t="shared" ca="1" si="1487"/>
        <v>7.9374999999999876</v>
      </c>
      <c r="AR535" s="9">
        <f t="shared" ca="1" si="1485"/>
        <v>222.71875</v>
      </c>
      <c r="AS535" s="76"/>
      <c r="AT535" s="76"/>
    </row>
    <row r="536" spans="1:46" ht="15.75" customHeight="1" x14ac:dyDescent="0.25">
      <c r="A536" s="70"/>
      <c r="B536" s="16">
        <v>18</v>
      </c>
      <c r="C536" s="16" t="s">
        <v>31</v>
      </c>
      <c r="D536" s="17">
        <v>11</v>
      </c>
      <c r="E536" s="18">
        <f ca="1">IFERROR(__xludf.DUMMYFUNCTION("COUNT(IMPORTRANGE(""https://docs.google.com/spreadsheets/d/1-y2KhTAo7d8kowgUuWUDfRQuRMUAFteRYEXorT3_wOs/edit"",""20!d2:d16""))"),10)</f>
        <v>10</v>
      </c>
      <c r="F536" s="19">
        <f ca="1">IFERROR(__xludf.DUMMYFUNCTION("SUM(IMPORTRANGE(""https://docs.google.com/spreadsheets/d/1-y2KhTAo7d8kowgUuWUDfRQuRMUAFteRYEXorT3_wOs/edit"",""20!Q2:Q16""))"),1868.995)</f>
        <v>1868.9949999999999</v>
      </c>
      <c r="G536" s="18">
        <f ca="1">IFERROR(__xludf.DUMMYFUNCTION("IMPORTRANGE(""https://docs.google.com/spreadsheets/d/1-y2KhTAo7d8kowgUuWUDfRQuRMUAFteRYEXorT3_wOs/edit"",""20!e23"")"),386)</f>
        <v>386</v>
      </c>
      <c r="H536" s="18">
        <f ca="1">IFERROR(__xludf.DUMMYFUNCTION("IMPORTRANGE(""https://docs.google.com/spreadsheets/d/1-y2KhTAo7d8kowgUuWUDfRQuRMUAFteRYEXorT3_wOs/edit"",""20!e24"")"),0)</f>
        <v>0</v>
      </c>
      <c r="I536" s="18">
        <f t="shared" ca="1" si="1437"/>
        <v>386</v>
      </c>
      <c r="J536" s="18">
        <f ca="1">IFERROR(__xludf.DUMMYFUNCTION("IMPORTRANGE(""https://docs.google.com/spreadsheets/d/1-y2KhTAo7d8kowgUuWUDfRQuRMUAFteRYEXorT3_wOs/edit"",""20!e27"")"),542)</f>
        <v>542</v>
      </c>
      <c r="K536" s="18">
        <f ca="1">IFERROR(__xludf.DUMMYFUNCTION("IMPORTRANGE(""https://docs.google.com/spreadsheets/d/1-y2KhTAo7d8kowgUuWUDfRQuRMUAFteRYEXorT3_wOs/edit"",""20!e28"")"),0)</f>
        <v>0</v>
      </c>
      <c r="L536" s="18">
        <f t="shared" ca="1" si="1467"/>
        <v>542</v>
      </c>
      <c r="M536" s="18">
        <f t="shared" ca="1" si="1439"/>
        <v>928</v>
      </c>
      <c r="N536" s="19">
        <f t="shared" ca="1" si="1440"/>
        <v>186.89949999999999</v>
      </c>
      <c r="O536" s="16">
        <v>2717</v>
      </c>
      <c r="P536" s="20">
        <f t="shared" ca="1" si="1441"/>
        <v>0.34155318365844684</v>
      </c>
      <c r="Q536" s="21">
        <v>1.5</v>
      </c>
      <c r="R536" s="20">
        <f t="shared" ca="1" si="1442"/>
        <v>0.33101568846715307</v>
      </c>
      <c r="S536" s="22">
        <f t="shared" ca="1" si="1443"/>
        <v>0.49652353270072958</v>
      </c>
      <c r="T536" s="21">
        <f ca="1">F536/43.465</f>
        <v>42.999999999999993</v>
      </c>
      <c r="U536" s="21">
        <f t="shared" ca="1" si="1444"/>
        <v>4.2999999999999989</v>
      </c>
      <c r="V536" s="18">
        <f t="shared" ca="1" si="1445"/>
        <v>92.8</v>
      </c>
      <c r="W536" s="76"/>
      <c r="X536" s="8">
        <v>3</v>
      </c>
      <c r="Y536" s="8" t="s">
        <v>36</v>
      </c>
      <c r="Z536" s="8">
        <f t="shared" ref="Z536:AI536" si="1488">SUM(D527)</f>
        <v>23</v>
      </c>
      <c r="AA536" s="9">
        <f t="shared" ca="1" si="1488"/>
        <v>23</v>
      </c>
      <c r="AB536" s="10">
        <f t="shared" ca="1" si="1488"/>
        <v>4354.741</v>
      </c>
      <c r="AC536" s="9">
        <f t="shared" ca="1" si="1488"/>
        <v>849</v>
      </c>
      <c r="AD536" s="9">
        <f t="shared" ca="1" si="1488"/>
        <v>0</v>
      </c>
      <c r="AE536" s="9">
        <f t="shared" ca="1" si="1488"/>
        <v>849</v>
      </c>
      <c r="AF536" s="9">
        <f t="shared" ca="1" si="1488"/>
        <v>1530</v>
      </c>
      <c r="AG536" s="9">
        <f t="shared" ca="1" si="1488"/>
        <v>0</v>
      </c>
      <c r="AH536" s="9">
        <f t="shared" ca="1" si="1488"/>
        <v>1530</v>
      </c>
      <c r="AI536" s="9">
        <f t="shared" ca="1" si="1488"/>
        <v>2379</v>
      </c>
      <c r="AJ536" s="11">
        <f t="shared" ca="1" si="1480"/>
        <v>189.3365652173913</v>
      </c>
      <c r="AK536" s="8">
        <f t="shared" ref="AK536:AK539" si="1489">SUM(O527)</f>
        <v>4796</v>
      </c>
      <c r="AL536" s="12">
        <f t="shared" ca="1" si="1481"/>
        <v>0.49603836530442036</v>
      </c>
      <c r="AM536" s="13">
        <f t="shared" ref="AM536:AM539" si="1490">SUM(Q527)</f>
        <v>1.5</v>
      </c>
      <c r="AN536" s="12">
        <f t="shared" ca="1" si="1482"/>
        <v>0.3642007641786274</v>
      </c>
      <c r="AO536" s="14">
        <f t="shared" ca="1" si="1483"/>
        <v>0.54630114626794113</v>
      </c>
      <c r="AP536" s="13">
        <f t="shared" ref="AP536:AQ536" ca="1" si="1491">SUM(T527)</f>
        <v>116.39335542844924</v>
      </c>
      <c r="AQ536" s="13">
        <f t="shared" ca="1" si="1491"/>
        <v>5.0605806708021408</v>
      </c>
      <c r="AR536" s="9">
        <f t="shared" ca="1" si="1485"/>
        <v>103.43478260869566</v>
      </c>
      <c r="AS536" s="76"/>
      <c r="AT536" s="76"/>
    </row>
    <row r="537" spans="1:46" ht="15.75" customHeight="1" x14ac:dyDescent="0.2">
      <c r="A537" s="70"/>
      <c r="B537" s="98" t="s">
        <v>33</v>
      </c>
      <c r="C537" s="98">
        <v>18</v>
      </c>
      <c r="D537" s="98">
        <f t="shared" ref="D537:M537" si="1492">SUM(D519:D536)</f>
        <v>446</v>
      </c>
      <c r="E537" s="74">
        <f t="shared" ca="1" si="1492"/>
        <v>438</v>
      </c>
      <c r="F537" s="99">
        <f t="shared" ca="1" si="1492"/>
        <v>85818.347999999911</v>
      </c>
      <c r="G537" s="74">
        <f t="shared" ca="1" si="1492"/>
        <v>25727</v>
      </c>
      <c r="H537" s="74">
        <f t="shared" ca="1" si="1492"/>
        <v>514</v>
      </c>
      <c r="I537" s="74">
        <f t="shared" ca="1" si="1492"/>
        <v>26241</v>
      </c>
      <c r="J537" s="74">
        <f t="shared" ca="1" si="1492"/>
        <v>38603</v>
      </c>
      <c r="K537" s="74">
        <f t="shared" ca="1" si="1492"/>
        <v>713</v>
      </c>
      <c r="L537" s="74">
        <f t="shared" ca="1" si="1492"/>
        <v>39316</v>
      </c>
      <c r="M537" s="74">
        <f t="shared" ca="1" si="1492"/>
        <v>65557</v>
      </c>
      <c r="N537" s="99">
        <f t="shared" ca="1" si="1440"/>
        <v>195.93230136986281</v>
      </c>
      <c r="O537" s="98">
        <f>SUM(O519:O536)</f>
        <v>126399</v>
      </c>
      <c r="P537" s="69">
        <f t="shared" ca="1" si="1441"/>
        <v>0.51865125515233501</v>
      </c>
      <c r="Q537" s="72">
        <v>1.5</v>
      </c>
      <c r="R537" s="69">
        <f t="shared" ca="1" si="1442"/>
        <v>0.50926949405582489</v>
      </c>
      <c r="S537" s="73">
        <f t="shared" ca="1" si="1443"/>
        <v>0.76390424108373733</v>
      </c>
      <c r="T537" s="72">
        <f ca="1">SUM(T519:T536)</f>
        <v>3179.2780057244763</v>
      </c>
      <c r="U537" s="72">
        <f t="shared" ca="1" si="1444"/>
        <v>7.258625583845836</v>
      </c>
      <c r="V537" s="74">
        <f t="shared" ca="1" si="1445"/>
        <v>149.67351598173516</v>
      </c>
      <c r="W537" s="76"/>
      <c r="X537" s="8">
        <v>4</v>
      </c>
      <c r="Y537" s="8" t="s">
        <v>37</v>
      </c>
      <c r="Z537" s="8">
        <f t="shared" ref="Z537:AI537" si="1493">SUM(D528)</f>
        <v>23</v>
      </c>
      <c r="AA537" s="9">
        <f t="shared" ca="1" si="1493"/>
        <v>22</v>
      </c>
      <c r="AB537" s="10">
        <f t="shared" ca="1" si="1493"/>
        <v>4509.5219999999999</v>
      </c>
      <c r="AC537" s="9">
        <f t="shared" ca="1" si="1493"/>
        <v>1054</v>
      </c>
      <c r="AD537" s="9">
        <f t="shared" ca="1" si="1493"/>
        <v>0</v>
      </c>
      <c r="AE537" s="9">
        <f t="shared" ca="1" si="1493"/>
        <v>1054</v>
      </c>
      <c r="AF537" s="9">
        <f t="shared" ca="1" si="1493"/>
        <v>2001</v>
      </c>
      <c r="AG537" s="9">
        <f t="shared" ca="1" si="1493"/>
        <v>0</v>
      </c>
      <c r="AH537" s="9">
        <f t="shared" ca="1" si="1493"/>
        <v>2001</v>
      </c>
      <c r="AI537" s="9">
        <f t="shared" ca="1" si="1493"/>
        <v>3055</v>
      </c>
      <c r="AJ537" s="11">
        <f t="shared" ca="1" si="1480"/>
        <v>204.97827272727272</v>
      </c>
      <c r="AK537" s="8">
        <f t="shared" si="1489"/>
        <v>5887</v>
      </c>
      <c r="AL537" s="12">
        <f t="shared" ca="1" si="1481"/>
        <v>0.51894003737047734</v>
      </c>
      <c r="AM537" s="13">
        <f t="shared" si="1490"/>
        <v>1.5</v>
      </c>
      <c r="AN537" s="12">
        <f t="shared" ca="1" si="1482"/>
        <v>0.45163692885114354</v>
      </c>
      <c r="AO537" s="14">
        <f t="shared" ca="1" si="1483"/>
        <v>0.67745539327671533</v>
      </c>
      <c r="AP537" s="13">
        <f t="shared" ref="AP537:AQ537" ca="1" si="1494">SUM(T528)</f>
        <v>181.89424007744432</v>
      </c>
      <c r="AQ537" s="13">
        <f t="shared" ca="1" si="1494"/>
        <v>8.2679200035201958</v>
      </c>
      <c r="AR537" s="9">
        <f t="shared" ca="1" si="1485"/>
        <v>138.86363636363637</v>
      </c>
      <c r="AS537" s="76"/>
      <c r="AT537" s="76"/>
    </row>
    <row r="538" spans="1:46" ht="15.75" customHeight="1" x14ac:dyDescent="0.2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6"/>
      <c r="X538" s="8">
        <v>5</v>
      </c>
      <c r="Y538" s="8" t="s">
        <v>39</v>
      </c>
      <c r="Z538" s="8">
        <f t="shared" ref="Z538:AI538" si="1495">SUM(D529)</f>
        <v>21</v>
      </c>
      <c r="AA538" s="9">
        <f t="shared" ca="1" si="1495"/>
        <v>21</v>
      </c>
      <c r="AB538" s="10">
        <f t="shared" ca="1" si="1495"/>
        <v>4147.8159999999998</v>
      </c>
      <c r="AC538" s="9">
        <f t="shared" ca="1" si="1495"/>
        <v>816</v>
      </c>
      <c r="AD538" s="9">
        <f t="shared" ca="1" si="1495"/>
        <v>0</v>
      </c>
      <c r="AE538" s="9">
        <f t="shared" ca="1" si="1495"/>
        <v>816</v>
      </c>
      <c r="AF538" s="9">
        <f t="shared" ca="1" si="1495"/>
        <v>1540</v>
      </c>
      <c r="AG538" s="9">
        <f t="shared" ca="1" si="1495"/>
        <v>0</v>
      </c>
      <c r="AH538" s="9">
        <f t="shared" ca="1" si="1495"/>
        <v>1540</v>
      </c>
      <c r="AI538" s="9">
        <f t="shared" ca="1" si="1495"/>
        <v>2356</v>
      </c>
      <c r="AJ538" s="11">
        <f t="shared" ca="1" si="1480"/>
        <v>197.51504761904761</v>
      </c>
      <c r="AK538" s="8">
        <f t="shared" si="1489"/>
        <v>3569</v>
      </c>
      <c r="AL538" s="12">
        <f t="shared" ca="1" si="1481"/>
        <v>0.66012888764359767</v>
      </c>
      <c r="AM538" s="13">
        <f t="shared" si="1490"/>
        <v>1.5</v>
      </c>
      <c r="AN538" s="12">
        <f t="shared" ca="1" si="1482"/>
        <v>0.37867317804518491</v>
      </c>
      <c r="AO538" s="14">
        <f t="shared" ca="1" si="1483"/>
        <v>0.56800976706777739</v>
      </c>
      <c r="AP538" s="13">
        <f t="shared" ref="AP538:AQ538" ca="1" si="1496">SUM(T529)</f>
        <v>193.25425150258582</v>
      </c>
      <c r="AQ538" s="13">
        <f t="shared" ca="1" si="1496"/>
        <v>9.2025834048850381</v>
      </c>
      <c r="AR538" s="9">
        <f t="shared" ca="1" si="1485"/>
        <v>112.19047619047619</v>
      </c>
      <c r="AS538" s="76"/>
      <c r="AT538" s="76"/>
    </row>
    <row r="539" spans="1:46" ht="15.75" customHeight="1" x14ac:dyDescent="0.2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6"/>
      <c r="X539" s="8">
        <v>6</v>
      </c>
      <c r="Y539" s="8" t="s">
        <v>41</v>
      </c>
      <c r="Z539" s="8">
        <f t="shared" ref="Z539:AI539" si="1497">SUM(D530)</f>
        <v>19</v>
      </c>
      <c r="AA539" s="9">
        <f t="shared" ca="1" si="1497"/>
        <v>19</v>
      </c>
      <c r="AB539" s="10">
        <f t="shared" ca="1" si="1497"/>
        <v>3802.26</v>
      </c>
      <c r="AC539" s="9">
        <f t="shared" ca="1" si="1497"/>
        <v>785</v>
      </c>
      <c r="AD539" s="9">
        <f t="shared" ca="1" si="1497"/>
        <v>0</v>
      </c>
      <c r="AE539" s="9">
        <f t="shared" ca="1" si="1497"/>
        <v>785</v>
      </c>
      <c r="AF539" s="9">
        <f t="shared" ca="1" si="1497"/>
        <v>1137</v>
      </c>
      <c r="AG539" s="9">
        <f t="shared" ca="1" si="1497"/>
        <v>0</v>
      </c>
      <c r="AH539" s="9">
        <f t="shared" ca="1" si="1497"/>
        <v>1137</v>
      </c>
      <c r="AI539" s="9">
        <f t="shared" ca="1" si="1497"/>
        <v>1922</v>
      </c>
      <c r="AJ539" s="11">
        <f t="shared" ca="1" si="1480"/>
        <v>200.11894736842106</v>
      </c>
      <c r="AK539" s="8">
        <f t="shared" si="1489"/>
        <v>3801</v>
      </c>
      <c r="AL539" s="12">
        <f t="shared" ca="1" si="1481"/>
        <v>0.50565640620889241</v>
      </c>
      <c r="AM539" s="13">
        <f t="shared" si="1490"/>
        <v>1.5</v>
      </c>
      <c r="AN539" s="12">
        <f t="shared" ca="1" si="1482"/>
        <v>0.33699256056485699</v>
      </c>
      <c r="AO539" s="14">
        <f t="shared" ca="1" si="1483"/>
        <v>0.50548884084728551</v>
      </c>
      <c r="AP539" s="13">
        <f t="shared" ref="AP539:AQ539" ca="1" si="1498">SUM(T530)</f>
        <v>128.33333333333334</v>
      </c>
      <c r="AQ539" s="13">
        <f t="shared" ca="1" si="1498"/>
        <v>6.7543859649122808</v>
      </c>
      <c r="AR539" s="9">
        <f t="shared" ca="1" si="1485"/>
        <v>101.15789473684211</v>
      </c>
      <c r="AS539" s="76"/>
      <c r="AT539" s="76"/>
    </row>
    <row r="540" spans="1:46" ht="15.75" customHeight="1" x14ac:dyDescent="0.25">
      <c r="A540" s="110" t="s">
        <v>45</v>
      </c>
      <c r="B540" s="76"/>
      <c r="C540" s="76"/>
      <c r="D540" s="75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24" t="s">
        <v>33</v>
      </c>
      <c r="Y540" s="24">
        <v>6</v>
      </c>
      <c r="Z540" s="24">
        <f t="shared" ref="Z540:AI540" si="1499">SUM(Z534:Z539)</f>
        <v>133</v>
      </c>
      <c r="AA540" s="25">
        <f t="shared" ca="1" si="1499"/>
        <v>132</v>
      </c>
      <c r="AB540" s="27">
        <f t="shared" ca="1" si="1499"/>
        <v>26171.308999999987</v>
      </c>
      <c r="AC540" s="25">
        <f t="shared" ca="1" si="1499"/>
        <v>7933</v>
      </c>
      <c r="AD540" s="25">
        <f t="shared" ca="1" si="1499"/>
        <v>0</v>
      </c>
      <c r="AE540" s="25">
        <f t="shared" ca="1" si="1499"/>
        <v>7933</v>
      </c>
      <c r="AF540" s="25">
        <f t="shared" ca="1" si="1499"/>
        <v>12419</v>
      </c>
      <c r="AG540" s="25">
        <f t="shared" ca="1" si="1499"/>
        <v>0</v>
      </c>
      <c r="AH540" s="25">
        <f t="shared" ca="1" si="1499"/>
        <v>12419</v>
      </c>
      <c r="AI540" s="25">
        <f t="shared" ca="1" si="1499"/>
        <v>20352</v>
      </c>
      <c r="AJ540" s="27">
        <f t="shared" ca="1" si="1480"/>
        <v>198.26749242424233</v>
      </c>
      <c r="AK540" s="24">
        <f>SUM(AK534:AK539)</f>
        <v>37031</v>
      </c>
      <c r="AL540" s="28">
        <f t="shared" ca="1" si="1481"/>
        <v>0.5495935837541519</v>
      </c>
      <c r="AM540" s="29">
        <v>1.5</v>
      </c>
      <c r="AN540" s="28">
        <f t="shared" ca="1" si="1482"/>
        <v>0.51843031619090996</v>
      </c>
      <c r="AO540" s="30">
        <f t="shared" ca="1" si="1483"/>
        <v>0.77764547428636488</v>
      </c>
      <c r="AP540" s="29">
        <f ca="1">SUM(AP534:AP539)</f>
        <v>1080.9070221732379</v>
      </c>
      <c r="AQ540" s="29">
        <f ca="1">AP540/AA540</f>
        <v>8.1886895619184692</v>
      </c>
      <c r="AR540" s="25">
        <f t="shared" ca="1" si="1485"/>
        <v>154.18181818181819</v>
      </c>
      <c r="AS540" s="76"/>
      <c r="AT540" s="76"/>
    </row>
    <row r="541" spans="1:46" ht="15.75" customHeight="1" x14ac:dyDescent="0.2">
      <c r="A541" s="110" t="s">
        <v>45</v>
      </c>
      <c r="B541" s="76"/>
      <c r="C541" s="76"/>
      <c r="D541" s="75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7" t="s">
        <v>1</v>
      </c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9"/>
      <c r="AS541" s="76"/>
      <c r="AT541" s="76"/>
    </row>
    <row r="542" spans="1:46" ht="15.75" customHeight="1" x14ac:dyDescent="0.2">
      <c r="A542" s="109">
        <v>46286</v>
      </c>
      <c r="B542" s="80" t="s">
        <v>2</v>
      </c>
      <c r="C542" s="80" t="s">
        <v>3</v>
      </c>
      <c r="D542" s="80" t="s">
        <v>4</v>
      </c>
      <c r="E542" s="80" t="s">
        <v>5</v>
      </c>
      <c r="F542" s="81" t="s">
        <v>6</v>
      </c>
      <c r="G542" s="80" t="s">
        <v>7</v>
      </c>
      <c r="H542" s="80" t="s">
        <v>8</v>
      </c>
      <c r="I542" s="80" t="s">
        <v>9</v>
      </c>
      <c r="J542" s="80" t="s">
        <v>10</v>
      </c>
      <c r="K542" s="80" t="s">
        <v>11</v>
      </c>
      <c r="L542" s="80" t="s">
        <v>12</v>
      </c>
      <c r="M542" s="80" t="s">
        <v>13</v>
      </c>
      <c r="N542" s="81" t="s">
        <v>14</v>
      </c>
      <c r="O542" s="80" t="s">
        <v>15</v>
      </c>
      <c r="P542" s="80" t="s">
        <v>16</v>
      </c>
      <c r="Q542" s="80" t="s">
        <v>17</v>
      </c>
      <c r="R542" s="80" t="s">
        <v>18</v>
      </c>
      <c r="S542" s="106" t="s">
        <v>19</v>
      </c>
      <c r="T542" s="107" t="s">
        <v>20</v>
      </c>
      <c r="U542" s="107" t="s">
        <v>21</v>
      </c>
      <c r="V542" s="105" t="s">
        <v>22</v>
      </c>
      <c r="W542" s="76"/>
      <c r="X542" s="1" t="s">
        <v>2</v>
      </c>
      <c r="Y542" s="1" t="s">
        <v>3</v>
      </c>
      <c r="Z542" s="1" t="s">
        <v>4</v>
      </c>
      <c r="AA542" s="1" t="s">
        <v>5</v>
      </c>
      <c r="AB542" s="2" t="s">
        <v>6</v>
      </c>
      <c r="AC542" s="1" t="s">
        <v>7</v>
      </c>
      <c r="AD542" s="1" t="s">
        <v>8</v>
      </c>
      <c r="AE542" s="1" t="s">
        <v>9</v>
      </c>
      <c r="AF542" s="1" t="s">
        <v>10</v>
      </c>
      <c r="AG542" s="1" t="s">
        <v>11</v>
      </c>
      <c r="AH542" s="1" t="s">
        <v>12</v>
      </c>
      <c r="AI542" s="1" t="s">
        <v>13</v>
      </c>
      <c r="AJ542" s="2" t="s">
        <v>14</v>
      </c>
      <c r="AK542" s="1" t="s">
        <v>15</v>
      </c>
      <c r="AL542" s="1" t="s">
        <v>16</v>
      </c>
      <c r="AM542" s="3" t="s">
        <v>17</v>
      </c>
      <c r="AN542" s="4" t="s">
        <v>18</v>
      </c>
      <c r="AO542" s="5" t="s">
        <v>19</v>
      </c>
      <c r="AP542" s="6" t="s">
        <v>20</v>
      </c>
      <c r="AQ542" s="6" t="s">
        <v>21</v>
      </c>
      <c r="AR542" s="7" t="s">
        <v>22</v>
      </c>
      <c r="AS542" s="76"/>
      <c r="AT542" s="76"/>
    </row>
    <row r="543" spans="1:46" ht="15.75" customHeight="1" x14ac:dyDescent="0.2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6"/>
      <c r="X543" s="8">
        <v>1</v>
      </c>
      <c r="Y543" s="8" t="s">
        <v>23</v>
      </c>
      <c r="Z543" s="8">
        <f t="shared" ref="Z543:AI543" si="1500">SUM(D551)</f>
        <v>35</v>
      </c>
      <c r="AA543" s="9">
        <f t="shared" ca="1" si="1500"/>
        <v>34</v>
      </c>
      <c r="AB543" s="10">
        <f t="shared" ca="1" si="1500"/>
        <v>6781.7399999999898</v>
      </c>
      <c r="AC543" s="9">
        <f t="shared" ca="1" si="1500"/>
        <v>1640</v>
      </c>
      <c r="AD543" s="9">
        <f t="shared" ca="1" si="1500"/>
        <v>0</v>
      </c>
      <c r="AE543" s="9">
        <f t="shared" ca="1" si="1500"/>
        <v>1640</v>
      </c>
      <c r="AF543" s="9">
        <f t="shared" ca="1" si="1500"/>
        <v>3400</v>
      </c>
      <c r="AG543" s="9">
        <f t="shared" ca="1" si="1500"/>
        <v>15</v>
      </c>
      <c r="AH543" s="9">
        <f t="shared" ca="1" si="1500"/>
        <v>3415</v>
      </c>
      <c r="AI543" s="9">
        <f t="shared" ca="1" si="1500"/>
        <v>5055</v>
      </c>
      <c r="AJ543" s="11">
        <f t="shared" ref="AJ543:AJ545" ca="1" si="1501">AB543/AA543</f>
        <v>199.46294117647028</v>
      </c>
      <c r="AK543" s="8">
        <f>SUM(O551)</f>
        <v>6853</v>
      </c>
      <c r="AL543" s="12">
        <f t="shared" ref="AL543:AL549" ca="1" si="1502">AI543/AK543</f>
        <v>0.73763315336349045</v>
      </c>
      <c r="AM543" s="13">
        <f t="shared" ref="AM543:AM545" si="1503">SUM(Q551)</f>
        <v>1.5</v>
      </c>
      <c r="AN543" s="12">
        <f t="shared" ref="AN543:AN549" ca="1" si="1504">AO543/AM543</f>
        <v>0.49692261867898285</v>
      </c>
      <c r="AO543" s="14">
        <f t="shared" ref="AO543:AO549" ca="1" si="1505">AI543/AB543</f>
        <v>0.74538392801847431</v>
      </c>
      <c r="AP543" s="13">
        <f t="shared" ref="AP543:AQ543" ca="1" si="1506">SUM(T551)</f>
        <v>200.99999999999969</v>
      </c>
      <c r="AQ543" s="13">
        <f t="shared" ca="1" si="1506"/>
        <v>5.9117647058823435</v>
      </c>
      <c r="AR543" s="9">
        <f t="shared" ref="AR543:AR549" ca="1" si="1507">AI543/AA543</f>
        <v>148.6764705882353</v>
      </c>
      <c r="AS543" s="76"/>
      <c r="AT543" s="76"/>
    </row>
    <row r="544" spans="1:46" ht="15.75" customHeight="1" x14ac:dyDescent="0.2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6"/>
      <c r="X544" s="8">
        <v>2</v>
      </c>
      <c r="Y544" s="8" t="s">
        <v>24</v>
      </c>
      <c r="Z544" s="8">
        <f t="shared" ref="Z544:AI544" si="1508">SUM(D552)</f>
        <v>44</v>
      </c>
      <c r="AA544" s="9">
        <f t="shared" ca="1" si="1508"/>
        <v>43</v>
      </c>
      <c r="AB544" s="10">
        <f t="shared" ca="1" si="1508"/>
        <v>8349.0019999999895</v>
      </c>
      <c r="AC544" s="9">
        <f t="shared" ca="1" si="1508"/>
        <v>1127</v>
      </c>
      <c r="AD544" s="9">
        <f t="shared" ca="1" si="1508"/>
        <v>32</v>
      </c>
      <c r="AE544" s="9">
        <f t="shared" ca="1" si="1508"/>
        <v>1159</v>
      </c>
      <c r="AF544" s="9">
        <f t="shared" ca="1" si="1508"/>
        <v>1521</v>
      </c>
      <c r="AG544" s="9">
        <f t="shared" ca="1" si="1508"/>
        <v>11</v>
      </c>
      <c r="AH544" s="9">
        <f t="shared" ca="1" si="1508"/>
        <v>1532</v>
      </c>
      <c r="AI544" s="9">
        <f t="shared" ca="1" si="1508"/>
        <v>2691</v>
      </c>
      <c r="AJ544" s="11">
        <f t="shared" ca="1" si="1501"/>
        <v>194.16283720930207</v>
      </c>
      <c r="AK544" s="8">
        <v>1580</v>
      </c>
      <c r="AL544" s="15">
        <f t="shared" ca="1" si="1502"/>
        <v>1.7031645569620253</v>
      </c>
      <c r="AM544" s="13">
        <f t="shared" si="1503"/>
        <v>1.5</v>
      </c>
      <c r="AN544" s="12">
        <f t="shared" ca="1" si="1504"/>
        <v>0.21487598158438603</v>
      </c>
      <c r="AO544" s="14">
        <f t="shared" ca="1" si="1505"/>
        <v>0.32231397237657905</v>
      </c>
      <c r="AP544" s="13">
        <f t="shared" ref="AP544:AQ544" ca="1" si="1509">SUM(T552)</f>
        <v>311.47181495989514</v>
      </c>
      <c r="AQ544" s="13">
        <f t="shared" ca="1" si="1509"/>
        <v>7.2435305804626777</v>
      </c>
      <c r="AR544" s="9">
        <f t="shared" ca="1" si="1507"/>
        <v>62.581395348837212</v>
      </c>
      <c r="AS544" s="76"/>
      <c r="AT544" s="76"/>
    </row>
    <row r="545" spans="1:46" ht="15.75" customHeight="1" x14ac:dyDescent="0.2">
      <c r="A545" s="70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6"/>
      <c r="X545" s="8">
        <v>3</v>
      </c>
      <c r="Y545" s="8" t="s">
        <v>25</v>
      </c>
      <c r="Z545" s="8">
        <f t="shared" ref="Z545:AI545" si="1510">SUM(D553)</f>
        <v>32</v>
      </c>
      <c r="AA545" s="9">
        <f t="shared" ca="1" si="1510"/>
        <v>32</v>
      </c>
      <c r="AB545" s="10">
        <f t="shared" ca="1" si="1510"/>
        <v>6235.0439999999999</v>
      </c>
      <c r="AC545" s="9">
        <f t="shared" ca="1" si="1510"/>
        <v>2434</v>
      </c>
      <c r="AD545" s="9">
        <f t="shared" ca="1" si="1510"/>
        <v>358</v>
      </c>
      <c r="AE545" s="9">
        <f t="shared" ca="1" si="1510"/>
        <v>2792</v>
      </c>
      <c r="AF545" s="9">
        <f t="shared" ca="1" si="1510"/>
        <v>3211</v>
      </c>
      <c r="AG545" s="9">
        <f t="shared" ca="1" si="1510"/>
        <v>365</v>
      </c>
      <c r="AH545" s="9">
        <f t="shared" ca="1" si="1510"/>
        <v>3576</v>
      </c>
      <c r="AI545" s="9">
        <f t="shared" ca="1" si="1510"/>
        <v>6368</v>
      </c>
      <c r="AJ545" s="11">
        <f t="shared" ca="1" si="1501"/>
        <v>194.845125</v>
      </c>
      <c r="AK545" s="8">
        <f>SUM(O553)</f>
        <v>6622</v>
      </c>
      <c r="AL545" s="12">
        <f t="shared" ca="1" si="1502"/>
        <v>0.9616430081546361</v>
      </c>
      <c r="AM545" s="13">
        <f t="shared" si="1503"/>
        <v>1.5</v>
      </c>
      <c r="AN545" s="12">
        <f t="shared" ca="1" si="1504"/>
        <v>0.68088265829933736</v>
      </c>
      <c r="AO545" s="14">
        <f t="shared" ca="1" si="1505"/>
        <v>1.0213239874490061</v>
      </c>
      <c r="AP545" s="13">
        <f t="shared" ref="AP545:AQ545" ca="1" si="1511">SUM(T553)</f>
        <v>261.53708053691275</v>
      </c>
      <c r="AQ545" s="13">
        <f t="shared" ca="1" si="1511"/>
        <v>8.1730337667785236</v>
      </c>
      <c r="AR545" s="9">
        <f t="shared" ca="1" si="1507"/>
        <v>199</v>
      </c>
      <c r="AS545" s="76"/>
      <c r="AT545" s="76"/>
    </row>
    <row r="546" spans="1:46" ht="15.75" customHeight="1" x14ac:dyDescent="0.25">
      <c r="A546" s="70"/>
      <c r="B546" s="16">
        <v>1</v>
      </c>
      <c r="C546" s="16" t="s">
        <v>26</v>
      </c>
      <c r="D546" s="17">
        <v>20</v>
      </c>
      <c r="E546" s="18">
        <f ca="1">IFERROR(__xludf.DUMMYFUNCTION("COUNT(IMPORTRANGE(""https://docs.google.com/spreadsheets/d/1F0NpMx7WhcgPgxTWpryY3Z1CGg56FL6aiL4mHs43w4E/edit"",""21!d2:d21""))"),20)</f>
        <v>20</v>
      </c>
      <c r="F546" s="19">
        <f ca="1">IFERROR(__xludf.DUMMYFUNCTION("SUM(IMPORTRANGE(""https://docs.google.com/spreadsheets/d/1F0NpMx7WhcgPgxTWpryY3Z1CGg56FL6aiL4mHs43w4E/edit"",""21!Q2:Q21""))"),3741.228)</f>
        <v>3741.2280000000001</v>
      </c>
      <c r="G546" s="18">
        <f ca="1">IFERROR(__xludf.DUMMYFUNCTION("IMPORTRANGE(""https://docs.google.com/spreadsheets/d/1F0NpMx7WhcgPgxTWpryY3Z1CGg56FL6aiL4mHs43w4E/edit"",""21!e28"")"),1917)</f>
        <v>1917</v>
      </c>
      <c r="H546" s="18">
        <f ca="1">IFERROR(__xludf.DUMMYFUNCTION("IMPORTRANGE(""https://docs.google.com/spreadsheets/d/1F0NpMx7WhcgPgxTWpryY3Z1CGg56FL6aiL4mHs43w4E/edit"",""21!e29"")"),0)</f>
        <v>0</v>
      </c>
      <c r="I546" s="18">
        <f t="shared" ref="I546:I563" ca="1" si="1512">SUM(G546:H546)</f>
        <v>1917</v>
      </c>
      <c r="J546" s="18">
        <f ca="1">IFERROR(__xludf.DUMMYFUNCTION("IMPORTRANGE(""https://docs.google.com/spreadsheets/d/1F0NpMx7WhcgPgxTWpryY3Z1CGg56FL6aiL4mHs43w4E/edit"",""21!e32"")"),3192)</f>
        <v>3192</v>
      </c>
      <c r="K546" s="18">
        <f ca="1">IFERROR(__xludf.DUMMYFUNCTION("IMPORTRANGE(""https://docs.google.com/spreadsheets/d/1F0NpMx7WhcgPgxTWpryY3Z1CGg56FL6aiL4mHs43w4E/edit"",""21!e33"")"),0)</f>
        <v>0</v>
      </c>
      <c r="L546" s="18">
        <f t="shared" ref="L546:L552" ca="1" si="1513">SUM(J546:K546)</f>
        <v>3192</v>
      </c>
      <c r="M546" s="18">
        <f t="shared" ref="M546:M563" ca="1" si="1514">SUM(I546+L546)</f>
        <v>5109</v>
      </c>
      <c r="N546" s="19">
        <f t="shared" ref="N546:N564" ca="1" si="1515">F546/E546</f>
        <v>187.06139999999999</v>
      </c>
      <c r="O546" s="16">
        <v>5161</v>
      </c>
      <c r="P546" s="20">
        <f t="shared" ref="P546:P564" ca="1" si="1516">M546/O546</f>
        <v>0.98992443324937029</v>
      </c>
      <c r="Q546" s="21">
        <v>1.5</v>
      </c>
      <c r="R546" s="20">
        <f t="shared" ref="R546:R564" ca="1" si="1517">S546/Q546</f>
        <v>0.91039626561118425</v>
      </c>
      <c r="S546" s="22">
        <f t="shared" ref="S546:S564" ca="1" si="1518">M546/F546</f>
        <v>1.3655943984167764</v>
      </c>
      <c r="T546" s="21">
        <f ca="1">F546/14.415</f>
        <v>259.5371488033299</v>
      </c>
      <c r="U546" s="21">
        <f t="shared" ref="U546:U564" ca="1" si="1519">T546/E546</f>
        <v>12.976857440166494</v>
      </c>
      <c r="V546" s="18">
        <f t="shared" ref="V546:V564" ca="1" si="1520">M546/E546</f>
        <v>255.45</v>
      </c>
      <c r="W546" s="76"/>
      <c r="X546" s="8">
        <v>4</v>
      </c>
      <c r="Y546" s="8" t="s">
        <v>27</v>
      </c>
      <c r="Z546" s="8">
        <f t="shared" ref="Z546:AK546" si="1521">SUM(D559)</f>
        <v>30</v>
      </c>
      <c r="AA546" s="9">
        <f t="shared" ca="1" si="1521"/>
        <v>29</v>
      </c>
      <c r="AB546" s="10">
        <f t="shared" ca="1" si="1521"/>
        <v>5405.8050000000003</v>
      </c>
      <c r="AC546" s="9">
        <f t="shared" ca="1" si="1521"/>
        <v>2796</v>
      </c>
      <c r="AD546" s="9">
        <f t="shared" ca="1" si="1521"/>
        <v>220</v>
      </c>
      <c r="AE546" s="9">
        <f t="shared" ca="1" si="1521"/>
        <v>3016</v>
      </c>
      <c r="AF546" s="9">
        <f t="shared" ca="1" si="1521"/>
        <v>2998</v>
      </c>
      <c r="AG546" s="9">
        <f t="shared" ca="1" si="1521"/>
        <v>192</v>
      </c>
      <c r="AH546" s="9">
        <f t="shared" ca="1" si="1521"/>
        <v>3190</v>
      </c>
      <c r="AI546" s="9">
        <f t="shared" ca="1" si="1521"/>
        <v>6206</v>
      </c>
      <c r="AJ546" s="11">
        <f t="shared" ca="1" si="1521"/>
        <v>186.40706896551725</v>
      </c>
      <c r="AK546" s="8">
        <f t="shared" si="1521"/>
        <v>8101</v>
      </c>
      <c r="AL546" s="12">
        <f t="shared" ca="1" si="1502"/>
        <v>0.76607826194297002</v>
      </c>
      <c r="AM546" s="13">
        <f>SUM(Q559)</f>
        <v>1.5</v>
      </c>
      <c r="AN546" s="12">
        <f t="shared" ca="1" si="1504"/>
        <v>0.76535008816139927</v>
      </c>
      <c r="AO546" s="14">
        <f t="shared" ca="1" si="1505"/>
        <v>1.1480251322420989</v>
      </c>
      <c r="AP546" s="13">
        <f t="shared" ref="AP546:AQ546" ca="1" si="1522">SUM(T559)</f>
        <v>270.49311983987991</v>
      </c>
      <c r="AQ546" s="13">
        <f t="shared" ca="1" si="1522"/>
        <v>9.3273489599958594</v>
      </c>
      <c r="AR546" s="9">
        <f t="shared" ca="1" si="1507"/>
        <v>214</v>
      </c>
      <c r="AS546" s="76"/>
      <c r="AT546" s="76"/>
    </row>
    <row r="547" spans="1:46" ht="15.75" customHeight="1" x14ac:dyDescent="0.25">
      <c r="A547" s="70"/>
      <c r="B547" s="16">
        <v>2</v>
      </c>
      <c r="C547" s="16" t="s">
        <v>28</v>
      </c>
      <c r="D547" s="17">
        <v>33</v>
      </c>
      <c r="E547" s="18">
        <f ca="1">IFERROR(__xludf.DUMMYFUNCTION("COUNT(IMPORTRANGE(""https://docs.google.com/spreadsheets/d/1H9vAqftAHb0OdeSGXHTnJFzoWUgpoH31sc0sHNN8y1o/edit"",""21!d2:d34""))"),33)</f>
        <v>33</v>
      </c>
      <c r="F547" s="19">
        <f ca="1">IFERROR(__xludf.DUMMYFUNCTION("SUM(IMPORTRANGE(""https://docs.google.com/spreadsheets/d/1H9vAqftAHb0OdeSGXHTnJFzoWUgpoH31sc0sHNN8y1o/edit"",""21!Q2:Q34""))"),6497.936)</f>
        <v>6497.9359999999997</v>
      </c>
      <c r="G547" s="18">
        <f ca="1">IFERROR(__xludf.DUMMYFUNCTION("IMPORTRANGE(""https://docs.google.com/spreadsheets/d/1H9vAqftAHb0OdeSGXHTnJFzoWUgpoH31sc0sHNN8y1o/edit"",""21!e41"")"),2811)</f>
        <v>2811</v>
      </c>
      <c r="H547" s="18">
        <f ca="1">IFERROR(__xludf.DUMMYFUNCTION("IMPORTRANGE(""https://docs.google.com/spreadsheets/d/1H9vAqftAHb0OdeSGXHTnJFzoWUgpoH31sc0sHNN8y1o/edit"",""21!e42"")"),64)</f>
        <v>64</v>
      </c>
      <c r="I547" s="18">
        <f t="shared" ca="1" si="1512"/>
        <v>2875</v>
      </c>
      <c r="J547" s="18">
        <f ca="1">IFERROR(__xludf.DUMMYFUNCTION("IMPORTRANGE(""https://docs.google.com/spreadsheets/d/1H9vAqftAHb0OdeSGXHTnJFzoWUgpoH31sc0sHNN8y1o/edit"",""21!e45"")"),2825)</f>
        <v>2825</v>
      </c>
      <c r="K547" s="18">
        <f ca="1">IFERROR(__xludf.DUMMYFUNCTION("IMPORTRANGE(""https://docs.google.com/spreadsheets/d/1H9vAqftAHb0OdeSGXHTnJFzoWUgpoH31sc0sHNN8y1o/edit"",""21!e46"")"),225)</f>
        <v>225</v>
      </c>
      <c r="L547" s="18">
        <f t="shared" ca="1" si="1513"/>
        <v>3050</v>
      </c>
      <c r="M547" s="18">
        <f t="shared" ca="1" si="1514"/>
        <v>5925</v>
      </c>
      <c r="N547" s="19">
        <f t="shared" ca="1" si="1515"/>
        <v>196.9071515151515</v>
      </c>
      <c r="O547" s="16">
        <v>7315</v>
      </c>
      <c r="P547" s="20">
        <f t="shared" ca="1" si="1516"/>
        <v>0.80997949419002047</v>
      </c>
      <c r="Q547" s="21">
        <v>1.5</v>
      </c>
      <c r="R547" s="20">
        <f t="shared" ca="1" si="1517"/>
        <v>0.60788533466626948</v>
      </c>
      <c r="S547" s="22">
        <f t="shared" ca="1" si="1518"/>
        <v>0.91182800199940417</v>
      </c>
      <c r="T547" s="21">
        <f ca="1">F547/30.897</f>
        <v>210.30960934718581</v>
      </c>
      <c r="U547" s="21">
        <f t="shared" ca="1" si="1519"/>
        <v>6.3730184650662371</v>
      </c>
      <c r="V547" s="18">
        <f t="shared" ca="1" si="1520"/>
        <v>179.54545454545453</v>
      </c>
      <c r="W547" s="76"/>
      <c r="X547" s="8">
        <v>5</v>
      </c>
      <c r="Y547" s="8" t="s">
        <v>29</v>
      </c>
      <c r="Z547" s="8">
        <f t="shared" ref="Z547:AI547" si="1523">SUM(D562)</f>
        <v>30</v>
      </c>
      <c r="AA547" s="9">
        <f t="shared" ca="1" si="1523"/>
        <v>30</v>
      </c>
      <c r="AB547" s="10">
        <f t="shared" ca="1" si="1523"/>
        <v>6145.9119999999903</v>
      </c>
      <c r="AC547" s="9">
        <f t="shared" ca="1" si="1523"/>
        <v>2799</v>
      </c>
      <c r="AD547" s="9">
        <f t="shared" ca="1" si="1523"/>
        <v>0</v>
      </c>
      <c r="AE547" s="9">
        <f t="shared" ca="1" si="1523"/>
        <v>2799</v>
      </c>
      <c r="AF547" s="9">
        <f t="shared" ca="1" si="1523"/>
        <v>4240</v>
      </c>
      <c r="AG547" s="9">
        <f t="shared" ca="1" si="1523"/>
        <v>0</v>
      </c>
      <c r="AH547" s="9">
        <f t="shared" ca="1" si="1523"/>
        <v>4240</v>
      </c>
      <c r="AI547" s="9">
        <f t="shared" ca="1" si="1523"/>
        <v>7039</v>
      </c>
      <c r="AJ547" s="11">
        <f t="shared" ref="AJ547:AJ549" ca="1" si="1524">AB547/AA547</f>
        <v>204.86373333333302</v>
      </c>
      <c r="AK547" s="8">
        <f t="shared" ref="AK547:AK548" si="1525">SUM(O562)</f>
        <v>9201</v>
      </c>
      <c r="AL547" s="12">
        <f t="shared" ca="1" si="1502"/>
        <v>0.76502554070209761</v>
      </c>
      <c r="AM547" s="13">
        <f t="shared" ref="AM547:AM548" si="1526">SUM(Q562)</f>
        <v>1.5</v>
      </c>
      <c r="AN547" s="12">
        <f t="shared" ca="1" si="1504"/>
        <v>0.76354276902543905</v>
      </c>
      <c r="AO547" s="14">
        <f t="shared" ca="1" si="1505"/>
        <v>1.1453141535381586</v>
      </c>
      <c r="AP547" s="13">
        <f t="shared" ref="AP547:AQ547" ca="1" si="1527">SUM(T562)</f>
        <v>231.99999999999963</v>
      </c>
      <c r="AQ547" s="13">
        <f t="shared" ca="1" si="1527"/>
        <v>7.733333333333321</v>
      </c>
      <c r="AR547" s="9">
        <f t="shared" ca="1" si="1507"/>
        <v>234.63333333333333</v>
      </c>
      <c r="AS547" s="76"/>
      <c r="AT547" s="76"/>
    </row>
    <row r="548" spans="1:46" ht="15.75" customHeight="1" x14ac:dyDescent="0.25">
      <c r="A548" s="70"/>
      <c r="B548" s="16">
        <v>3</v>
      </c>
      <c r="C548" s="16" t="s">
        <v>30</v>
      </c>
      <c r="D548" s="17">
        <v>60</v>
      </c>
      <c r="E548" s="18">
        <f ca="1">IFERROR(__xludf.DUMMYFUNCTION("COUNT(IMPORTRANGE(""https://docs.google.com/spreadsheets/d/1EWN6nfpuVxbUE_9opjYCWaI7MTm5xsF6ssjklSbMZnA/edit"",""21!d2:d61""))"),57)</f>
        <v>57</v>
      </c>
      <c r="F548" s="23">
        <f ca="1">IFERROR(__xludf.DUMMYFUNCTION("SUM(IMPORTRANGE(""https://docs.google.com/spreadsheets/d/1EWN6nfpuVxbUE_9opjYCWaI7MTm5xsF6ssjklSbMZnA/edit"",""21!Q2:Q61""))"),11008.0269999999)</f>
        <v>11008.0269999999</v>
      </c>
      <c r="G548" s="18">
        <f ca="1">IFERROR(__xludf.DUMMYFUNCTION("IMPORTRANGE(""https://docs.google.com/spreadsheets/d/1EWN6nfpuVxbUE_9opjYCWaI7MTm5xsF6ssjklSbMZnA/edit"",""21!e68"")"),3711)</f>
        <v>3711</v>
      </c>
      <c r="H548" s="18">
        <f ca="1">IFERROR(__xludf.DUMMYFUNCTION("IMPORTRANGE(""https://docs.google.com/spreadsheets/d/1EWN6nfpuVxbUE_9opjYCWaI7MTm5xsF6ssjklSbMZnA/edit"",""21!e69"")"),0)</f>
        <v>0</v>
      </c>
      <c r="I548" s="18">
        <f t="shared" ca="1" si="1512"/>
        <v>3711</v>
      </c>
      <c r="J548" s="18">
        <f ca="1">IFERROR(__xludf.DUMMYFUNCTION("IMPORTRANGE(""https://docs.google.com/spreadsheets/d/1EWN6nfpuVxbUE_9opjYCWaI7MTm5xsF6ssjklSbMZnA/edit"",""21!e72"")"),5360)</f>
        <v>5360</v>
      </c>
      <c r="K548" s="18">
        <f ca="1">IFERROR(__xludf.DUMMYFUNCTION("IMPORTRANGE(""https://docs.google.com/spreadsheets/d/1EWN6nfpuVxbUE_9opjYCWaI7MTm5xsF6ssjklSbMZnA/edit"",""21!e73"")"),61)</f>
        <v>61</v>
      </c>
      <c r="L548" s="18">
        <f t="shared" ca="1" si="1513"/>
        <v>5421</v>
      </c>
      <c r="M548" s="18">
        <f t="shared" ca="1" si="1514"/>
        <v>9132</v>
      </c>
      <c r="N548" s="19">
        <f t="shared" ca="1" si="1515"/>
        <v>193.12328070175263</v>
      </c>
      <c r="O548" s="16">
        <v>11164</v>
      </c>
      <c r="P548" s="20">
        <f t="shared" ca="1" si="1516"/>
        <v>0.81798638480831243</v>
      </c>
      <c r="Q548" s="21">
        <v>1.5</v>
      </c>
      <c r="R548" s="20">
        <f t="shared" ca="1" si="1517"/>
        <v>0.55305096907920515</v>
      </c>
      <c r="S548" s="22">
        <f t="shared" ca="1" si="1518"/>
        <v>0.82957645361880772</v>
      </c>
      <c r="T548" s="21">
        <f ca="1">F548/29.603</f>
        <v>371.85511603553357</v>
      </c>
      <c r="U548" s="21">
        <f t="shared" ca="1" si="1519"/>
        <v>6.5237739655356766</v>
      </c>
      <c r="V548" s="18">
        <f t="shared" ca="1" si="1520"/>
        <v>160.21052631578948</v>
      </c>
      <c r="W548" s="76"/>
      <c r="X548" s="8">
        <v>6</v>
      </c>
      <c r="Y548" s="8" t="s">
        <v>31</v>
      </c>
      <c r="Z548" s="8">
        <f t="shared" ref="Z548:AI548" si="1528">SUM(D563)</f>
        <v>15</v>
      </c>
      <c r="AA548" s="9">
        <f t="shared" ca="1" si="1528"/>
        <v>14</v>
      </c>
      <c r="AB548" s="11">
        <f t="shared" ca="1" si="1528"/>
        <v>2694.83</v>
      </c>
      <c r="AC548" s="9">
        <f t="shared" ca="1" si="1528"/>
        <v>843</v>
      </c>
      <c r="AD548" s="9">
        <f t="shared" ca="1" si="1528"/>
        <v>0</v>
      </c>
      <c r="AE548" s="9">
        <f t="shared" ca="1" si="1528"/>
        <v>843</v>
      </c>
      <c r="AF548" s="9">
        <f t="shared" ca="1" si="1528"/>
        <v>1030</v>
      </c>
      <c r="AG548" s="9">
        <f t="shared" ca="1" si="1528"/>
        <v>50</v>
      </c>
      <c r="AH548" s="9">
        <f t="shared" ca="1" si="1528"/>
        <v>1080</v>
      </c>
      <c r="AI548" s="9">
        <f t="shared" ca="1" si="1528"/>
        <v>1923</v>
      </c>
      <c r="AJ548" s="11">
        <f t="shared" ca="1" si="1524"/>
        <v>192.48785714285714</v>
      </c>
      <c r="AK548" s="8">
        <f t="shared" si="1525"/>
        <v>2717</v>
      </c>
      <c r="AL548" s="12">
        <f t="shared" ca="1" si="1502"/>
        <v>0.70776591829223412</v>
      </c>
      <c r="AM548" s="13">
        <f t="shared" si="1526"/>
        <v>1.5</v>
      </c>
      <c r="AN548" s="12">
        <f t="shared" ca="1" si="1504"/>
        <v>0.47572574151245162</v>
      </c>
      <c r="AO548" s="14">
        <f t="shared" ca="1" si="1505"/>
        <v>0.71358861226867742</v>
      </c>
      <c r="AP548" s="13">
        <f t="shared" ref="AP548:AQ548" ca="1" si="1529">SUM(T563)</f>
        <v>61.999999999999993</v>
      </c>
      <c r="AQ548" s="13">
        <f t="shared" ca="1" si="1529"/>
        <v>4.4285714285714279</v>
      </c>
      <c r="AR548" s="9">
        <f t="shared" ca="1" si="1507"/>
        <v>137.35714285714286</v>
      </c>
      <c r="AS548" s="76"/>
      <c r="AT548" s="76"/>
    </row>
    <row r="549" spans="1:46" ht="15.75" customHeight="1" x14ac:dyDescent="0.25">
      <c r="A549" s="70"/>
      <c r="B549" s="16">
        <v>4</v>
      </c>
      <c r="C549" s="16" t="s">
        <v>32</v>
      </c>
      <c r="D549" s="17">
        <v>42</v>
      </c>
      <c r="E549" s="18">
        <f ca="1">IFERROR(__xludf.DUMMYFUNCTION("COUNT(IMPORTRANGE(""https://docs.google.com/spreadsheets/d/1Rmar8QqWK4XOJ-eY6xMzkAfDSw0srEXcAw89ilArun8/edit"",""21!d2:d43""))"),42)</f>
        <v>42</v>
      </c>
      <c r="F549" s="23">
        <f ca="1">IFERROR(__xludf.DUMMYFUNCTION("SUM(IMPORTRANGE(""https://docs.google.com/spreadsheets/d/1Rmar8QqWK4XOJ-eY6xMzkAfDSw0srEXcAw89ilArun8/edit"",""21!Q2:Q43""))"),8329.54799999999)</f>
        <v>8329.5479999999898</v>
      </c>
      <c r="G549" s="16">
        <f ca="1">IFERROR(__xludf.DUMMYFUNCTION("IMPORTRANGE(""https://docs.google.com/spreadsheets/d/1Rmar8QqWK4XOJ-eY6xMzkAfDSw0srEXcAw89ilArun8/edit"",""21!e50"")"),4795)</f>
        <v>4795</v>
      </c>
      <c r="H549" s="16">
        <f ca="1">IFERROR(__xludf.DUMMYFUNCTION("IMPORTRANGE(""https://docs.google.com/spreadsheets/d/1Rmar8QqWK4XOJ-eY6xMzkAfDSw0srEXcAw89ilArun8/edit"",""21!e51"")"),59)</f>
        <v>59</v>
      </c>
      <c r="I549" s="18">
        <f t="shared" ca="1" si="1512"/>
        <v>4854</v>
      </c>
      <c r="J549" s="16">
        <f ca="1">IFERROR(__xludf.DUMMYFUNCTION("IMPORTRANGE(""https://docs.google.com/spreadsheets/d/1Rmar8QqWK4XOJ-eY6xMzkAfDSw0srEXcAw89ilArun8/edit"",""21!e54"")"),5766)</f>
        <v>5766</v>
      </c>
      <c r="K549" s="16">
        <f ca="1">IFERROR(__xludf.DUMMYFUNCTION("IMPORTRANGE(""https://docs.google.com/spreadsheets/d/1Rmar8QqWK4XOJ-eY6xMzkAfDSw0srEXcAw89ilArun8/edit"",""21!e55"")"),0)</f>
        <v>0</v>
      </c>
      <c r="L549" s="18">
        <f t="shared" ca="1" si="1513"/>
        <v>5766</v>
      </c>
      <c r="M549" s="18">
        <f t="shared" ca="1" si="1514"/>
        <v>10620</v>
      </c>
      <c r="N549" s="19">
        <f t="shared" ca="1" si="1515"/>
        <v>198.32257142857119</v>
      </c>
      <c r="O549" s="16">
        <v>13817</v>
      </c>
      <c r="P549" s="20">
        <f t="shared" ca="1" si="1516"/>
        <v>0.76861836867626832</v>
      </c>
      <c r="Q549" s="21">
        <v>1.5</v>
      </c>
      <c r="R549" s="20">
        <f t="shared" ca="1" si="1517"/>
        <v>0.84998609768501343</v>
      </c>
      <c r="S549" s="22">
        <f t="shared" ca="1" si="1518"/>
        <v>1.2749791465275202</v>
      </c>
      <c r="T549" s="21">
        <f ca="1">F549/25.089</f>
        <v>331.9999999999996</v>
      </c>
      <c r="U549" s="21">
        <f t="shared" ca="1" si="1519"/>
        <v>7.9047619047618953</v>
      </c>
      <c r="V549" s="18">
        <f t="shared" ca="1" si="1520"/>
        <v>252.85714285714286</v>
      </c>
      <c r="W549" s="76"/>
      <c r="X549" s="24" t="s">
        <v>33</v>
      </c>
      <c r="Y549" s="24">
        <v>6</v>
      </c>
      <c r="Z549" s="24">
        <f t="shared" ref="Z549:AI549" si="1530">SUM(Z543:Z548)</f>
        <v>186</v>
      </c>
      <c r="AA549" s="25">
        <f t="shared" ca="1" si="1530"/>
        <v>182</v>
      </c>
      <c r="AB549" s="26">
        <f t="shared" ca="1" si="1530"/>
        <v>35612.33299999997</v>
      </c>
      <c r="AC549" s="25">
        <f t="shared" ca="1" si="1530"/>
        <v>11639</v>
      </c>
      <c r="AD549" s="25">
        <f t="shared" ca="1" si="1530"/>
        <v>610</v>
      </c>
      <c r="AE549" s="25">
        <f t="shared" ca="1" si="1530"/>
        <v>12249</v>
      </c>
      <c r="AF549" s="25">
        <f t="shared" ca="1" si="1530"/>
        <v>16400</v>
      </c>
      <c r="AG549" s="25">
        <f t="shared" ca="1" si="1530"/>
        <v>633</v>
      </c>
      <c r="AH549" s="25">
        <f t="shared" ca="1" si="1530"/>
        <v>17033</v>
      </c>
      <c r="AI549" s="25">
        <f t="shared" ca="1" si="1530"/>
        <v>29282</v>
      </c>
      <c r="AJ549" s="27">
        <f t="shared" ca="1" si="1524"/>
        <v>195.67215934065916</v>
      </c>
      <c r="AK549" s="24">
        <f>SUM(AK543:AK548)</f>
        <v>35074</v>
      </c>
      <c r="AL549" s="28">
        <f t="shared" ca="1" si="1502"/>
        <v>0.83486343160175625</v>
      </c>
      <c r="AM549" s="29">
        <v>1.5</v>
      </c>
      <c r="AN549" s="28">
        <f t="shared" ca="1" si="1504"/>
        <v>0.54816215869185958</v>
      </c>
      <c r="AO549" s="30">
        <f t="shared" ca="1" si="1505"/>
        <v>0.82224323803778943</v>
      </c>
      <c r="AP549" s="29">
        <f ca="1">SUM(AP543:AP548)</f>
        <v>1338.502015336687</v>
      </c>
      <c r="AQ549" s="29">
        <f ca="1">AP549/AA549</f>
        <v>7.3544066776741044</v>
      </c>
      <c r="AR549" s="25">
        <f t="shared" ca="1" si="1507"/>
        <v>160.8901098901099</v>
      </c>
      <c r="AS549" s="76"/>
      <c r="AT549" s="76"/>
    </row>
    <row r="550" spans="1:46" ht="15.75" customHeight="1" x14ac:dyDescent="0.25">
      <c r="A550" s="70"/>
      <c r="B550" s="16">
        <v>5</v>
      </c>
      <c r="C550" s="16" t="s">
        <v>34</v>
      </c>
      <c r="D550" s="17">
        <v>40</v>
      </c>
      <c r="E550" s="18">
        <f ca="1">IFERROR(__xludf.DUMMYFUNCTION("COUNT(IMPORTRANGE(""https://docs.google.com/spreadsheets/d/1u99JxAoytGQQ8GcjxXl38CGdyEWy5uIbuJJHnsotyvk/edit"",""21!d2:d41""))"),37)</f>
        <v>37</v>
      </c>
      <c r="F550" s="23">
        <f ca="1">IFERROR(__xludf.DUMMYFUNCTION("SUM(IMPORTRANGE(""https://docs.google.com/spreadsheets/d/1u99JxAoytGQQ8GcjxXl38CGdyEWy5uIbuJJHnsotyvk/edit"",""21!Q2:Q41""))"),7213.608)</f>
        <v>7213.6080000000002</v>
      </c>
      <c r="G550" s="18">
        <f ca="1">IFERROR(__xludf.DUMMYFUNCTION("IMPORTRANGE(""https://docs.google.com/spreadsheets/d/1u99JxAoytGQQ8GcjxXl38CGdyEWy5uIbuJJHnsotyvk/edit"",""21!e48"")"),2523)</f>
        <v>2523</v>
      </c>
      <c r="H550" s="18">
        <f ca="1">IFERROR(__xludf.DUMMYFUNCTION("IMPORTRANGE(""https://docs.google.com/spreadsheets/d/1u99JxAoytGQQ8GcjxXl38CGdyEWy5uIbuJJHnsotyvk/edit"",""21!e49"")"),0)</f>
        <v>0</v>
      </c>
      <c r="I550" s="18">
        <f t="shared" ca="1" si="1512"/>
        <v>2523</v>
      </c>
      <c r="J550" s="18">
        <f ca="1">IFERROR(__xludf.DUMMYFUNCTION("IMPORTRANGE(""https://docs.google.com/spreadsheets/d/1u99JxAoytGQQ8GcjxXl38CGdyEWy5uIbuJJHnsotyvk/edit"",""21!e52"")"),3654)</f>
        <v>3654</v>
      </c>
      <c r="K550" s="18">
        <f ca="1">IFERROR(__xludf.DUMMYFUNCTION("IMPORTRANGE(""https://docs.google.com/spreadsheets/d/1u99JxAoytGQQ8GcjxXl38CGdyEWy5uIbuJJHnsotyvk/edit"",""21!e53"")"),0)</f>
        <v>0</v>
      </c>
      <c r="L550" s="18">
        <f t="shared" ca="1" si="1513"/>
        <v>3654</v>
      </c>
      <c r="M550" s="18">
        <f t="shared" ca="1" si="1514"/>
        <v>6177</v>
      </c>
      <c r="N550" s="19">
        <f t="shared" ca="1" si="1515"/>
        <v>194.96237837837839</v>
      </c>
      <c r="O550" s="16">
        <v>9354</v>
      </c>
      <c r="P550" s="20">
        <f t="shared" ca="1" si="1516"/>
        <v>0.66035920461834507</v>
      </c>
      <c r="Q550" s="21">
        <v>1.5</v>
      </c>
      <c r="R550" s="20">
        <f t="shared" ca="1" si="1517"/>
        <v>0.57086550863312779</v>
      </c>
      <c r="S550" s="22">
        <f t="shared" ca="1" si="1518"/>
        <v>0.85629826294969169</v>
      </c>
      <c r="T550" s="21">
        <f ca="1">F550/30.713</f>
        <v>234.87148764366881</v>
      </c>
      <c r="U550" s="21">
        <f t="shared" ca="1" si="1519"/>
        <v>6.3478780444234815</v>
      </c>
      <c r="V550" s="18">
        <f t="shared" ca="1" si="1520"/>
        <v>166.94594594594594</v>
      </c>
      <c r="W550" s="76"/>
      <c r="X550" s="100" t="s">
        <v>35</v>
      </c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9"/>
      <c r="AS550" s="76"/>
      <c r="AT550" s="76"/>
    </row>
    <row r="551" spans="1:46" ht="15.75" customHeight="1" x14ac:dyDescent="0.25">
      <c r="A551" s="70"/>
      <c r="B551" s="16">
        <v>6</v>
      </c>
      <c r="C551" s="16" t="s">
        <v>23</v>
      </c>
      <c r="D551" s="17">
        <v>35</v>
      </c>
      <c r="E551" s="18">
        <f ca="1">IFERROR(__xludf.DUMMYFUNCTION("COUNT(IMPORTRANGE(""https://docs.google.com/spreadsheets/d/1uVc-vnTn57HE53lwrUYNZP4sGKTXisrqOoZ-6EyvLzY/edit"",""21!d2:d36""))"),34)</f>
        <v>34</v>
      </c>
      <c r="F551" s="23">
        <f ca="1">IFERROR(__xludf.DUMMYFUNCTION("SUM(IMPORTRANGE(""https://docs.google.com/spreadsheets/d/1uVc-vnTn57HE53lwrUYNZP4sGKTXisrqOoZ-6EyvLzY/edit"",""21!Q2:Q36""))"),6781.73999999999)</f>
        <v>6781.7399999999898</v>
      </c>
      <c r="G551" s="18">
        <f ca="1">IFERROR(__xludf.DUMMYFUNCTION("IMPORTRANGE(""https://docs.google.com/spreadsheets/d/1uVc-vnTn57HE53lwrUYNZP4sGKTXisrqOoZ-6EyvLzY/edit"",""21!e43"")"),1640)</f>
        <v>1640</v>
      </c>
      <c r="H551" s="18">
        <f ca="1">IFERROR(__xludf.DUMMYFUNCTION("IMPORTRANGE(""https://docs.google.com/spreadsheets/d/1uVc-vnTn57HE53lwrUYNZP4sGKTXisrqOoZ-6EyvLzY/edit"",""21!e44"")"),0)</f>
        <v>0</v>
      </c>
      <c r="I551" s="18">
        <f t="shared" ca="1" si="1512"/>
        <v>1640</v>
      </c>
      <c r="J551" s="18">
        <f ca="1">IFERROR(__xludf.DUMMYFUNCTION("IMPORTRANGE(""https://docs.google.com/spreadsheets/d/1uVc-vnTn57HE53lwrUYNZP4sGKTXisrqOoZ-6EyvLzY/edit"",""21!e47"")"),3400)</f>
        <v>3400</v>
      </c>
      <c r="K551" s="18">
        <f ca="1">IFERROR(__xludf.DUMMYFUNCTION("IMPORTRANGE(""https://docs.google.com/spreadsheets/d/1uVc-vnTn57HE53lwrUYNZP4sGKTXisrqOoZ-6EyvLzY/edit"",""21!e48"")"),15)</f>
        <v>15</v>
      </c>
      <c r="L551" s="18">
        <f t="shared" ca="1" si="1513"/>
        <v>3415</v>
      </c>
      <c r="M551" s="18">
        <f t="shared" ca="1" si="1514"/>
        <v>5055</v>
      </c>
      <c r="N551" s="19">
        <f t="shared" ca="1" si="1515"/>
        <v>199.46294117647028</v>
      </c>
      <c r="O551" s="16">
        <v>6853</v>
      </c>
      <c r="P551" s="20">
        <f t="shared" ca="1" si="1516"/>
        <v>0.73763315336349045</v>
      </c>
      <c r="Q551" s="21">
        <v>1.5</v>
      </c>
      <c r="R551" s="20">
        <f t="shared" ca="1" si="1517"/>
        <v>0.49692261867898285</v>
      </c>
      <c r="S551" s="22">
        <f t="shared" ca="1" si="1518"/>
        <v>0.74538392801847431</v>
      </c>
      <c r="T551" s="21">
        <f ca="1">F551/33.74</f>
        <v>200.99999999999969</v>
      </c>
      <c r="U551" s="21">
        <f t="shared" ca="1" si="1519"/>
        <v>5.9117647058823435</v>
      </c>
      <c r="V551" s="18">
        <f t="shared" ca="1" si="1520"/>
        <v>148.6764705882353</v>
      </c>
      <c r="W551" s="76"/>
      <c r="X551" s="1" t="s">
        <v>2</v>
      </c>
      <c r="Y551" s="1" t="s">
        <v>3</v>
      </c>
      <c r="Z551" s="1" t="s">
        <v>4</v>
      </c>
      <c r="AA551" s="1" t="s">
        <v>5</v>
      </c>
      <c r="AB551" s="2" t="s">
        <v>6</v>
      </c>
      <c r="AC551" s="1" t="s">
        <v>7</v>
      </c>
      <c r="AD551" s="1" t="s">
        <v>8</v>
      </c>
      <c r="AE551" s="1" t="s">
        <v>9</v>
      </c>
      <c r="AF551" s="1" t="s">
        <v>10</v>
      </c>
      <c r="AG551" s="1" t="s">
        <v>11</v>
      </c>
      <c r="AH551" s="1" t="s">
        <v>12</v>
      </c>
      <c r="AI551" s="1" t="s">
        <v>13</v>
      </c>
      <c r="AJ551" s="2" t="s">
        <v>14</v>
      </c>
      <c r="AK551" s="1" t="s">
        <v>15</v>
      </c>
      <c r="AL551" s="1" t="s">
        <v>16</v>
      </c>
      <c r="AM551" s="3" t="s">
        <v>17</v>
      </c>
      <c r="AN551" s="4" t="s">
        <v>18</v>
      </c>
      <c r="AO551" s="5" t="s">
        <v>19</v>
      </c>
      <c r="AP551" s="6" t="s">
        <v>20</v>
      </c>
      <c r="AQ551" s="6" t="s">
        <v>21</v>
      </c>
      <c r="AR551" s="7" t="s">
        <v>22</v>
      </c>
      <c r="AS551" s="76"/>
      <c r="AT551" s="76"/>
    </row>
    <row r="552" spans="1:46" ht="15.75" customHeight="1" x14ac:dyDescent="0.25">
      <c r="A552" s="70"/>
      <c r="B552" s="16">
        <v>7</v>
      </c>
      <c r="C552" s="16" t="s">
        <v>24</v>
      </c>
      <c r="D552" s="17">
        <v>44</v>
      </c>
      <c r="E552" s="31">
        <f ca="1">IFERROR(__xludf.DUMMYFUNCTION("COUNT(IMPORTRANGE(""https://docs.google.com/spreadsheets/d/1iuPvivSypupo44l6GtmR-2qZ3za7cTk7KzsOVp_kv2c/edit"",""21!d2:d45""))"),43)</f>
        <v>43</v>
      </c>
      <c r="F552" s="32">
        <f ca="1">IFERROR(__xludf.DUMMYFUNCTION("SUM(IMPORTRANGE(""https://docs.google.com/spreadsheets/d/1iuPvivSypupo44l6GtmR-2qZ3za7cTk7KzsOVp_kv2c/edit"",""21!Q2:Q45""))"),8349.00199999999)</f>
        <v>8349.0019999999895</v>
      </c>
      <c r="G552" s="31">
        <f ca="1">IFERROR(__xludf.DUMMYFUNCTION("IMPORTRANGE(""https://docs.google.com/spreadsheets/d/1iuPvivSypupo44l6GtmR-2qZ3za7cTk7KzsOVp_kv2c/edit"",""21!e53"")"),1127)</f>
        <v>1127</v>
      </c>
      <c r="H552" s="31">
        <f ca="1">IFERROR(__xludf.DUMMYFUNCTION("IMPORTRANGE(""https://docs.google.com/spreadsheets/d/1iuPvivSypupo44l6GtmR-2qZ3za7cTk7KzsOVp_kv2c/edit"",""21!e54"")"),32)</f>
        <v>32</v>
      </c>
      <c r="I552" s="31">
        <f t="shared" ca="1" si="1512"/>
        <v>1159</v>
      </c>
      <c r="J552" s="31">
        <f ca="1">IFERROR(__xludf.DUMMYFUNCTION("IMPORTRANGE(""https://docs.google.com/spreadsheets/d/1iuPvivSypupo44l6GtmR-2qZ3za7cTk7KzsOVp_kv2c/edit"",""21!e57"")"),1521)</f>
        <v>1521</v>
      </c>
      <c r="K552" s="31">
        <f ca="1">IFERROR(__xludf.DUMMYFUNCTION("IMPORTRANGE(""https://docs.google.com/spreadsheets/d/1iuPvivSypupo44l6GtmR-2qZ3za7cTk7KzsOVp_kv2c/edit"",""21!e58"")"),11)</f>
        <v>11</v>
      </c>
      <c r="L552" s="18">
        <f t="shared" ca="1" si="1513"/>
        <v>1532</v>
      </c>
      <c r="M552" s="18">
        <f t="shared" ca="1" si="1514"/>
        <v>2691</v>
      </c>
      <c r="N552" s="19">
        <f t="shared" ca="1" si="1515"/>
        <v>194.16283720930207</v>
      </c>
      <c r="O552" s="16">
        <v>1580</v>
      </c>
      <c r="P552" s="33">
        <f t="shared" ca="1" si="1516"/>
        <v>1.7031645569620253</v>
      </c>
      <c r="Q552" s="21">
        <v>1.5</v>
      </c>
      <c r="R552" s="20">
        <f t="shared" ca="1" si="1517"/>
        <v>0.21487598158438603</v>
      </c>
      <c r="S552" s="22">
        <f t="shared" ca="1" si="1518"/>
        <v>0.32231397237657905</v>
      </c>
      <c r="T552" s="21">
        <f ca="1">F552/26.805</f>
        <v>311.47181495989514</v>
      </c>
      <c r="U552" s="21">
        <f t="shared" ca="1" si="1519"/>
        <v>7.2435305804626777</v>
      </c>
      <c r="V552" s="18">
        <f t="shared" ca="1" si="1520"/>
        <v>62.581395348837212</v>
      </c>
      <c r="W552" s="76"/>
      <c r="X552" s="8">
        <v>1</v>
      </c>
      <c r="Y552" s="8" t="s">
        <v>28</v>
      </c>
      <c r="Z552" s="8">
        <f t="shared" ref="Z552:AI552" si="1531">SUM(D547)</f>
        <v>33</v>
      </c>
      <c r="AA552" s="9">
        <f t="shared" ca="1" si="1531"/>
        <v>33</v>
      </c>
      <c r="AB552" s="11">
        <f t="shared" ca="1" si="1531"/>
        <v>6497.9359999999997</v>
      </c>
      <c r="AC552" s="9">
        <f t="shared" ca="1" si="1531"/>
        <v>2811</v>
      </c>
      <c r="AD552" s="9">
        <f t="shared" ca="1" si="1531"/>
        <v>64</v>
      </c>
      <c r="AE552" s="9">
        <f t="shared" ca="1" si="1531"/>
        <v>2875</v>
      </c>
      <c r="AF552" s="9">
        <f t="shared" ca="1" si="1531"/>
        <v>2825</v>
      </c>
      <c r="AG552" s="9">
        <f t="shared" ca="1" si="1531"/>
        <v>225</v>
      </c>
      <c r="AH552" s="9">
        <f t="shared" ca="1" si="1531"/>
        <v>3050</v>
      </c>
      <c r="AI552" s="9">
        <f t="shared" ca="1" si="1531"/>
        <v>5925</v>
      </c>
      <c r="AJ552" s="11">
        <f t="shared" ref="AJ552:AJ558" ca="1" si="1532">AB552/AA552</f>
        <v>196.9071515151515</v>
      </c>
      <c r="AK552" s="8">
        <f t="shared" ref="AK552:AK553" si="1533">SUM(O547)</f>
        <v>7315</v>
      </c>
      <c r="AL552" s="12">
        <f t="shared" ref="AL552:AL558" ca="1" si="1534">AI552/AK552</f>
        <v>0.80997949419002047</v>
      </c>
      <c r="AM552" s="13">
        <f t="shared" ref="AM552:AM553" si="1535">SUM(Q547)</f>
        <v>1.5</v>
      </c>
      <c r="AN552" s="12">
        <f t="shared" ref="AN552:AN558" ca="1" si="1536">AO552/AM552</f>
        <v>0.60788533466626948</v>
      </c>
      <c r="AO552" s="14">
        <f t="shared" ref="AO552:AO558" ca="1" si="1537">AI552/AB552</f>
        <v>0.91182800199940417</v>
      </c>
      <c r="AP552" s="13">
        <f t="shared" ref="AP552:AQ552" ca="1" si="1538">SUM(T547)</f>
        <v>210.30960934718581</v>
      </c>
      <c r="AQ552" s="13">
        <f t="shared" ca="1" si="1538"/>
        <v>6.3730184650662371</v>
      </c>
      <c r="AR552" s="9">
        <f t="shared" ref="AR552:AR558" ca="1" si="1539">AI552/AA552</f>
        <v>179.54545454545453</v>
      </c>
      <c r="AS552" s="76"/>
      <c r="AT552" s="76"/>
    </row>
    <row r="553" spans="1:46" ht="15.75" customHeight="1" x14ac:dyDescent="0.25">
      <c r="A553" s="70"/>
      <c r="B553" s="16">
        <v>8</v>
      </c>
      <c r="C553" s="16" t="s">
        <v>25</v>
      </c>
      <c r="D553" s="34">
        <v>32</v>
      </c>
      <c r="E553" s="18">
        <f ca="1">IFERROR(__xludf.DUMMYFUNCTION("COUNT(IMPORTRANGE(""https://docs.google.com/spreadsheets/d/1sqWX7UerdR9KR_duBzDNfjwbPG-3hLgV1LiN2ZVZ6Js/edit"",""21!d2:D33""))"),32)</f>
        <v>32</v>
      </c>
      <c r="F553" s="23">
        <f ca="1">IFERROR(__xludf.DUMMYFUNCTION("SUM(IMPORTRANGE(""https://docs.google.com/spreadsheets/d/1sqWX7UerdR9KR_duBzDNfjwbPG-3hLgV1LiN2ZVZ6Js/edit"",""21!Q2:Q33""))"),6235.044)</f>
        <v>6235.0439999999999</v>
      </c>
      <c r="G553" s="18">
        <f ca="1">IFERROR(__xludf.DUMMYFUNCTION("IMPORTRANGE(""https://docs.google.com/spreadsheets/d/1sqWX7UerdR9KR_duBzDNfjwbPG-3hLgV1LiN2ZVZ6Js/edit"",""21!e40"")"),2434)</f>
        <v>2434</v>
      </c>
      <c r="H553" s="18">
        <f ca="1">IFERROR(__xludf.DUMMYFUNCTION("IMPORTRANGE(""https://docs.google.com/spreadsheets/d/1sqWX7UerdR9KR_duBzDNfjwbPG-3hLgV1LiN2ZVZ6Js/edit"",""21!e41"")"),358)</f>
        <v>358</v>
      </c>
      <c r="I553" s="18">
        <f t="shared" ca="1" si="1512"/>
        <v>2792</v>
      </c>
      <c r="J553" s="18">
        <f ca="1">IFERROR(__xludf.DUMMYFUNCTION("IMPORTRANGE(""https://docs.google.com/spreadsheets/d/1sqWX7UerdR9KR_duBzDNfjwbPG-3hLgV1LiN2ZVZ6Js/edit"",""21!e44"")"),3211)</f>
        <v>3211</v>
      </c>
      <c r="K553" s="18">
        <f ca="1">IFERROR(__xludf.DUMMYFUNCTION("IMPORTRANGE(""https://docs.google.com/spreadsheets/d/1sqWX7UerdR9KR_duBzDNfjwbPG-3hLgV1LiN2ZVZ6Js/edit"",""21!e45"")"),365)</f>
        <v>365</v>
      </c>
      <c r="L553" s="18">
        <f ca="1">J553+K553</f>
        <v>3576</v>
      </c>
      <c r="M553" s="18">
        <f t="shared" ca="1" si="1514"/>
        <v>6368</v>
      </c>
      <c r="N553" s="19">
        <f t="shared" ca="1" si="1515"/>
        <v>194.845125</v>
      </c>
      <c r="O553" s="16">
        <v>6622</v>
      </c>
      <c r="P553" s="20">
        <f t="shared" ca="1" si="1516"/>
        <v>0.9616430081546361</v>
      </c>
      <c r="Q553" s="21">
        <v>1.5</v>
      </c>
      <c r="R553" s="20">
        <f t="shared" ca="1" si="1517"/>
        <v>0.68088265829933736</v>
      </c>
      <c r="S553" s="22">
        <f t="shared" ca="1" si="1518"/>
        <v>1.0213239874490061</v>
      </c>
      <c r="T553" s="21">
        <f ca="1">F553/23.84</f>
        <v>261.53708053691275</v>
      </c>
      <c r="U553" s="21">
        <f t="shared" ca="1" si="1519"/>
        <v>8.1730337667785236</v>
      </c>
      <c r="V553" s="18">
        <f t="shared" ca="1" si="1520"/>
        <v>199</v>
      </c>
      <c r="W553" s="76"/>
      <c r="X553" s="8">
        <v>2</v>
      </c>
      <c r="Y553" s="8" t="s">
        <v>30</v>
      </c>
      <c r="Z553" s="8">
        <f t="shared" ref="Z553:AI553" si="1540">SUM(D548)</f>
        <v>60</v>
      </c>
      <c r="AA553" s="9">
        <f t="shared" ca="1" si="1540"/>
        <v>57</v>
      </c>
      <c r="AB553" s="10">
        <f t="shared" ca="1" si="1540"/>
        <v>11008.0269999999</v>
      </c>
      <c r="AC553" s="9">
        <f t="shared" ca="1" si="1540"/>
        <v>3711</v>
      </c>
      <c r="AD553" s="9">
        <f t="shared" ca="1" si="1540"/>
        <v>0</v>
      </c>
      <c r="AE553" s="9">
        <f t="shared" ca="1" si="1540"/>
        <v>3711</v>
      </c>
      <c r="AF553" s="9">
        <f t="shared" ca="1" si="1540"/>
        <v>5360</v>
      </c>
      <c r="AG553" s="9">
        <f t="shared" ca="1" si="1540"/>
        <v>61</v>
      </c>
      <c r="AH553" s="9">
        <f t="shared" ca="1" si="1540"/>
        <v>5421</v>
      </c>
      <c r="AI553" s="9">
        <f t="shared" ca="1" si="1540"/>
        <v>9132</v>
      </c>
      <c r="AJ553" s="11">
        <f t="shared" ca="1" si="1532"/>
        <v>193.12328070175263</v>
      </c>
      <c r="AK553" s="8">
        <f t="shared" si="1533"/>
        <v>11164</v>
      </c>
      <c r="AL553" s="12">
        <f t="shared" ca="1" si="1534"/>
        <v>0.81798638480831243</v>
      </c>
      <c r="AM553" s="13">
        <f t="shared" si="1535"/>
        <v>1.5</v>
      </c>
      <c r="AN553" s="12">
        <f t="shared" ca="1" si="1536"/>
        <v>0.55305096907920515</v>
      </c>
      <c r="AO553" s="14">
        <f t="shared" ca="1" si="1537"/>
        <v>0.82957645361880772</v>
      </c>
      <c r="AP553" s="13">
        <f t="shared" ref="AP553:AQ553" ca="1" si="1541">SUM(T548)</f>
        <v>371.85511603553357</v>
      </c>
      <c r="AQ553" s="13">
        <f t="shared" ca="1" si="1541"/>
        <v>6.5237739655356766</v>
      </c>
      <c r="AR553" s="9">
        <f t="shared" ca="1" si="1539"/>
        <v>160.21052631578948</v>
      </c>
      <c r="AS553" s="76"/>
      <c r="AT553" s="76"/>
    </row>
    <row r="554" spans="1:46" ht="15.75" customHeight="1" x14ac:dyDescent="0.25">
      <c r="A554" s="70"/>
      <c r="B554" s="16">
        <v>9</v>
      </c>
      <c r="C554" s="16" t="s">
        <v>36</v>
      </c>
      <c r="D554" s="34">
        <v>30</v>
      </c>
      <c r="E554" s="18">
        <f ca="1">IFERROR(__xludf.DUMMYFUNCTION("COUNT(IMPORTRANGE(""https://docs.google.com/spreadsheets/d/1YNna43iTSqnwwbMJgTIPHSJEoDO8RGPRFg5pJCoQR_Y/edit"",""21!d2:d31""))"),29)</f>
        <v>29</v>
      </c>
      <c r="F554" s="23">
        <f ca="1">IFERROR(__xludf.DUMMYFUNCTION("SUM(IMPORTRANGE(""https://docs.google.com/spreadsheets/d/1YNna43iTSqnwwbMJgTIPHSJEoDO8RGPRFg5pJCoQR_Y/edit"",""21!Q2:Q31""))"),5587.80699999999)</f>
        <v>5587.8069999999898</v>
      </c>
      <c r="G554" s="18">
        <f ca="1">IFERROR(__xludf.DUMMYFUNCTION("IMPORTRANGE(""https://docs.google.com/spreadsheets/d/1YNna43iTSqnwwbMJgTIPHSJEoDO8RGPRFg5pJCoQR_Y/edit"",""21!e38"")"),1653)</f>
        <v>1653</v>
      </c>
      <c r="H554" s="18">
        <f ca="1">IFERROR(__xludf.DUMMYFUNCTION("IMPORTRANGE(""https://docs.google.com/spreadsheets/d/1YNna43iTSqnwwbMJgTIPHSJEoDO8RGPRFg5pJCoQR_Y/edit"",""21!e39"")"),0)</f>
        <v>0</v>
      </c>
      <c r="I554" s="18">
        <f t="shared" ca="1" si="1512"/>
        <v>1653</v>
      </c>
      <c r="J554" s="18">
        <f ca="1">IFERROR(__xludf.DUMMYFUNCTION("IMPORTRANGE(""https://docs.google.com/spreadsheets/d/1YNna43iTSqnwwbMJgTIPHSJEoDO8RGPRFg5pJCoQR_Y/edit"",""21!e42"")"),2317)</f>
        <v>2317</v>
      </c>
      <c r="K554" s="18">
        <f ca="1">IFERROR(__xludf.DUMMYFUNCTION("IMPORTRANGE(""https://docs.google.com/spreadsheets/d/1YNna43iTSqnwwbMJgTIPHSJEoDO8RGPRFg5pJCoQR_Y/edit"",""21!e43"")"),0)</f>
        <v>0</v>
      </c>
      <c r="L554" s="18">
        <f t="shared" ref="L554:L563" ca="1" si="1542">SUM(J554:K554)</f>
        <v>2317</v>
      </c>
      <c r="M554" s="18">
        <f t="shared" ca="1" si="1514"/>
        <v>3970</v>
      </c>
      <c r="N554" s="19">
        <f t="shared" ca="1" si="1515"/>
        <v>192.68299999999965</v>
      </c>
      <c r="O554" s="16">
        <v>4796</v>
      </c>
      <c r="P554" s="20">
        <f t="shared" ca="1" si="1516"/>
        <v>0.82777314428690574</v>
      </c>
      <c r="Q554" s="21">
        <v>1.5</v>
      </c>
      <c r="R554" s="20">
        <f t="shared" ca="1" si="1517"/>
        <v>0.47365033664667938</v>
      </c>
      <c r="S554" s="22">
        <f t="shared" ca="1" si="1518"/>
        <v>0.7104755049700191</v>
      </c>
      <c r="T554" s="21">
        <f ca="1">F554/37.414</f>
        <v>149.35069759982866</v>
      </c>
      <c r="U554" s="21">
        <f t="shared" ca="1" si="1519"/>
        <v>5.1500240551665053</v>
      </c>
      <c r="V554" s="18">
        <f t="shared" ca="1" si="1520"/>
        <v>136.89655172413794</v>
      </c>
      <c r="W554" s="76"/>
      <c r="X554" s="8">
        <v>3</v>
      </c>
      <c r="Y554" s="8" t="s">
        <v>34</v>
      </c>
      <c r="Z554" s="8">
        <f t="shared" ref="Z554:AI554" si="1543">SUM(D550)</f>
        <v>40</v>
      </c>
      <c r="AA554" s="9">
        <f t="shared" ca="1" si="1543"/>
        <v>37</v>
      </c>
      <c r="AB554" s="10">
        <f t="shared" ca="1" si="1543"/>
        <v>7213.6080000000002</v>
      </c>
      <c r="AC554" s="9">
        <f t="shared" ca="1" si="1543"/>
        <v>2523</v>
      </c>
      <c r="AD554" s="9">
        <f t="shared" ca="1" si="1543"/>
        <v>0</v>
      </c>
      <c r="AE554" s="9">
        <f t="shared" ca="1" si="1543"/>
        <v>2523</v>
      </c>
      <c r="AF554" s="9">
        <f t="shared" ca="1" si="1543"/>
        <v>3654</v>
      </c>
      <c r="AG554" s="9">
        <f t="shared" ca="1" si="1543"/>
        <v>0</v>
      </c>
      <c r="AH554" s="9">
        <f t="shared" ca="1" si="1543"/>
        <v>3654</v>
      </c>
      <c r="AI554" s="9">
        <f t="shared" ca="1" si="1543"/>
        <v>6177</v>
      </c>
      <c r="AJ554" s="11">
        <f t="shared" ca="1" si="1532"/>
        <v>194.96237837837839</v>
      </c>
      <c r="AK554" s="8">
        <f>SUM(O550)</f>
        <v>9354</v>
      </c>
      <c r="AL554" s="12">
        <f t="shared" ca="1" si="1534"/>
        <v>0.66035920461834507</v>
      </c>
      <c r="AM554" s="13">
        <f>SUM(Q550)</f>
        <v>1.5</v>
      </c>
      <c r="AN554" s="12">
        <f t="shared" ca="1" si="1536"/>
        <v>0.57086550863312779</v>
      </c>
      <c r="AO554" s="14">
        <f t="shared" ca="1" si="1537"/>
        <v>0.85629826294969169</v>
      </c>
      <c r="AP554" s="13">
        <f t="shared" ref="AP554:AQ554" ca="1" si="1544">SUM(T550)</f>
        <v>234.87148764366881</v>
      </c>
      <c r="AQ554" s="13">
        <f t="shared" ca="1" si="1544"/>
        <v>6.3478780444234815</v>
      </c>
      <c r="AR554" s="9">
        <f t="shared" ca="1" si="1539"/>
        <v>166.94594594594594</v>
      </c>
      <c r="AS554" s="76"/>
      <c r="AT554" s="76"/>
    </row>
    <row r="555" spans="1:46" ht="15.75" customHeight="1" x14ac:dyDescent="0.25">
      <c r="A555" s="70"/>
      <c r="B555" s="16">
        <v>10</v>
      </c>
      <c r="C555" s="16" t="s">
        <v>37</v>
      </c>
      <c r="D555" s="17">
        <v>30</v>
      </c>
      <c r="E555" s="18">
        <f ca="1">IFERROR(__xludf.DUMMYFUNCTION("COUNT(IMPORTRANGE(""https://docs.google.com/spreadsheets/d/1913Df5BsXS_b-nClL8LOK5w0engQYTl1mPOiyngRtO0/edit"",""21!d2:d31""))"),27)</f>
        <v>27</v>
      </c>
      <c r="F555" s="23">
        <f ca="1">IFERROR(__xludf.DUMMYFUNCTION("SUM(IMPORTRANGE(""https://docs.google.com/spreadsheets/d/1913Df5BsXS_b-nClL8LOK5w0engQYTl1mPOiyngRtO0/edit"",""21!Q2:Q31""))"),5600.37)</f>
        <v>5600.37</v>
      </c>
      <c r="G555" s="18">
        <f ca="1">IFERROR(__xludf.DUMMYFUNCTION("(IMPORTRANGE(""https://docs.google.com/spreadsheets/d/1913Df5BsXS_b-nClL8LOK5w0engQYTl1mPOiyngRtO0/edit"",""21!e38""))"),2221)</f>
        <v>2221</v>
      </c>
      <c r="H555" s="18">
        <f ca="1">IFERROR(__xludf.DUMMYFUNCTION("(IMPORTRANGE(""https://docs.google.com/spreadsheets/d/1913Df5BsXS_b-nClL8LOK5w0engQYTl1mPOiyngRtO0/edit"",""21!e39""))"),0)</f>
        <v>0</v>
      </c>
      <c r="I555" s="18">
        <f t="shared" ca="1" si="1512"/>
        <v>2221</v>
      </c>
      <c r="J555" s="18">
        <f ca="1">IFERROR(__xludf.DUMMYFUNCTION("(IMPORTRANGE(""https://docs.google.com/spreadsheets/d/1913Df5BsXS_b-nClL8LOK5w0engQYTl1mPOiyngRtO0/edit"",""21!e42""))"),3290)</f>
        <v>3290</v>
      </c>
      <c r="K555" s="18">
        <f ca="1">IFERROR(__xludf.DUMMYFUNCTION("(IMPORTRANGE(""https://docs.google.com/spreadsheets/d/1913Df5BsXS_b-nClL8LOK5w0engQYTl1mPOiyngRtO0/edit"",""21!e43""))"),0)</f>
        <v>0</v>
      </c>
      <c r="L555" s="18">
        <f t="shared" ca="1" si="1542"/>
        <v>3290</v>
      </c>
      <c r="M555" s="18">
        <f t="shared" ca="1" si="1514"/>
        <v>5511</v>
      </c>
      <c r="N555" s="19">
        <f t="shared" ca="1" si="1515"/>
        <v>207.42111111111112</v>
      </c>
      <c r="O555" s="16">
        <v>5887</v>
      </c>
      <c r="P555" s="20">
        <f t="shared" ca="1" si="1516"/>
        <v>0.9361304569390182</v>
      </c>
      <c r="Q555" s="21">
        <v>1.5</v>
      </c>
      <c r="R555" s="20">
        <f t="shared" ca="1" si="1517"/>
        <v>0.656028083858745</v>
      </c>
      <c r="S555" s="22">
        <f t="shared" ca="1" si="1518"/>
        <v>0.98404212578811756</v>
      </c>
      <c r="T555" s="21">
        <f ca="1">F555/24.792</f>
        <v>225.89424007744432</v>
      </c>
      <c r="U555" s="21">
        <f t="shared" ca="1" si="1519"/>
        <v>8.3664533362016424</v>
      </c>
      <c r="V555" s="18">
        <f t="shared" ca="1" si="1520"/>
        <v>204.11111111111111</v>
      </c>
      <c r="W555" s="76"/>
      <c r="X555" s="8">
        <v>4</v>
      </c>
      <c r="Y555" s="8" t="s">
        <v>38</v>
      </c>
      <c r="Z555" s="8">
        <f t="shared" ref="Z555:AI555" si="1545">SUM(D558)</f>
        <v>30</v>
      </c>
      <c r="AA555" s="9">
        <f t="shared" ca="1" si="1545"/>
        <v>30</v>
      </c>
      <c r="AB555" s="10">
        <f t="shared" ca="1" si="1545"/>
        <v>6469.1849999999904</v>
      </c>
      <c r="AC555" s="9">
        <f t="shared" ca="1" si="1545"/>
        <v>2189</v>
      </c>
      <c r="AD555" s="9">
        <f t="shared" ca="1" si="1545"/>
        <v>0</v>
      </c>
      <c r="AE555" s="9">
        <f t="shared" ca="1" si="1545"/>
        <v>2189</v>
      </c>
      <c r="AF555" s="9">
        <f t="shared" ca="1" si="1545"/>
        <v>3249</v>
      </c>
      <c r="AG555" s="9">
        <f t="shared" ca="1" si="1545"/>
        <v>122</v>
      </c>
      <c r="AH555" s="9">
        <f t="shared" ca="1" si="1545"/>
        <v>3371</v>
      </c>
      <c r="AI555" s="9">
        <f t="shared" ca="1" si="1545"/>
        <v>5560</v>
      </c>
      <c r="AJ555" s="11">
        <f t="shared" ca="1" si="1532"/>
        <v>215.63949999999969</v>
      </c>
      <c r="AK555" s="8">
        <v>7324</v>
      </c>
      <c r="AL555" s="12">
        <f t="shared" ca="1" si="1534"/>
        <v>0.75914800655379577</v>
      </c>
      <c r="AM555" s="13">
        <f>SUM(Q558)</f>
        <v>1.5</v>
      </c>
      <c r="AN555" s="12">
        <f t="shared" ca="1" si="1536"/>
        <v>0.57297274180080981</v>
      </c>
      <c r="AO555" s="14">
        <f t="shared" ca="1" si="1537"/>
        <v>0.85945911270121478</v>
      </c>
      <c r="AP555" s="13">
        <f t="shared" ref="AP555:AQ555" ca="1" si="1546">SUM(T558)</f>
        <v>156.99999999999977</v>
      </c>
      <c r="AQ555" s="13">
        <f t="shared" ca="1" si="1546"/>
        <v>5.2333333333333254</v>
      </c>
      <c r="AR555" s="9">
        <f t="shared" ca="1" si="1539"/>
        <v>185.33333333333334</v>
      </c>
      <c r="AS555" s="76"/>
      <c r="AT555" s="76"/>
    </row>
    <row r="556" spans="1:46" ht="15.75" customHeight="1" x14ac:dyDescent="0.25">
      <c r="A556" s="70"/>
      <c r="B556" s="16">
        <v>12</v>
      </c>
      <c r="C556" s="16" t="s">
        <v>39</v>
      </c>
      <c r="D556" s="17">
        <v>28</v>
      </c>
      <c r="E556" s="18">
        <f ca="1">IFERROR(__xludf.DUMMYFUNCTION("COUNT(IMPORTRANGE(""https://docs.google.com/spreadsheets/d/1wMeol_MpSIcocGxt3WZGl46mJ2tc80mANPvP_YzaP18/edit"",""21!d2:d29""))"),27)</f>
        <v>27</v>
      </c>
      <c r="F556" s="23">
        <f ca="1">IFERROR(__xludf.DUMMYFUNCTION("SUM(IMPORTRANGE(""https://docs.google.com/spreadsheets/d/1wMeol_MpSIcocGxt3WZGl46mJ2tc80mANPvP_YzaP18/edit"",""21!Q2:Q29""))"),5318.459)</f>
        <v>5318.4589999999998</v>
      </c>
      <c r="G556" s="18">
        <f ca="1">IFERROR(__xludf.DUMMYFUNCTION("IMPORTRANGE(""https://docs.google.com/spreadsheets/d/1wMeol_MpSIcocGxt3WZGl46mJ2tc80mANPvP_YzaP18/edit"",""21!e36"")"),1294)</f>
        <v>1294</v>
      </c>
      <c r="H556" s="18">
        <f ca="1">IFERROR(__xludf.DUMMYFUNCTION("(IMPORTRANGE(""https://docs.google.com/spreadsheets/d/1wMeol_MpSIcocGxt3WZGl46mJ2tc80mANPvP_YzaP18/edit"",""21!e37""))"),0)</f>
        <v>0</v>
      </c>
      <c r="I556" s="18">
        <f t="shared" ca="1" si="1512"/>
        <v>1294</v>
      </c>
      <c r="J556" s="18">
        <f ca="1">IFERROR(__xludf.DUMMYFUNCTION("IMPORTRANGE(""https://docs.google.com/spreadsheets/d/1wMeol_MpSIcocGxt3WZGl46mJ2tc80mANPvP_YzaP18/edit"",""21!e40"")"),1925)</f>
        <v>1925</v>
      </c>
      <c r="K556" s="18">
        <f ca="1">IFERROR(__xludf.DUMMYFUNCTION("IMPORTRANGE(""https://docs.google.com/spreadsheets/d/1wMeol_MpSIcocGxt3WZGl46mJ2tc80mANPvP_YzaP18/edit"",""21!e41"")"),32)</f>
        <v>32</v>
      </c>
      <c r="L556" s="18">
        <f t="shared" ca="1" si="1542"/>
        <v>1957</v>
      </c>
      <c r="M556" s="18">
        <f t="shared" ca="1" si="1514"/>
        <v>3251</v>
      </c>
      <c r="N556" s="19">
        <f t="shared" ca="1" si="1515"/>
        <v>196.97996296296296</v>
      </c>
      <c r="O556" s="16">
        <v>3569</v>
      </c>
      <c r="P556" s="20">
        <f t="shared" ca="1" si="1516"/>
        <v>0.91089941159988796</v>
      </c>
      <c r="Q556" s="21">
        <v>1.5</v>
      </c>
      <c r="R556" s="20">
        <f t="shared" ca="1" si="1517"/>
        <v>0.40751152417144393</v>
      </c>
      <c r="S556" s="22">
        <f t="shared" ca="1" si="1518"/>
        <v>0.61126728625716586</v>
      </c>
      <c r="T556" s="21">
        <f ca="1">F556/21.463</f>
        <v>247.7966267530168</v>
      </c>
      <c r="U556" s="21">
        <f t="shared" ca="1" si="1519"/>
        <v>9.177652842704326</v>
      </c>
      <c r="V556" s="18">
        <f t="shared" ca="1" si="1520"/>
        <v>120.4074074074074</v>
      </c>
      <c r="W556" s="76"/>
      <c r="X556" s="8">
        <v>5</v>
      </c>
      <c r="Y556" s="8" t="s">
        <v>40</v>
      </c>
      <c r="Z556" s="8">
        <f t="shared" ref="Z556:AI556" si="1547">SUM(D560)</f>
        <v>30</v>
      </c>
      <c r="AA556" s="9">
        <f t="shared" ca="1" si="1547"/>
        <v>30</v>
      </c>
      <c r="AB556" s="10">
        <f t="shared" ca="1" si="1547"/>
        <v>5973.0299999999897</v>
      </c>
      <c r="AC556" s="9">
        <f t="shared" ca="1" si="1547"/>
        <v>3315</v>
      </c>
      <c r="AD556" s="9">
        <f t="shared" ca="1" si="1547"/>
        <v>125</v>
      </c>
      <c r="AE556" s="9">
        <f t="shared" ca="1" si="1547"/>
        <v>3440</v>
      </c>
      <c r="AF556" s="9">
        <f t="shared" ca="1" si="1547"/>
        <v>3730</v>
      </c>
      <c r="AG556" s="9">
        <f t="shared" ca="1" si="1547"/>
        <v>204</v>
      </c>
      <c r="AH556" s="9">
        <f t="shared" ca="1" si="1547"/>
        <v>3934</v>
      </c>
      <c r="AI556" s="9">
        <f t="shared" ca="1" si="1547"/>
        <v>7374</v>
      </c>
      <c r="AJ556" s="11">
        <f t="shared" ca="1" si="1532"/>
        <v>199.10099999999966</v>
      </c>
      <c r="AK556" s="8">
        <f t="shared" ref="AK556:AK557" si="1548">SUM(O560)</f>
        <v>8239</v>
      </c>
      <c r="AL556" s="12">
        <f t="shared" ca="1" si="1534"/>
        <v>0.89501153052554927</v>
      </c>
      <c r="AM556" s="13">
        <f t="shared" ref="AM556:AM557" si="1549">SUM(Q560)</f>
        <v>1.5</v>
      </c>
      <c r="AN556" s="12">
        <f t="shared" ca="1" si="1536"/>
        <v>0.82303286606630277</v>
      </c>
      <c r="AO556" s="14">
        <f t="shared" ca="1" si="1537"/>
        <v>1.2345492990994542</v>
      </c>
      <c r="AP556" s="13">
        <f t="shared" ref="AP556:AQ556" ca="1" si="1550">SUM(T560)</f>
        <v>209.99999999999963</v>
      </c>
      <c r="AQ556" s="13">
        <f t="shared" ca="1" si="1550"/>
        <v>6.9999999999999876</v>
      </c>
      <c r="AR556" s="9">
        <f t="shared" ca="1" si="1539"/>
        <v>245.8</v>
      </c>
      <c r="AS556" s="76"/>
      <c r="AT556" s="76"/>
    </row>
    <row r="557" spans="1:46" ht="15.75" customHeight="1" x14ac:dyDescent="0.25">
      <c r="A557" s="70"/>
      <c r="B557" s="16">
        <v>12</v>
      </c>
      <c r="C557" s="16" t="s">
        <v>41</v>
      </c>
      <c r="D557" s="17">
        <v>24</v>
      </c>
      <c r="E557" s="18">
        <f ca="1">IFERROR(__xludf.DUMMYFUNCTION("COUNT(IMPORTRANGE(""https://docs.google.com/spreadsheets/d/1sHk6_yuc4kORC_xnhEeazoemV_hVUQVqRpfoNae-PLk/edit"",""21!d2:d25""))"),24)</f>
        <v>24</v>
      </c>
      <c r="F557" s="23">
        <f ca="1">IFERROR(__xludf.DUMMYFUNCTION("SUM(IMPORTRANGE(""https://docs.google.com/spreadsheets/d/1sHk6_yuc4kORC_xnhEeazoemV_hVUQVqRpfoNae-PLk/edit"",""21!Q2:Q25""))"),4687.808)</f>
        <v>4687.808</v>
      </c>
      <c r="G557" s="18">
        <f ca="1">IFERROR(__xludf.DUMMYFUNCTION("IMPORTRANGE(""https://docs.google.com/spreadsheets/d/1sHk6_yuc4kORC_xnhEeazoemV_hVUQVqRpfoNae-PLk/edit"",""21!e32"")"),1367)</f>
        <v>1367</v>
      </c>
      <c r="H557" s="18">
        <f ca="1">IFERROR(__xludf.DUMMYFUNCTION("IMPORTRANGE(""https://docs.google.com/spreadsheets/d/1sHk6_yuc4kORC_xnhEeazoemV_hVUQVqRpfoNae-PLk/edit"",""21!e33"")"),0)</f>
        <v>0</v>
      </c>
      <c r="I557" s="18">
        <f t="shared" ca="1" si="1512"/>
        <v>1367</v>
      </c>
      <c r="J557" s="18">
        <f ca="1">IFERROR(__xludf.DUMMYFUNCTION("IMPORTRANGE(""https://docs.google.com/spreadsheets/d/1sHk6_yuc4kORC_xnhEeazoemV_hVUQVqRpfoNae-PLk/edit"",""21!e36"")"),1799)</f>
        <v>1799</v>
      </c>
      <c r="K557" s="18">
        <f ca="1">IFERROR(__xludf.DUMMYFUNCTION("IMPORTRANGE(""https://docs.google.com/spreadsheets/d/1sHk6_yuc4kORC_xnhEeazoemV_hVUQVqRpfoNae-PLk/edit"",""21!e37"")"),56)</f>
        <v>56</v>
      </c>
      <c r="L557" s="18">
        <f t="shared" ca="1" si="1542"/>
        <v>1855</v>
      </c>
      <c r="M557" s="18">
        <f t="shared" ca="1" si="1514"/>
        <v>3222</v>
      </c>
      <c r="N557" s="19">
        <f t="shared" ca="1" si="1515"/>
        <v>195.32533333333333</v>
      </c>
      <c r="O557" s="16">
        <v>3801</v>
      </c>
      <c r="P557" s="20">
        <f t="shared" ca="1" si="1516"/>
        <v>0.8476716653512234</v>
      </c>
      <c r="Q557" s="21">
        <v>1.5</v>
      </c>
      <c r="R557" s="20">
        <f t="shared" ca="1" si="1517"/>
        <v>0.45820989255532646</v>
      </c>
      <c r="S557" s="22">
        <f t="shared" ca="1" si="1518"/>
        <v>0.68731483883298972</v>
      </c>
      <c r="T557" s="21">
        <f ca="1">F557/29.628</f>
        <v>158.22222222222223</v>
      </c>
      <c r="U557" s="21">
        <f t="shared" ca="1" si="1519"/>
        <v>6.5925925925925926</v>
      </c>
      <c r="V557" s="18">
        <f t="shared" ca="1" si="1520"/>
        <v>134.25</v>
      </c>
      <c r="W557" s="76"/>
      <c r="X557" s="8">
        <v>6</v>
      </c>
      <c r="Y557" s="8" t="s">
        <v>42</v>
      </c>
      <c r="Z557" s="8">
        <f t="shared" ref="Z557:AI557" si="1551">SUM(D561)</f>
        <v>33</v>
      </c>
      <c r="AA557" s="9">
        <f t="shared" ca="1" si="1551"/>
        <v>33</v>
      </c>
      <c r="AB557" s="10">
        <f t="shared" ca="1" si="1551"/>
        <v>6484.90199999999</v>
      </c>
      <c r="AC557" s="9">
        <f t="shared" ca="1" si="1551"/>
        <v>3804</v>
      </c>
      <c r="AD557" s="9">
        <f t="shared" ca="1" si="1551"/>
        <v>0</v>
      </c>
      <c r="AE557" s="9">
        <f t="shared" ca="1" si="1551"/>
        <v>3804</v>
      </c>
      <c r="AF557" s="9">
        <f t="shared" ca="1" si="1551"/>
        <v>3930</v>
      </c>
      <c r="AG557" s="9">
        <f t="shared" ca="1" si="1551"/>
        <v>93</v>
      </c>
      <c r="AH557" s="9">
        <f t="shared" ca="1" si="1551"/>
        <v>4023</v>
      </c>
      <c r="AI557" s="9">
        <f t="shared" ca="1" si="1551"/>
        <v>7827</v>
      </c>
      <c r="AJ557" s="11">
        <f t="shared" ca="1" si="1532"/>
        <v>196.51218181818152</v>
      </c>
      <c r="AK557" s="8">
        <f t="shared" si="1548"/>
        <v>9877</v>
      </c>
      <c r="AL557" s="12">
        <f t="shared" ca="1" si="1534"/>
        <v>0.79244709932165636</v>
      </c>
      <c r="AM557" s="13">
        <f t="shared" si="1549"/>
        <v>1.5</v>
      </c>
      <c r="AN557" s="12">
        <f t="shared" ca="1" si="1536"/>
        <v>0.80463821966777715</v>
      </c>
      <c r="AO557" s="14">
        <f t="shared" ca="1" si="1537"/>
        <v>1.2069573295016658</v>
      </c>
      <c r="AP557" s="13">
        <f t="shared" ref="AP557:AQ557" ca="1" si="1552">SUM(T561)</f>
        <v>247.94119671190938</v>
      </c>
      <c r="AQ557" s="13">
        <f t="shared" ca="1" si="1552"/>
        <v>7.5133695973305876</v>
      </c>
      <c r="AR557" s="9">
        <f t="shared" ca="1" si="1539"/>
        <v>237.18181818181819</v>
      </c>
      <c r="AS557" s="76"/>
      <c r="AT557" s="76"/>
    </row>
    <row r="558" spans="1:46" ht="15.75" customHeight="1" x14ac:dyDescent="0.25">
      <c r="A558" s="70"/>
      <c r="B558" s="16">
        <v>13</v>
      </c>
      <c r="C558" s="16" t="s">
        <v>43</v>
      </c>
      <c r="D558" s="17">
        <v>30</v>
      </c>
      <c r="E558" s="18">
        <f ca="1">IFERROR(__xludf.DUMMYFUNCTION("COUNT(IMPORTRANGE(""https://docs.google.com/spreadsheets/d/1uGXvAN2jA6kmcEHUY4KqOHHewllZsujDdA6KVDfBCoA/edit"",""21!d2:d31""))"),30)</f>
        <v>30</v>
      </c>
      <c r="F558" s="23">
        <f ca="1">IFERROR(__xludf.DUMMYFUNCTION("SUM(IMPORTRANGE(""https://docs.google.com/spreadsheets/d/1uGXvAN2jA6kmcEHUY4KqOHHewllZsujDdA6KVDfBCoA/edit"",""21!Q2:Q31""))"),6469.18499999999)</f>
        <v>6469.1849999999904</v>
      </c>
      <c r="G558" s="18">
        <f ca="1">IFERROR(__xludf.DUMMYFUNCTION("IMPORTRANGE(""https://docs.google.com/spreadsheets/d/1uGXvAN2jA6kmcEHUY4KqOHHewllZsujDdA6KVDfBCoA/edit"",""21!e38"")"),2189)</f>
        <v>2189</v>
      </c>
      <c r="H558" s="18">
        <f ca="1">IFERROR(__xludf.DUMMYFUNCTION("IMPORTRANGE(""https://docs.google.com/spreadsheets/d/1uGXvAN2jA6kmcEHUY4KqOHHewllZsujDdA6KVDfBCoA/edit"",""21!e39"")"),0)</f>
        <v>0</v>
      </c>
      <c r="I558" s="18">
        <f t="shared" ca="1" si="1512"/>
        <v>2189</v>
      </c>
      <c r="J558" s="18">
        <f ca="1">IFERROR(__xludf.DUMMYFUNCTION("IMPORTRANGE(""https://docs.google.com/spreadsheets/d/1uGXvAN2jA6kmcEHUY4KqOHHewllZsujDdA6KVDfBCoA/edit"",""21!e42"")"),3249)</f>
        <v>3249</v>
      </c>
      <c r="K558" s="18">
        <f ca="1">IFERROR(__xludf.DUMMYFUNCTION("IMPORTRANGE(""https://docs.google.com/spreadsheets/d/1uGXvAN2jA6kmcEHUY4KqOHHewllZsujDdA6KVDfBCoA/edit"",""21!e43"")"),122)</f>
        <v>122</v>
      </c>
      <c r="L558" s="18">
        <f t="shared" ca="1" si="1542"/>
        <v>3371</v>
      </c>
      <c r="M558" s="18">
        <f t="shared" ca="1" si="1514"/>
        <v>5560</v>
      </c>
      <c r="N558" s="19">
        <f t="shared" ca="1" si="1515"/>
        <v>215.63949999999969</v>
      </c>
      <c r="O558" s="16">
        <v>8345</v>
      </c>
      <c r="P558" s="20">
        <f t="shared" ca="1" si="1516"/>
        <v>0.66626722588376275</v>
      </c>
      <c r="Q558" s="21">
        <v>1.5</v>
      </c>
      <c r="R558" s="20">
        <f t="shared" ca="1" si="1517"/>
        <v>0.57297274180080981</v>
      </c>
      <c r="S558" s="22">
        <f t="shared" ca="1" si="1518"/>
        <v>0.85945911270121478</v>
      </c>
      <c r="T558" s="21">
        <f ca="1">F558/41.205</f>
        <v>156.99999999999977</v>
      </c>
      <c r="U558" s="21">
        <f t="shared" ca="1" si="1519"/>
        <v>5.2333333333333254</v>
      </c>
      <c r="V558" s="18">
        <f t="shared" ca="1" si="1520"/>
        <v>185.33333333333334</v>
      </c>
      <c r="W558" s="76"/>
      <c r="X558" s="24" t="s">
        <v>33</v>
      </c>
      <c r="Y558" s="24">
        <v>6</v>
      </c>
      <c r="Z558" s="24">
        <f t="shared" ref="Z558:AI558" si="1553">SUM(Z552:Z557)</f>
        <v>226</v>
      </c>
      <c r="AA558" s="25">
        <f t="shared" ca="1" si="1553"/>
        <v>220</v>
      </c>
      <c r="AB558" s="27">
        <f t="shared" ca="1" si="1553"/>
        <v>43646.687999999871</v>
      </c>
      <c r="AC558" s="25">
        <f t="shared" ca="1" si="1553"/>
        <v>18353</v>
      </c>
      <c r="AD558" s="25">
        <f t="shared" ca="1" si="1553"/>
        <v>189</v>
      </c>
      <c r="AE558" s="25">
        <f t="shared" ca="1" si="1553"/>
        <v>18542</v>
      </c>
      <c r="AF558" s="25">
        <f t="shared" ca="1" si="1553"/>
        <v>22748</v>
      </c>
      <c r="AG558" s="25">
        <f t="shared" ca="1" si="1553"/>
        <v>705</v>
      </c>
      <c r="AH558" s="25">
        <f t="shared" ca="1" si="1553"/>
        <v>23453</v>
      </c>
      <c r="AI558" s="25">
        <f t="shared" ca="1" si="1553"/>
        <v>41995</v>
      </c>
      <c r="AJ558" s="27">
        <f t="shared" ca="1" si="1532"/>
        <v>198.39403636363576</v>
      </c>
      <c r="AK558" s="24">
        <f>SUM(AK552:AK557)</f>
        <v>53273</v>
      </c>
      <c r="AL558" s="28">
        <f t="shared" ca="1" si="1534"/>
        <v>0.78829801212621775</v>
      </c>
      <c r="AM558" s="29">
        <v>1.5</v>
      </c>
      <c r="AN558" s="28">
        <f t="shared" ca="1" si="1536"/>
        <v>0.64143851342550318</v>
      </c>
      <c r="AO558" s="30">
        <f t="shared" ca="1" si="1537"/>
        <v>0.96215777013825476</v>
      </c>
      <c r="AP558" s="29">
        <f ca="1">SUM(AP552:AP557)</f>
        <v>1431.977409738297</v>
      </c>
      <c r="AQ558" s="29">
        <f ca="1">AP558/AA558</f>
        <v>6.5089882260831677</v>
      </c>
      <c r="AR558" s="25">
        <f t="shared" ca="1" si="1539"/>
        <v>190.88636363636363</v>
      </c>
      <c r="AS558" s="76"/>
      <c r="AT558" s="76"/>
    </row>
    <row r="559" spans="1:46" ht="15.75" customHeight="1" x14ac:dyDescent="0.25">
      <c r="A559" s="70"/>
      <c r="B559" s="16">
        <v>14</v>
      </c>
      <c r="C559" s="16" t="s">
        <v>27</v>
      </c>
      <c r="D559" s="17">
        <v>30</v>
      </c>
      <c r="E559" s="18">
        <f ca="1">IFERROR(__xludf.DUMMYFUNCTION("COUNT(IMPORTRANGE(""https://docs.google.com/spreadsheets/d/1iYtf3wkjJIgOL8ej0-L89wY8FLXKi6EiRbi9UqA1Bzw/edit"",""21!d2:d31""))"),29)</f>
        <v>29</v>
      </c>
      <c r="F559" s="23">
        <f ca="1">IFERROR(__xludf.DUMMYFUNCTION("SUM(IMPORTRANGE(""https://docs.google.com/spreadsheets/d/1iYtf3wkjJIgOL8ej0-L89wY8FLXKi6EiRbi9UqA1Bzw/edit"",""21!Q2:Q31""))"),5405.805)</f>
        <v>5405.8050000000003</v>
      </c>
      <c r="G559" s="18">
        <f ca="1">IFERROR(__xludf.DUMMYFUNCTION("IMPORTRANGE(""https://docs.google.com/spreadsheets/d/1iYtf3wkjJIgOL8ej0-L89wY8FLXKi6EiRbi9UqA1Bzw/edit"",""21!e38"")"),2796)</f>
        <v>2796</v>
      </c>
      <c r="H559" s="18">
        <f ca="1">IFERROR(__xludf.DUMMYFUNCTION("IMPORTRANGE(""https://docs.google.com/spreadsheets/d/1iYtf3wkjJIgOL8ej0-L89wY8FLXKi6EiRbi9UqA1Bzw/edit"",""21!e39"")"),220)</f>
        <v>220</v>
      </c>
      <c r="I559" s="18">
        <f t="shared" ca="1" si="1512"/>
        <v>3016</v>
      </c>
      <c r="J559" s="18">
        <f ca="1">IFERROR(__xludf.DUMMYFUNCTION("IMPORTRANGE(""https://docs.google.com/spreadsheets/d/1iYtf3wkjJIgOL8ej0-L89wY8FLXKi6EiRbi9UqA1Bzw/edit"",""21!e42"")"),2998)</f>
        <v>2998</v>
      </c>
      <c r="K559" s="18">
        <f ca="1">IFERROR(__xludf.DUMMYFUNCTION("IMPORTRANGE(""https://docs.google.com/spreadsheets/d/1iYtf3wkjJIgOL8ej0-L89wY8FLXKi6EiRbi9UqA1Bzw/edit"",""21!e43"")"),192)</f>
        <v>192</v>
      </c>
      <c r="L559" s="18">
        <f t="shared" ca="1" si="1542"/>
        <v>3190</v>
      </c>
      <c r="M559" s="18">
        <f t="shared" ca="1" si="1514"/>
        <v>6206</v>
      </c>
      <c r="N559" s="19">
        <f t="shared" ca="1" si="1515"/>
        <v>186.40706896551725</v>
      </c>
      <c r="O559" s="16">
        <v>8101</v>
      </c>
      <c r="P559" s="20">
        <f t="shared" ca="1" si="1516"/>
        <v>0.76607826194297002</v>
      </c>
      <c r="Q559" s="21">
        <v>1.5</v>
      </c>
      <c r="R559" s="20">
        <f t="shared" ca="1" si="1517"/>
        <v>0.76535008816139927</v>
      </c>
      <c r="S559" s="22">
        <f t="shared" ca="1" si="1518"/>
        <v>1.1480251322420989</v>
      </c>
      <c r="T559" s="21">
        <f ca="1">F559/19.985</f>
        <v>270.49311983987991</v>
      </c>
      <c r="U559" s="21">
        <f t="shared" ca="1" si="1519"/>
        <v>9.3273489599958594</v>
      </c>
      <c r="V559" s="18">
        <f t="shared" ca="1" si="1520"/>
        <v>214</v>
      </c>
      <c r="W559" s="76"/>
      <c r="X559" s="97" t="s">
        <v>44</v>
      </c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9"/>
      <c r="AS559" s="76"/>
      <c r="AT559" s="76"/>
    </row>
    <row r="560" spans="1:46" ht="15.75" customHeight="1" x14ac:dyDescent="0.25">
      <c r="A560" s="70"/>
      <c r="B560" s="16">
        <v>15</v>
      </c>
      <c r="C560" s="16" t="s">
        <v>40</v>
      </c>
      <c r="D560" s="17">
        <v>30</v>
      </c>
      <c r="E560" s="18">
        <f ca="1">IFERROR(__xludf.DUMMYFUNCTION("COUNT(IMPORTRANGE(""https://docs.google.com/spreadsheets/d/1Wdf8MsoDBzMSsrzOXwaGQzbVjVqOWfKSqYmbncevZgA/edit"",""21!d2:d31""))"),30)</f>
        <v>30</v>
      </c>
      <c r="F560" s="23">
        <f ca="1">IFERROR(__xludf.DUMMYFUNCTION("SUM(IMPORTRANGE(""https://docs.google.com/spreadsheets/d/1Wdf8MsoDBzMSsrzOXwaGQzbVjVqOWfKSqYmbncevZgA/edit"",""21!Q2:Q31""))"),5973.02999999999)</f>
        <v>5973.0299999999897</v>
      </c>
      <c r="G560" s="18">
        <f ca="1">IFERROR(__xludf.DUMMYFUNCTION("IMPORTRANGE(""https://docs.google.com/spreadsheets/d/1Wdf8MsoDBzMSsrzOXwaGQzbVjVqOWfKSqYmbncevZgA/edit"",""21!e38"")"),3315)</f>
        <v>3315</v>
      </c>
      <c r="H560" s="18">
        <f ca="1">IFERROR(__xludf.DUMMYFUNCTION("IMPORTRANGE(""https://docs.google.com/spreadsheets/d/1Wdf8MsoDBzMSsrzOXwaGQzbVjVqOWfKSqYmbncevZgA/edit"",""21!e39"")"),125)</f>
        <v>125</v>
      </c>
      <c r="I560" s="18">
        <f t="shared" ca="1" si="1512"/>
        <v>3440</v>
      </c>
      <c r="J560" s="18">
        <f ca="1">IFERROR(__xludf.DUMMYFUNCTION("IMPORTRANGE(""https://docs.google.com/spreadsheets/d/1Wdf8MsoDBzMSsrzOXwaGQzbVjVqOWfKSqYmbncevZgA/edit"",""21!e42"")"),3730)</f>
        <v>3730</v>
      </c>
      <c r="K560" s="18">
        <f ca="1">IFERROR(__xludf.DUMMYFUNCTION("IMPORTRANGE(""https://docs.google.com/spreadsheets/d/1Wdf8MsoDBzMSsrzOXwaGQzbVjVqOWfKSqYmbncevZgA/edit"",""21!e43"")"),204)</f>
        <v>204</v>
      </c>
      <c r="L560" s="18">
        <f t="shared" ca="1" si="1542"/>
        <v>3934</v>
      </c>
      <c r="M560" s="18">
        <f t="shared" ca="1" si="1514"/>
        <v>7374</v>
      </c>
      <c r="N560" s="19">
        <f t="shared" ca="1" si="1515"/>
        <v>199.10099999999966</v>
      </c>
      <c r="O560" s="16">
        <v>8239</v>
      </c>
      <c r="P560" s="20">
        <f t="shared" ca="1" si="1516"/>
        <v>0.89501153052554927</v>
      </c>
      <c r="Q560" s="21">
        <v>1.5</v>
      </c>
      <c r="R560" s="20">
        <f t="shared" ca="1" si="1517"/>
        <v>0.82303286606630277</v>
      </c>
      <c r="S560" s="22">
        <f t="shared" ca="1" si="1518"/>
        <v>1.2345492990994542</v>
      </c>
      <c r="T560" s="21">
        <f ca="1">F560/28.443</f>
        <v>209.99999999999963</v>
      </c>
      <c r="U560" s="21">
        <f t="shared" ca="1" si="1519"/>
        <v>6.9999999999999876</v>
      </c>
      <c r="V560" s="18">
        <f t="shared" ca="1" si="1520"/>
        <v>245.8</v>
      </c>
      <c r="W560" s="76"/>
      <c r="X560" s="1" t="s">
        <v>2</v>
      </c>
      <c r="Y560" s="1" t="s">
        <v>3</v>
      </c>
      <c r="Z560" s="1" t="s">
        <v>4</v>
      </c>
      <c r="AA560" s="1" t="s">
        <v>5</v>
      </c>
      <c r="AB560" s="2" t="s">
        <v>6</v>
      </c>
      <c r="AC560" s="1" t="s">
        <v>7</v>
      </c>
      <c r="AD560" s="1" t="s">
        <v>8</v>
      </c>
      <c r="AE560" s="1" t="s">
        <v>9</v>
      </c>
      <c r="AF560" s="1" t="s">
        <v>10</v>
      </c>
      <c r="AG560" s="1" t="s">
        <v>11</v>
      </c>
      <c r="AH560" s="1" t="s">
        <v>12</v>
      </c>
      <c r="AI560" s="1" t="s">
        <v>13</v>
      </c>
      <c r="AJ560" s="2" t="s">
        <v>14</v>
      </c>
      <c r="AK560" s="1" t="s">
        <v>15</v>
      </c>
      <c r="AL560" s="1" t="s">
        <v>16</v>
      </c>
      <c r="AM560" s="3" t="s">
        <v>17</v>
      </c>
      <c r="AN560" s="4" t="s">
        <v>18</v>
      </c>
      <c r="AO560" s="5" t="s">
        <v>19</v>
      </c>
      <c r="AP560" s="6" t="s">
        <v>20</v>
      </c>
      <c r="AQ560" s="6" t="s">
        <v>21</v>
      </c>
      <c r="AR560" s="7" t="s">
        <v>22</v>
      </c>
      <c r="AS560" s="76"/>
      <c r="AT560" s="76"/>
    </row>
    <row r="561" spans="1:46" ht="15.75" customHeight="1" x14ac:dyDescent="0.25">
      <c r="A561" s="70"/>
      <c r="B561" s="16">
        <v>16</v>
      </c>
      <c r="C561" s="16" t="s">
        <v>42</v>
      </c>
      <c r="D561" s="17">
        <v>33</v>
      </c>
      <c r="E561" s="18">
        <f ca="1">IFERROR(__xludf.DUMMYFUNCTION("COUNT(IMPORTRANGE(""https://docs.google.com/spreadsheets/d/1Z5uB5HbeAKcHmG4EOw3rf2J8NpyvDiha6RReERAMvA0/edit"",""21!d2:d34""))"),33)</f>
        <v>33</v>
      </c>
      <c r="F561" s="23">
        <f ca="1">IFERROR(__xludf.DUMMYFUNCTION("SUM(IMPORTRANGE(""https://docs.google.com/spreadsheets/d/1Z5uB5HbeAKcHmG4EOw3rf2J8NpyvDiha6RReERAMvA0/edit"",""21!Q2:Q34""))"),6484.90199999999)</f>
        <v>6484.90199999999</v>
      </c>
      <c r="G561" s="18">
        <f ca="1">IFERROR(__xludf.DUMMYFUNCTION("IMPORTRANGE(""https://docs.google.com/spreadsheets/d/1Z5uB5HbeAKcHmG4EOw3rf2J8NpyvDiha6RReERAMvA0/edit"",""21!e41"")"),3804)</f>
        <v>3804</v>
      </c>
      <c r="H561" s="18">
        <f ca="1">IFERROR(__xludf.DUMMYFUNCTION("IMPORTRANGE(""https://docs.google.com/spreadsheets/d/1Z5uB5HbeAKcHmG4EOw3rf2J8NpyvDiha6RReERAMvA0/edit"",""21!e42"")"),0)</f>
        <v>0</v>
      </c>
      <c r="I561" s="18">
        <f t="shared" ca="1" si="1512"/>
        <v>3804</v>
      </c>
      <c r="J561" s="18">
        <f ca="1">IFERROR(__xludf.DUMMYFUNCTION("IMPORTRANGE(""https://docs.google.com/spreadsheets/d/1Z5uB5HbeAKcHmG4EOw3rf2J8NpyvDiha6RReERAMvA0/edit"",""21!e45"")"),3930)</f>
        <v>3930</v>
      </c>
      <c r="K561" s="18">
        <f ca="1">IFERROR(__xludf.DUMMYFUNCTION("IMPORTRANGE(""https://docs.google.com/spreadsheets/d/1Z5uB5HbeAKcHmG4EOw3rf2J8NpyvDiha6RReERAMvA0/edit"",""21!e46"")"),93)</f>
        <v>93</v>
      </c>
      <c r="L561" s="18">
        <f t="shared" ca="1" si="1542"/>
        <v>4023</v>
      </c>
      <c r="M561" s="18">
        <f t="shared" ca="1" si="1514"/>
        <v>7827</v>
      </c>
      <c r="N561" s="19">
        <f t="shared" ca="1" si="1515"/>
        <v>196.51218181818152</v>
      </c>
      <c r="O561" s="16">
        <v>9877</v>
      </c>
      <c r="P561" s="20">
        <f t="shared" ca="1" si="1516"/>
        <v>0.79244709932165636</v>
      </c>
      <c r="Q561" s="21">
        <v>1.5</v>
      </c>
      <c r="R561" s="20">
        <f t="shared" ca="1" si="1517"/>
        <v>0.80463821966777715</v>
      </c>
      <c r="S561" s="22">
        <f t="shared" ca="1" si="1518"/>
        <v>1.2069573295016658</v>
      </c>
      <c r="T561" s="21">
        <f ca="1">F561/26.155</f>
        <v>247.94119671190938</v>
      </c>
      <c r="U561" s="21">
        <f t="shared" ca="1" si="1519"/>
        <v>7.5133695973305876</v>
      </c>
      <c r="V561" s="18">
        <f t="shared" ca="1" si="1520"/>
        <v>237.18181818181819</v>
      </c>
      <c r="W561" s="76"/>
      <c r="X561" s="8">
        <v>1</v>
      </c>
      <c r="Y561" s="8" t="s">
        <v>26</v>
      </c>
      <c r="Z561" s="8">
        <f t="shared" ref="Z561:AI561" si="1554">SUM(D546)</f>
        <v>20</v>
      </c>
      <c r="AA561" s="9">
        <f t="shared" ca="1" si="1554"/>
        <v>20</v>
      </c>
      <c r="AB561" s="11">
        <f t="shared" ca="1" si="1554"/>
        <v>3741.2280000000001</v>
      </c>
      <c r="AC561" s="9">
        <f t="shared" ca="1" si="1554"/>
        <v>1917</v>
      </c>
      <c r="AD561" s="9">
        <f t="shared" ca="1" si="1554"/>
        <v>0</v>
      </c>
      <c r="AE561" s="9">
        <f t="shared" ca="1" si="1554"/>
        <v>1917</v>
      </c>
      <c r="AF561" s="9">
        <f t="shared" ca="1" si="1554"/>
        <v>3192</v>
      </c>
      <c r="AG561" s="9">
        <f t="shared" ca="1" si="1554"/>
        <v>0</v>
      </c>
      <c r="AH561" s="9">
        <f t="shared" ca="1" si="1554"/>
        <v>3192</v>
      </c>
      <c r="AI561" s="9">
        <f t="shared" ca="1" si="1554"/>
        <v>5109</v>
      </c>
      <c r="AJ561" s="11">
        <f t="shared" ref="AJ561:AJ567" ca="1" si="1555">AB561/AA561</f>
        <v>187.06139999999999</v>
      </c>
      <c r="AK561" s="8">
        <f>SUM(O546)</f>
        <v>5161</v>
      </c>
      <c r="AL561" s="12">
        <f t="shared" ref="AL561:AL567" ca="1" si="1556">AI561/AK561</f>
        <v>0.98992443324937029</v>
      </c>
      <c r="AM561" s="13">
        <f>SUM(Q546)</f>
        <v>1.5</v>
      </c>
      <c r="AN561" s="12">
        <f t="shared" ref="AN561:AN567" ca="1" si="1557">AO561/AM561</f>
        <v>0.91039626561118425</v>
      </c>
      <c r="AO561" s="14">
        <f t="shared" ref="AO561:AO567" ca="1" si="1558">AI561/AB561</f>
        <v>1.3655943984167764</v>
      </c>
      <c r="AP561" s="13">
        <f t="shared" ref="AP561:AQ561" ca="1" si="1559">SUM(T546)</f>
        <v>259.5371488033299</v>
      </c>
      <c r="AQ561" s="13">
        <f t="shared" ca="1" si="1559"/>
        <v>12.976857440166494</v>
      </c>
      <c r="AR561" s="9">
        <f t="shared" ref="AR561:AR567" ca="1" si="1560">AI561/AA561</f>
        <v>255.45</v>
      </c>
      <c r="AS561" s="76"/>
      <c r="AT561" s="76"/>
    </row>
    <row r="562" spans="1:46" ht="15.75" customHeight="1" x14ac:dyDescent="0.25">
      <c r="A562" s="70"/>
      <c r="B562" s="16">
        <v>17</v>
      </c>
      <c r="C562" s="16" t="s">
        <v>29</v>
      </c>
      <c r="D562" s="17">
        <v>30</v>
      </c>
      <c r="E562" s="18">
        <f ca="1">IFERROR(__xludf.DUMMYFUNCTION("COUNT(IMPORTRANGE(""https://docs.google.com/spreadsheets/d/1wfJqI0e9wVPqEQv3N6b8KgINjqI0OBECEyIFeY9j3i8/edit"",""21!d2:d31""))"),30)</f>
        <v>30</v>
      </c>
      <c r="F562" s="23">
        <f ca="1">IFERROR(__xludf.DUMMYFUNCTION("SUM(IMPORTRANGE(""https://docs.google.com/spreadsheets/d/1wfJqI0e9wVPqEQv3N6b8KgINjqI0OBECEyIFeY9j3i8/edit"",""21!Q2:Q31""))"),6145.91199999999)</f>
        <v>6145.9119999999903</v>
      </c>
      <c r="G562" s="18">
        <f ca="1">IFERROR(__xludf.DUMMYFUNCTION("IMPORTRANGE(""https://docs.google.com/spreadsheets/d/1wfJqI0e9wVPqEQv3N6b8KgINjqI0OBECEyIFeY9j3i8/edit"",""21!e38"")"),2799)</f>
        <v>2799</v>
      </c>
      <c r="H562" s="18">
        <f ca="1">IFERROR(__xludf.DUMMYFUNCTION("IMPORTRANGE(""https://docs.google.com/spreadsheets/d/1wfJqI0e9wVPqEQv3N6b8KgINjqI0OBECEyIFeY9j3i8/edit"",""21!e39"")"),0)</f>
        <v>0</v>
      </c>
      <c r="I562" s="18">
        <f t="shared" ca="1" si="1512"/>
        <v>2799</v>
      </c>
      <c r="J562" s="18">
        <f ca="1">IFERROR(__xludf.DUMMYFUNCTION("IMPORTRANGE(""https://docs.google.com/spreadsheets/d/1wfJqI0e9wVPqEQv3N6b8KgINjqI0OBECEyIFeY9j3i8/edit"",""21!e42"")"),4240)</f>
        <v>4240</v>
      </c>
      <c r="K562" s="18">
        <f ca="1">IFERROR(__xludf.DUMMYFUNCTION("IMPORTRANGE(""https://docs.google.com/spreadsheets/d/1wfJqI0e9wVPqEQv3N6b8KgINjqI0OBECEyIFeY9j3i8/edit"",""21!e43"")"),0)</f>
        <v>0</v>
      </c>
      <c r="L562" s="18">
        <f t="shared" ca="1" si="1542"/>
        <v>4240</v>
      </c>
      <c r="M562" s="18">
        <f t="shared" ca="1" si="1514"/>
        <v>7039</v>
      </c>
      <c r="N562" s="19">
        <f t="shared" ca="1" si="1515"/>
        <v>204.86373333333302</v>
      </c>
      <c r="O562" s="16">
        <v>9201</v>
      </c>
      <c r="P562" s="20">
        <f t="shared" ca="1" si="1516"/>
        <v>0.76502554070209761</v>
      </c>
      <c r="Q562" s="21">
        <v>1.5</v>
      </c>
      <c r="R562" s="20">
        <f t="shared" ca="1" si="1517"/>
        <v>0.76354276902543905</v>
      </c>
      <c r="S562" s="22">
        <f t="shared" ca="1" si="1518"/>
        <v>1.1453141535381586</v>
      </c>
      <c r="T562" s="21">
        <f ca="1">F562/26.491</f>
        <v>231.99999999999963</v>
      </c>
      <c r="U562" s="21">
        <f t="shared" ca="1" si="1519"/>
        <v>7.733333333333321</v>
      </c>
      <c r="V562" s="18">
        <f t="shared" ca="1" si="1520"/>
        <v>234.63333333333333</v>
      </c>
      <c r="W562" s="76"/>
      <c r="X562" s="8">
        <v>2</v>
      </c>
      <c r="Y562" s="8" t="s">
        <v>32</v>
      </c>
      <c r="Z562" s="8">
        <f t="shared" ref="Z562:AI562" si="1561">SUM(D549)</f>
        <v>42</v>
      </c>
      <c r="AA562" s="9">
        <f t="shared" ca="1" si="1561"/>
        <v>42</v>
      </c>
      <c r="AB562" s="10">
        <f t="shared" ca="1" si="1561"/>
        <v>8329.5479999999898</v>
      </c>
      <c r="AC562" s="8">
        <f t="shared" ca="1" si="1561"/>
        <v>4795</v>
      </c>
      <c r="AD562" s="8">
        <f t="shared" ca="1" si="1561"/>
        <v>59</v>
      </c>
      <c r="AE562" s="9">
        <f t="shared" ca="1" si="1561"/>
        <v>4854</v>
      </c>
      <c r="AF562" s="8">
        <f t="shared" ca="1" si="1561"/>
        <v>5766</v>
      </c>
      <c r="AG562" s="8">
        <f t="shared" ca="1" si="1561"/>
        <v>0</v>
      </c>
      <c r="AH562" s="9">
        <f t="shared" ca="1" si="1561"/>
        <v>5766</v>
      </c>
      <c r="AI562" s="9">
        <f t="shared" ca="1" si="1561"/>
        <v>10620</v>
      </c>
      <c r="AJ562" s="11">
        <f t="shared" ca="1" si="1555"/>
        <v>198.32257142857119</v>
      </c>
      <c r="AK562" s="8">
        <f>SUM(O549)</f>
        <v>13817</v>
      </c>
      <c r="AL562" s="12">
        <f t="shared" ca="1" si="1556"/>
        <v>0.76861836867626832</v>
      </c>
      <c r="AM562" s="13">
        <f>SUM(Q549)</f>
        <v>1.5</v>
      </c>
      <c r="AN562" s="12">
        <f t="shared" ca="1" si="1557"/>
        <v>0.84998609768501343</v>
      </c>
      <c r="AO562" s="14">
        <f t="shared" ca="1" si="1558"/>
        <v>1.2749791465275202</v>
      </c>
      <c r="AP562" s="13">
        <f t="shared" ref="AP562:AQ562" ca="1" si="1562">SUM(T549)</f>
        <v>331.9999999999996</v>
      </c>
      <c r="AQ562" s="13">
        <f t="shared" ca="1" si="1562"/>
        <v>7.9047619047618953</v>
      </c>
      <c r="AR562" s="9">
        <f t="shared" ca="1" si="1560"/>
        <v>252.85714285714286</v>
      </c>
      <c r="AS562" s="76"/>
      <c r="AT562" s="76"/>
    </row>
    <row r="563" spans="1:46" ht="15.75" customHeight="1" x14ac:dyDescent="0.25">
      <c r="A563" s="70"/>
      <c r="B563" s="16">
        <v>18</v>
      </c>
      <c r="C563" s="16" t="s">
        <v>31</v>
      </c>
      <c r="D563" s="17">
        <v>15</v>
      </c>
      <c r="E563" s="18">
        <f ca="1">IFERROR(__xludf.DUMMYFUNCTION("COUNT(IMPORTRANGE(""https://docs.google.com/spreadsheets/d/1-y2KhTAo7d8kowgUuWUDfRQuRMUAFteRYEXorT3_wOs/edit"",""21!d2:d16""))"),14)</f>
        <v>14</v>
      </c>
      <c r="F563" s="19">
        <f ca="1">IFERROR(__xludf.DUMMYFUNCTION("SUM(IMPORTRANGE(""https://docs.google.com/spreadsheets/d/1-y2KhTAo7d8kowgUuWUDfRQuRMUAFteRYEXorT3_wOs/edit"",""21!Q2:Q16""))"),2694.83)</f>
        <v>2694.83</v>
      </c>
      <c r="G563" s="18">
        <f ca="1">IFERROR(__xludf.DUMMYFUNCTION("IMPORTRANGE(""https://docs.google.com/spreadsheets/d/1-y2KhTAo7d8kowgUuWUDfRQuRMUAFteRYEXorT3_wOs/edit"",""21!e23"")"),843)</f>
        <v>843</v>
      </c>
      <c r="H563" s="18">
        <f ca="1">IFERROR(__xludf.DUMMYFUNCTION("IMPORTRANGE(""https://docs.google.com/spreadsheets/d/1-y2KhTAo7d8kowgUuWUDfRQuRMUAFteRYEXorT3_wOs/edit"",""21!e24"")"),0)</f>
        <v>0</v>
      </c>
      <c r="I563" s="18">
        <f t="shared" ca="1" si="1512"/>
        <v>843</v>
      </c>
      <c r="J563" s="18">
        <f ca="1">IFERROR(__xludf.DUMMYFUNCTION("IMPORTRANGE(""https://docs.google.com/spreadsheets/d/1-y2KhTAo7d8kowgUuWUDfRQuRMUAFteRYEXorT3_wOs/edit"",""21!e27"")"),1030)</f>
        <v>1030</v>
      </c>
      <c r="K563" s="18">
        <f ca="1">IFERROR(__xludf.DUMMYFUNCTION("IMPORTRANGE(""https://docs.google.com/spreadsheets/d/1-y2KhTAo7d8kowgUuWUDfRQuRMUAFteRYEXorT3_wOs/edit"",""21!e28"")"),50)</f>
        <v>50</v>
      </c>
      <c r="L563" s="18">
        <f t="shared" ca="1" si="1542"/>
        <v>1080</v>
      </c>
      <c r="M563" s="18">
        <f t="shared" ca="1" si="1514"/>
        <v>1923</v>
      </c>
      <c r="N563" s="19">
        <f t="shared" ca="1" si="1515"/>
        <v>192.48785714285714</v>
      </c>
      <c r="O563" s="16">
        <v>2717</v>
      </c>
      <c r="P563" s="20">
        <f t="shared" ca="1" si="1516"/>
        <v>0.70776591829223412</v>
      </c>
      <c r="Q563" s="21">
        <v>1.5</v>
      </c>
      <c r="R563" s="20">
        <f t="shared" ca="1" si="1517"/>
        <v>0.47572574151245162</v>
      </c>
      <c r="S563" s="22">
        <f t="shared" ca="1" si="1518"/>
        <v>0.71358861226867742</v>
      </c>
      <c r="T563" s="21">
        <f ca="1">F563/43.465</f>
        <v>61.999999999999993</v>
      </c>
      <c r="U563" s="21">
        <f t="shared" ca="1" si="1519"/>
        <v>4.4285714285714279</v>
      </c>
      <c r="V563" s="18">
        <f t="shared" ca="1" si="1520"/>
        <v>137.35714285714286</v>
      </c>
      <c r="W563" s="76"/>
      <c r="X563" s="8">
        <v>3</v>
      </c>
      <c r="Y563" s="8" t="s">
        <v>36</v>
      </c>
      <c r="Z563" s="8">
        <f t="shared" ref="Z563:AI563" si="1563">SUM(D554)</f>
        <v>30</v>
      </c>
      <c r="AA563" s="9">
        <f t="shared" ca="1" si="1563"/>
        <v>29</v>
      </c>
      <c r="AB563" s="10">
        <f t="shared" ca="1" si="1563"/>
        <v>5587.8069999999898</v>
      </c>
      <c r="AC563" s="9">
        <f t="shared" ca="1" si="1563"/>
        <v>1653</v>
      </c>
      <c r="AD563" s="9">
        <f t="shared" ca="1" si="1563"/>
        <v>0</v>
      </c>
      <c r="AE563" s="9">
        <f t="shared" ca="1" si="1563"/>
        <v>1653</v>
      </c>
      <c r="AF563" s="9">
        <f t="shared" ca="1" si="1563"/>
        <v>2317</v>
      </c>
      <c r="AG563" s="9">
        <f t="shared" ca="1" si="1563"/>
        <v>0</v>
      </c>
      <c r="AH563" s="9">
        <f t="shared" ca="1" si="1563"/>
        <v>2317</v>
      </c>
      <c r="AI563" s="9">
        <f t="shared" ca="1" si="1563"/>
        <v>3970</v>
      </c>
      <c r="AJ563" s="11">
        <f t="shared" ca="1" si="1555"/>
        <v>192.68299999999965</v>
      </c>
      <c r="AK563" s="8">
        <f t="shared" ref="AK563:AK566" si="1564">SUM(O554)</f>
        <v>4796</v>
      </c>
      <c r="AL563" s="12">
        <f t="shared" ca="1" si="1556"/>
        <v>0.82777314428690574</v>
      </c>
      <c r="AM563" s="13">
        <f t="shared" ref="AM563:AM566" si="1565">SUM(Q554)</f>
        <v>1.5</v>
      </c>
      <c r="AN563" s="12">
        <f t="shared" ca="1" si="1557"/>
        <v>0.47365033664667938</v>
      </c>
      <c r="AO563" s="14">
        <f t="shared" ca="1" si="1558"/>
        <v>0.7104755049700191</v>
      </c>
      <c r="AP563" s="13">
        <f t="shared" ref="AP563:AQ563" ca="1" si="1566">SUM(T554)</f>
        <v>149.35069759982866</v>
      </c>
      <c r="AQ563" s="13">
        <f t="shared" ca="1" si="1566"/>
        <v>5.1500240551665053</v>
      </c>
      <c r="AR563" s="9">
        <f t="shared" ca="1" si="1560"/>
        <v>136.89655172413794</v>
      </c>
      <c r="AS563" s="76"/>
      <c r="AT563" s="76"/>
    </row>
    <row r="564" spans="1:46" ht="15.75" customHeight="1" x14ac:dyDescent="0.2">
      <c r="A564" s="70"/>
      <c r="B564" s="98" t="s">
        <v>33</v>
      </c>
      <c r="C564" s="98">
        <v>18</v>
      </c>
      <c r="D564" s="98">
        <f t="shared" ref="D564:M564" si="1567">SUM(D546:D563)</f>
        <v>586</v>
      </c>
      <c r="E564" s="74">
        <f t="shared" ca="1" si="1567"/>
        <v>571</v>
      </c>
      <c r="F564" s="99">
        <f t="shared" ca="1" si="1567"/>
        <v>112524.24099999983</v>
      </c>
      <c r="G564" s="74">
        <f t="shared" ca="1" si="1567"/>
        <v>43239</v>
      </c>
      <c r="H564" s="74">
        <f t="shared" ca="1" si="1567"/>
        <v>858</v>
      </c>
      <c r="I564" s="74">
        <f t="shared" ca="1" si="1567"/>
        <v>44097</v>
      </c>
      <c r="J564" s="74">
        <f t="shared" ca="1" si="1567"/>
        <v>57437</v>
      </c>
      <c r="K564" s="74">
        <f t="shared" ca="1" si="1567"/>
        <v>1426</v>
      </c>
      <c r="L564" s="74">
        <f t="shared" ca="1" si="1567"/>
        <v>58863</v>
      </c>
      <c r="M564" s="74">
        <f t="shared" ca="1" si="1567"/>
        <v>102960</v>
      </c>
      <c r="N564" s="99">
        <f t="shared" ca="1" si="1515"/>
        <v>197.06522066549883</v>
      </c>
      <c r="O564" s="98">
        <f>SUM(O546:O563)</f>
        <v>126399</v>
      </c>
      <c r="P564" s="69">
        <f t="shared" ca="1" si="1516"/>
        <v>0.81456340635606295</v>
      </c>
      <c r="Q564" s="72">
        <v>1.5</v>
      </c>
      <c r="R564" s="69">
        <f t="shared" ca="1" si="1517"/>
        <v>0.61000189283658535</v>
      </c>
      <c r="S564" s="73">
        <f t="shared" ca="1" si="1518"/>
        <v>0.91500283925487802</v>
      </c>
      <c r="T564" s="72">
        <f ca="1">SUM(T546:T563)</f>
        <v>4143.2803605308254</v>
      </c>
      <c r="U564" s="72">
        <f t="shared" ca="1" si="1519"/>
        <v>7.2561827680049484</v>
      </c>
      <c r="V564" s="74">
        <f t="shared" ca="1" si="1520"/>
        <v>180.31523642732049</v>
      </c>
      <c r="W564" s="76"/>
      <c r="X564" s="8">
        <v>4</v>
      </c>
      <c r="Y564" s="8" t="s">
        <v>37</v>
      </c>
      <c r="Z564" s="8">
        <f t="shared" ref="Z564:AI564" si="1568">SUM(D555)</f>
        <v>30</v>
      </c>
      <c r="AA564" s="9">
        <f t="shared" ca="1" si="1568"/>
        <v>27</v>
      </c>
      <c r="AB564" s="10">
        <f t="shared" ca="1" si="1568"/>
        <v>5600.37</v>
      </c>
      <c r="AC564" s="9">
        <f t="shared" ca="1" si="1568"/>
        <v>2221</v>
      </c>
      <c r="AD564" s="9">
        <f t="shared" ca="1" si="1568"/>
        <v>0</v>
      </c>
      <c r="AE564" s="9">
        <f t="shared" ca="1" si="1568"/>
        <v>2221</v>
      </c>
      <c r="AF564" s="9">
        <f t="shared" ca="1" si="1568"/>
        <v>3290</v>
      </c>
      <c r="AG564" s="9">
        <f t="shared" ca="1" si="1568"/>
        <v>0</v>
      </c>
      <c r="AH564" s="9">
        <f t="shared" ca="1" si="1568"/>
        <v>3290</v>
      </c>
      <c r="AI564" s="9">
        <f t="shared" ca="1" si="1568"/>
        <v>5511</v>
      </c>
      <c r="AJ564" s="11">
        <f t="shared" ca="1" si="1555"/>
        <v>207.42111111111112</v>
      </c>
      <c r="AK564" s="8">
        <f t="shared" si="1564"/>
        <v>5887</v>
      </c>
      <c r="AL564" s="12">
        <f t="shared" ca="1" si="1556"/>
        <v>0.9361304569390182</v>
      </c>
      <c r="AM564" s="13">
        <f t="shared" si="1565"/>
        <v>1.5</v>
      </c>
      <c r="AN564" s="12">
        <f t="shared" ca="1" si="1557"/>
        <v>0.656028083858745</v>
      </c>
      <c r="AO564" s="14">
        <f t="shared" ca="1" si="1558"/>
        <v>0.98404212578811756</v>
      </c>
      <c r="AP564" s="13">
        <f t="shared" ref="AP564:AQ564" ca="1" si="1569">SUM(T555)</f>
        <v>225.89424007744432</v>
      </c>
      <c r="AQ564" s="13">
        <f t="shared" ca="1" si="1569"/>
        <v>8.3664533362016424</v>
      </c>
      <c r="AR564" s="9">
        <f t="shared" ca="1" si="1560"/>
        <v>204.11111111111111</v>
      </c>
      <c r="AS564" s="76"/>
      <c r="AT564" s="76"/>
    </row>
    <row r="565" spans="1:46" ht="15.75" customHeight="1" x14ac:dyDescent="0.2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6"/>
      <c r="X565" s="8">
        <v>5</v>
      </c>
      <c r="Y565" s="8" t="s">
        <v>39</v>
      </c>
      <c r="Z565" s="8">
        <f t="shared" ref="Z565:AI565" si="1570">SUM(D556)</f>
        <v>28</v>
      </c>
      <c r="AA565" s="9">
        <f t="shared" ca="1" si="1570"/>
        <v>27</v>
      </c>
      <c r="AB565" s="10">
        <f t="shared" ca="1" si="1570"/>
        <v>5318.4589999999998</v>
      </c>
      <c r="AC565" s="9">
        <f t="shared" ca="1" si="1570"/>
        <v>1294</v>
      </c>
      <c r="AD565" s="9">
        <f t="shared" ca="1" si="1570"/>
        <v>0</v>
      </c>
      <c r="AE565" s="9">
        <f t="shared" ca="1" si="1570"/>
        <v>1294</v>
      </c>
      <c r="AF565" s="9">
        <f t="shared" ca="1" si="1570"/>
        <v>1925</v>
      </c>
      <c r="AG565" s="9">
        <f t="shared" ca="1" si="1570"/>
        <v>32</v>
      </c>
      <c r="AH565" s="9">
        <f t="shared" ca="1" si="1570"/>
        <v>1957</v>
      </c>
      <c r="AI565" s="9">
        <f t="shared" ca="1" si="1570"/>
        <v>3251</v>
      </c>
      <c r="AJ565" s="11">
        <f t="shared" ca="1" si="1555"/>
        <v>196.97996296296296</v>
      </c>
      <c r="AK565" s="8">
        <f t="shared" si="1564"/>
        <v>3569</v>
      </c>
      <c r="AL565" s="12">
        <f t="shared" ca="1" si="1556"/>
        <v>0.91089941159988796</v>
      </c>
      <c r="AM565" s="13">
        <f t="shared" si="1565"/>
        <v>1.5</v>
      </c>
      <c r="AN565" s="12">
        <f t="shared" ca="1" si="1557"/>
        <v>0.40751152417144393</v>
      </c>
      <c r="AO565" s="14">
        <f t="shared" ca="1" si="1558"/>
        <v>0.61126728625716586</v>
      </c>
      <c r="AP565" s="13">
        <f t="shared" ref="AP565:AQ565" ca="1" si="1571">SUM(T556)</f>
        <v>247.7966267530168</v>
      </c>
      <c r="AQ565" s="13">
        <f t="shared" ca="1" si="1571"/>
        <v>9.177652842704326</v>
      </c>
      <c r="AR565" s="9">
        <f t="shared" ca="1" si="1560"/>
        <v>120.4074074074074</v>
      </c>
      <c r="AS565" s="76"/>
      <c r="AT565" s="76"/>
    </row>
    <row r="566" spans="1:46" ht="15.75" customHeight="1" x14ac:dyDescent="0.2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6"/>
      <c r="X566" s="8">
        <v>6</v>
      </c>
      <c r="Y566" s="8" t="s">
        <v>41</v>
      </c>
      <c r="Z566" s="8">
        <f t="shared" ref="Z566:AI566" si="1572">SUM(D557)</f>
        <v>24</v>
      </c>
      <c r="AA566" s="9">
        <f t="shared" ca="1" si="1572"/>
        <v>24</v>
      </c>
      <c r="AB566" s="10">
        <f t="shared" ca="1" si="1572"/>
        <v>4687.808</v>
      </c>
      <c r="AC566" s="9">
        <f t="shared" ca="1" si="1572"/>
        <v>1367</v>
      </c>
      <c r="AD566" s="9">
        <f t="shared" ca="1" si="1572"/>
        <v>0</v>
      </c>
      <c r="AE566" s="9">
        <f t="shared" ca="1" si="1572"/>
        <v>1367</v>
      </c>
      <c r="AF566" s="9">
        <f t="shared" ca="1" si="1572"/>
        <v>1799</v>
      </c>
      <c r="AG566" s="9">
        <f t="shared" ca="1" si="1572"/>
        <v>56</v>
      </c>
      <c r="AH566" s="9">
        <f t="shared" ca="1" si="1572"/>
        <v>1855</v>
      </c>
      <c r="AI566" s="9">
        <f t="shared" ca="1" si="1572"/>
        <v>3222</v>
      </c>
      <c r="AJ566" s="11">
        <f t="shared" ca="1" si="1555"/>
        <v>195.32533333333333</v>
      </c>
      <c r="AK566" s="8">
        <f t="shared" si="1564"/>
        <v>3801</v>
      </c>
      <c r="AL566" s="12">
        <f t="shared" ca="1" si="1556"/>
        <v>0.8476716653512234</v>
      </c>
      <c r="AM566" s="13">
        <f t="shared" si="1565"/>
        <v>1.5</v>
      </c>
      <c r="AN566" s="12">
        <f t="shared" ca="1" si="1557"/>
        <v>0.45820989255532646</v>
      </c>
      <c r="AO566" s="14">
        <f t="shared" ca="1" si="1558"/>
        <v>0.68731483883298972</v>
      </c>
      <c r="AP566" s="13">
        <f t="shared" ref="AP566:AQ566" ca="1" si="1573">SUM(T557)</f>
        <v>158.22222222222223</v>
      </c>
      <c r="AQ566" s="13">
        <f t="shared" ca="1" si="1573"/>
        <v>6.5925925925925926</v>
      </c>
      <c r="AR566" s="9">
        <f t="shared" ca="1" si="1560"/>
        <v>134.25</v>
      </c>
      <c r="AS566" s="76"/>
      <c r="AT566" s="76"/>
    </row>
    <row r="567" spans="1:46" ht="15.75" customHeight="1" x14ac:dyDescent="0.25">
      <c r="A567" s="110" t="s">
        <v>45</v>
      </c>
      <c r="B567" s="76"/>
      <c r="C567" s="76"/>
      <c r="D567" s="75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24" t="s">
        <v>33</v>
      </c>
      <c r="Y567" s="24">
        <v>6</v>
      </c>
      <c r="Z567" s="24">
        <f t="shared" ref="Z567:AI567" si="1574">SUM(Z561:Z566)</f>
        <v>174</v>
      </c>
      <c r="AA567" s="25">
        <f t="shared" ca="1" si="1574"/>
        <v>169</v>
      </c>
      <c r="AB567" s="27">
        <f t="shared" ca="1" si="1574"/>
        <v>33265.219999999979</v>
      </c>
      <c r="AC567" s="25">
        <f t="shared" ca="1" si="1574"/>
        <v>13247</v>
      </c>
      <c r="AD567" s="25">
        <f t="shared" ca="1" si="1574"/>
        <v>59</v>
      </c>
      <c r="AE567" s="25">
        <f t="shared" ca="1" si="1574"/>
        <v>13306</v>
      </c>
      <c r="AF567" s="25">
        <f t="shared" ca="1" si="1574"/>
        <v>18289</v>
      </c>
      <c r="AG567" s="25">
        <f t="shared" ca="1" si="1574"/>
        <v>88</v>
      </c>
      <c r="AH567" s="25">
        <f t="shared" ca="1" si="1574"/>
        <v>18377</v>
      </c>
      <c r="AI567" s="25">
        <f t="shared" ca="1" si="1574"/>
        <v>31683</v>
      </c>
      <c r="AJ567" s="27">
        <f t="shared" ca="1" si="1555"/>
        <v>196.83562130177503</v>
      </c>
      <c r="AK567" s="24">
        <f>SUM(AK561:AK566)</f>
        <v>37031</v>
      </c>
      <c r="AL567" s="28">
        <f t="shared" ca="1" si="1556"/>
        <v>0.85558045961491724</v>
      </c>
      <c r="AM567" s="29">
        <v>1.5</v>
      </c>
      <c r="AN567" s="28">
        <f t="shared" ca="1" si="1557"/>
        <v>0.63495747209848641</v>
      </c>
      <c r="AO567" s="30">
        <f t="shared" ca="1" si="1558"/>
        <v>0.95243620814772967</v>
      </c>
      <c r="AP567" s="29">
        <f ca="1">SUM(AP561:AP566)</f>
        <v>1372.8009354558415</v>
      </c>
      <c r="AQ567" s="29">
        <f ca="1">AP567/AA567</f>
        <v>8.1230824583185886</v>
      </c>
      <c r="AR567" s="25">
        <f t="shared" ca="1" si="1560"/>
        <v>187.47337278106508</v>
      </c>
      <c r="AS567" s="76"/>
      <c r="AT567" s="76"/>
    </row>
    <row r="568" spans="1:46" ht="15.75" customHeight="1" x14ac:dyDescent="0.2">
      <c r="A568" s="110" t="s">
        <v>45</v>
      </c>
      <c r="B568" s="76"/>
      <c r="C568" s="76"/>
      <c r="D568" s="75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7" t="s">
        <v>1</v>
      </c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9"/>
      <c r="AS568" s="76"/>
      <c r="AT568" s="76"/>
    </row>
    <row r="569" spans="1:46" ht="15.75" customHeight="1" x14ac:dyDescent="0.2">
      <c r="A569" s="109">
        <v>46287</v>
      </c>
      <c r="B569" s="80" t="s">
        <v>2</v>
      </c>
      <c r="C569" s="80" t="s">
        <v>3</v>
      </c>
      <c r="D569" s="80" t="s">
        <v>4</v>
      </c>
      <c r="E569" s="80" t="s">
        <v>5</v>
      </c>
      <c r="F569" s="81" t="s">
        <v>6</v>
      </c>
      <c r="G569" s="80" t="s">
        <v>7</v>
      </c>
      <c r="H569" s="80" t="s">
        <v>8</v>
      </c>
      <c r="I569" s="80" t="s">
        <v>9</v>
      </c>
      <c r="J569" s="80" t="s">
        <v>10</v>
      </c>
      <c r="K569" s="80" t="s">
        <v>11</v>
      </c>
      <c r="L569" s="80" t="s">
        <v>12</v>
      </c>
      <c r="M569" s="80" t="s">
        <v>13</v>
      </c>
      <c r="N569" s="81" t="s">
        <v>14</v>
      </c>
      <c r="O569" s="80" t="s">
        <v>15</v>
      </c>
      <c r="P569" s="80" t="s">
        <v>16</v>
      </c>
      <c r="Q569" s="80" t="s">
        <v>17</v>
      </c>
      <c r="R569" s="80" t="s">
        <v>18</v>
      </c>
      <c r="S569" s="106" t="s">
        <v>19</v>
      </c>
      <c r="T569" s="107" t="s">
        <v>20</v>
      </c>
      <c r="U569" s="107" t="s">
        <v>21</v>
      </c>
      <c r="V569" s="105" t="s">
        <v>22</v>
      </c>
      <c r="W569" s="76"/>
      <c r="X569" s="1" t="s">
        <v>2</v>
      </c>
      <c r="Y569" s="1" t="s">
        <v>3</v>
      </c>
      <c r="Z569" s="1" t="s">
        <v>4</v>
      </c>
      <c r="AA569" s="1" t="s">
        <v>5</v>
      </c>
      <c r="AB569" s="2" t="s">
        <v>6</v>
      </c>
      <c r="AC569" s="1" t="s">
        <v>7</v>
      </c>
      <c r="AD569" s="1" t="s">
        <v>8</v>
      </c>
      <c r="AE569" s="1" t="s">
        <v>9</v>
      </c>
      <c r="AF569" s="1" t="s">
        <v>10</v>
      </c>
      <c r="AG569" s="1" t="s">
        <v>11</v>
      </c>
      <c r="AH569" s="1" t="s">
        <v>12</v>
      </c>
      <c r="AI569" s="1" t="s">
        <v>13</v>
      </c>
      <c r="AJ569" s="2" t="s">
        <v>14</v>
      </c>
      <c r="AK569" s="1" t="s">
        <v>15</v>
      </c>
      <c r="AL569" s="1" t="s">
        <v>16</v>
      </c>
      <c r="AM569" s="3" t="s">
        <v>17</v>
      </c>
      <c r="AN569" s="4" t="s">
        <v>18</v>
      </c>
      <c r="AO569" s="5" t="s">
        <v>19</v>
      </c>
      <c r="AP569" s="6" t="s">
        <v>20</v>
      </c>
      <c r="AQ569" s="6" t="s">
        <v>21</v>
      </c>
      <c r="AR569" s="7" t="s">
        <v>22</v>
      </c>
      <c r="AS569" s="76"/>
      <c r="AT569" s="76"/>
    </row>
    <row r="570" spans="1:46" ht="15.75" customHeight="1" x14ac:dyDescent="0.2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6"/>
      <c r="X570" s="8">
        <v>1</v>
      </c>
      <c r="Y570" s="8" t="s">
        <v>23</v>
      </c>
      <c r="Z570" s="8">
        <f t="shared" ref="Z570:AI570" si="1575">SUM(D578)</f>
        <v>35</v>
      </c>
      <c r="AA570" s="9">
        <f t="shared" ca="1" si="1575"/>
        <v>35</v>
      </c>
      <c r="AB570" s="10">
        <f t="shared" ca="1" si="1575"/>
        <v>6984.1799999999903</v>
      </c>
      <c r="AC570" s="9">
        <f t="shared" ca="1" si="1575"/>
        <v>1890</v>
      </c>
      <c r="AD570" s="9">
        <f t="shared" ca="1" si="1575"/>
        <v>0</v>
      </c>
      <c r="AE570" s="9">
        <f t="shared" ca="1" si="1575"/>
        <v>1890</v>
      </c>
      <c r="AF570" s="9">
        <f t="shared" ca="1" si="1575"/>
        <v>3049</v>
      </c>
      <c r="AG570" s="9">
        <f t="shared" ca="1" si="1575"/>
        <v>0</v>
      </c>
      <c r="AH570" s="9">
        <f t="shared" ca="1" si="1575"/>
        <v>3049</v>
      </c>
      <c r="AI570" s="9">
        <f t="shared" ca="1" si="1575"/>
        <v>4939</v>
      </c>
      <c r="AJ570" s="11">
        <f t="shared" ref="AJ570:AJ572" ca="1" si="1576">AB570/AA570</f>
        <v>199.54799999999972</v>
      </c>
      <c r="AK570" s="8">
        <f>SUM(O578)</f>
        <v>6853</v>
      </c>
      <c r="AL570" s="12">
        <f t="shared" ref="AL570:AL576" ca="1" si="1577">AI570/AK570</f>
        <v>0.7207062600321027</v>
      </c>
      <c r="AM570" s="13">
        <f t="shared" ref="AM570:AM572" si="1578">SUM(Q578)</f>
        <v>1.5</v>
      </c>
      <c r="AN570" s="12">
        <f t="shared" ref="AN570:AN576" ca="1" si="1579">AO570/AM570</f>
        <v>0.4714464212930754</v>
      </c>
      <c r="AO570" s="14">
        <f t="shared" ref="AO570:AO576" ca="1" si="1580">AI570/AB570</f>
        <v>0.70716963193961313</v>
      </c>
      <c r="AP570" s="13">
        <f t="shared" ref="AP570:AQ570" ca="1" si="1581">SUM(T578)</f>
        <v>206.99999999999969</v>
      </c>
      <c r="AQ570" s="13">
        <f t="shared" ca="1" si="1581"/>
        <v>5.9142857142857057</v>
      </c>
      <c r="AR570" s="9">
        <f t="shared" ref="AR570:AR576" ca="1" si="1582">AI570/AA570</f>
        <v>141.11428571428573</v>
      </c>
      <c r="AS570" s="76"/>
      <c r="AT570" s="76"/>
    </row>
    <row r="571" spans="1:46" ht="15.75" customHeight="1" x14ac:dyDescent="0.2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6"/>
      <c r="X571" s="8">
        <v>2</v>
      </c>
      <c r="Y571" s="8" t="s">
        <v>24</v>
      </c>
      <c r="Z571" s="8">
        <f t="shared" ref="Z571:AI571" si="1583">SUM(D579)</f>
        <v>44</v>
      </c>
      <c r="AA571" s="9">
        <f t="shared" ca="1" si="1583"/>
        <v>43</v>
      </c>
      <c r="AB571" s="10">
        <f t="shared" ca="1" si="1583"/>
        <v>8388.2449999999899</v>
      </c>
      <c r="AC571" s="9">
        <f t="shared" ca="1" si="1583"/>
        <v>1060</v>
      </c>
      <c r="AD571" s="9">
        <f t="shared" ca="1" si="1583"/>
        <v>31</v>
      </c>
      <c r="AE571" s="9">
        <f t="shared" ca="1" si="1583"/>
        <v>1091</v>
      </c>
      <c r="AF571" s="9">
        <f t="shared" ca="1" si="1583"/>
        <v>1510</v>
      </c>
      <c r="AG571" s="9">
        <f t="shared" ca="1" si="1583"/>
        <v>0</v>
      </c>
      <c r="AH571" s="9">
        <f t="shared" ca="1" si="1583"/>
        <v>1510</v>
      </c>
      <c r="AI571" s="9">
        <f t="shared" ca="1" si="1583"/>
        <v>2601</v>
      </c>
      <c r="AJ571" s="11">
        <f t="shared" ca="1" si="1576"/>
        <v>195.07546511627882</v>
      </c>
      <c r="AK571" s="8">
        <v>1580</v>
      </c>
      <c r="AL571" s="15">
        <f t="shared" ca="1" si="1577"/>
        <v>1.6462025316455695</v>
      </c>
      <c r="AM571" s="13">
        <f t="shared" si="1578"/>
        <v>1.5</v>
      </c>
      <c r="AN571" s="12">
        <f t="shared" ca="1" si="1579"/>
        <v>0.20671785337695814</v>
      </c>
      <c r="AO571" s="14">
        <f t="shared" ca="1" si="1580"/>
        <v>0.31007678006543721</v>
      </c>
      <c r="AP571" s="13">
        <f t="shared" ref="AP571:AQ571" ca="1" si="1584">SUM(T579)</f>
        <v>312.93583286700203</v>
      </c>
      <c r="AQ571" s="13">
        <f t="shared" ca="1" si="1584"/>
        <v>7.2775775085349315</v>
      </c>
      <c r="AR571" s="9">
        <f t="shared" ca="1" si="1582"/>
        <v>60.488372093023258</v>
      </c>
      <c r="AS571" s="76"/>
      <c r="AT571" s="76"/>
    </row>
    <row r="572" spans="1:46" ht="15.75" customHeight="1" x14ac:dyDescent="0.2">
      <c r="A572" s="70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6"/>
      <c r="X572" s="8">
        <v>3</v>
      </c>
      <c r="Y572" s="8" t="s">
        <v>25</v>
      </c>
      <c r="Z572" s="8">
        <f t="shared" ref="Z572:AI572" si="1585">SUM(D580)</f>
        <v>32</v>
      </c>
      <c r="AA572" s="9">
        <f t="shared" ca="1" si="1585"/>
        <v>31</v>
      </c>
      <c r="AB572" s="10">
        <f t="shared" ca="1" si="1585"/>
        <v>6150.72</v>
      </c>
      <c r="AC572" s="9">
        <f t="shared" ca="1" si="1585"/>
        <v>2421</v>
      </c>
      <c r="AD572" s="9">
        <f t="shared" ca="1" si="1585"/>
        <v>335</v>
      </c>
      <c r="AE572" s="9">
        <f t="shared" ca="1" si="1585"/>
        <v>2756</v>
      </c>
      <c r="AF572" s="9">
        <f t="shared" ca="1" si="1585"/>
        <v>3083</v>
      </c>
      <c r="AG572" s="9">
        <f t="shared" ca="1" si="1585"/>
        <v>483</v>
      </c>
      <c r="AH572" s="9">
        <f t="shared" ca="1" si="1585"/>
        <v>3566</v>
      </c>
      <c r="AI572" s="9">
        <f t="shared" ca="1" si="1585"/>
        <v>6322</v>
      </c>
      <c r="AJ572" s="11">
        <f t="shared" ca="1" si="1576"/>
        <v>198.41032258064516</v>
      </c>
      <c r="AK572" s="8">
        <f>SUM(O580)</f>
        <v>6622</v>
      </c>
      <c r="AL572" s="12">
        <f t="shared" ca="1" si="1577"/>
        <v>0.95469646632437333</v>
      </c>
      <c r="AM572" s="13">
        <f t="shared" si="1578"/>
        <v>1.5</v>
      </c>
      <c r="AN572" s="12">
        <f t="shared" ca="1" si="1579"/>
        <v>0.68523143090023064</v>
      </c>
      <c r="AO572" s="14">
        <f t="shared" ca="1" si="1580"/>
        <v>1.027847146350346</v>
      </c>
      <c r="AP572" s="13">
        <f t="shared" ref="AP572:AQ572" ca="1" si="1586">SUM(T580)</f>
        <v>258</v>
      </c>
      <c r="AQ572" s="13">
        <f t="shared" ca="1" si="1586"/>
        <v>8.32258064516129</v>
      </c>
      <c r="AR572" s="9">
        <f t="shared" ca="1" si="1582"/>
        <v>203.93548387096774</v>
      </c>
      <c r="AS572" s="76"/>
      <c r="AT572" s="76"/>
    </row>
    <row r="573" spans="1:46" ht="15.75" customHeight="1" x14ac:dyDescent="0.25">
      <c r="A573" s="70"/>
      <c r="B573" s="16">
        <v>1</v>
      </c>
      <c r="C573" s="16" t="s">
        <v>26</v>
      </c>
      <c r="D573" s="17">
        <v>20</v>
      </c>
      <c r="E573" s="18">
        <f ca="1">IFERROR(__xludf.DUMMYFUNCTION("COUNT(IMPORTRANGE(""https://docs.google.com/spreadsheets/d/1F0NpMx7WhcgPgxTWpryY3Z1CGg56FL6aiL4mHs43w4E/edit"",""22!d2:d21""))"),19)</f>
        <v>19</v>
      </c>
      <c r="F573" s="19">
        <f ca="1">IFERROR(__xludf.DUMMYFUNCTION("SUM(IMPORTRANGE(""https://docs.google.com/spreadsheets/d/1F0NpMx7WhcgPgxTWpryY3Z1CGg56FL6aiL4mHs43w4E/edit"",""22!Q2:Q21""))"),3640.323)</f>
        <v>3640.3229999999999</v>
      </c>
      <c r="G573" s="18">
        <f ca="1">IFERROR(__xludf.DUMMYFUNCTION("IMPORTRANGE(""https://docs.google.com/spreadsheets/d/1F0NpMx7WhcgPgxTWpryY3Z1CGg56FL6aiL4mHs43w4E/edit"",""22!e28"")"),2417)</f>
        <v>2417</v>
      </c>
      <c r="H573" s="18">
        <f ca="1">IFERROR(__xludf.DUMMYFUNCTION("IMPORTRANGE(""https://docs.google.com/spreadsheets/d/1F0NpMx7WhcgPgxTWpryY3Z1CGg56FL6aiL4mHs43w4E/edit"",""22!e29"")"),0)</f>
        <v>0</v>
      </c>
      <c r="I573" s="18">
        <f t="shared" ref="I573:I590" ca="1" si="1587">SUM(G573:H573)</f>
        <v>2417</v>
      </c>
      <c r="J573" s="18">
        <f ca="1">IFERROR(__xludf.DUMMYFUNCTION("IMPORTRANGE(""https://docs.google.com/spreadsheets/d/1F0NpMx7WhcgPgxTWpryY3Z1CGg56FL6aiL4mHs43w4E/edit"",""22!e32"")"),2923)</f>
        <v>2923</v>
      </c>
      <c r="K573" s="18">
        <f ca="1">IFERROR(__xludf.DUMMYFUNCTION("IMPORTRANGE(""https://docs.google.com/spreadsheets/d/1F0NpMx7WhcgPgxTWpryY3Z1CGg56FL6aiL4mHs43w4E/edit"",""22!e33"")"),0)</f>
        <v>0</v>
      </c>
      <c r="L573" s="18">
        <f t="shared" ref="L573:L579" ca="1" si="1588">SUM(J573:K573)</f>
        <v>2923</v>
      </c>
      <c r="M573" s="18">
        <f t="shared" ref="M573:M590" ca="1" si="1589">SUM(I573+L573)</f>
        <v>5340</v>
      </c>
      <c r="N573" s="19">
        <f t="shared" ref="N573:N591" ca="1" si="1590">F573/E573</f>
        <v>191.59594736842104</v>
      </c>
      <c r="O573" s="16">
        <v>5161</v>
      </c>
      <c r="P573" s="33">
        <f t="shared" ref="P573:P591" ca="1" si="1591">M573/O573</f>
        <v>1.0346832009300524</v>
      </c>
      <c r="Q573" s="21">
        <v>1.5</v>
      </c>
      <c r="R573" s="20">
        <f t="shared" ref="R573:R591" ca="1" si="1592">S573/Q573</f>
        <v>0.97793519970617993</v>
      </c>
      <c r="S573" s="22">
        <f t="shared" ref="S573:S591" ca="1" si="1593">M573/F573</f>
        <v>1.4669027995592698</v>
      </c>
      <c r="T573" s="21">
        <f ca="1">F573/14.415</f>
        <v>252.53714880332987</v>
      </c>
      <c r="U573" s="21">
        <f t="shared" ref="U573:U591" ca="1" si="1594">T573/E573</f>
        <v>13.291428884385782</v>
      </c>
      <c r="V573" s="18">
        <f t="shared" ref="V573:V591" ca="1" si="1595">M573/E573</f>
        <v>281.05263157894734</v>
      </c>
      <c r="W573" s="76"/>
      <c r="X573" s="8">
        <v>4</v>
      </c>
      <c r="Y573" s="8" t="s">
        <v>27</v>
      </c>
      <c r="Z573" s="8">
        <f t="shared" ref="Z573:AK573" si="1596">SUM(D586)</f>
        <v>30</v>
      </c>
      <c r="AA573" s="9">
        <f t="shared" ca="1" si="1596"/>
        <v>28</v>
      </c>
      <c r="AB573" s="10">
        <f t="shared" ca="1" si="1596"/>
        <v>5165.9849999999997</v>
      </c>
      <c r="AC573" s="9">
        <f t="shared" ca="1" si="1596"/>
        <v>2352</v>
      </c>
      <c r="AD573" s="9">
        <f t="shared" ca="1" si="1596"/>
        <v>169</v>
      </c>
      <c r="AE573" s="9">
        <f t="shared" ca="1" si="1596"/>
        <v>2521</v>
      </c>
      <c r="AF573" s="9">
        <f t="shared" ca="1" si="1596"/>
        <v>3396</v>
      </c>
      <c r="AG573" s="9">
        <f t="shared" ca="1" si="1596"/>
        <v>84</v>
      </c>
      <c r="AH573" s="9">
        <f t="shared" ca="1" si="1596"/>
        <v>3480</v>
      </c>
      <c r="AI573" s="9">
        <f t="shared" ca="1" si="1596"/>
        <v>6001</v>
      </c>
      <c r="AJ573" s="11">
        <f t="shared" ca="1" si="1596"/>
        <v>184.49946428571428</v>
      </c>
      <c r="AK573" s="8">
        <f t="shared" si="1596"/>
        <v>8101</v>
      </c>
      <c r="AL573" s="12">
        <f t="shared" ca="1" si="1577"/>
        <v>0.74077274410566596</v>
      </c>
      <c r="AM573" s="13">
        <f>SUM(Q586)</f>
        <v>1.5</v>
      </c>
      <c r="AN573" s="12">
        <f t="shared" ca="1" si="1579"/>
        <v>0.77442475474990091</v>
      </c>
      <c r="AO573" s="14">
        <f t="shared" ca="1" si="1580"/>
        <v>1.1616371321248513</v>
      </c>
      <c r="AP573" s="13">
        <f t="shared" ref="AP573:AQ573" ca="1" si="1597">SUM(T586)</f>
        <v>258.49311983987991</v>
      </c>
      <c r="AQ573" s="13">
        <f t="shared" ca="1" si="1597"/>
        <v>9.231897137138569</v>
      </c>
      <c r="AR573" s="9">
        <f t="shared" ca="1" si="1582"/>
        <v>214.32142857142858</v>
      </c>
      <c r="AS573" s="76"/>
      <c r="AT573" s="76"/>
    </row>
    <row r="574" spans="1:46" ht="15.75" customHeight="1" x14ac:dyDescent="0.25">
      <c r="A574" s="70"/>
      <c r="B574" s="16">
        <v>2</v>
      </c>
      <c r="C574" s="16" t="s">
        <v>28</v>
      </c>
      <c r="D574" s="17">
        <v>33</v>
      </c>
      <c r="E574" s="18">
        <f ca="1">IFERROR(__xludf.DUMMYFUNCTION("COUNT(IMPORTRANGE(""https://docs.google.com/spreadsheets/d/1H9vAqftAHb0OdeSGXHTnJFzoWUgpoH31sc0sHNN8y1o/edit"",""22!d2:d34""))"),33)</f>
        <v>33</v>
      </c>
      <c r="F574" s="19">
        <f ca="1">IFERROR(__xludf.DUMMYFUNCTION("SUM(IMPORTRANGE(""https://docs.google.com/spreadsheets/d/1H9vAqftAHb0OdeSGXHTnJFzoWUgpoH31sc0sHNN8y1o/edit"",""22!Q2:Q34""))"),6590.627)</f>
        <v>6590.6270000000004</v>
      </c>
      <c r="G574" s="18">
        <f ca="1">IFERROR(__xludf.DUMMYFUNCTION("IMPORTRANGE(""https://docs.google.com/spreadsheets/d/1H9vAqftAHb0OdeSGXHTnJFzoWUgpoH31sc0sHNN8y1o/edit"",""22!e41"")"),2992)</f>
        <v>2992</v>
      </c>
      <c r="H574" s="18">
        <f ca="1">IFERROR(__xludf.DUMMYFUNCTION("IMPORTRANGE(""https://docs.google.com/spreadsheets/d/1H9vAqftAHb0OdeSGXHTnJFzoWUgpoH31sc0sHNN8y1o/edit"",""22!e42"")"),123)</f>
        <v>123</v>
      </c>
      <c r="I574" s="18">
        <f t="shared" ca="1" si="1587"/>
        <v>3115</v>
      </c>
      <c r="J574" s="18">
        <f ca="1">IFERROR(__xludf.DUMMYFUNCTION("IMPORTRANGE(""https://docs.google.com/spreadsheets/d/1H9vAqftAHb0OdeSGXHTnJFzoWUgpoH31sc0sHNN8y1o/edit"",""22!e45"")"),3105)</f>
        <v>3105</v>
      </c>
      <c r="K574" s="18">
        <f ca="1">IFERROR(__xludf.DUMMYFUNCTION("IMPORTRANGE(""https://docs.google.com/spreadsheets/d/1H9vAqftAHb0OdeSGXHTnJFzoWUgpoH31sc0sHNN8y1o/edit"",""22!e46"")"),124)</f>
        <v>124</v>
      </c>
      <c r="L574" s="18">
        <f t="shared" ca="1" si="1588"/>
        <v>3229</v>
      </c>
      <c r="M574" s="18">
        <f t="shared" ca="1" si="1589"/>
        <v>6344</v>
      </c>
      <c r="N574" s="19">
        <f t="shared" ca="1" si="1590"/>
        <v>199.71596969696972</v>
      </c>
      <c r="O574" s="16">
        <v>7315</v>
      </c>
      <c r="P574" s="20">
        <f t="shared" ca="1" si="1591"/>
        <v>0.86725905673274095</v>
      </c>
      <c r="Q574" s="21">
        <v>1.5</v>
      </c>
      <c r="R574" s="20">
        <f t="shared" ca="1" si="1592"/>
        <v>0.64171941961414791</v>
      </c>
      <c r="S574" s="22">
        <f t="shared" ca="1" si="1593"/>
        <v>0.96257912942122192</v>
      </c>
      <c r="T574" s="21">
        <f ca="1">F574/30.897</f>
        <v>213.30960934718584</v>
      </c>
      <c r="U574" s="21">
        <f t="shared" ca="1" si="1594"/>
        <v>6.4639275559753289</v>
      </c>
      <c r="V574" s="18">
        <f t="shared" ca="1" si="1595"/>
        <v>192.24242424242425</v>
      </c>
      <c r="W574" s="76"/>
      <c r="X574" s="8">
        <v>5</v>
      </c>
      <c r="Y574" s="8" t="s">
        <v>29</v>
      </c>
      <c r="Z574" s="8">
        <f t="shared" ref="Z574:AI574" si="1598">SUM(D589)</f>
        <v>30</v>
      </c>
      <c r="AA574" s="9">
        <f t="shared" ca="1" si="1598"/>
        <v>29</v>
      </c>
      <c r="AB574" s="10">
        <f t="shared" ca="1" si="1598"/>
        <v>5933.9839999999904</v>
      </c>
      <c r="AC574" s="9">
        <f t="shared" ca="1" si="1598"/>
        <v>2936</v>
      </c>
      <c r="AD574" s="9">
        <f t="shared" ca="1" si="1598"/>
        <v>0</v>
      </c>
      <c r="AE574" s="9">
        <f t="shared" ca="1" si="1598"/>
        <v>2936</v>
      </c>
      <c r="AF574" s="9">
        <f t="shared" ca="1" si="1598"/>
        <v>4213</v>
      </c>
      <c r="AG574" s="9">
        <f t="shared" ca="1" si="1598"/>
        <v>0</v>
      </c>
      <c r="AH574" s="9">
        <f t="shared" ca="1" si="1598"/>
        <v>4213</v>
      </c>
      <c r="AI574" s="9">
        <f t="shared" ca="1" si="1598"/>
        <v>7149</v>
      </c>
      <c r="AJ574" s="11">
        <f t="shared" ref="AJ574:AJ576" ca="1" si="1599">AB574/AA574</f>
        <v>204.62013793103415</v>
      </c>
      <c r="AK574" s="8">
        <f t="shared" ref="AK574:AK575" si="1600">SUM(O589)</f>
        <v>9201</v>
      </c>
      <c r="AL574" s="12">
        <f t="shared" ca="1" si="1577"/>
        <v>0.77698076296054774</v>
      </c>
      <c r="AM574" s="13">
        <f t="shared" ref="AM574:AM575" si="1601">SUM(Q589)</f>
        <v>1.5</v>
      </c>
      <c r="AN574" s="12">
        <f t="shared" ca="1" si="1579"/>
        <v>0.80317034895948625</v>
      </c>
      <c r="AO574" s="14">
        <f t="shared" ca="1" si="1580"/>
        <v>1.2047555234392293</v>
      </c>
      <c r="AP574" s="13">
        <f t="shared" ref="AP574:AQ574" ca="1" si="1602">SUM(T589)</f>
        <v>223.99999999999963</v>
      </c>
      <c r="AQ574" s="13">
        <f t="shared" ca="1" si="1602"/>
        <v>7.7241379310344698</v>
      </c>
      <c r="AR574" s="9">
        <f t="shared" ca="1" si="1582"/>
        <v>246.51724137931035</v>
      </c>
      <c r="AS574" s="76"/>
      <c r="AT574" s="76"/>
    </row>
    <row r="575" spans="1:46" ht="15.75" customHeight="1" x14ac:dyDescent="0.25">
      <c r="A575" s="70"/>
      <c r="B575" s="16">
        <v>3</v>
      </c>
      <c r="C575" s="16" t="s">
        <v>30</v>
      </c>
      <c r="D575" s="17">
        <v>60</v>
      </c>
      <c r="E575" s="18">
        <f ca="1">IFERROR(__xludf.DUMMYFUNCTION("COUNT(IMPORTRANGE(""https://docs.google.com/spreadsheets/d/1EWN6nfpuVxbUE_9opjYCWaI7MTm5xsF6ssjklSbMZnA/edit"",""22!d2:d61""))"),59)</f>
        <v>59</v>
      </c>
      <c r="F575" s="23">
        <f ca="1">IFERROR(__xludf.DUMMYFUNCTION("SUM(IMPORTRANGE(""https://docs.google.com/spreadsheets/d/1EWN6nfpuVxbUE_9opjYCWaI7MTm5xsF6ssjklSbMZnA/edit"",""22!Q2:Q61""))"),11595.8819999999)</f>
        <v>11595.8819999999</v>
      </c>
      <c r="G575" s="18">
        <f ca="1">IFERROR(__xludf.DUMMYFUNCTION("IMPORTRANGE(""https://docs.google.com/spreadsheets/d/1EWN6nfpuVxbUE_9opjYCWaI7MTm5xsF6ssjklSbMZnA/edit"",""22!e68"")"),4094)</f>
        <v>4094</v>
      </c>
      <c r="H575" s="18">
        <f ca="1">IFERROR(__xludf.DUMMYFUNCTION("IMPORTRANGE(""https://docs.google.com/spreadsheets/d/1EWN6nfpuVxbUE_9opjYCWaI7MTm5xsF6ssjklSbMZnA/edit"",""22!e69"")"),0)</f>
        <v>0</v>
      </c>
      <c r="I575" s="18">
        <f t="shared" ca="1" si="1587"/>
        <v>4094</v>
      </c>
      <c r="J575" s="18">
        <f ca="1">IFERROR(__xludf.DUMMYFUNCTION("IMPORTRANGE(""https://docs.google.com/spreadsheets/d/1EWN6nfpuVxbUE_9opjYCWaI7MTm5xsF6ssjklSbMZnA/edit"",""22!e72"")"),4878)</f>
        <v>4878</v>
      </c>
      <c r="K575" s="18">
        <f ca="1">IFERROR(__xludf.DUMMYFUNCTION("IMPORTRANGE(""https://docs.google.com/spreadsheets/d/1EWN6nfpuVxbUE_9opjYCWaI7MTm5xsF6ssjklSbMZnA/edit"",""22!e73"")"),0)</f>
        <v>0</v>
      </c>
      <c r="L575" s="18">
        <f t="shared" ca="1" si="1588"/>
        <v>4878</v>
      </c>
      <c r="M575" s="18">
        <f t="shared" ca="1" si="1589"/>
        <v>8972</v>
      </c>
      <c r="N575" s="19">
        <f t="shared" ca="1" si="1590"/>
        <v>196.54037288135422</v>
      </c>
      <c r="O575" s="16">
        <v>11164</v>
      </c>
      <c r="P575" s="20">
        <f t="shared" ca="1" si="1591"/>
        <v>0.80365460408455747</v>
      </c>
      <c r="Q575" s="21">
        <v>1.5</v>
      </c>
      <c r="R575" s="20">
        <f t="shared" ca="1" si="1592"/>
        <v>0.51581529833896078</v>
      </c>
      <c r="S575" s="22">
        <f t="shared" ca="1" si="1593"/>
        <v>0.77372294750844117</v>
      </c>
      <c r="T575" s="21">
        <f ca="1">F575/29.603</f>
        <v>391.71306962131877</v>
      </c>
      <c r="U575" s="21">
        <f t="shared" ca="1" si="1594"/>
        <v>6.6392045698528603</v>
      </c>
      <c r="V575" s="18">
        <f t="shared" ca="1" si="1595"/>
        <v>152.06779661016949</v>
      </c>
      <c r="W575" s="76"/>
      <c r="X575" s="8">
        <v>6</v>
      </c>
      <c r="Y575" s="8" t="s">
        <v>31</v>
      </c>
      <c r="Z575" s="8">
        <f t="shared" ref="Z575:AI575" si="1603">SUM(D590)</f>
        <v>15</v>
      </c>
      <c r="AA575" s="9">
        <f t="shared" ca="1" si="1603"/>
        <v>13</v>
      </c>
      <c r="AB575" s="11">
        <f t="shared" ca="1" si="1603"/>
        <v>2607.8999999999901</v>
      </c>
      <c r="AC575" s="9">
        <f t="shared" ca="1" si="1603"/>
        <v>831</v>
      </c>
      <c r="AD575" s="9">
        <f t="shared" ca="1" si="1603"/>
        <v>0</v>
      </c>
      <c r="AE575" s="9">
        <f t="shared" ca="1" si="1603"/>
        <v>831</v>
      </c>
      <c r="AF575" s="9">
        <f t="shared" ca="1" si="1603"/>
        <v>900</v>
      </c>
      <c r="AG575" s="9">
        <f t="shared" ca="1" si="1603"/>
        <v>0</v>
      </c>
      <c r="AH575" s="9">
        <f t="shared" ca="1" si="1603"/>
        <v>900</v>
      </c>
      <c r="AI575" s="9">
        <f t="shared" ca="1" si="1603"/>
        <v>1731</v>
      </c>
      <c r="AJ575" s="11">
        <f t="shared" ca="1" si="1599"/>
        <v>200.60769230769154</v>
      </c>
      <c r="AK575" s="8">
        <f t="shared" si="1600"/>
        <v>2717</v>
      </c>
      <c r="AL575" s="12">
        <f t="shared" ca="1" si="1577"/>
        <v>0.63709974236290023</v>
      </c>
      <c r="AM575" s="13">
        <f t="shared" si="1601"/>
        <v>1.5</v>
      </c>
      <c r="AN575" s="12">
        <f t="shared" ca="1" si="1579"/>
        <v>0.44250162966371581</v>
      </c>
      <c r="AO575" s="14">
        <f t="shared" ca="1" si="1580"/>
        <v>0.66375244449557369</v>
      </c>
      <c r="AP575" s="13">
        <f t="shared" ref="AP575:AQ575" ca="1" si="1604">SUM(T590)</f>
        <v>59.999999999999766</v>
      </c>
      <c r="AQ575" s="13">
        <f t="shared" ca="1" si="1604"/>
        <v>4.6153846153845972</v>
      </c>
      <c r="AR575" s="9">
        <f t="shared" ca="1" si="1582"/>
        <v>133.15384615384616</v>
      </c>
      <c r="AS575" s="76"/>
      <c r="AT575" s="76"/>
    </row>
    <row r="576" spans="1:46" ht="15.75" customHeight="1" x14ac:dyDescent="0.25">
      <c r="A576" s="70"/>
      <c r="B576" s="16">
        <v>4</v>
      </c>
      <c r="C576" s="16" t="s">
        <v>32</v>
      </c>
      <c r="D576" s="17">
        <v>42</v>
      </c>
      <c r="E576" s="18">
        <f ca="1">IFERROR(__xludf.DUMMYFUNCTION("COUNT(IMPORTRANGE(""https://docs.google.com/spreadsheets/d/1Rmar8QqWK4XOJ-eY6xMzkAfDSw0srEXcAw89ilArun8/edit"",""22!d2:d43""))"),41)</f>
        <v>41</v>
      </c>
      <c r="F576" s="23">
        <f ca="1">IFERROR(__xludf.DUMMYFUNCTION("SUM(IMPORTRANGE(""https://docs.google.com/spreadsheets/d/1Rmar8QqWK4XOJ-eY6xMzkAfDSw0srEXcAw89ilArun8/edit"",""22!Q2:Q43""))"),8028.47999999999)</f>
        <v>8028.4799999999896</v>
      </c>
      <c r="G576" s="16">
        <f ca="1">IFERROR(__xludf.DUMMYFUNCTION("IMPORTRANGE(""https://docs.google.com/spreadsheets/d/1Rmar8QqWK4XOJ-eY6xMzkAfDSw0srEXcAw89ilArun8/edit"",""22!e50"")"),4662)</f>
        <v>4662</v>
      </c>
      <c r="H576" s="16">
        <f ca="1">IFERROR(__xludf.DUMMYFUNCTION("IMPORTRANGE(""https://docs.google.com/spreadsheets/d/1Rmar8QqWK4XOJ-eY6xMzkAfDSw0srEXcAw89ilArun8/edit"",""22!e51"")"),0)</f>
        <v>0</v>
      </c>
      <c r="I576" s="18">
        <f t="shared" ca="1" si="1587"/>
        <v>4662</v>
      </c>
      <c r="J576" s="16">
        <f ca="1">IFERROR(__xludf.DUMMYFUNCTION("IMPORTRANGE(""https://docs.google.com/spreadsheets/d/1Rmar8QqWK4XOJ-eY6xMzkAfDSw0srEXcAw89ilArun8/edit"",""22!e54"")"),5735)</f>
        <v>5735</v>
      </c>
      <c r="K576" s="16">
        <f ca="1">IFERROR(__xludf.DUMMYFUNCTION("IMPORTRANGE(""https://docs.google.com/spreadsheets/d/1Rmar8QqWK4XOJ-eY6xMzkAfDSw0srEXcAw89ilArun8/edit"",""22!e55"")"),0)</f>
        <v>0</v>
      </c>
      <c r="L576" s="18">
        <f t="shared" ca="1" si="1588"/>
        <v>5735</v>
      </c>
      <c r="M576" s="18">
        <f t="shared" ca="1" si="1589"/>
        <v>10397</v>
      </c>
      <c r="N576" s="19">
        <f t="shared" ca="1" si="1590"/>
        <v>195.8165853658534</v>
      </c>
      <c r="O576" s="16">
        <v>13817</v>
      </c>
      <c r="P576" s="20">
        <f t="shared" ca="1" si="1591"/>
        <v>0.75247883042628649</v>
      </c>
      <c r="Q576" s="21">
        <v>1.5</v>
      </c>
      <c r="R576" s="20">
        <f t="shared" ca="1" si="1592"/>
        <v>0.86334316499927033</v>
      </c>
      <c r="S576" s="22">
        <f t="shared" ca="1" si="1593"/>
        <v>1.2950147474989055</v>
      </c>
      <c r="T576" s="21">
        <f ca="1">F576/25.089</f>
        <v>319.9999999999996</v>
      </c>
      <c r="U576" s="21">
        <f t="shared" ca="1" si="1594"/>
        <v>7.8048780487804779</v>
      </c>
      <c r="V576" s="18">
        <f t="shared" ca="1" si="1595"/>
        <v>253.58536585365854</v>
      </c>
      <c r="W576" s="76"/>
      <c r="X576" s="24" t="s">
        <v>33</v>
      </c>
      <c r="Y576" s="24">
        <v>6</v>
      </c>
      <c r="Z576" s="24">
        <f t="shared" ref="Z576:AI576" si="1605">SUM(Z570:Z575)</f>
        <v>186</v>
      </c>
      <c r="AA576" s="25">
        <f t="shared" ca="1" si="1605"/>
        <v>179</v>
      </c>
      <c r="AB576" s="26">
        <f t="shared" ca="1" si="1605"/>
        <v>35231.013999999959</v>
      </c>
      <c r="AC576" s="25">
        <f t="shared" ca="1" si="1605"/>
        <v>11490</v>
      </c>
      <c r="AD576" s="25">
        <f t="shared" ca="1" si="1605"/>
        <v>535</v>
      </c>
      <c r="AE576" s="25">
        <f t="shared" ca="1" si="1605"/>
        <v>12025</v>
      </c>
      <c r="AF576" s="25">
        <f t="shared" ca="1" si="1605"/>
        <v>16151</v>
      </c>
      <c r="AG576" s="25">
        <f t="shared" ca="1" si="1605"/>
        <v>567</v>
      </c>
      <c r="AH576" s="25">
        <f t="shared" ca="1" si="1605"/>
        <v>16718</v>
      </c>
      <c r="AI576" s="25">
        <f t="shared" ca="1" si="1605"/>
        <v>28743</v>
      </c>
      <c r="AJ576" s="27">
        <f t="shared" ca="1" si="1599"/>
        <v>196.8213072625696</v>
      </c>
      <c r="AK576" s="24">
        <f>SUM(AK570:AK575)</f>
        <v>35074</v>
      </c>
      <c r="AL576" s="28">
        <f t="shared" ca="1" si="1577"/>
        <v>0.81949592290585616</v>
      </c>
      <c r="AM576" s="29">
        <v>1.5</v>
      </c>
      <c r="AN576" s="28">
        <f t="shared" ca="1" si="1579"/>
        <v>0.54389578454937515</v>
      </c>
      <c r="AO576" s="30">
        <f t="shared" ca="1" si="1580"/>
        <v>0.81584367682406278</v>
      </c>
      <c r="AP576" s="29">
        <f ca="1">SUM(AP570:AP575)</f>
        <v>1320.4289527068811</v>
      </c>
      <c r="AQ576" s="29">
        <f ca="1">AP576/AA576</f>
        <v>7.3766980598149781</v>
      </c>
      <c r="AR576" s="25">
        <f t="shared" ca="1" si="1582"/>
        <v>160.57541899441341</v>
      </c>
      <c r="AS576" s="76"/>
      <c r="AT576" s="76"/>
    </row>
    <row r="577" spans="1:46" ht="15.75" customHeight="1" x14ac:dyDescent="0.25">
      <c r="A577" s="70"/>
      <c r="B577" s="16">
        <v>5</v>
      </c>
      <c r="C577" s="16" t="s">
        <v>34</v>
      </c>
      <c r="D577" s="17">
        <v>40</v>
      </c>
      <c r="E577" s="18">
        <f ca="1">IFERROR(__xludf.DUMMYFUNCTION("COUNT(IMPORTRANGE(""https://docs.google.com/spreadsheets/d/1u99JxAoytGQQ8GcjxXl38CGdyEWy5uIbuJJHnsotyvk/edit"",""22!d2:d41""))"),38)</f>
        <v>38</v>
      </c>
      <c r="F577" s="23">
        <f ca="1">IFERROR(__xludf.DUMMYFUNCTION("SUM(IMPORTRANGE(""https://docs.google.com/spreadsheets/d/1u99JxAoytGQQ8GcjxXl38CGdyEWy5uIbuJJHnsotyvk/edit"",""22!Q2:Q41""))"),7511.955)</f>
        <v>7511.9549999999999</v>
      </c>
      <c r="G577" s="18">
        <f ca="1">IFERROR(__xludf.DUMMYFUNCTION("IMPORTRANGE(""https://docs.google.com/spreadsheets/d/1u99JxAoytGQQ8GcjxXl38CGdyEWy5uIbuJJHnsotyvk/edit"",""22!e48"")"),2839)</f>
        <v>2839</v>
      </c>
      <c r="H577" s="18">
        <f ca="1">IFERROR(__xludf.DUMMYFUNCTION("IMPORTRANGE(""https://docs.google.com/spreadsheets/d/1u99JxAoytGQQ8GcjxXl38CGdyEWy5uIbuJJHnsotyvk/edit"",""22!e49"")"),0)</f>
        <v>0</v>
      </c>
      <c r="I577" s="18">
        <f t="shared" ca="1" si="1587"/>
        <v>2839</v>
      </c>
      <c r="J577" s="18">
        <f ca="1">IFERROR(__xludf.DUMMYFUNCTION("IMPORTRANGE(""https://docs.google.com/spreadsheets/d/1u99JxAoytGQQ8GcjxXl38CGdyEWy5uIbuJJHnsotyvk/edit"",""22!e52"")"),4368)</f>
        <v>4368</v>
      </c>
      <c r="K577" s="18">
        <f ca="1">IFERROR(__xludf.DUMMYFUNCTION("IMPORTRANGE(""https://docs.google.com/spreadsheets/d/1u99JxAoytGQQ8GcjxXl38CGdyEWy5uIbuJJHnsotyvk/edit"",""22!e53"")"),0)</f>
        <v>0</v>
      </c>
      <c r="L577" s="18">
        <f t="shared" ca="1" si="1588"/>
        <v>4368</v>
      </c>
      <c r="M577" s="18">
        <f t="shared" ca="1" si="1589"/>
        <v>7207</v>
      </c>
      <c r="N577" s="19">
        <f t="shared" ca="1" si="1590"/>
        <v>197.68302631578948</v>
      </c>
      <c r="O577" s="16">
        <v>9354</v>
      </c>
      <c r="P577" s="20">
        <f t="shared" ca="1" si="1591"/>
        <v>0.77047252512294206</v>
      </c>
      <c r="Q577" s="21">
        <v>1.5</v>
      </c>
      <c r="R577" s="20">
        <f t="shared" ca="1" si="1592"/>
        <v>0.63960269552555449</v>
      </c>
      <c r="S577" s="22">
        <f t="shared" ca="1" si="1593"/>
        <v>0.95940404328833173</v>
      </c>
      <c r="T577" s="21">
        <f ca="1">F577/30.713</f>
        <v>244.58551753329209</v>
      </c>
      <c r="U577" s="21">
        <f t="shared" ca="1" si="1594"/>
        <v>6.4364609877182133</v>
      </c>
      <c r="V577" s="18">
        <f t="shared" ca="1" si="1595"/>
        <v>189.65789473684211</v>
      </c>
      <c r="W577" s="76"/>
      <c r="X577" s="100" t="s">
        <v>35</v>
      </c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9"/>
      <c r="AS577" s="76"/>
      <c r="AT577" s="76"/>
    </row>
    <row r="578" spans="1:46" ht="15.75" customHeight="1" x14ac:dyDescent="0.25">
      <c r="A578" s="70"/>
      <c r="B578" s="16">
        <v>6</v>
      </c>
      <c r="C578" s="16" t="s">
        <v>23</v>
      </c>
      <c r="D578" s="17">
        <v>35</v>
      </c>
      <c r="E578" s="18">
        <f ca="1">IFERROR(__xludf.DUMMYFUNCTION("COUNT(IMPORTRANGE(""https://docs.google.com/spreadsheets/d/1uVc-vnTn57HE53lwrUYNZP4sGKTXisrqOoZ-6EyvLzY/edit"",""22!d2:d36""))"),35)</f>
        <v>35</v>
      </c>
      <c r="F578" s="23">
        <f ca="1">IFERROR(__xludf.DUMMYFUNCTION("SUM(IMPORTRANGE(""https://docs.google.com/spreadsheets/d/1uVc-vnTn57HE53lwrUYNZP4sGKTXisrqOoZ-6EyvLzY/edit"",""22!Q2:Q36""))"),6984.17999999999)</f>
        <v>6984.1799999999903</v>
      </c>
      <c r="G578" s="18">
        <f ca="1">IFERROR(__xludf.DUMMYFUNCTION("IMPORTRANGE(""https://docs.google.com/spreadsheets/d/1uVc-vnTn57HE53lwrUYNZP4sGKTXisrqOoZ-6EyvLzY/edit"",""22!e43"")"),1890)</f>
        <v>1890</v>
      </c>
      <c r="H578" s="18">
        <f ca="1">IFERROR(__xludf.DUMMYFUNCTION("IMPORTRANGE(""https://docs.google.com/spreadsheets/d/1uVc-vnTn57HE53lwrUYNZP4sGKTXisrqOoZ-6EyvLzY/edit"",""22!e44"")"),0)</f>
        <v>0</v>
      </c>
      <c r="I578" s="18">
        <f t="shared" ca="1" si="1587"/>
        <v>1890</v>
      </c>
      <c r="J578" s="18">
        <f ca="1">IFERROR(__xludf.DUMMYFUNCTION("IMPORTRANGE(""https://docs.google.com/spreadsheets/d/1uVc-vnTn57HE53lwrUYNZP4sGKTXisrqOoZ-6EyvLzY/edit"",""22!e47"")"),3049)</f>
        <v>3049</v>
      </c>
      <c r="K578" s="18">
        <f ca="1">IFERROR(__xludf.DUMMYFUNCTION("IMPORTRANGE(""https://docs.google.com/spreadsheets/d/1uVc-vnTn57HE53lwrUYNZP4sGKTXisrqOoZ-6EyvLzY/edit"",""22!e48"")"),0)</f>
        <v>0</v>
      </c>
      <c r="L578" s="18">
        <f t="shared" ca="1" si="1588"/>
        <v>3049</v>
      </c>
      <c r="M578" s="18">
        <f t="shared" ca="1" si="1589"/>
        <v>4939</v>
      </c>
      <c r="N578" s="19">
        <f t="shared" ca="1" si="1590"/>
        <v>199.54799999999972</v>
      </c>
      <c r="O578" s="16">
        <v>6853</v>
      </c>
      <c r="P578" s="20">
        <f t="shared" ca="1" si="1591"/>
        <v>0.7207062600321027</v>
      </c>
      <c r="Q578" s="21">
        <v>1.5</v>
      </c>
      <c r="R578" s="20">
        <f t="shared" ca="1" si="1592"/>
        <v>0.4714464212930754</v>
      </c>
      <c r="S578" s="22">
        <f t="shared" ca="1" si="1593"/>
        <v>0.70716963193961313</v>
      </c>
      <c r="T578" s="21">
        <f ca="1">F578/33.74</f>
        <v>206.99999999999969</v>
      </c>
      <c r="U578" s="21">
        <f t="shared" ca="1" si="1594"/>
        <v>5.9142857142857057</v>
      </c>
      <c r="V578" s="18">
        <f t="shared" ca="1" si="1595"/>
        <v>141.11428571428573</v>
      </c>
      <c r="W578" s="76"/>
      <c r="X578" s="1" t="s">
        <v>2</v>
      </c>
      <c r="Y578" s="1" t="s">
        <v>3</v>
      </c>
      <c r="Z578" s="1" t="s">
        <v>4</v>
      </c>
      <c r="AA578" s="1" t="s">
        <v>5</v>
      </c>
      <c r="AB578" s="2" t="s">
        <v>6</v>
      </c>
      <c r="AC578" s="1" t="s">
        <v>7</v>
      </c>
      <c r="AD578" s="1" t="s">
        <v>8</v>
      </c>
      <c r="AE578" s="1" t="s">
        <v>9</v>
      </c>
      <c r="AF578" s="1" t="s">
        <v>10</v>
      </c>
      <c r="AG578" s="1" t="s">
        <v>11</v>
      </c>
      <c r="AH578" s="1" t="s">
        <v>12</v>
      </c>
      <c r="AI578" s="1" t="s">
        <v>13</v>
      </c>
      <c r="AJ578" s="2" t="s">
        <v>14</v>
      </c>
      <c r="AK578" s="1" t="s">
        <v>15</v>
      </c>
      <c r="AL578" s="1" t="s">
        <v>16</v>
      </c>
      <c r="AM578" s="3" t="s">
        <v>17</v>
      </c>
      <c r="AN578" s="4" t="s">
        <v>18</v>
      </c>
      <c r="AO578" s="5" t="s">
        <v>19</v>
      </c>
      <c r="AP578" s="6" t="s">
        <v>20</v>
      </c>
      <c r="AQ578" s="6" t="s">
        <v>21</v>
      </c>
      <c r="AR578" s="7" t="s">
        <v>22</v>
      </c>
      <c r="AS578" s="76"/>
      <c r="AT578" s="76"/>
    </row>
    <row r="579" spans="1:46" ht="15.75" customHeight="1" x14ac:dyDescent="0.25">
      <c r="A579" s="70"/>
      <c r="B579" s="16">
        <v>7</v>
      </c>
      <c r="C579" s="16" t="s">
        <v>24</v>
      </c>
      <c r="D579" s="17">
        <v>44</v>
      </c>
      <c r="E579" s="31">
        <f ca="1">IFERROR(__xludf.DUMMYFUNCTION("COUNT(IMPORTRANGE(""https://docs.google.com/spreadsheets/d/1iuPvivSypupo44l6GtmR-2qZ3za7cTk7KzsOVp_kv2c/edit"",""22!d2:d45""))"),43)</f>
        <v>43</v>
      </c>
      <c r="F579" s="32">
        <f ca="1">IFERROR(__xludf.DUMMYFUNCTION("SUM(IMPORTRANGE(""https://docs.google.com/spreadsheets/d/1iuPvivSypupo44l6GtmR-2qZ3za7cTk7KzsOVp_kv2c/edit"",""22!Q2:Q45""))"),8388.24499999999)</f>
        <v>8388.2449999999899</v>
      </c>
      <c r="G579" s="31">
        <f ca="1">IFERROR(__xludf.DUMMYFUNCTION("IMPORTRANGE(""https://docs.google.com/spreadsheets/d/1iuPvivSypupo44l6GtmR-2qZ3za7cTk7KzsOVp_kv2c/edit"",""22!e53"")"),1060)</f>
        <v>1060</v>
      </c>
      <c r="H579" s="31">
        <f ca="1">IFERROR(__xludf.DUMMYFUNCTION("IMPORTRANGE(""https://docs.google.com/spreadsheets/d/1iuPvivSypupo44l6GtmR-2qZ3za7cTk7KzsOVp_kv2c/edit"",""22!e54"")"),31)</f>
        <v>31</v>
      </c>
      <c r="I579" s="31">
        <f t="shared" ca="1" si="1587"/>
        <v>1091</v>
      </c>
      <c r="J579" s="31">
        <f ca="1">IFERROR(__xludf.DUMMYFUNCTION("IMPORTRANGE(""https://docs.google.com/spreadsheets/d/1iuPvivSypupo44l6GtmR-2qZ3za7cTk7KzsOVp_kv2c/edit"",""22!e57"")"),1510)</f>
        <v>1510</v>
      </c>
      <c r="K579" s="31">
        <f ca="1">IFERROR(__xludf.DUMMYFUNCTION("IMPORTRANGE(""https://docs.google.com/spreadsheets/d/1iuPvivSypupo44l6GtmR-2qZ3za7cTk7KzsOVp_kv2c/edit"",""22!e58"")"),0)</f>
        <v>0</v>
      </c>
      <c r="L579" s="18">
        <f t="shared" ca="1" si="1588"/>
        <v>1510</v>
      </c>
      <c r="M579" s="18">
        <f t="shared" ca="1" si="1589"/>
        <v>2601</v>
      </c>
      <c r="N579" s="19">
        <f t="shared" ca="1" si="1590"/>
        <v>195.07546511627882</v>
      </c>
      <c r="O579" s="16">
        <v>1580</v>
      </c>
      <c r="P579" s="33">
        <f t="shared" ca="1" si="1591"/>
        <v>1.6462025316455695</v>
      </c>
      <c r="Q579" s="21">
        <v>1.5</v>
      </c>
      <c r="R579" s="20">
        <f t="shared" ca="1" si="1592"/>
        <v>0.20671785337695814</v>
      </c>
      <c r="S579" s="22">
        <f t="shared" ca="1" si="1593"/>
        <v>0.31007678006543721</v>
      </c>
      <c r="T579" s="21">
        <f ca="1">F579/26.805</f>
        <v>312.93583286700203</v>
      </c>
      <c r="U579" s="21">
        <f t="shared" ca="1" si="1594"/>
        <v>7.2775775085349315</v>
      </c>
      <c r="V579" s="18">
        <f t="shared" ca="1" si="1595"/>
        <v>60.488372093023258</v>
      </c>
      <c r="W579" s="76"/>
      <c r="X579" s="8">
        <v>1</v>
      </c>
      <c r="Y579" s="8" t="s">
        <v>28</v>
      </c>
      <c r="Z579" s="8">
        <f t="shared" ref="Z579:AI579" si="1606">SUM(D574)</f>
        <v>33</v>
      </c>
      <c r="AA579" s="9">
        <f t="shared" ca="1" si="1606"/>
        <v>33</v>
      </c>
      <c r="AB579" s="11">
        <f t="shared" ca="1" si="1606"/>
        <v>6590.6270000000004</v>
      </c>
      <c r="AC579" s="9">
        <f t="shared" ca="1" si="1606"/>
        <v>2992</v>
      </c>
      <c r="AD579" s="9">
        <f t="shared" ca="1" si="1606"/>
        <v>123</v>
      </c>
      <c r="AE579" s="9">
        <f t="shared" ca="1" si="1606"/>
        <v>3115</v>
      </c>
      <c r="AF579" s="9">
        <f t="shared" ca="1" si="1606"/>
        <v>3105</v>
      </c>
      <c r="AG579" s="9">
        <f t="shared" ca="1" si="1606"/>
        <v>124</v>
      </c>
      <c r="AH579" s="9">
        <f t="shared" ca="1" si="1606"/>
        <v>3229</v>
      </c>
      <c r="AI579" s="9">
        <f t="shared" ca="1" si="1606"/>
        <v>6344</v>
      </c>
      <c r="AJ579" s="11">
        <f t="shared" ref="AJ579:AJ585" ca="1" si="1607">AB579/AA579</f>
        <v>199.71596969696972</v>
      </c>
      <c r="AK579" s="8">
        <f t="shared" ref="AK579:AK580" si="1608">SUM(O574)</f>
        <v>7315</v>
      </c>
      <c r="AL579" s="12">
        <f t="shared" ref="AL579:AL585" ca="1" si="1609">AI579/AK579</f>
        <v>0.86725905673274095</v>
      </c>
      <c r="AM579" s="13">
        <f t="shared" ref="AM579:AM580" si="1610">SUM(Q574)</f>
        <v>1.5</v>
      </c>
      <c r="AN579" s="12">
        <f t="shared" ref="AN579:AN585" ca="1" si="1611">AO579/AM579</f>
        <v>0.64171941961414791</v>
      </c>
      <c r="AO579" s="14">
        <f t="shared" ref="AO579:AO585" ca="1" si="1612">AI579/AB579</f>
        <v>0.96257912942122192</v>
      </c>
      <c r="AP579" s="13">
        <f t="shared" ref="AP579:AQ579" ca="1" si="1613">SUM(T574)</f>
        <v>213.30960934718584</v>
      </c>
      <c r="AQ579" s="13">
        <f t="shared" ca="1" si="1613"/>
        <v>6.4639275559753289</v>
      </c>
      <c r="AR579" s="9">
        <f t="shared" ref="AR579:AR585" ca="1" si="1614">AI579/AA579</f>
        <v>192.24242424242425</v>
      </c>
      <c r="AS579" s="76"/>
      <c r="AT579" s="76"/>
    </row>
    <row r="580" spans="1:46" ht="15.75" customHeight="1" x14ac:dyDescent="0.25">
      <c r="A580" s="70"/>
      <c r="B580" s="16">
        <v>8</v>
      </c>
      <c r="C580" s="16" t="s">
        <v>25</v>
      </c>
      <c r="D580" s="34">
        <v>32</v>
      </c>
      <c r="E580" s="18">
        <f ca="1">IFERROR(__xludf.DUMMYFUNCTION("COUNT(IMPORTRANGE(""https://docs.google.com/spreadsheets/d/1sqWX7UerdR9KR_duBzDNfjwbPG-3hLgV1LiN2ZVZ6Js/edit"",""22!d2:D33""))"),31)</f>
        <v>31</v>
      </c>
      <c r="F580" s="23">
        <f ca="1">IFERROR(__xludf.DUMMYFUNCTION("SUM(IMPORTRANGE(""https://docs.google.com/spreadsheets/d/1sqWX7UerdR9KR_duBzDNfjwbPG-3hLgV1LiN2ZVZ6Js/edit"",""22!Q2:Q33""))"),6150.72)</f>
        <v>6150.72</v>
      </c>
      <c r="G580" s="18">
        <f ca="1">IFERROR(__xludf.DUMMYFUNCTION("IMPORTRANGE(""https://docs.google.com/spreadsheets/d/1sqWX7UerdR9KR_duBzDNfjwbPG-3hLgV1LiN2ZVZ6Js/edit"",""22!e40"")"),2421)</f>
        <v>2421</v>
      </c>
      <c r="H580" s="18">
        <f ca="1">IFERROR(__xludf.DUMMYFUNCTION("IMPORTRANGE(""https://docs.google.com/spreadsheets/d/1sqWX7UerdR9KR_duBzDNfjwbPG-3hLgV1LiN2ZVZ6Js/edit"",""22!e41"")"),335)</f>
        <v>335</v>
      </c>
      <c r="I580" s="18">
        <f t="shared" ca="1" si="1587"/>
        <v>2756</v>
      </c>
      <c r="J580" s="18">
        <f ca="1">IFERROR(__xludf.DUMMYFUNCTION("IMPORTRANGE(""https://docs.google.com/spreadsheets/d/1sqWX7UerdR9KR_duBzDNfjwbPG-3hLgV1LiN2ZVZ6Js/edit"",""22!e44"")"),3083)</f>
        <v>3083</v>
      </c>
      <c r="K580" s="18">
        <f ca="1">IFERROR(__xludf.DUMMYFUNCTION("IMPORTRANGE(""https://docs.google.com/spreadsheets/d/1sqWX7UerdR9KR_duBzDNfjwbPG-3hLgV1LiN2ZVZ6Js/edit"",""22!e45"")"),483)</f>
        <v>483</v>
      </c>
      <c r="L580" s="18">
        <f ca="1">J580+K580</f>
        <v>3566</v>
      </c>
      <c r="M580" s="18">
        <f t="shared" ca="1" si="1589"/>
        <v>6322</v>
      </c>
      <c r="N580" s="19">
        <f t="shared" ca="1" si="1590"/>
        <v>198.41032258064516</v>
      </c>
      <c r="O580" s="16">
        <v>6622</v>
      </c>
      <c r="P580" s="20">
        <f t="shared" ca="1" si="1591"/>
        <v>0.95469646632437333</v>
      </c>
      <c r="Q580" s="21">
        <v>1.5</v>
      </c>
      <c r="R580" s="20">
        <f t="shared" ca="1" si="1592"/>
        <v>0.68523143090023064</v>
      </c>
      <c r="S580" s="22">
        <f t="shared" ca="1" si="1593"/>
        <v>1.027847146350346</v>
      </c>
      <c r="T580" s="21">
        <f ca="1">F580/23.84</f>
        <v>258</v>
      </c>
      <c r="U580" s="21">
        <f t="shared" ca="1" si="1594"/>
        <v>8.32258064516129</v>
      </c>
      <c r="V580" s="18">
        <f t="shared" ca="1" si="1595"/>
        <v>203.93548387096774</v>
      </c>
      <c r="W580" s="76"/>
      <c r="X580" s="8">
        <v>2</v>
      </c>
      <c r="Y580" s="8" t="s">
        <v>30</v>
      </c>
      <c r="Z580" s="8">
        <f t="shared" ref="Z580:AI580" si="1615">SUM(D575)</f>
        <v>60</v>
      </c>
      <c r="AA580" s="9">
        <f t="shared" ca="1" si="1615"/>
        <v>59</v>
      </c>
      <c r="AB580" s="10">
        <f t="shared" ca="1" si="1615"/>
        <v>11595.8819999999</v>
      </c>
      <c r="AC580" s="9">
        <f t="shared" ca="1" si="1615"/>
        <v>4094</v>
      </c>
      <c r="AD580" s="9">
        <f t="shared" ca="1" si="1615"/>
        <v>0</v>
      </c>
      <c r="AE580" s="9">
        <f t="shared" ca="1" si="1615"/>
        <v>4094</v>
      </c>
      <c r="AF580" s="9">
        <f t="shared" ca="1" si="1615"/>
        <v>4878</v>
      </c>
      <c r="AG580" s="9">
        <f t="shared" ca="1" si="1615"/>
        <v>0</v>
      </c>
      <c r="AH580" s="9">
        <f t="shared" ca="1" si="1615"/>
        <v>4878</v>
      </c>
      <c r="AI580" s="9">
        <f t="shared" ca="1" si="1615"/>
        <v>8972</v>
      </c>
      <c r="AJ580" s="11">
        <f t="shared" ca="1" si="1607"/>
        <v>196.54037288135422</v>
      </c>
      <c r="AK580" s="8">
        <f t="shared" si="1608"/>
        <v>11164</v>
      </c>
      <c r="AL580" s="12">
        <f t="shared" ca="1" si="1609"/>
        <v>0.80365460408455747</v>
      </c>
      <c r="AM580" s="13">
        <f t="shared" si="1610"/>
        <v>1.5</v>
      </c>
      <c r="AN580" s="12">
        <f t="shared" ca="1" si="1611"/>
        <v>0.51581529833896078</v>
      </c>
      <c r="AO580" s="14">
        <f t="shared" ca="1" si="1612"/>
        <v>0.77372294750844117</v>
      </c>
      <c r="AP580" s="13">
        <f t="shared" ref="AP580:AQ580" ca="1" si="1616">SUM(T575)</f>
        <v>391.71306962131877</v>
      </c>
      <c r="AQ580" s="13">
        <f t="shared" ca="1" si="1616"/>
        <v>6.6392045698528603</v>
      </c>
      <c r="AR580" s="9">
        <f t="shared" ca="1" si="1614"/>
        <v>152.06779661016949</v>
      </c>
      <c r="AS580" s="76"/>
      <c r="AT580" s="76"/>
    </row>
    <row r="581" spans="1:46" ht="15.75" customHeight="1" x14ac:dyDescent="0.25">
      <c r="A581" s="70"/>
      <c r="B581" s="16">
        <v>9</v>
      </c>
      <c r="C581" s="16" t="s">
        <v>36</v>
      </c>
      <c r="D581" s="34">
        <v>30</v>
      </c>
      <c r="E581" s="18">
        <f ca="1">IFERROR(__xludf.DUMMYFUNCTION("COUNT(IMPORTRANGE(""https://docs.google.com/spreadsheets/d/1YNna43iTSqnwwbMJgTIPHSJEoDO8RGPRFg5pJCoQR_Y/edit"",""22!d2:d31""))"),30)</f>
        <v>30</v>
      </c>
      <c r="F581" s="23">
        <f ca="1">IFERROR(__xludf.DUMMYFUNCTION("SUM(IMPORTRANGE(""https://docs.google.com/spreadsheets/d/1YNna43iTSqnwwbMJgTIPHSJEoDO8RGPRFg5pJCoQR_Y/edit"",""22!Q2:Q31""))"),5698.45299999999)</f>
        <v>5698.4529999999904</v>
      </c>
      <c r="G581" s="18">
        <f ca="1">IFERROR(__xludf.DUMMYFUNCTION("IMPORTRANGE(""https://docs.google.com/spreadsheets/d/1YNna43iTSqnwwbMJgTIPHSJEoDO8RGPRFg5pJCoQR_Y/edit"",""22!e38"")"),1823)</f>
        <v>1823</v>
      </c>
      <c r="H581" s="18">
        <f ca="1">IFERROR(__xludf.DUMMYFUNCTION("IMPORTRANGE(""https://docs.google.com/spreadsheets/d/1YNna43iTSqnwwbMJgTIPHSJEoDO8RGPRFg5pJCoQR_Y/edit"",""22!e39"")"),0)</f>
        <v>0</v>
      </c>
      <c r="I581" s="18">
        <f t="shared" ca="1" si="1587"/>
        <v>1823</v>
      </c>
      <c r="J581" s="18">
        <f ca="1">IFERROR(__xludf.DUMMYFUNCTION("IMPORTRANGE(""https://docs.google.com/spreadsheets/d/1YNna43iTSqnwwbMJgTIPHSJEoDO8RGPRFg5pJCoQR_Y/edit"",""22!e42"")"),2374)</f>
        <v>2374</v>
      </c>
      <c r="K581" s="18">
        <f ca="1">IFERROR(__xludf.DUMMYFUNCTION("IMPORTRANGE(""https://docs.google.com/spreadsheets/d/1YNna43iTSqnwwbMJgTIPHSJEoDO8RGPRFg5pJCoQR_Y/edit"",""22!e43"")"),0)</f>
        <v>0</v>
      </c>
      <c r="L581" s="18">
        <f t="shared" ref="L581:L590" ca="1" si="1617">SUM(J581:K581)</f>
        <v>2374</v>
      </c>
      <c r="M581" s="18">
        <f t="shared" ca="1" si="1589"/>
        <v>4197</v>
      </c>
      <c r="N581" s="19">
        <f t="shared" ca="1" si="1590"/>
        <v>189.94843333333301</v>
      </c>
      <c r="O581" s="16">
        <v>4796</v>
      </c>
      <c r="P581" s="20">
        <f t="shared" ca="1" si="1591"/>
        <v>0.87510425354462051</v>
      </c>
      <c r="Q581" s="21">
        <v>1.5</v>
      </c>
      <c r="R581" s="20">
        <f t="shared" ca="1" si="1592"/>
        <v>0.49101045494277212</v>
      </c>
      <c r="S581" s="22">
        <f t="shared" ca="1" si="1593"/>
        <v>0.73651568241415821</v>
      </c>
      <c r="T581" s="21">
        <f ca="1">F581/37.414</f>
        <v>152.30803977120837</v>
      </c>
      <c r="U581" s="21">
        <f t="shared" ca="1" si="1594"/>
        <v>5.0769346590402789</v>
      </c>
      <c r="V581" s="18">
        <f t="shared" ca="1" si="1595"/>
        <v>139.9</v>
      </c>
      <c r="W581" s="76"/>
      <c r="X581" s="8">
        <v>3</v>
      </c>
      <c r="Y581" s="8" t="s">
        <v>34</v>
      </c>
      <c r="Z581" s="8">
        <f t="shared" ref="Z581:AI581" si="1618">SUM(D577)</f>
        <v>40</v>
      </c>
      <c r="AA581" s="9">
        <f t="shared" ca="1" si="1618"/>
        <v>38</v>
      </c>
      <c r="AB581" s="10">
        <f t="shared" ca="1" si="1618"/>
        <v>7511.9549999999999</v>
      </c>
      <c r="AC581" s="9">
        <f t="shared" ca="1" si="1618"/>
        <v>2839</v>
      </c>
      <c r="AD581" s="9">
        <f t="shared" ca="1" si="1618"/>
        <v>0</v>
      </c>
      <c r="AE581" s="9">
        <f t="shared" ca="1" si="1618"/>
        <v>2839</v>
      </c>
      <c r="AF581" s="9">
        <f t="shared" ca="1" si="1618"/>
        <v>4368</v>
      </c>
      <c r="AG581" s="9">
        <f t="shared" ca="1" si="1618"/>
        <v>0</v>
      </c>
      <c r="AH581" s="9">
        <f t="shared" ca="1" si="1618"/>
        <v>4368</v>
      </c>
      <c r="AI581" s="9">
        <f t="shared" ca="1" si="1618"/>
        <v>7207</v>
      </c>
      <c r="AJ581" s="11">
        <f t="shared" ca="1" si="1607"/>
        <v>197.68302631578948</v>
      </c>
      <c r="AK581" s="8">
        <f>SUM(O577)</f>
        <v>9354</v>
      </c>
      <c r="AL581" s="12">
        <f t="shared" ca="1" si="1609"/>
        <v>0.77047252512294206</v>
      </c>
      <c r="AM581" s="13">
        <f>SUM(Q577)</f>
        <v>1.5</v>
      </c>
      <c r="AN581" s="12">
        <f t="shared" ca="1" si="1611"/>
        <v>0.63960269552555449</v>
      </c>
      <c r="AO581" s="14">
        <f t="shared" ca="1" si="1612"/>
        <v>0.95940404328833173</v>
      </c>
      <c r="AP581" s="13">
        <f t="shared" ref="AP581:AQ581" ca="1" si="1619">SUM(T577)</f>
        <v>244.58551753329209</v>
      </c>
      <c r="AQ581" s="13">
        <f t="shared" ca="1" si="1619"/>
        <v>6.4364609877182133</v>
      </c>
      <c r="AR581" s="9">
        <f t="shared" ca="1" si="1614"/>
        <v>189.65789473684211</v>
      </c>
      <c r="AS581" s="76"/>
      <c r="AT581" s="76"/>
    </row>
    <row r="582" spans="1:46" ht="15.75" customHeight="1" x14ac:dyDescent="0.25">
      <c r="A582" s="70"/>
      <c r="B582" s="16">
        <v>10</v>
      </c>
      <c r="C582" s="16" t="s">
        <v>37</v>
      </c>
      <c r="D582" s="17">
        <v>30</v>
      </c>
      <c r="E582" s="18">
        <f ca="1">IFERROR(__xludf.DUMMYFUNCTION("COUNT(IMPORTRANGE(""https://docs.google.com/spreadsheets/d/1913Df5BsXS_b-nClL8LOK5w0engQYTl1mPOiyngRtO0/edit"",""22!d2:d31""))"),28)</f>
        <v>28</v>
      </c>
      <c r="F582" s="23">
        <f ca="1">IFERROR(__xludf.DUMMYFUNCTION("SUM(IMPORTRANGE(""https://docs.google.com/spreadsheets/d/1913Df5BsXS_b-nClL8LOK5w0engQYTl1mPOiyngRtO0/edit"",""22!Q2:Q31""))"),5638.644)</f>
        <v>5638.6440000000002</v>
      </c>
      <c r="G582" s="18">
        <f ca="1">IFERROR(__xludf.DUMMYFUNCTION("(IMPORTRANGE(""https://docs.google.com/spreadsheets/d/1913Df5BsXS_b-nClL8LOK5w0engQYTl1mPOiyngRtO0/edit"",""22!e38""))"),2152)</f>
        <v>2152</v>
      </c>
      <c r="H582" s="18">
        <f ca="1">IFERROR(__xludf.DUMMYFUNCTION("(IMPORTRANGE(""https://docs.google.com/spreadsheets/d/1913Df5BsXS_b-nClL8LOK5w0engQYTl1mPOiyngRtO0/edit"",""22!e39""))"),0)</f>
        <v>0</v>
      </c>
      <c r="I582" s="18">
        <f t="shared" ca="1" si="1587"/>
        <v>2152</v>
      </c>
      <c r="J582" s="18">
        <f ca="1">IFERROR(__xludf.DUMMYFUNCTION("(IMPORTRANGE(""https://docs.google.com/spreadsheets/d/1913Df5BsXS_b-nClL8LOK5w0engQYTl1mPOiyngRtO0/edit"",""22!e42""))"),3177)</f>
        <v>3177</v>
      </c>
      <c r="K582" s="18">
        <f ca="1">IFERROR(__xludf.DUMMYFUNCTION("(IMPORTRANGE(""https://docs.google.com/spreadsheets/d/1913Df5BsXS_b-nClL8LOK5w0engQYTl1mPOiyngRtO0/edit"",""22!e43""))"),0)</f>
        <v>0</v>
      </c>
      <c r="L582" s="18">
        <f t="shared" ca="1" si="1617"/>
        <v>3177</v>
      </c>
      <c r="M582" s="18">
        <f t="shared" ca="1" si="1589"/>
        <v>5329</v>
      </c>
      <c r="N582" s="19">
        <f t="shared" ca="1" si="1590"/>
        <v>201.38014285714286</v>
      </c>
      <c r="O582" s="16">
        <v>5887</v>
      </c>
      <c r="P582" s="20">
        <f t="shared" ca="1" si="1591"/>
        <v>0.90521488024460672</v>
      </c>
      <c r="Q582" s="21">
        <v>1.5</v>
      </c>
      <c r="R582" s="20">
        <f t="shared" ca="1" si="1592"/>
        <v>0.63005691912216244</v>
      </c>
      <c r="S582" s="22">
        <f t="shared" ca="1" si="1593"/>
        <v>0.94508537868324372</v>
      </c>
      <c r="T582" s="21">
        <f ca="1">F582/24.792</f>
        <v>227.4380445304937</v>
      </c>
      <c r="U582" s="21">
        <f t="shared" ca="1" si="1594"/>
        <v>8.1227873046604895</v>
      </c>
      <c r="V582" s="18">
        <f t="shared" ca="1" si="1595"/>
        <v>190.32142857142858</v>
      </c>
      <c r="W582" s="76"/>
      <c r="X582" s="8">
        <v>4</v>
      </c>
      <c r="Y582" s="8" t="s">
        <v>38</v>
      </c>
      <c r="Z582" s="8">
        <f t="shared" ref="Z582:AI582" si="1620">SUM(D585)</f>
        <v>30</v>
      </c>
      <c r="AA582" s="9">
        <f t="shared" ca="1" si="1620"/>
        <v>30</v>
      </c>
      <c r="AB582" s="10">
        <f t="shared" ca="1" si="1620"/>
        <v>6425.9179999999997</v>
      </c>
      <c r="AC582" s="9">
        <f t="shared" ca="1" si="1620"/>
        <v>2285</v>
      </c>
      <c r="AD582" s="9">
        <f t="shared" ca="1" si="1620"/>
        <v>0</v>
      </c>
      <c r="AE582" s="9">
        <f t="shared" ca="1" si="1620"/>
        <v>2285</v>
      </c>
      <c r="AF582" s="9">
        <f t="shared" ca="1" si="1620"/>
        <v>3344</v>
      </c>
      <c r="AG582" s="9">
        <f t="shared" ca="1" si="1620"/>
        <v>66</v>
      </c>
      <c r="AH582" s="9">
        <f t="shared" ca="1" si="1620"/>
        <v>3410</v>
      </c>
      <c r="AI582" s="9">
        <f t="shared" ca="1" si="1620"/>
        <v>5695</v>
      </c>
      <c r="AJ582" s="11">
        <f t="shared" ca="1" si="1607"/>
        <v>214.19726666666665</v>
      </c>
      <c r="AK582" s="8">
        <v>7324</v>
      </c>
      <c r="AL582" s="12">
        <f t="shared" ca="1" si="1609"/>
        <v>0.77758055707263796</v>
      </c>
      <c r="AM582" s="13">
        <f>SUM(Q585)</f>
        <v>1.5</v>
      </c>
      <c r="AN582" s="12">
        <f t="shared" ca="1" si="1611"/>
        <v>0.59083646362537878</v>
      </c>
      <c r="AO582" s="14">
        <f t="shared" ca="1" si="1612"/>
        <v>0.88625469543806823</v>
      </c>
      <c r="AP582" s="13">
        <f t="shared" ref="AP582:AQ582" ca="1" si="1621">SUM(T585)</f>
        <v>155.94995752942603</v>
      </c>
      <c r="AQ582" s="13">
        <f t="shared" ca="1" si="1621"/>
        <v>5.1983319176475344</v>
      </c>
      <c r="AR582" s="9">
        <f t="shared" ca="1" si="1614"/>
        <v>189.83333333333334</v>
      </c>
      <c r="AS582" s="76"/>
      <c r="AT582" s="76"/>
    </row>
    <row r="583" spans="1:46" ht="15.75" customHeight="1" x14ac:dyDescent="0.25">
      <c r="A583" s="70"/>
      <c r="B583" s="16">
        <v>12</v>
      </c>
      <c r="C583" s="16" t="s">
        <v>39</v>
      </c>
      <c r="D583" s="17">
        <v>28</v>
      </c>
      <c r="E583" s="18">
        <f ca="1">IFERROR(__xludf.DUMMYFUNCTION("COUNT(IMPORTRANGE(""https://docs.google.com/spreadsheets/d/1wMeol_MpSIcocGxt3WZGl46mJ2tc80mANPvP_YzaP18/edit"",""22!d2:d29""))"),26)</f>
        <v>26</v>
      </c>
      <c r="F583" s="23">
        <f ca="1">IFERROR(__xludf.DUMMYFUNCTION("SUM(IMPORTRANGE(""https://docs.google.com/spreadsheets/d/1wMeol_MpSIcocGxt3WZGl46mJ2tc80mANPvP_YzaP18/edit"",""22!Q2:Q29""))"),5039.44)</f>
        <v>5039.4399999999996</v>
      </c>
      <c r="G583" s="18">
        <f ca="1">IFERROR(__xludf.DUMMYFUNCTION("IMPORTRANGE(""https://docs.google.com/spreadsheets/d/1wMeol_MpSIcocGxt3WZGl46mJ2tc80mANPvP_YzaP18/edit"",""22!e36"")"),1449)</f>
        <v>1449</v>
      </c>
      <c r="H583" s="18">
        <f ca="1">IFERROR(__xludf.DUMMYFUNCTION("(IMPORTRANGE(""https://docs.google.com/spreadsheets/d/1wMeol_MpSIcocGxt3WZGl46mJ2tc80mANPvP_YzaP18/edit"",""22!e37""))"),0)</f>
        <v>0</v>
      </c>
      <c r="I583" s="18">
        <f t="shared" ca="1" si="1587"/>
        <v>1449</v>
      </c>
      <c r="J583" s="18">
        <f ca="1">IFERROR(__xludf.DUMMYFUNCTION("IMPORTRANGE(""https://docs.google.com/spreadsheets/d/1wMeol_MpSIcocGxt3WZGl46mJ2tc80mANPvP_YzaP18/edit"",""22!e40"")"),1593)</f>
        <v>1593</v>
      </c>
      <c r="K583" s="18">
        <f ca="1">IFERROR(__xludf.DUMMYFUNCTION("IMPORTRANGE(""https://docs.google.com/spreadsheets/d/1wMeol_MpSIcocGxt3WZGl46mJ2tc80mANPvP_YzaP18/edit"",""22!e41"")"),162)</f>
        <v>162</v>
      </c>
      <c r="L583" s="18">
        <f t="shared" ca="1" si="1617"/>
        <v>1755</v>
      </c>
      <c r="M583" s="18">
        <f t="shared" ca="1" si="1589"/>
        <v>3204</v>
      </c>
      <c r="N583" s="19">
        <f t="shared" ca="1" si="1590"/>
        <v>193.82461538461536</v>
      </c>
      <c r="O583" s="16">
        <v>3569</v>
      </c>
      <c r="P583" s="20">
        <f t="shared" ca="1" si="1591"/>
        <v>0.89773045671056317</v>
      </c>
      <c r="Q583" s="21">
        <v>1.5</v>
      </c>
      <c r="R583" s="20">
        <f t="shared" ca="1" si="1592"/>
        <v>0.42385661898941157</v>
      </c>
      <c r="S583" s="22">
        <f t="shared" ca="1" si="1593"/>
        <v>0.63578492848411738</v>
      </c>
      <c r="T583" s="21">
        <f ca="1">F583/21.463</f>
        <v>234.7966267530168</v>
      </c>
      <c r="U583" s="21">
        <f t="shared" ca="1" si="1594"/>
        <v>9.0306394905006453</v>
      </c>
      <c r="V583" s="18">
        <f t="shared" ca="1" si="1595"/>
        <v>123.23076923076923</v>
      </c>
      <c r="W583" s="76"/>
      <c r="X583" s="8">
        <v>5</v>
      </c>
      <c r="Y583" s="8" t="s">
        <v>40</v>
      </c>
      <c r="Z583" s="8">
        <f t="shared" ref="Z583:AI583" si="1622">SUM(D587)</f>
        <v>30</v>
      </c>
      <c r="AA583" s="9">
        <f t="shared" ca="1" si="1622"/>
        <v>30</v>
      </c>
      <c r="AB583" s="10">
        <f t="shared" ca="1" si="1622"/>
        <v>5973.0299999999897</v>
      </c>
      <c r="AC583" s="9">
        <f t="shared" ca="1" si="1622"/>
        <v>3250</v>
      </c>
      <c r="AD583" s="9">
        <f t="shared" ca="1" si="1622"/>
        <v>124</v>
      </c>
      <c r="AE583" s="9">
        <f t="shared" ca="1" si="1622"/>
        <v>3374</v>
      </c>
      <c r="AF583" s="9">
        <f t="shared" ca="1" si="1622"/>
        <v>4056</v>
      </c>
      <c r="AG583" s="9">
        <f t="shared" ca="1" si="1622"/>
        <v>112</v>
      </c>
      <c r="AH583" s="9">
        <f t="shared" ca="1" si="1622"/>
        <v>4168</v>
      </c>
      <c r="AI583" s="9">
        <f t="shared" ca="1" si="1622"/>
        <v>7542</v>
      </c>
      <c r="AJ583" s="11">
        <f t="shared" ca="1" si="1607"/>
        <v>199.10099999999966</v>
      </c>
      <c r="AK583" s="8">
        <f t="shared" ref="AK583:AK584" si="1623">SUM(O587)</f>
        <v>8239</v>
      </c>
      <c r="AL583" s="12">
        <f t="shared" ca="1" si="1609"/>
        <v>0.91540235465469111</v>
      </c>
      <c r="AM583" s="13">
        <f t="shared" ref="AM583:AM584" si="1624">SUM(Q587)</f>
        <v>1.5</v>
      </c>
      <c r="AN583" s="12">
        <f t="shared" ca="1" si="1611"/>
        <v>0.84178381826309412</v>
      </c>
      <c r="AO583" s="14">
        <f t="shared" ca="1" si="1612"/>
        <v>1.2626757273946412</v>
      </c>
      <c r="AP583" s="13">
        <f t="shared" ref="AP583:AQ583" ca="1" si="1625">SUM(T587)</f>
        <v>209.99999999999963</v>
      </c>
      <c r="AQ583" s="13">
        <f t="shared" ca="1" si="1625"/>
        <v>6.9999999999999876</v>
      </c>
      <c r="AR583" s="9">
        <f t="shared" ca="1" si="1614"/>
        <v>251.4</v>
      </c>
      <c r="AS583" s="76"/>
      <c r="AT583" s="76"/>
    </row>
    <row r="584" spans="1:46" ht="15.75" customHeight="1" x14ac:dyDescent="0.25">
      <c r="A584" s="70"/>
      <c r="B584" s="16">
        <v>12</v>
      </c>
      <c r="C584" s="16" t="s">
        <v>41</v>
      </c>
      <c r="D584" s="17">
        <v>24</v>
      </c>
      <c r="E584" s="18">
        <f ca="1">IFERROR(__xludf.DUMMYFUNCTION("COUNT(IMPORTRANGE(""https://docs.google.com/spreadsheets/d/1sHk6_yuc4kORC_xnhEeazoemV_hVUQVqRpfoNae-PLk/edit"",""22!d2:d25""))"),24)</f>
        <v>24</v>
      </c>
      <c r="F584" s="23">
        <f ca="1">IFERROR(__xludf.DUMMYFUNCTION("SUM(IMPORTRANGE(""https://docs.google.com/spreadsheets/d/1sHk6_yuc4kORC_xnhEeazoemV_hVUQVqRpfoNae-PLk/edit"",""22!Q2:Q25""))"),4793.152)</f>
        <v>4793.152</v>
      </c>
      <c r="G584" s="18">
        <f ca="1">IFERROR(__xludf.DUMMYFUNCTION("IMPORTRANGE(""https://docs.google.com/spreadsheets/d/1sHk6_yuc4kORC_xnhEeazoemV_hVUQVqRpfoNae-PLk/edit"",""22!e32"")"),1443)</f>
        <v>1443</v>
      </c>
      <c r="H584" s="18">
        <f ca="1">IFERROR(__xludf.DUMMYFUNCTION("IMPORTRANGE(""https://docs.google.com/spreadsheets/d/1sHk6_yuc4kORC_xnhEeazoemV_hVUQVqRpfoNae-PLk/edit"",""22!e33"")"),0)</f>
        <v>0</v>
      </c>
      <c r="I584" s="18">
        <f t="shared" ca="1" si="1587"/>
        <v>1443</v>
      </c>
      <c r="J584" s="18">
        <f ca="1">IFERROR(__xludf.DUMMYFUNCTION("IMPORTRANGE(""https://docs.google.com/spreadsheets/d/1sHk6_yuc4kORC_xnhEeazoemV_hVUQVqRpfoNae-PLk/edit"",""22!e36"")"),1702)</f>
        <v>1702</v>
      </c>
      <c r="K584" s="18">
        <f ca="1">IFERROR(__xludf.DUMMYFUNCTION("IMPORTRANGE(""https://docs.google.com/spreadsheets/d/1sHk6_yuc4kORC_xnhEeazoemV_hVUQVqRpfoNae-PLk/edit"",""22!e37"")"),136)</f>
        <v>136</v>
      </c>
      <c r="L584" s="18">
        <f t="shared" ca="1" si="1617"/>
        <v>1838</v>
      </c>
      <c r="M584" s="18">
        <f t="shared" ca="1" si="1589"/>
        <v>3281</v>
      </c>
      <c r="N584" s="19">
        <f t="shared" ca="1" si="1590"/>
        <v>199.71466666666666</v>
      </c>
      <c r="O584" s="16">
        <v>3801</v>
      </c>
      <c r="P584" s="20">
        <f t="shared" ca="1" si="1591"/>
        <v>0.86319389634306765</v>
      </c>
      <c r="Q584" s="21">
        <v>1.5</v>
      </c>
      <c r="R584" s="20">
        <f t="shared" ca="1" si="1592"/>
        <v>0.45634549735400282</v>
      </c>
      <c r="S584" s="22">
        <f t="shared" ca="1" si="1593"/>
        <v>0.6845182460310042</v>
      </c>
      <c r="T584" s="21">
        <f ca="1">F584/29.628</f>
        <v>161.77777777777777</v>
      </c>
      <c r="U584" s="21">
        <f t="shared" ca="1" si="1594"/>
        <v>6.7407407407407405</v>
      </c>
      <c r="V584" s="18">
        <f t="shared" ca="1" si="1595"/>
        <v>136.70833333333334</v>
      </c>
      <c r="W584" s="76"/>
      <c r="X584" s="8">
        <v>6</v>
      </c>
      <c r="Y584" s="8" t="s">
        <v>42</v>
      </c>
      <c r="Z584" s="8">
        <f t="shared" ref="Z584:AI584" si="1626">SUM(D588)</f>
        <v>33</v>
      </c>
      <c r="AA584" s="9">
        <f t="shared" ca="1" si="1626"/>
        <v>32</v>
      </c>
      <c r="AB584" s="10">
        <f t="shared" ca="1" si="1626"/>
        <v>6331.0479999999898</v>
      </c>
      <c r="AC584" s="9">
        <f t="shared" ca="1" si="1626"/>
        <v>3542</v>
      </c>
      <c r="AD584" s="9">
        <f t="shared" ca="1" si="1626"/>
        <v>0</v>
      </c>
      <c r="AE584" s="9">
        <f t="shared" ca="1" si="1626"/>
        <v>3542</v>
      </c>
      <c r="AF584" s="9">
        <f t="shared" ca="1" si="1626"/>
        <v>4306</v>
      </c>
      <c r="AG584" s="9">
        <f t="shared" ca="1" si="1626"/>
        <v>0</v>
      </c>
      <c r="AH584" s="9">
        <f t="shared" ca="1" si="1626"/>
        <v>4306</v>
      </c>
      <c r="AI584" s="9">
        <f t="shared" ca="1" si="1626"/>
        <v>7848</v>
      </c>
      <c r="AJ584" s="11">
        <f t="shared" ca="1" si="1607"/>
        <v>197.84524999999968</v>
      </c>
      <c r="AK584" s="8">
        <f t="shared" si="1623"/>
        <v>9877</v>
      </c>
      <c r="AL584" s="12">
        <f t="shared" ca="1" si="1609"/>
        <v>0.79457325098714182</v>
      </c>
      <c r="AM584" s="13">
        <f t="shared" si="1624"/>
        <v>1.5</v>
      </c>
      <c r="AN584" s="12">
        <f t="shared" ca="1" si="1611"/>
        <v>0.82640346432375944</v>
      </c>
      <c r="AO584" s="14">
        <f t="shared" ca="1" si="1612"/>
        <v>1.2396051964856392</v>
      </c>
      <c r="AP584" s="13">
        <f t="shared" ref="AP584:AQ584" ca="1" si="1627">SUM(T588)</f>
        <v>242.05880328808982</v>
      </c>
      <c r="AQ584" s="13">
        <f t="shared" ca="1" si="1627"/>
        <v>7.5643376027528069</v>
      </c>
      <c r="AR584" s="9">
        <f t="shared" ca="1" si="1614"/>
        <v>245.25</v>
      </c>
      <c r="AS584" s="76"/>
      <c r="AT584" s="76"/>
    </row>
    <row r="585" spans="1:46" ht="15.75" customHeight="1" x14ac:dyDescent="0.25">
      <c r="A585" s="70"/>
      <c r="B585" s="16">
        <v>13</v>
      </c>
      <c r="C585" s="16" t="s">
        <v>43</v>
      </c>
      <c r="D585" s="17">
        <v>30</v>
      </c>
      <c r="E585" s="18">
        <f ca="1">IFERROR(__xludf.DUMMYFUNCTION("COUNT(IMPORTRANGE(""https://docs.google.com/spreadsheets/d/1uGXvAN2jA6kmcEHUY4KqOHHewllZsujDdA6KVDfBCoA/edit"",""22!d2:d31""))"),30)</f>
        <v>30</v>
      </c>
      <c r="F585" s="23">
        <f ca="1">IFERROR(__xludf.DUMMYFUNCTION("SUM(IMPORTRANGE(""https://docs.google.com/spreadsheets/d/1uGXvAN2jA6kmcEHUY4KqOHHewllZsujDdA6KVDfBCoA/edit"",""22!Q2:Q31""))"),6425.918)</f>
        <v>6425.9179999999997</v>
      </c>
      <c r="G585" s="18">
        <f ca="1">IFERROR(__xludf.DUMMYFUNCTION("IMPORTRANGE(""https://docs.google.com/spreadsheets/d/1uGXvAN2jA6kmcEHUY4KqOHHewllZsujDdA6KVDfBCoA/edit"",""22!e38"")"),2285)</f>
        <v>2285</v>
      </c>
      <c r="H585" s="18">
        <f ca="1">IFERROR(__xludf.DUMMYFUNCTION("IMPORTRANGE(""https://docs.google.com/spreadsheets/d/1uGXvAN2jA6kmcEHUY4KqOHHewllZsujDdA6KVDfBCoA/edit"",""22!e39"")"),0)</f>
        <v>0</v>
      </c>
      <c r="I585" s="18">
        <f t="shared" ca="1" si="1587"/>
        <v>2285</v>
      </c>
      <c r="J585" s="18">
        <f ca="1">IFERROR(__xludf.DUMMYFUNCTION("IMPORTRANGE(""https://docs.google.com/spreadsheets/d/1uGXvAN2jA6kmcEHUY4KqOHHewllZsujDdA6KVDfBCoA/edit"",""22!e42"")"),3344)</f>
        <v>3344</v>
      </c>
      <c r="K585" s="18">
        <f ca="1">IFERROR(__xludf.DUMMYFUNCTION("IMPORTRANGE(""https://docs.google.com/spreadsheets/d/1uGXvAN2jA6kmcEHUY4KqOHHewllZsujDdA6KVDfBCoA/edit"",""22!e43"")"),66)</f>
        <v>66</v>
      </c>
      <c r="L585" s="18">
        <f t="shared" ca="1" si="1617"/>
        <v>3410</v>
      </c>
      <c r="M585" s="18">
        <f t="shared" ca="1" si="1589"/>
        <v>5695</v>
      </c>
      <c r="N585" s="19">
        <f t="shared" ca="1" si="1590"/>
        <v>214.19726666666665</v>
      </c>
      <c r="O585" s="16">
        <v>8345</v>
      </c>
      <c r="P585" s="20">
        <f t="shared" ca="1" si="1591"/>
        <v>0.68244457759137211</v>
      </c>
      <c r="Q585" s="21">
        <v>1.5</v>
      </c>
      <c r="R585" s="20">
        <f t="shared" ca="1" si="1592"/>
        <v>0.59083646362537878</v>
      </c>
      <c r="S585" s="22">
        <f t="shared" ca="1" si="1593"/>
        <v>0.88625469543806823</v>
      </c>
      <c r="T585" s="21">
        <f ca="1">F585/41.205</f>
        <v>155.94995752942603</v>
      </c>
      <c r="U585" s="21">
        <f t="shared" ca="1" si="1594"/>
        <v>5.1983319176475344</v>
      </c>
      <c r="V585" s="18">
        <f t="shared" ca="1" si="1595"/>
        <v>189.83333333333334</v>
      </c>
      <c r="W585" s="76"/>
      <c r="X585" s="24" t="s">
        <v>33</v>
      </c>
      <c r="Y585" s="24">
        <v>6</v>
      </c>
      <c r="Z585" s="24">
        <f t="shared" ref="Z585:AI585" si="1628">SUM(Z579:Z584)</f>
        <v>226</v>
      </c>
      <c r="AA585" s="25">
        <f t="shared" ca="1" si="1628"/>
        <v>222</v>
      </c>
      <c r="AB585" s="27">
        <f t="shared" ca="1" si="1628"/>
        <v>44428.459999999875</v>
      </c>
      <c r="AC585" s="25">
        <f t="shared" ca="1" si="1628"/>
        <v>19002</v>
      </c>
      <c r="AD585" s="25">
        <f t="shared" ca="1" si="1628"/>
        <v>247</v>
      </c>
      <c r="AE585" s="25">
        <f t="shared" ca="1" si="1628"/>
        <v>19249</v>
      </c>
      <c r="AF585" s="25">
        <f t="shared" ca="1" si="1628"/>
        <v>24057</v>
      </c>
      <c r="AG585" s="25">
        <f t="shared" ca="1" si="1628"/>
        <v>302</v>
      </c>
      <c r="AH585" s="25">
        <f t="shared" ca="1" si="1628"/>
        <v>24359</v>
      </c>
      <c r="AI585" s="25">
        <f t="shared" ca="1" si="1628"/>
        <v>43608</v>
      </c>
      <c r="AJ585" s="27">
        <f t="shared" ca="1" si="1607"/>
        <v>200.12819819819762</v>
      </c>
      <c r="AK585" s="24">
        <f>SUM(AK579:AK584)</f>
        <v>53273</v>
      </c>
      <c r="AL585" s="28">
        <f t="shared" ca="1" si="1609"/>
        <v>0.8185760141159687</v>
      </c>
      <c r="AM585" s="29">
        <v>1.5</v>
      </c>
      <c r="AN585" s="28">
        <f t="shared" ca="1" si="1611"/>
        <v>0.65435533889763631</v>
      </c>
      <c r="AO585" s="30">
        <f t="shared" ca="1" si="1612"/>
        <v>0.98153300834645452</v>
      </c>
      <c r="AP585" s="29">
        <f ca="1">SUM(AP579:AP584)</f>
        <v>1457.6169573193122</v>
      </c>
      <c r="AQ585" s="29">
        <f ca="1">AP585/AA585</f>
        <v>6.5658421500869917</v>
      </c>
      <c r="AR585" s="25">
        <f t="shared" ca="1" si="1614"/>
        <v>196.43243243243242</v>
      </c>
      <c r="AS585" s="76"/>
      <c r="AT585" s="76"/>
    </row>
    <row r="586" spans="1:46" ht="15.75" customHeight="1" x14ac:dyDescent="0.25">
      <c r="A586" s="70"/>
      <c r="B586" s="16">
        <v>14</v>
      </c>
      <c r="C586" s="16" t="s">
        <v>27</v>
      </c>
      <c r="D586" s="17">
        <v>30</v>
      </c>
      <c r="E586" s="18">
        <f ca="1">IFERROR(__xludf.DUMMYFUNCTION("COUNT(IMPORTRANGE(""https://docs.google.com/spreadsheets/d/1iYtf3wkjJIgOL8ej0-L89wY8FLXKi6EiRbi9UqA1Bzw/edit"",""22!d2:d31""))"),28)</f>
        <v>28</v>
      </c>
      <c r="F586" s="23">
        <f ca="1">IFERROR(__xludf.DUMMYFUNCTION("SUM(IMPORTRANGE(""https://docs.google.com/spreadsheets/d/1iYtf3wkjJIgOL8ej0-L89wY8FLXKi6EiRbi9UqA1Bzw/edit"",""22!Q2:Q31""))"),5165.985)</f>
        <v>5165.9849999999997</v>
      </c>
      <c r="G586" s="18">
        <f ca="1">IFERROR(__xludf.DUMMYFUNCTION("IMPORTRANGE(""https://docs.google.com/spreadsheets/d/1iYtf3wkjJIgOL8ej0-L89wY8FLXKi6EiRbi9UqA1Bzw/edit"",""22!e38"")"),2352)</f>
        <v>2352</v>
      </c>
      <c r="H586" s="18">
        <f ca="1">IFERROR(__xludf.DUMMYFUNCTION("IMPORTRANGE(""https://docs.google.com/spreadsheets/d/1iYtf3wkjJIgOL8ej0-L89wY8FLXKi6EiRbi9UqA1Bzw/edit"",""22!e39"")"),169)</f>
        <v>169</v>
      </c>
      <c r="I586" s="18">
        <f t="shared" ca="1" si="1587"/>
        <v>2521</v>
      </c>
      <c r="J586" s="18">
        <f ca="1">IFERROR(__xludf.DUMMYFUNCTION("IMPORTRANGE(""https://docs.google.com/spreadsheets/d/1iYtf3wkjJIgOL8ej0-L89wY8FLXKi6EiRbi9UqA1Bzw/edit"",""22!e42"")"),3396)</f>
        <v>3396</v>
      </c>
      <c r="K586" s="18">
        <f ca="1">IFERROR(__xludf.DUMMYFUNCTION("IMPORTRANGE(""https://docs.google.com/spreadsheets/d/1iYtf3wkjJIgOL8ej0-L89wY8FLXKi6EiRbi9UqA1Bzw/edit"",""22!e43"")"),84)</f>
        <v>84</v>
      </c>
      <c r="L586" s="18">
        <f t="shared" ca="1" si="1617"/>
        <v>3480</v>
      </c>
      <c r="M586" s="18">
        <f t="shared" ca="1" si="1589"/>
        <v>6001</v>
      </c>
      <c r="N586" s="19">
        <f t="shared" ca="1" si="1590"/>
        <v>184.49946428571428</v>
      </c>
      <c r="O586" s="16">
        <v>8101</v>
      </c>
      <c r="P586" s="20">
        <f t="shared" ca="1" si="1591"/>
        <v>0.74077274410566596</v>
      </c>
      <c r="Q586" s="21">
        <v>1.5</v>
      </c>
      <c r="R586" s="20">
        <f t="shared" ca="1" si="1592"/>
        <v>0.77442475474990091</v>
      </c>
      <c r="S586" s="22">
        <f t="shared" ca="1" si="1593"/>
        <v>1.1616371321248513</v>
      </c>
      <c r="T586" s="21">
        <f ca="1">F586/19.985</f>
        <v>258.49311983987991</v>
      </c>
      <c r="U586" s="21">
        <f t="shared" ca="1" si="1594"/>
        <v>9.231897137138569</v>
      </c>
      <c r="V586" s="18">
        <f t="shared" ca="1" si="1595"/>
        <v>214.32142857142858</v>
      </c>
      <c r="W586" s="76"/>
      <c r="X586" s="97" t="s">
        <v>44</v>
      </c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9"/>
      <c r="AS586" s="76"/>
      <c r="AT586" s="76"/>
    </row>
    <row r="587" spans="1:46" ht="15.75" customHeight="1" x14ac:dyDescent="0.25">
      <c r="A587" s="70"/>
      <c r="B587" s="16">
        <v>15</v>
      </c>
      <c r="C587" s="16" t="s">
        <v>40</v>
      </c>
      <c r="D587" s="17">
        <v>30</v>
      </c>
      <c r="E587" s="18">
        <f ca="1">IFERROR(__xludf.DUMMYFUNCTION("COUNT(IMPORTRANGE(""https://docs.google.com/spreadsheets/d/1Wdf8MsoDBzMSsrzOXwaGQzbVjVqOWfKSqYmbncevZgA/edit"",""22!d2:d31""))"),30)</f>
        <v>30</v>
      </c>
      <c r="F587" s="23">
        <f ca="1">IFERROR(__xludf.DUMMYFUNCTION("SUM(IMPORTRANGE(""https://docs.google.com/spreadsheets/d/1Wdf8MsoDBzMSsrzOXwaGQzbVjVqOWfKSqYmbncevZgA/edit"",""22!Q2:Q31""))"),5973.02999999999)</f>
        <v>5973.0299999999897</v>
      </c>
      <c r="G587" s="18">
        <f ca="1">IFERROR(__xludf.DUMMYFUNCTION("IMPORTRANGE(""https://docs.google.com/spreadsheets/d/1Wdf8MsoDBzMSsrzOXwaGQzbVjVqOWfKSqYmbncevZgA/edit"",""22!e38"")"),3250)</f>
        <v>3250</v>
      </c>
      <c r="H587" s="18">
        <f ca="1">IFERROR(__xludf.DUMMYFUNCTION("IMPORTRANGE(""https://docs.google.com/spreadsheets/d/1Wdf8MsoDBzMSsrzOXwaGQzbVjVqOWfKSqYmbncevZgA/edit"",""22!e39"")"),124)</f>
        <v>124</v>
      </c>
      <c r="I587" s="18">
        <f t="shared" ca="1" si="1587"/>
        <v>3374</v>
      </c>
      <c r="J587" s="18">
        <f ca="1">IFERROR(__xludf.DUMMYFUNCTION("IMPORTRANGE(""https://docs.google.com/spreadsheets/d/1Wdf8MsoDBzMSsrzOXwaGQzbVjVqOWfKSqYmbncevZgA/edit"",""22!e42"")"),4056)</f>
        <v>4056</v>
      </c>
      <c r="K587" s="18">
        <f ca="1">IFERROR(__xludf.DUMMYFUNCTION("IMPORTRANGE(""https://docs.google.com/spreadsheets/d/1Wdf8MsoDBzMSsrzOXwaGQzbVjVqOWfKSqYmbncevZgA/edit"",""22!e43"")"),112)</f>
        <v>112</v>
      </c>
      <c r="L587" s="18">
        <f t="shared" ca="1" si="1617"/>
        <v>4168</v>
      </c>
      <c r="M587" s="18">
        <f t="shared" ca="1" si="1589"/>
        <v>7542</v>
      </c>
      <c r="N587" s="19">
        <f t="shared" ca="1" si="1590"/>
        <v>199.10099999999966</v>
      </c>
      <c r="O587" s="16">
        <v>8239</v>
      </c>
      <c r="P587" s="20">
        <f t="shared" ca="1" si="1591"/>
        <v>0.91540235465469111</v>
      </c>
      <c r="Q587" s="21">
        <v>1.5</v>
      </c>
      <c r="R587" s="20">
        <f t="shared" ca="1" si="1592"/>
        <v>0.84178381826309412</v>
      </c>
      <c r="S587" s="22">
        <f t="shared" ca="1" si="1593"/>
        <v>1.2626757273946412</v>
      </c>
      <c r="T587" s="21">
        <f ca="1">F587/28.443</f>
        <v>209.99999999999963</v>
      </c>
      <c r="U587" s="21">
        <f t="shared" ca="1" si="1594"/>
        <v>6.9999999999999876</v>
      </c>
      <c r="V587" s="18">
        <f t="shared" ca="1" si="1595"/>
        <v>251.4</v>
      </c>
      <c r="W587" s="76"/>
      <c r="X587" s="1" t="s">
        <v>2</v>
      </c>
      <c r="Y587" s="1" t="s">
        <v>3</v>
      </c>
      <c r="Z587" s="1" t="s">
        <v>4</v>
      </c>
      <c r="AA587" s="1" t="s">
        <v>5</v>
      </c>
      <c r="AB587" s="2" t="s">
        <v>6</v>
      </c>
      <c r="AC587" s="1" t="s">
        <v>7</v>
      </c>
      <c r="AD587" s="1" t="s">
        <v>8</v>
      </c>
      <c r="AE587" s="1" t="s">
        <v>9</v>
      </c>
      <c r="AF587" s="1" t="s">
        <v>10</v>
      </c>
      <c r="AG587" s="1" t="s">
        <v>11</v>
      </c>
      <c r="AH587" s="1" t="s">
        <v>12</v>
      </c>
      <c r="AI587" s="1" t="s">
        <v>13</v>
      </c>
      <c r="AJ587" s="2" t="s">
        <v>14</v>
      </c>
      <c r="AK587" s="1" t="s">
        <v>15</v>
      </c>
      <c r="AL587" s="1" t="s">
        <v>16</v>
      </c>
      <c r="AM587" s="3" t="s">
        <v>17</v>
      </c>
      <c r="AN587" s="4" t="s">
        <v>18</v>
      </c>
      <c r="AO587" s="5" t="s">
        <v>19</v>
      </c>
      <c r="AP587" s="6" t="s">
        <v>20</v>
      </c>
      <c r="AQ587" s="6" t="s">
        <v>21</v>
      </c>
      <c r="AR587" s="7" t="s">
        <v>22</v>
      </c>
      <c r="AS587" s="76"/>
      <c r="AT587" s="76"/>
    </row>
    <row r="588" spans="1:46" ht="15.75" customHeight="1" x14ac:dyDescent="0.25">
      <c r="A588" s="70"/>
      <c r="B588" s="16">
        <v>16</v>
      </c>
      <c r="C588" s="16" t="s">
        <v>42</v>
      </c>
      <c r="D588" s="17">
        <v>33</v>
      </c>
      <c r="E588" s="18">
        <f ca="1">IFERROR(__xludf.DUMMYFUNCTION("COUNT(IMPORTRANGE(""https://docs.google.com/spreadsheets/d/1Z5uB5HbeAKcHmG4EOw3rf2J8NpyvDiha6RReERAMvA0/edit"",""22!d2:d34""))"),32)</f>
        <v>32</v>
      </c>
      <c r="F588" s="23">
        <f ca="1">IFERROR(__xludf.DUMMYFUNCTION("SUM(IMPORTRANGE(""https://docs.google.com/spreadsheets/d/1Z5uB5HbeAKcHmG4EOw3rf2J8NpyvDiha6RReERAMvA0/edit"",""22!Q2:Q34""))"),6331.04799999999)</f>
        <v>6331.0479999999898</v>
      </c>
      <c r="G588" s="18">
        <f ca="1">IFERROR(__xludf.DUMMYFUNCTION("IMPORTRANGE(""https://docs.google.com/spreadsheets/d/1Z5uB5HbeAKcHmG4EOw3rf2J8NpyvDiha6RReERAMvA0/edit"",""22!e41"")"),3542)</f>
        <v>3542</v>
      </c>
      <c r="H588" s="18">
        <f ca="1">IFERROR(__xludf.DUMMYFUNCTION("IMPORTRANGE(""https://docs.google.com/spreadsheets/d/1Z5uB5HbeAKcHmG4EOw3rf2J8NpyvDiha6RReERAMvA0/edit"",""22!e42"")"),0)</f>
        <v>0</v>
      </c>
      <c r="I588" s="18">
        <f t="shared" ca="1" si="1587"/>
        <v>3542</v>
      </c>
      <c r="J588" s="18">
        <f ca="1">IFERROR(__xludf.DUMMYFUNCTION("IMPORTRANGE(""https://docs.google.com/spreadsheets/d/1Z5uB5HbeAKcHmG4EOw3rf2J8NpyvDiha6RReERAMvA0/edit"",""22!e45"")"),4306)</f>
        <v>4306</v>
      </c>
      <c r="K588" s="18">
        <f ca="1">IFERROR(__xludf.DUMMYFUNCTION("IMPORTRANGE(""https://docs.google.com/spreadsheets/d/1Z5uB5HbeAKcHmG4EOw3rf2J8NpyvDiha6RReERAMvA0/edit"",""22!e46"")"),0)</f>
        <v>0</v>
      </c>
      <c r="L588" s="18">
        <f t="shared" ca="1" si="1617"/>
        <v>4306</v>
      </c>
      <c r="M588" s="18">
        <f t="shared" ca="1" si="1589"/>
        <v>7848</v>
      </c>
      <c r="N588" s="19">
        <f t="shared" ca="1" si="1590"/>
        <v>197.84524999999968</v>
      </c>
      <c r="O588" s="16">
        <v>9877</v>
      </c>
      <c r="P588" s="20">
        <f t="shared" ca="1" si="1591"/>
        <v>0.79457325098714182</v>
      </c>
      <c r="Q588" s="21">
        <v>1.5</v>
      </c>
      <c r="R588" s="20">
        <f t="shared" ca="1" si="1592"/>
        <v>0.82640346432375944</v>
      </c>
      <c r="S588" s="22">
        <f t="shared" ca="1" si="1593"/>
        <v>1.2396051964856392</v>
      </c>
      <c r="T588" s="21">
        <f ca="1">F588/26.155</f>
        <v>242.05880328808982</v>
      </c>
      <c r="U588" s="21">
        <f t="shared" ca="1" si="1594"/>
        <v>7.5643376027528069</v>
      </c>
      <c r="V588" s="18">
        <f t="shared" ca="1" si="1595"/>
        <v>245.25</v>
      </c>
      <c r="W588" s="76"/>
      <c r="X588" s="8">
        <v>1</v>
      </c>
      <c r="Y588" s="8" t="s">
        <v>26</v>
      </c>
      <c r="Z588" s="8">
        <f t="shared" ref="Z588:AI588" si="1629">SUM(D573)</f>
        <v>20</v>
      </c>
      <c r="AA588" s="9">
        <f t="shared" ca="1" si="1629"/>
        <v>19</v>
      </c>
      <c r="AB588" s="11">
        <f t="shared" ca="1" si="1629"/>
        <v>3640.3229999999999</v>
      </c>
      <c r="AC588" s="9">
        <f t="shared" ca="1" si="1629"/>
        <v>2417</v>
      </c>
      <c r="AD588" s="9">
        <f t="shared" ca="1" si="1629"/>
        <v>0</v>
      </c>
      <c r="AE588" s="9">
        <f t="shared" ca="1" si="1629"/>
        <v>2417</v>
      </c>
      <c r="AF588" s="9">
        <f t="shared" ca="1" si="1629"/>
        <v>2923</v>
      </c>
      <c r="AG588" s="9">
        <f t="shared" ca="1" si="1629"/>
        <v>0</v>
      </c>
      <c r="AH588" s="9">
        <f t="shared" ca="1" si="1629"/>
        <v>2923</v>
      </c>
      <c r="AI588" s="9">
        <f t="shared" ca="1" si="1629"/>
        <v>5340</v>
      </c>
      <c r="AJ588" s="11">
        <f t="shared" ref="AJ588:AJ594" ca="1" si="1630">AB588/AA588</f>
        <v>191.59594736842104</v>
      </c>
      <c r="AK588" s="8">
        <f>SUM(O573)</f>
        <v>5161</v>
      </c>
      <c r="AL588" s="15">
        <f t="shared" ref="AL588:AL594" ca="1" si="1631">AI588/AK588</f>
        <v>1.0346832009300524</v>
      </c>
      <c r="AM588" s="13">
        <f>SUM(Q573)</f>
        <v>1.5</v>
      </c>
      <c r="AN588" s="12">
        <f t="shared" ref="AN588:AN594" ca="1" si="1632">AO588/AM588</f>
        <v>0.97793519970617993</v>
      </c>
      <c r="AO588" s="14">
        <f t="shared" ref="AO588:AO594" ca="1" si="1633">AI588/AB588</f>
        <v>1.4669027995592698</v>
      </c>
      <c r="AP588" s="13">
        <f t="shared" ref="AP588:AQ588" ca="1" si="1634">SUM(T573)</f>
        <v>252.53714880332987</v>
      </c>
      <c r="AQ588" s="13">
        <f t="shared" ca="1" si="1634"/>
        <v>13.291428884385782</v>
      </c>
      <c r="AR588" s="9">
        <f t="shared" ref="AR588:AR594" ca="1" si="1635">AI588/AA588</f>
        <v>281.05263157894734</v>
      </c>
      <c r="AS588" s="76"/>
      <c r="AT588" s="76"/>
    </row>
    <row r="589" spans="1:46" ht="15.75" customHeight="1" x14ac:dyDescent="0.25">
      <c r="A589" s="70"/>
      <c r="B589" s="16">
        <v>17</v>
      </c>
      <c r="C589" s="16" t="s">
        <v>29</v>
      </c>
      <c r="D589" s="17">
        <v>30</v>
      </c>
      <c r="E589" s="18">
        <f ca="1">IFERROR(__xludf.DUMMYFUNCTION("COUNT(IMPORTRANGE(""https://docs.google.com/spreadsheets/d/1wfJqI0e9wVPqEQv3N6b8KgINjqI0OBECEyIFeY9j3i8/edit"",""22!d2:d31""))"),29)</f>
        <v>29</v>
      </c>
      <c r="F589" s="23">
        <f ca="1">IFERROR(__xludf.DUMMYFUNCTION("SUM(IMPORTRANGE(""https://docs.google.com/spreadsheets/d/1wfJqI0e9wVPqEQv3N6b8KgINjqI0OBECEyIFeY9j3i8/edit"",""22!Q2:Q31""))"),5933.98399999999)</f>
        <v>5933.9839999999904</v>
      </c>
      <c r="G589" s="18">
        <f ca="1">IFERROR(__xludf.DUMMYFUNCTION("IMPORTRANGE(""https://docs.google.com/spreadsheets/d/1wfJqI0e9wVPqEQv3N6b8KgINjqI0OBECEyIFeY9j3i8/edit"",""22!e38"")"),2936)</f>
        <v>2936</v>
      </c>
      <c r="H589" s="18">
        <f ca="1">IFERROR(__xludf.DUMMYFUNCTION("IMPORTRANGE(""https://docs.google.com/spreadsheets/d/1wfJqI0e9wVPqEQv3N6b8KgINjqI0OBECEyIFeY9j3i8/edit"",""22!e39"")"),0)</f>
        <v>0</v>
      </c>
      <c r="I589" s="18">
        <f t="shared" ca="1" si="1587"/>
        <v>2936</v>
      </c>
      <c r="J589" s="18">
        <f ca="1">IFERROR(__xludf.DUMMYFUNCTION("IMPORTRANGE(""https://docs.google.com/spreadsheets/d/1wfJqI0e9wVPqEQv3N6b8KgINjqI0OBECEyIFeY9j3i8/edit"",""22!e42"")"),4213)</f>
        <v>4213</v>
      </c>
      <c r="K589" s="18">
        <f ca="1">IFERROR(__xludf.DUMMYFUNCTION("IMPORTRANGE(""https://docs.google.com/spreadsheets/d/1wfJqI0e9wVPqEQv3N6b8KgINjqI0OBECEyIFeY9j3i8/edit"",""22!e43"")"),0)</f>
        <v>0</v>
      </c>
      <c r="L589" s="18">
        <f t="shared" ca="1" si="1617"/>
        <v>4213</v>
      </c>
      <c r="M589" s="18">
        <f t="shared" ca="1" si="1589"/>
        <v>7149</v>
      </c>
      <c r="N589" s="19">
        <f t="shared" ca="1" si="1590"/>
        <v>204.62013793103415</v>
      </c>
      <c r="O589" s="16">
        <v>9201</v>
      </c>
      <c r="P589" s="20">
        <f t="shared" ca="1" si="1591"/>
        <v>0.77698076296054774</v>
      </c>
      <c r="Q589" s="21">
        <v>1.5</v>
      </c>
      <c r="R589" s="20">
        <f t="shared" ca="1" si="1592"/>
        <v>0.80317034895948625</v>
      </c>
      <c r="S589" s="22">
        <f t="shared" ca="1" si="1593"/>
        <v>1.2047555234392293</v>
      </c>
      <c r="T589" s="21">
        <f ca="1">F589/26.491</f>
        <v>223.99999999999963</v>
      </c>
      <c r="U589" s="21">
        <f t="shared" ca="1" si="1594"/>
        <v>7.7241379310344698</v>
      </c>
      <c r="V589" s="18">
        <f t="shared" ca="1" si="1595"/>
        <v>246.51724137931035</v>
      </c>
      <c r="W589" s="76"/>
      <c r="X589" s="8">
        <v>2</v>
      </c>
      <c r="Y589" s="8" t="s">
        <v>32</v>
      </c>
      <c r="Z589" s="8">
        <f t="shared" ref="Z589:AI589" si="1636">SUM(D576)</f>
        <v>42</v>
      </c>
      <c r="AA589" s="9">
        <f t="shared" ca="1" si="1636"/>
        <v>41</v>
      </c>
      <c r="AB589" s="10">
        <f t="shared" ca="1" si="1636"/>
        <v>8028.4799999999896</v>
      </c>
      <c r="AC589" s="8">
        <f t="shared" ca="1" si="1636"/>
        <v>4662</v>
      </c>
      <c r="AD589" s="8">
        <f t="shared" ca="1" si="1636"/>
        <v>0</v>
      </c>
      <c r="AE589" s="9">
        <f t="shared" ca="1" si="1636"/>
        <v>4662</v>
      </c>
      <c r="AF589" s="8">
        <f t="shared" ca="1" si="1636"/>
        <v>5735</v>
      </c>
      <c r="AG589" s="8">
        <f t="shared" ca="1" si="1636"/>
        <v>0</v>
      </c>
      <c r="AH589" s="9">
        <f t="shared" ca="1" si="1636"/>
        <v>5735</v>
      </c>
      <c r="AI589" s="9">
        <f t="shared" ca="1" si="1636"/>
        <v>10397</v>
      </c>
      <c r="AJ589" s="11">
        <f t="shared" ca="1" si="1630"/>
        <v>195.8165853658534</v>
      </c>
      <c r="AK589" s="8">
        <f>SUM(O576)</f>
        <v>13817</v>
      </c>
      <c r="AL589" s="12">
        <f t="shared" ca="1" si="1631"/>
        <v>0.75247883042628649</v>
      </c>
      <c r="AM589" s="13">
        <f>SUM(Q576)</f>
        <v>1.5</v>
      </c>
      <c r="AN589" s="12">
        <f t="shared" ca="1" si="1632"/>
        <v>0.86334316499927033</v>
      </c>
      <c r="AO589" s="14">
        <f t="shared" ca="1" si="1633"/>
        <v>1.2950147474989055</v>
      </c>
      <c r="AP589" s="13">
        <f t="shared" ref="AP589:AQ589" ca="1" si="1637">SUM(T576)</f>
        <v>319.9999999999996</v>
      </c>
      <c r="AQ589" s="13">
        <f t="shared" ca="1" si="1637"/>
        <v>7.8048780487804779</v>
      </c>
      <c r="AR589" s="9">
        <f t="shared" ca="1" si="1635"/>
        <v>253.58536585365854</v>
      </c>
      <c r="AS589" s="76"/>
      <c r="AT589" s="76"/>
    </row>
    <row r="590" spans="1:46" ht="15.75" customHeight="1" x14ac:dyDescent="0.25">
      <c r="A590" s="70"/>
      <c r="B590" s="16">
        <v>18</v>
      </c>
      <c r="C590" s="16" t="s">
        <v>31</v>
      </c>
      <c r="D590" s="17">
        <v>15</v>
      </c>
      <c r="E590" s="18">
        <f ca="1">IFERROR(__xludf.DUMMYFUNCTION("COUNT(IMPORTRANGE(""https://docs.google.com/spreadsheets/d/1-y2KhTAo7d8kowgUuWUDfRQuRMUAFteRYEXorT3_wOs/edit"",""22!d2:d16""))"),13)</f>
        <v>13</v>
      </c>
      <c r="F590" s="19">
        <f ca="1">IFERROR(__xludf.DUMMYFUNCTION("SUM(IMPORTRANGE(""https://docs.google.com/spreadsheets/d/1-y2KhTAo7d8kowgUuWUDfRQuRMUAFteRYEXorT3_wOs/edit"",""22!Q2:Q16""))"),2607.89999999999)</f>
        <v>2607.8999999999901</v>
      </c>
      <c r="G590" s="18">
        <f ca="1">IFERROR(__xludf.DUMMYFUNCTION("IMPORTRANGE(""https://docs.google.com/spreadsheets/d/1-y2KhTAo7d8kowgUuWUDfRQuRMUAFteRYEXorT3_wOs/edit"",""22!e23"")"),831)</f>
        <v>831</v>
      </c>
      <c r="H590" s="18">
        <f ca="1">IFERROR(__xludf.DUMMYFUNCTION("IMPORTRANGE(""https://docs.google.com/spreadsheets/d/1-y2KhTAo7d8kowgUuWUDfRQuRMUAFteRYEXorT3_wOs/edit"",""22!e24"")"),0)</f>
        <v>0</v>
      </c>
      <c r="I590" s="18">
        <f t="shared" ca="1" si="1587"/>
        <v>831</v>
      </c>
      <c r="J590" s="18">
        <f ca="1">IFERROR(__xludf.DUMMYFUNCTION("IMPORTRANGE(""https://docs.google.com/spreadsheets/d/1-y2KhTAo7d8kowgUuWUDfRQuRMUAFteRYEXorT3_wOs/edit"",""22!e27"")"),900)</f>
        <v>900</v>
      </c>
      <c r="K590" s="18">
        <f ca="1">IFERROR(__xludf.DUMMYFUNCTION("IMPORTRANGE(""https://docs.google.com/spreadsheets/d/1-y2KhTAo7d8kowgUuWUDfRQuRMUAFteRYEXorT3_wOs/edit"",""22!e28"")"),0)</f>
        <v>0</v>
      </c>
      <c r="L590" s="18">
        <f t="shared" ca="1" si="1617"/>
        <v>900</v>
      </c>
      <c r="M590" s="18">
        <f t="shared" ca="1" si="1589"/>
        <v>1731</v>
      </c>
      <c r="N590" s="19">
        <f t="shared" ca="1" si="1590"/>
        <v>200.60769230769154</v>
      </c>
      <c r="O590" s="16">
        <v>2717</v>
      </c>
      <c r="P590" s="20">
        <f t="shared" ca="1" si="1591"/>
        <v>0.63709974236290023</v>
      </c>
      <c r="Q590" s="21">
        <v>1.5</v>
      </c>
      <c r="R590" s="20">
        <f t="shared" ca="1" si="1592"/>
        <v>0.44250162966371581</v>
      </c>
      <c r="S590" s="22">
        <f t="shared" ca="1" si="1593"/>
        <v>0.66375244449557369</v>
      </c>
      <c r="T590" s="21">
        <f ca="1">F590/43.465</f>
        <v>59.999999999999766</v>
      </c>
      <c r="U590" s="21">
        <f t="shared" ca="1" si="1594"/>
        <v>4.6153846153845972</v>
      </c>
      <c r="V590" s="18">
        <f t="shared" ca="1" si="1595"/>
        <v>133.15384615384616</v>
      </c>
      <c r="W590" s="76"/>
      <c r="X590" s="8">
        <v>3</v>
      </c>
      <c r="Y590" s="8" t="s">
        <v>36</v>
      </c>
      <c r="Z590" s="8">
        <f t="shared" ref="Z590:AI590" si="1638">SUM(D581)</f>
        <v>30</v>
      </c>
      <c r="AA590" s="9">
        <f t="shared" ca="1" si="1638"/>
        <v>30</v>
      </c>
      <c r="AB590" s="10">
        <f t="shared" ca="1" si="1638"/>
        <v>5698.4529999999904</v>
      </c>
      <c r="AC590" s="9">
        <f t="shared" ca="1" si="1638"/>
        <v>1823</v>
      </c>
      <c r="AD590" s="9">
        <f t="shared" ca="1" si="1638"/>
        <v>0</v>
      </c>
      <c r="AE590" s="9">
        <f t="shared" ca="1" si="1638"/>
        <v>1823</v>
      </c>
      <c r="AF590" s="9">
        <f t="shared" ca="1" si="1638"/>
        <v>2374</v>
      </c>
      <c r="AG590" s="9">
        <f t="shared" ca="1" si="1638"/>
        <v>0</v>
      </c>
      <c r="AH590" s="9">
        <f t="shared" ca="1" si="1638"/>
        <v>2374</v>
      </c>
      <c r="AI590" s="9">
        <f t="shared" ca="1" si="1638"/>
        <v>4197</v>
      </c>
      <c r="AJ590" s="11">
        <f t="shared" ca="1" si="1630"/>
        <v>189.94843333333301</v>
      </c>
      <c r="AK590" s="8">
        <f t="shared" ref="AK590:AK593" si="1639">SUM(O581)</f>
        <v>4796</v>
      </c>
      <c r="AL590" s="12">
        <f t="shared" ca="1" si="1631"/>
        <v>0.87510425354462051</v>
      </c>
      <c r="AM590" s="13">
        <f t="shared" ref="AM590:AM593" si="1640">SUM(Q581)</f>
        <v>1.5</v>
      </c>
      <c r="AN590" s="12">
        <f t="shared" ca="1" si="1632"/>
        <v>0.49101045494277212</v>
      </c>
      <c r="AO590" s="14">
        <f t="shared" ca="1" si="1633"/>
        <v>0.73651568241415821</v>
      </c>
      <c r="AP590" s="13">
        <f t="shared" ref="AP590:AQ590" ca="1" si="1641">SUM(T581)</f>
        <v>152.30803977120837</v>
      </c>
      <c r="AQ590" s="13">
        <f t="shared" ca="1" si="1641"/>
        <v>5.0769346590402789</v>
      </c>
      <c r="AR590" s="9">
        <f t="shared" ca="1" si="1635"/>
        <v>139.9</v>
      </c>
      <c r="AS590" s="76"/>
      <c r="AT590" s="76"/>
    </row>
    <row r="591" spans="1:46" ht="15.75" customHeight="1" x14ac:dyDescent="0.2">
      <c r="A591" s="70"/>
      <c r="B591" s="98" t="s">
        <v>33</v>
      </c>
      <c r="C591" s="98">
        <v>18</v>
      </c>
      <c r="D591" s="98">
        <f t="shared" ref="D591:M591" si="1642">SUM(D573:D590)</f>
        <v>586</v>
      </c>
      <c r="E591" s="74">
        <f t="shared" ca="1" si="1642"/>
        <v>569</v>
      </c>
      <c r="F591" s="99">
        <f t="shared" ca="1" si="1642"/>
        <v>112497.96599999984</v>
      </c>
      <c r="G591" s="74">
        <f t="shared" ca="1" si="1642"/>
        <v>44438</v>
      </c>
      <c r="H591" s="74">
        <f t="shared" ca="1" si="1642"/>
        <v>782</v>
      </c>
      <c r="I591" s="74">
        <f t="shared" ca="1" si="1642"/>
        <v>45220</v>
      </c>
      <c r="J591" s="74">
        <f t="shared" ca="1" si="1642"/>
        <v>57712</v>
      </c>
      <c r="K591" s="74">
        <f t="shared" ca="1" si="1642"/>
        <v>1167</v>
      </c>
      <c r="L591" s="74">
        <f t="shared" ca="1" si="1642"/>
        <v>58879</v>
      </c>
      <c r="M591" s="74">
        <f t="shared" ca="1" si="1642"/>
        <v>104099</v>
      </c>
      <c r="N591" s="99">
        <f t="shared" ca="1" si="1590"/>
        <v>197.71171528998215</v>
      </c>
      <c r="O591" s="98">
        <f>SUM(O573:O590)</f>
        <v>126399</v>
      </c>
      <c r="P591" s="69">
        <f t="shared" ca="1" si="1591"/>
        <v>0.82357455359615184</v>
      </c>
      <c r="Q591" s="72">
        <v>1.5</v>
      </c>
      <c r="R591" s="69">
        <f t="shared" ca="1" si="1592"/>
        <v>0.61689411640858849</v>
      </c>
      <c r="S591" s="73">
        <f t="shared" ca="1" si="1593"/>
        <v>0.92534117461288279</v>
      </c>
      <c r="T591" s="72">
        <f ca="1">SUM(T573:T590)</f>
        <v>4126.9035476620193</v>
      </c>
      <c r="U591" s="72">
        <f t="shared" ca="1" si="1594"/>
        <v>7.2529060591599634</v>
      </c>
      <c r="V591" s="74">
        <f t="shared" ca="1" si="1595"/>
        <v>182.95079086115993</v>
      </c>
      <c r="W591" s="76"/>
      <c r="X591" s="8">
        <v>4</v>
      </c>
      <c r="Y591" s="8" t="s">
        <v>37</v>
      </c>
      <c r="Z591" s="8">
        <f t="shared" ref="Z591:AI591" si="1643">SUM(D582)</f>
        <v>30</v>
      </c>
      <c r="AA591" s="9">
        <f t="shared" ca="1" si="1643"/>
        <v>28</v>
      </c>
      <c r="AB591" s="10">
        <f t="shared" ca="1" si="1643"/>
        <v>5638.6440000000002</v>
      </c>
      <c r="AC591" s="9">
        <f t="shared" ca="1" si="1643"/>
        <v>2152</v>
      </c>
      <c r="AD591" s="9">
        <f t="shared" ca="1" si="1643"/>
        <v>0</v>
      </c>
      <c r="AE591" s="9">
        <f t="shared" ca="1" si="1643"/>
        <v>2152</v>
      </c>
      <c r="AF591" s="9">
        <f t="shared" ca="1" si="1643"/>
        <v>3177</v>
      </c>
      <c r="AG591" s="9">
        <f t="shared" ca="1" si="1643"/>
        <v>0</v>
      </c>
      <c r="AH591" s="9">
        <f t="shared" ca="1" si="1643"/>
        <v>3177</v>
      </c>
      <c r="AI591" s="9">
        <f t="shared" ca="1" si="1643"/>
        <v>5329</v>
      </c>
      <c r="AJ591" s="11">
        <f t="shared" ca="1" si="1630"/>
        <v>201.38014285714286</v>
      </c>
      <c r="AK591" s="8">
        <f t="shared" si="1639"/>
        <v>5887</v>
      </c>
      <c r="AL591" s="12">
        <f t="shared" ca="1" si="1631"/>
        <v>0.90521488024460672</v>
      </c>
      <c r="AM591" s="13">
        <f t="shared" si="1640"/>
        <v>1.5</v>
      </c>
      <c r="AN591" s="12">
        <f t="shared" ca="1" si="1632"/>
        <v>0.63005691912216244</v>
      </c>
      <c r="AO591" s="14">
        <f t="shared" ca="1" si="1633"/>
        <v>0.94508537868324372</v>
      </c>
      <c r="AP591" s="13">
        <f t="shared" ref="AP591:AQ591" ca="1" si="1644">SUM(T582)</f>
        <v>227.4380445304937</v>
      </c>
      <c r="AQ591" s="13">
        <f t="shared" ca="1" si="1644"/>
        <v>8.1227873046604895</v>
      </c>
      <c r="AR591" s="9">
        <f t="shared" ca="1" si="1635"/>
        <v>190.32142857142858</v>
      </c>
      <c r="AS591" s="76"/>
      <c r="AT591" s="76"/>
    </row>
    <row r="592" spans="1:46" ht="15.75" customHeight="1" x14ac:dyDescent="0.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6"/>
      <c r="X592" s="8">
        <v>5</v>
      </c>
      <c r="Y592" s="8" t="s">
        <v>39</v>
      </c>
      <c r="Z592" s="8">
        <f t="shared" ref="Z592:AI592" si="1645">SUM(D583)</f>
        <v>28</v>
      </c>
      <c r="AA592" s="9">
        <f t="shared" ca="1" si="1645"/>
        <v>26</v>
      </c>
      <c r="AB592" s="10">
        <f t="shared" ca="1" si="1645"/>
        <v>5039.4399999999996</v>
      </c>
      <c r="AC592" s="9">
        <f t="shared" ca="1" si="1645"/>
        <v>1449</v>
      </c>
      <c r="AD592" s="9">
        <f t="shared" ca="1" si="1645"/>
        <v>0</v>
      </c>
      <c r="AE592" s="9">
        <f t="shared" ca="1" si="1645"/>
        <v>1449</v>
      </c>
      <c r="AF592" s="9">
        <f t="shared" ca="1" si="1645"/>
        <v>1593</v>
      </c>
      <c r="AG592" s="9">
        <f t="shared" ca="1" si="1645"/>
        <v>162</v>
      </c>
      <c r="AH592" s="9">
        <f t="shared" ca="1" si="1645"/>
        <v>1755</v>
      </c>
      <c r="AI592" s="9">
        <f t="shared" ca="1" si="1645"/>
        <v>3204</v>
      </c>
      <c r="AJ592" s="11">
        <f t="shared" ca="1" si="1630"/>
        <v>193.82461538461536</v>
      </c>
      <c r="AK592" s="8">
        <f t="shared" si="1639"/>
        <v>3569</v>
      </c>
      <c r="AL592" s="12">
        <f t="shared" ca="1" si="1631"/>
        <v>0.89773045671056317</v>
      </c>
      <c r="AM592" s="13">
        <f t="shared" si="1640"/>
        <v>1.5</v>
      </c>
      <c r="AN592" s="12">
        <f t="shared" ca="1" si="1632"/>
        <v>0.42385661898941157</v>
      </c>
      <c r="AO592" s="14">
        <f t="shared" ca="1" si="1633"/>
        <v>0.63578492848411738</v>
      </c>
      <c r="AP592" s="13">
        <f t="shared" ref="AP592:AQ592" ca="1" si="1646">SUM(T583)</f>
        <v>234.7966267530168</v>
      </c>
      <c r="AQ592" s="13">
        <f t="shared" ca="1" si="1646"/>
        <v>9.0306394905006453</v>
      </c>
      <c r="AR592" s="9">
        <f t="shared" ca="1" si="1635"/>
        <v>123.23076923076923</v>
      </c>
      <c r="AS592" s="76"/>
      <c r="AT592" s="76"/>
    </row>
    <row r="593" spans="1:46" ht="15.75" customHeight="1" x14ac:dyDescent="0.2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6"/>
      <c r="X593" s="8">
        <v>6</v>
      </c>
      <c r="Y593" s="8" t="s">
        <v>41</v>
      </c>
      <c r="Z593" s="8">
        <f t="shared" ref="Z593:AI593" si="1647">SUM(D584)</f>
        <v>24</v>
      </c>
      <c r="AA593" s="9">
        <f t="shared" ca="1" si="1647"/>
        <v>24</v>
      </c>
      <c r="AB593" s="10">
        <f t="shared" ca="1" si="1647"/>
        <v>4793.152</v>
      </c>
      <c r="AC593" s="9">
        <f t="shared" ca="1" si="1647"/>
        <v>1443</v>
      </c>
      <c r="AD593" s="9">
        <f t="shared" ca="1" si="1647"/>
        <v>0</v>
      </c>
      <c r="AE593" s="9">
        <f t="shared" ca="1" si="1647"/>
        <v>1443</v>
      </c>
      <c r="AF593" s="9">
        <f t="shared" ca="1" si="1647"/>
        <v>1702</v>
      </c>
      <c r="AG593" s="9">
        <f t="shared" ca="1" si="1647"/>
        <v>136</v>
      </c>
      <c r="AH593" s="9">
        <f t="shared" ca="1" si="1647"/>
        <v>1838</v>
      </c>
      <c r="AI593" s="9">
        <f t="shared" ca="1" si="1647"/>
        <v>3281</v>
      </c>
      <c r="AJ593" s="11">
        <f t="shared" ca="1" si="1630"/>
        <v>199.71466666666666</v>
      </c>
      <c r="AK593" s="8">
        <f t="shared" si="1639"/>
        <v>3801</v>
      </c>
      <c r="AL593" s="12">
        <f t="shared" ca="1" si="1631"/>
        <v>0.86319389634306765</v>
      </c>
      <c r="AM593" s="13">
        <f t="shared" si="1640"/>
        <v>1.5</v>
      </c>
      <c r="AN593" s="12">
        <f t="shared" ca="1" si="1632"/>
        <v>0.45634549735400282</v>
      </c>
      <c r="AO593" s="14">
        <f t="shared" ca="1" si="1633"/>
        <v>0.6845182460310042</v>
      </c>
      <c r="AP593" s="13">
        <f t="shared" ref="AP593:AQ593" ca="1" si="1648">SUM(T584)</f>
        <v>161.77777777777777</v>
      </c>
      <c r="AQ593" s="13">
        <f t="shared" ca="1" si="1648"/>
        <v>6.7407407407407405</v>
      </c>
      <c r="AR593" s="9">
        <f t="shared" ca="1" si="1635"/>
        <v>136.70833333333334</v>
      </c>
      <c r="AS593" s="76"/>
      <c r="AT593" s="76"/>
    </row>
    <row r="594" spans="1:46" ht="15.75" customHeight="1" x14ac:dyDescent="0.25">
      <c r="A594" s="110" t="s">
        <v>45</v>
      </c>
      <c r="B594" s="76"/>
      <c r="C594" s="76"/>
      <c r="D594" s="75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24" t="s">
        <v>33</v>
      </c>
      <c r="Y594" s="24">
        <v>6</v>
      </c>
      <c r="Z594" s="24">
        <f t="shared" ref="Z594:AI594" si="1649">SUM(Z588:Z593)</f>
        <v>174</v>
      </c>
      <c r="AA594" s="25">
        <f t="shared" ca="1" si="1649"/>
        <v>168</v>
      </c>
      <c r="AB594" s="27">
        <f t="shared" ca="1" si="1649"/>
        <v>32838.491999999977</v>
      </c>
      <c r="AC594" s="25">
        <f t="shared" ca="1" si="1649"/>
        <v>13946</v>
      </c>
      <c r="AD594" s="25">
        <f t="shared" ca="1" si="1649"/>
        <v>0</v>
      </c>
      <c r="AE594" s="25">
        <f t="shared" ca="1" si="1649"/>
        <v>13946</v>
      </c>
      <c r="AF594" s="25">
        <f t="shared" ca="1" si="1649"/>
        <v>17504</v>
      </c>
      <c r="AG594" s="25">
        <f t="shared" ca="1" si="1649"/>
        <v>298</v>
      </c>
      <c r="AH594" s="25">
        <f t="shared" ca="1" si="1649"/>
        <v>17802</v>
      </c>
      <c r="AI594" s="25">
        <f t="shared" ca="1" si="1649"/>
        <v>31748</v>
      </c>
      <c r="AJ594" s="27">
        <f t="shared" ca="1" si="1630"/>
        <v>195.46721428571414</v>
      </c>
      <c r="AK594" s="24">
        <f>SUM(AK588:AK593)</f>
        <v>37031</v>
      </c>
      <c r="AL594" s="28">
        <f t="shared" ca="1" si="1631"/>
        <v>0.85733574572655347</v>
      </c>
      <c r="AM594" s="29">
        <v>1.5</v>
      </c>
      <c r="AN594" s="28">
        <f t="shared" ca="1" si="1632"/>
        <v>0.64452817545133767</v>
      </c>
      <c r="AO594" s="30">
        <f t="shared" ca="1" si="1633"/>
        <v>0.96679226317700651</v>
      </c>
      <c r="AP594" s="29">
        <f ca="1">SUM(AP588:AP593)</f>
        <v>1348.8576376358262</v>
      </c>
      <c r="AQ594" s="29">
        <f ca="1">AP594/AA594</f>
        <v>8.02891450973706</v>
      </c>
      <c r="AR594" s="25">
        <f t="shared" ca="1" si="1635"/>
        <v>188.97619047619048</v>
      </c>
      <c r="AS594" s="76"/>
      <c r="AT594" s="76"/>
    </row>
    <row r="595" spans="1:46" ht="15.75" customHeight="1" x14ac:dyDescent="0.2">
      <c r="A595" s="110" t="s">
        <v>45</v>
      </c>
      <c r="B595" s="76"/>
      <c r="C595" s="76"/>
      <c r="D595" s="75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7" t="s">
        <v>1</v>
      </c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9"/>
      <c r="AS595" s="76"/>
      <c r="AT595" s="76"/>
    </row>
    <row r="596" spans="1:46" ht="15.75" customHeight="1" x14ac:dyDescent="0.2">
      <c r="A596" s="109">
        <v>46288</v>
      </c>
      <c r="B596" s="80" t="s">
        <v>2</v>
      </c>
      <c r="C596" s="80" t="s">
        <v>3</v>
      </c>
      <c r="D596" s="80" t="s">
        <v>4</v>
      </c>
      <c r="E596" s="80" t="s">
        <v>5</v>
      </c>
      <c r="F596" s="81" t="s">
        <v>6</v>
      </c>
      <c r="G596" s="80" t="s">
        <v>7</v>
      </c>
      <c r="H596" s="80" t="s">
        <v>8</v>
      </c>
      <c r="I596" s="80" t="s">
        <v>9</v>
      </c>
      <c r="J596" s="80" t="s">
        <v>10</v>
      </c>
      <c r="K596" s="80" t="s">
        <v>11</v>
      </c>
      <c r="L596" s="80" t="s">
        <v>12</v>
      </c>
      <c r="M596" s="80" t="s">
        <v>13</v>
      </c>
      <c r="N596" s="81" t="s">
        <v>14</v>
      </c>
      <c r="O596" s="80" t="s">
        <v>15</v>
      </c>
      <c r="P596" s="80" t="s">
        <v>16</v>
      </c>
      <c r="Q596" s="80" t="s">
        <v>17</v>
      </c>
      <c r="R596" s="80" t="s">
        <v>18</v>
      </c>
      <c r="S596" s="106" t="s">
        <v>19</v>
      </c>
      <c r="T596" s="107" t="s">
        <v>20</v>
      </c>
      <c r="U596" s="107" t="s">
        <v>21</v>
      </c>
      <c r="V596" s="105" t="s">
        <v>22</v>
      </c>
      <c r="W596" s="76"/>
      <c r="X596" s="1" t="s">
        <v>2</v>
      </c>
      <c r="Y596" s="1" t="s">
        <v>3</v>
      </c>
      <c r="Z596" s="1" t="s">
        <v>4</v>
      </c>
      <c r="AA596" s="1" t="s">
        <v>5</v>
      </c>
      <c r="AB596" s="2" t="s">
        <v>6</v>
      </c>
      <c r="AC596" s="1" t="s">
        <v>7</v>
      </c>
      <c r="AD596" s="1" t="s">
        <v>8</v>
      </c>
      <c r="AE596" s="1" t="s">
        <v>9</v>
      </c>
      <c r="AF596" s="1" t="s">
        <v>10</v>
      </c>
      <c r="AG596" s="1" t="s">
        <v>11</v>
      </c>
      <c r="AH596" s="1" t="s">
        <v>12</v>
      </c>
      <c r="AI596" s="1" t="s">
        <v>13</v>
      </c>
      <c r="AJ596" s="2" t="s">
        <v>14</v>
      </c>
      <c r="AK596" s="1" t="s">
        <v>15</v>
      </c>
      <c r="AL596" s="1" t="s">
        <v>16</v>
      </c>
      <c r="AM596" s="3" t="s">
        <v>17</v>
      </c>
      <c r="AN596" s="4" t="s">
        <v>18</v>
      </c>
      <c r="AO596" s="5" t="s">
        <v>19</v>
      </c>
      <c r="AP596" s="6" t="s">
        <v>20</v>
      </c>
      <c r="AQ596" s="6" t="s">
        <v>21</v>
      </c>
      <c r="AR596" s="7" t="s">
        <v>22</v>
      </c>
      <c r="AS596" s="76"/>
      <c r="AT596" s="76"/>
    </row>
    <row r="597" spans="1:46" ht="15.75" customHeight="1" x14ac:dyDescent="0.2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6"/>
      <c r="X597" s="8">
        <v>1</v>
      </c>
      <c r="Y597" s="8" t="s">
        <v>23</v>
      </c>
      <c r="Z597" s="8">
        <f t="shared" ref="Z597:AI597" si="1650">SUM(D605)</f>
        <v>35</v>
      </c>
      <c r="AA597" s="9">
        <f t="shared" ca="1" si="1650"/>
        <v>34</v>
      </c>
      <c r="AB597" s="10">
        <f t="shared" ca="1" si="1650"/>
        <v>6815.4799999999896</v>
      </c>
      <c r="AC597" s="9">
        <f t="shared" ca="1" si="1650"/>
        <v>1858</v>
      </c>
      <c r="AD597" s="9">
        <f t="shared" ca="1" si="1650"/>
        <v>0</v>
      </c>
      <c r="AE597" s="9">
        <f t="shared" ca="1" si="1650"/>
        <v>1858</v>
      </c>
      <c r="AF597" s="9">
        <f t="shared" ca="1" si="1650"/>
        <v>3259</v>
      </c>
      <c r="AG597" s="9">
        <f t="shared" ca="1" si="1650"/>
        <v>0</v>
      </c>
      <c r="AH597" s="9">
        <f t="shared" ca="1" si="1650"/>
        <v>3259</v>
      </c>
      <c r="AI597" s="9">
        <f t="shared" ca="1" si="1650"/>
        <v>5117</v>
      </c>
      <c r="AJ597" s="11">
        <f t="shared" ref="AJ597:AJ599" ca="1" si="1651">AB597/AA597</f>
        <v>200.45529411764676</v>
      </c>
      <c r="AK597" s="8">
        <f>SUM(O605)</f>
        <v>6853</v>
      </c>
      <c r="AL597" s="12">
        <f t="shared" ref="AL597:AL603" ca="1" si="1652">AI597/AK597</f>
        <v>0.74668028600612868</v>
      </c>
      <c r="AM597" s="13">
        <f t="shared" ref="AM597:AM599" si="1653">SUM(Q605)</f>
        <v>1.5</v>
      </c>
      <c r="AN597" s="12">
        <f t="shared" ref="AN597:AN603" ca="1" si="1654">AO597/AM597</f>
        <v>0.50052723114635189</v>
      </c>
      <c r="AO597" s="14">
        <f t="shared" ref="AO597:AO603" ca="1" si="1655">AI597/AB597</f>
        <v>0.75079084671952789</v>
      </c>
      <c r="AP597" s="13">
        <f t="shared" ref="AP597:AQ597" ca="1" si="1656">SUM(T605)</f>
        <v>201.99999999999969</v>
      </c>
      <c r="AQ597" s="13">
        <f t="shared" ca="1" si="1656"/>
        <v>5.9411764705882257</v>
      </c>
      <c r="AR597" s="9">
        <f t="shared" ref="AR597:AR603" ca="1" si="1657">AI597/AA597</f>
        <v>150.5</v>
      </c>
      <c r="AS597" s="76"/>
      <c r="AT597" s="76"/>
    </row>
    <row r="598" spans="1:46" ht="15.75" customHeight="1" x14ac:dyDescent="0.2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6"/>
      <c r="X598" s="8">
        <v>2</v>
      </c>
      <c r="Y598" s="8" t="s">
        <v>24</v>
      </c>
      <c r="Z598" s="8">
        <f t="shared" ref="Z598:AI598" si="1658">SUM(D606)</f>
        <v>44</v>
      </c>
      <c r="AA598" s="9">
        <f t="shared" ca="1" si="1658"/>
        <v>44</v>
      </c>
      <c r="AB598" s="10">
        <f t="shared" ca="1" si="1658"/>
        <v>8805.9679999999898</v>
      </c>
      <c r="AC598" s="9">
        <f t="shared" ca="1" si="1658"/>
        <v>1172</v>
      </c>
      <c r="AD598" s="9">
        <f t="shared" ca="1" si="1658"/>
        <v>0</v>
      </c>
      <c r="AE598" s="9">
        <f t="shared" ca="1" si="1658"/>
        <v>1172</v>
      </c>
      <c r="AF598" s="9">
        <f t="shared" ca="1" si="1658"/>
        <v>1861</v>
      </c>
      <c r="AG598" s="9">
        <f t="shared" ca="1" si="1658"/>
        <v>0</v>
      </c>
      <c r="AH598" s="9">
        <f t="shared" ca="1" si="1658"/>
        <v>1861</v>
      </c>
      <c r="AI598" s="9">
        <f t="shared" ca="1" si="1658"/>
        <v>3033</v>
      </c>
      <c r="AJ598" s="11">
        <f t="shared" ca="1" si="1651"/>
        <v>200.13563636363614</v>
      </c>
      <c r="AK598" s="8">
        <v>1580</v>
      </c>
      <c r="AL598" s="15">
        <f t="shared" ca="1" si="1652"/>
        <v>1.919620253164557</v>
      </c>
      <c r="AM598" s="13">
        <f t="shared" si="1653"/>
        <v>1.5</v>
      </c>
      <c r="AN598" s="12">
        <f t="shared" ca="1" si="1654"/>
        <v>0.22961700519465914</v>
      </c>
      <c r="AO598" s="14">
        <f t="shared" ca="1" si="1655"/>
        <v>0.34442550779198872</v>
      </c>
      <c r="AP598" s="13">
        <f t="shared" ref="AP598:AQ598" ca="1" si="1659">SUM(T606)</f>
        <v>328.51960455138931</v>
      </c>
      <c r="AQ598" s="13">
        <f t="shared" ca="1" si="1659"/>
        <v>7.4663546488952113</v>
      </c>
      <c r="AR598" s="9">
        <f t="shared" ca="1" si="1657"/>
        <v>68.931818181818187</v>
      </c>
      <c r="AS598" s="76"/>
      <c r="AT598" s="76"/>
    </row>
    <row r="599" spans="1:46" ht="15.75" customHeight="1" x14ac:dyDescent="0.2">
      <c r="A599" s="70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6"/>
      <c r="X599" s="8">
        <v>3</v>
      </c>
      <c r="Y599" s="8" t="s">
        <v>25</v>
      </c>
      <c r="Z599" s="8">
        <f t="shared" ref="Z599:AI599" si="1660">SUM(D607)</f>
        <v>32</v>
      </c>
      <c r="AA599" s="9">
        <f t="shared" ca="1" si="1660"/>
        <v>32</v>
      </c>
      <c r="AB599" s="10">
        <f t="shared" ca="1" si="1660"/>
        <v>6022.2520000000004</v>
      </c>
      <c r="AC599" s="9">
        <f t="shared" ca="1" si="1660"/>
        <v>2536</v>
      </c>
      <c r="AD599" s="9">
        <f t="shared" ca="1" si="1660"/>
        <v>335</v>
      </c>
      <c r="AE599" s="9">
        <f t="shared" ca="1" si="1660"/>
        <v>2871</v>
      </c>
      <c r="AF599" s="9">
        <f t="shared" ca="1" si="1660"/>
        <v>3623</v>
      </c>
      <c r="AG599" s="9">
        <f t="shared" ca="1" si="1660"/>
        <v>245</v>
      </c>
      <c r="AH599" s="9">
        <f t="shared" ca="1" si="1660"/>
        <v>3868</v>
      </c>
      <c r="AI599" s="9">
        <f t="shared" ca="1" si="1660"/>
        <v>6739</v>
      </c>
      <c r="AJ599" s="11">
        <f t="shared" ca="1" si="1651"/>
        <v>188.19537500000001</v>
      </c>
      <c r="AK599" s="8">
        <f>SUM(O607)</f>
        <v>6622</v>
      </c>
      <c r="AL599" s="12">
        <f t="shared" ca="1" si="1652"/>
        <v>1.0176683781334943</v>
      </c>
      <c r="AM599" s="13">
        <f t="shared" si="1653"/>
        <v>1.5</v>
      </c>
      <c r="AN599" s="12">
        <f t="shared" ca="1" si="1654"/>
        <v>0.74601107138437017</v>
      </c>
      <c r="AO599" s="14">
        <f t="shared" ca="1" si="1655"/>
        <v>1.1190166070765553</v>
      </c>
      <c r="AP599" s="13">
        <f t="shared" ref="AP599:AQ599" ca="1" si="1661">SUM(T607)</f>
        <v>252.61124161073826</v>
      </c>
      <c r="AQ599" s="13">
        <f t="shared" ca="1" si="1661"/>
        <v>7.8941013003355707</v>
      </c>
      <c r="AR599" s="9">
        <f t="shared" ca="1" si="1657"/>
        <v>210.59375</v>
      </c>
      <c r="AS599" s="76"/>
      <c r="AT599" s="76"/>
    </row>
    <row r="600" spans="1:46" ht="15.75" customHeight="1" x14ac:dyDescent="0.25">
      <c r="A600" s="70"/>
      <c r="B600" s="16">
        <v>1</v>
      </c>
      <c r="C600" s="16" t="s">
        <v>26</v>
      </c>
      <c r="D600" s="17">
        <v>20</v>
      </c>
      <c r="E600" s="18">
        <f ca="1">IFERROR(__xludf.DUMMYFUNCTION("COUNT(IMPORTRANGE(""https://docs.google.com/spreadsheets/d/1F0NpMx7WhcgPgxTWpryY3Z1CGg56FL6aiL4mHs43w4E/edit"",""23!d2:d21""))"),19)</f>
        <v>19</v>
      </c>
      <c r="F600" s="19">
        <f ca="1">IFERROR(__xludf.DUMMYFUNCTION("SUM(IMPORTRANGE(""https://docs.google.com/spreadsheets/d/1F0NpMx7WhcgPgxTWpryY3Z1CGg56FL6aiL4mHs43w4E/edit"",""23!Q2:Q21""))"),3755.643)</f>
        <v>3755.643</v>
      </c>
      <c r="G600" s="18">
        <f ca="1">IFERROR(__xludf.DUMMYFUNCTION("IMPORTRANGE(""https://docs.google.com/spreadsheets/d/1F0NpMx7WhcgPgxTWpryY3Z1CGg56FL6aiL4mHs43w4E/edit"",""23!e28"")"),1781)</f>
        <v>1781</v>
      </c>
      <c r="H600" s="18">
        <f ca="1">IFERROR(__xludf.DUMMYFUNCTION("IMPORTRANGE(""https://docs.google.com/spreadsheets/d/1F0NpMx7WhcgPgxTWpryY3Z1CGg56FL6aiL4mHs43w4E/edit"",""23!e29"")"),0)</f>
        <v>0</v>
      </c>
      <c r="I600" s="18">
        <f t="shared" ref="I600:I617" ca="1" si="1662">SUM(G600:H600)</f>
        <v>1781</v>
      </c>
      <c r="J600" s="18">
        <f ca="1">IFERROR(__xludf.DUMMYFUNCTION("IMPORTRANGE(""https://docs.google.com/spreadsheets/d/1F0NpMx7WhcgPgxTWpryY3Z1CGg56FL6aiL4mHs43w4E/edit"",""23!e32"")"),3285)</f>
        <v>3285</v>
      </c>
      <c r="K600" s="18">
        <f ca="1">IFERROR(__xludf.DUMMYFUNCTION("IMPORTRANGE(""https://docs.google.com/spreadsheets/d/1F0NpMx7WhcgPgxTWpryY3Z1CGg56FL6aiL4mHs43w4E/edit"",""23!e33"")"),0)</f>
        <v>0</v>
      </c>
      <c r="L600" s="18">
        <f t="shared" ref="L600:L606" ca="1" si="1663">SUM(J600:K600)</f>
        <v>3285</v>
      </c>
      <c r="M600" s="18">
        <f t="shared" ref="M600:M617" ca="1" si="1664">SUM(I600+L600)</f>
        <v>5066</v>
      </c>
      <c r="N600" s="19">
        <f t="shared" ref="N600:N618" ca="1" si="1665">F600/E600</f>
        <v>197.66542105263159</v>
      </c>
      <c r="O600" s="16">
        <v>5161</v>
      </c>
      <c r="P600" s="20">
        <f t="shared" ref="P600:P618" ca="1" si="1666">M600/O600</f>
        <v>0.9815927145901957</v>
      </c>
      <c r="Q600" s="21">
        <v>1.5</v>
      </c>
      <c r="R600" s="20">
        <f t="shared" ref="R600:R618" ca="1" si="1667">S600/Q600</f>
        <v>0.89926900222767003</v>
      </c>
      <c r="S600" s="22">
        <f t="shared" ref="S600:S618" ca="1" si="1668">M600/F600</f>
        <v>1.3489035033415051</v>
      </c>
      <c r="T600" s="21">
        <f ca="1">F600/14.415</f>
        <v>260.5371488033299</v>
      </c>
      <c r="U600" s="21">
        <f t="shared" ref="U600:U618" ca="1" si="1669">T600/E600</f>
        <v>13.712481515964731</v>
      </c>
      <c r="V600" s="18">
        <f t="shared" ref="V600:V618" ca="1" si="1670">M600/E600</f>
        <v>266.63157894736844</v>
      </c>
      <c r="W600" s="76"/>
      <c r="X600" s="8">
        <v>4</v>
      </c>
      <c r="Y600" s="8" t="s">
        <v>27</v>
      </c>
      <c r="Z600" s="8">
        <f t="shared" ref="Z600:AK600" si="1671">SUM(D613)</f>
        <v>30</v>
      </c>
      <c r="AA600" s="9">
        <f t="shared" ca="1" si="1671"/>
        <v>28</v>
      </c>
      <c r="AB600" s="10">
        <f t="shared" ca="1" si="1671"/>
        <v>5225.9399999999996</v>
      </c>
      <c r="AC600" s="9">
        <f t="shared" ca="1" si="1671"/>
        <v>2895</v>
      </c>
      <c r="AD600" s="9">
        <f t="shared" ca="1" si="1671"/>
        <v>23</v>
      </c>
      <c r="AE600" s="9">
        <f t="shared" ca="1" si="1671"/>
        <v>2918</v>
      </c>
      <c r="AF600" s="9">
        <f t="shared" ca="1" si="1671"/>
        <v>2766</v>
      </c>
      <c r="AG600" s="9">
        <f t="shared" ca="1" si="1671"/>
        <v>152</v>
      </c>
      <c r="AH600" s="9">
        <f t="shared" ca="1" si="1671"/>
        <v>2918</v>
      </c>
      <c r="AI600" s="9">
        <f t="shared" ca="1" si="1671"/>
        <v>5836</v>
      </c>
      <c r="AJ600" s="11">
        <f t="shared" ca="1" si="1671"/>
        <v>186.64071428571427</v>
      </c>
      <c r="AK600" s="8">
        <f t="shared" si="1671"/>
        <v>8101</v>
      </c>
      <c r="AL600" s="12">
        <f t="shared" ca="1" si="1652"/>
        <v>0.72040488828539684</v>
      </c>
      <c r="AM600" s="13">
        <f>SUM(Q613)</f>
        <v>1.5</v>
      </c>
      <c r="AN600" s="12">
        <f t="shared" ca="1" si="1654"/>
        <v>0.74449126217803252</v>
      </c>
      <c r="AO600" s="14">
        <f t="shared" ca="1" si="1655"/>
        <v>1.1167368932670487</v>
      </c>
      <c r="AP600" s="13">
        <f t="shared" ref="AP600:AQ600" ca="1" si="1672">SUM(T613)</f>
        <v>261.49311983987991</v>
      </c>
      <c r="AQ600" s="13">
        <f t="shared" ca="1" si="1672"/>
        <v>9.3390399942814248</v>
      </c>
      <c r="AR600" s="9">
        <f t="shared" ca="1" si="1657"/>
        <v>208.42857142857142</v>
      </c>
      <c r="AS600" s="76"/>
      <c r="AT600" s="76"/>
    </row>
    <row r="601" spans="1:46" ht="15.75" customHeight="1" x14ac:dyDescent="0.25">
      <c r="A601" s="70"/>
      <c r="B601" s="16">
        <v>2</v>
      </c>
      <c r="C601" s="16" t="s">
        <v>28</v>
      </c>
      <c r="D601" s="17">
        <v>33</v>
      </c>
      <c r="E601" s="18">
        <f ca="1">IFERROR(__xludf.DUMMYFUNCTION("COUNT(IMPORTRANGE(""https://docs.google.com/spreadsheets/d/1H9vAqftAHb0OdeSGXHTnJFzoWUgpoH31sc0sHNN8y1o/edit"",""23!d2:d34""))"),33)</f>
        <v>33</v>
      </c>
      <c r="F601" s="19">
        <f ca="1">IFERROR(__xludf.DUMMYFUNCTION("SUM(IMPORTRANGE(""https://docs.google.com/spreadsheets/d/1H9vAqftAHb0OdeSGXHTnJFzoWUgpoH31sc0sHNN8y1o/edit"",""23!Q2:Q34""))"),6590.627)</f>
        <v>6590.6270000000004</v>
      </c>
      <c r="G601" s="18">
        <f ca="1">IFERROR(__xludf.DUMMYFUNCTION("IMPORTRANGE(""https://docs.google.com/spreadsheets/d/1H9vAqftAHb0OdeSGXHTnJFzoWUgpoH31sc0sHNN8y1o/edit"",""23!e41"")"),2774)</f>
        <v>2774</v>
      </c>
      <c r="H601" s="18">
        <f ca="1">IFERROR(__xludf.DUMMYFUNCTION("IMPORTRANGE(""https://docs.google.com/spreadsheets/d/1H9vAqftAHb0OdeSGXHTnJFzoWUgpoH31sc0sHNN8y1o/edit"",""23!e42"")"),137)</f>
        <v>137</v>
      </c>
      <c r="I601" s="18">
        <f t="shared" ca="1" si="1662"/>
        <v>2911</v>
      </c>
      <c r="J601" s="18">
        <f ca="1">IFERROR(__xludf.DUMMYFUNCTION("IMPORTRANGE(""https://docs.google.com/spreadsheets/d/1H9vAqftAHb0OdeSGXHTnJFzoWUgpoH31sc0sHNN8y1o/edit"",""23!e45"")"),3120)</f>
        <v>3120</v>
      </c>
      <c r="K601" s="18">
        <f ca="1">IFERROR(__xludf.DUMMYFUNCTION("IMPORTRANGE(""https://docs.google.com/spreadsheets/d/1H9vAqftAHb0OdeSGXHTnJFzoWUgpoH31sc0sHNN8y1o/edit"",""23!e46"")"),138)</f>
        <v>138</v>
      </c>
      <c r="L601" s="18">
        <f t="shared" ca="1" si="1663"/>
        <v>3258</v>
      </c>
      <c r="M601" s="18">
        <f t="shared" ca="1" si="1664"/>
        <v>6169</v>
      </c>
      <c r="N601" s="19">
        <f t="shared" ca="1" si="1665"/>
        <v>199.71596969696972</v>
      </c>
      <c r="O601" s="16">
        <v>7315</v>
      </c>
      <c r="P601" s="20">
        <f t="shared" ca="1" si="1666"/>
        <v>0.84333561175666438</v>
      </c>
      <c r="Q601" s="21">
        <v>1.5</v>
      </c>
      <c r="R601" s="20">
        <f t="shared" ca="1" si="1667"/>
        <v>0.62401751254723814</v>
      </c>
      <c r="S601" s="22">
        <f t="shared" ca="1" si="1668"/>
        <v>0.93602626882085715</v>
      </c>
      <c r="T601" s="21">
        <f ca="1">F601/30.897</f>
        <v>213.30960934718584</v>
      </c>
      <c r="U601" s="21">
        <f t="shared" ca="1" si="1669"/>
        <v>6.4639275559753289</v>
      </c>
      <c r="V601" s="18">
        <f t="shared" ca="1" si="1670"/>
        <v>186.93939393939394</v>
      </c>
      <c r="W601" s="76"/>
      <c r="X601" s="8">
        <v>5</v>
      </c>
      <c r="Y601" s="8" t="s">
        <v>29</v>
      </c>
      <c r="Z601" s="8">
        <f t="shared" ref="Z601:AI601" si="1673">SUM(D616)</f>
        <v>30</v>
      </c>
      <c r="AA601" s="9">
        <f t="shared" ca="1" si="1673"/>
        <v>30</v>
      </c>
      <c r="AB601" s="10">
        <f t="shared" ca="1" si="1673"/>
        <v>5960.4749999999904</v>
      </c>
      <c r="AC601" s="9">
        <f t="shared" ca="1" si="1673"/>
        <v>2909</v>
      </c>
      <c r="AD601" s="9">
        <f t="shared" ca="1" si="1673"/>
        <v>0</v>
      </c>
      <c r="AE601" s="9">
        <f t="shared" ca="1" si="1673"/>
        <v>2909</v>
      </c>
      <c r="AF601" s="9">
        <f t="shared" ca="1" si="1673"/>
        <v>4371</v>
      </c>
      <c r="AG601" s="9">
        <f t="shared" ca="1" si="1673"/>
        <v>0</v>
      </c>
      <c r="AH601" s="9">
        <f t="shared" ca="1" si="1673"/>
        <v>4371</v>
      </c>
      <c r="AI601" s="9">
        <f t="shared" ca="1" si="1673"/>
        <v>7280</v>
      </c>
      <c r="AJ601" s="11">
        <f t="shared" ref="AJ601:AJ603" ca="1" si="1674">AB601/AA601</f>
        <v>198.68249999999969</v>
      </c>
      <c r="AK601" s="8">
        <f t="shared" ref="AK601:AK602" si="1675">SUM(O616)</f>
        <v>9201</v>
      </c>
      <c r="AL601" s="12">
        <f t="shared" ca="1" si="1652"/>
        <v>0.79121834583197481</v>
      </c>
      <c r="AM601" s="13">
        <f t="shared" ref="AM601:AM602" si="1676">SUM(Q616)</f>
        <v>1.5</v>
      </c>
      <c r="AN601" s="12">
        <f t="shared" ca="1" si="1654"/>
        <v>0.81425277907102045</v>
      </c>
      <c r="AO601" s="14">
        <f t="shared" ca="1" si="1655"/>
        <v>1.2213791686065307</v>
      </c>
      <c r="AP601" s="13">
        <f t="shared" ref="AP601:AQ601" ca="1" si="1677">SUM(T616)</f>
        <v>224.99999999999963</v>
      </c>
      <c r="AQ601" s="13">
        <f t="shared" ca="1" si="1677"/>
        <v>7.4999999999999876</v>
      </c>
      <c r="AR601" s="9">
        <f t="shared" ca="1" si="1657"/>
        <v>242.66666666666666</v>
      </c>
      <c r="AS601" s="76"/>
      <c r="AT601" s="76"/>
    </row>
    <row r="602" spans="1:46" ht="15.75" customHeight="1" x14ac:dyDescent="0.25">
      <c r="A602" s="70"/>
      <c r="B602" s="16">
        <v>3</v>
      </c>
      <c r="C602" s="16" t="s">
        <v>30</v>
      </c>
      <c r="D602" s="17">
        <v>60</v>
      </c>
      <c r="E602" s="18">
        <f ca="1">IFERROR(__xludf.DUMMYFUNCTION("COUNT(IMPORTRANGE(""https://docs.google.com/spreadsheets/d/1EWN6nfpuVxbUE_9opjYCWaI7MTm5xsF6ssjklSbMZnA/edit"",""23!d2:d61""))"),56)</f>
        <v>56</v>
      </c>
      <c r="F602" s="23">
        <f ca="1">IFERROR(__xludf.DUMMYFUNCTION("SUM(IMPORTRANGE(""https://docs.google.com/spreadsheets/d/1EWN6nfpuVxbUE_9opjYCWaI7MTm5xsF6ssjklSbMZnA/edit"",""23!Q2:Q61""))"),10982.7129999999)</f>
        <v>10982.7129999999</v>
      </c>
      <c r="G602" s="18">
        <f ca="1">IFERROR(__xludf.DUMMYFUNCTION("IMPORTRANGE(""https://docs.google.com/spreadsheets/d/1EWN6nfpuVxbUE_9opjYCWaI7MTm5xsF6ssjklSbMZnA/edit"",""23!e68"")"),3553)</f>
        <v>3553</v>
      </c>
      <c r="H602" s="18">
        <f ca="1">IFERROR(__xludf.DUMMYFUNCTION("IMPORTRANGE(""https://docs.google.com/spreadsheets/d/1EWN6nfpuVxbUE_9opjYCWaI7MTm5xsF6ssjklSbMZnA/edit"",""23!e69"")"),45)</f>
        <v>45</v>
      </c>
      <c r="I602" s="18">
        <f t="shared" ca="1" si="1662"/>
        <v>3598</v>
      </c>
      <c r="J602" s="18">
        <f ca="1">IFERROR(__xludf.DUMMYFUNCTION("IMPORTRANGE(""https://docs.google.com/spreadsheets/d/1EWN6nfpuVxbUE_9opjYCWaI7MTm5xsF6ssjklSbMZnA/edit"",""23!e72"")"),5199)</f>
        <v>5199</v>
      </c>
      <c r="K602" s="18">
        <f ca="1">IFERROR(__xludf.DUMMYFUNCTION("IMPORTRANGE(""https://docs.google.com/spreadsheets/d/1EWN6nfpuVxbUE_9opjYCWaI7MTm5xsF6ssjklSbMZnA/edit"",""23!e73"")"),120)</f>
        <v>120</v>
      </c>
      <c r="L602" s="18">
        <f t="shared" ca="1" si="1663"/>
        <v>5319</v>
      </c>
      <c r="M602" s="18">
        <f t="shared" ca="1" si="1664"/>
        <v>8917</v>
      </c>
      <c r="N602" s="19">
        <f t="shared" ca="1" si="1665"/>
        <v>196.11987499999822</v>
      </c>
      <c r="O602" s="16">
        <v>11164</v>
      </c>
      <c r="P602" s="20">
        <f t="shared" ca="1" si="1666"/>
        <v>0.79872805446076678</v>
      </c>
      <c r="Q602" s="21">
        <v>1.5</v>
      </c>
      <c r="R602" s="20">
        <f t="shared" ca="1" si="1667"/>
        <v>0.5412748805023605</v>
      </c>
      <c r="S602" s="22">
        <f t="shared" ca="1" si="1668"/>
        <v>0.81191232075354069</v>
      </c>
      <c r="T602" s="21">
        <f ca="1">F602/29.603</f>
        <v>370.99999999999659</v>
      </c>
      <c r="U602" s="21">
        <f t="shared" ca="1" si="1669"/>
        <v>6.6249999999999387</v>
      </c>
      <c r="V602" s="18">
        <f t="shared" ca="1" si="1670"/>
        <v>159.23214285714286</v>
      </c>
      <c r="W602" s="76"/>
      <c r="X602" s="8">
        <v>6</v>
      </c>
      <c r="Y602" s="8" t="s">
        <v>31</v>
      </c>
      <c r="Z602" s="8">
        <f t="shared" ref="Z602:AI602" si="1678">SUM(D617)</f>
        <v>15</v>
      </c>
      <c r="AA602" s="9">
        <f t="shared" ca="1" si="1678"/>
        <v>15</v>
      </c>
      <c r="AB602" s="11">
        <f t="shared" ca="1" si="1678"/>
        <v>3042.55</v>
      </c>
      <c r="AC602" s="9">
        <f t="shared" ca="1" si="1678"/>
        <v>934</v>
      </c>
      <c r="AD602" s="9">
        <f t="shared" ca="1" si="1678"/>
        <v>0</v>
      </c>
      <c r="AE602" s="9">
        <f t="shared" ca="1" si="1678"/>
        <v>934</v>
      </c>
      <c r="AF602" s="9">
        <f t="shared" ca="1" si="1678"/>
        <v>1141</v>
      </c>
      <c r="AG602" s="9">
        <f t="shared" ca="1" si="1678"/>
        <v>9</v>
      </c>
      <c r="AH602" s="9">
        <f t="shared" ca="1" si="1678"/>
        <v>1150</v>
      </c>
      <c r="AI602" s="9">
        <f t="shared" ca="1" si="1678"/>
        <v>2084</v>
      </c>
      <c r="AJ602" s="11">
        <f t="shared" ca="1" si="1674"/>
        <v>202.83666666666667</v>
      </c>
      <c r="AK602" s="8">
        <f t="shared" si="1675"/>
        <v>2717</v>
      </c>
      <c r="AL602" s="12">
        <f t="shared" ca="1" si="1652"/>
        <v>0.76702245123297752</v>
      </c>
      <c r="AM602" s="13">
        <f t="shared" si="1676"/>
        <v>1.5</v>
      </c>
      <c r="AN602" s="12">
        <f t="shared" ca="1" si="1654"/>
        <v>0.4566345116212826</v>
      </c>
      <c r="AO602" s="14">
        <f t="shared" ca="1" si="1655"/>
        <v>0.68495176743192387</v>
      </c>
      <c r="AP602" s="13">
        <f t="shared" ref="AP602:AQ602" ca="1" si="1679">SUM(T617)</f>
        <v>70</v>
      </c>
      <c r="AQ602" s="13">
        <f t="shared" ca="1" si="1679"/>
        <v>4.666666666666667</v>
      </c>
      <c r="AR602" s="9">
        <f t="shared" ca="1" si="1657"/>
        <v>138.93333333333334</v>
      </c>
      <c r="AS602" s="76"/>
      <c r="AT602" s="76"/>
    </row>
    <row r="603" spans="1:46" ht="15.75" customHeight="1" x14ac:dyDescent="0.25">
      <c r="A603" s="70"/>
      <c r="B603" s="16">
        <v>4</v>
      </c>
      <c r="C603" s="16" t="s">
        <v>32</v>
      </c>
      <c r="D603" s="17">
        <v>42</v>
      </c>
      <c r="E603" s="18">
        <f ca="1">IFERROR(__xludf.DUMMYFUNCTION("COUNT(IMPORTRANGE(""https://docs.google.com/spreadsheets/d/1Rmar8QqWK4XOJ-eY6xMzkAfDSw0srEXcAw89ilArun8/edit"",""23!d2:d43""))"),41)</f>
        <v>41</v>
      </c>
      <c r="F603" s="23">
        <f ca="1">IFERROR(__xludf.DUMMYFUNCTION("SUM(IMPORTRANGE(""https://docs.google.com/spreadsheets/d/1Rmar8QqWK4XOJ-eY6xMzkAfDSw0srEXcAw89ilArun8/edit"",""23!Q2:Q43""))"),8078.65799999999)</f>
        <v>8078.6579999999904</v>
      </c>
      <c r="G603" s="16">
        <f ca="1">IFERROR(__xludf.DUMMYFUNCTION("IMPORTRANGE(""https://docs.google.com/spreadsheets/d/1Rmar8QqWK4XOJ-eY6xMzkAfDSw0srEXcAw89ilArun8/edit"",""23!e50"")"),4834)</f>
        <v>4834</v>
      </c>
      <c r="H603" s="16">
        <f ca="1">IFERROR(__xludf.DUMMYFUNCTION("IMPORTRANGE(""https://docs.google.com/spreadsheets/d/1Rmar8QqWK4XOJ-eY6xMzkAfDSw0srEXcAw89ilArun8/edit"",""23!e51"")"),0)</f>
        <v>0</v>
      </c>
      <c r="I603" s="18">
        <f t="shared" ca="1" si="1662"/>
        <v>4834</v>
      </c>
      <c r="J603" s="16">
        <f ca="1">IFERROR(__xludf.DUMMYFUNCTION("IMPORTRANGE(""https://docs.google.com/spreadsheets/d/1Rmar8QqWK4XOJ-eY6xMzkAfDSw0srEXcAw89ilArun8/edit"",""23!e54"")"),5901)</f>
        <v>5901</v>
      </c>
      <c r="K603" s="16">
        <f ca="1">IFERROR(__xludf.DUMMYFUNCTION("IMPORTRANGE(""https://docs.google.com/spreadsheets/d/1Rmar8QqWK4XOJ-eY6xMzkAfDSw0srEXcAw89ilArun8/edit"",""23!e55"")"),156)</f>
        <v>156</v>
      </c>
      <c r="L603" s="18">
        <f t="shared" ca="1" si="1663"/>
        <v>6057</v>
      </c>
      <c r="M603" s="18">
        <f t="shared" ca="1" si="1664"/>
        <v>10891</v>
      </c>
      <c r="N603" s="19">
        <f t="shared" ca="1" si="1665"/>
        <v>197.04043902439</v>
      </c>
      <c r="O603" s="16">
        <v>13817</v>
      </c>
      <c r="P603" s="20">
        <f t="shared" ca="1" si="1666"/>
        <v>0.78823188825360069</v>
      </c>
      <c r="Q603" s="21">
        <v>1.5</v>
      </c>
      <c r="R603" s="20">
        <f t="shared" ca="1" si="1667"/>
        <v>0.89874663176318093</v>
      </c>
      <c r="S603" s="22">
        <f t="shared" ca="1" si="1668"/>
        <v>1.3481199476447714</v>
      </c>
      <c r="T603" s="21">
        <f ca="1">F603/25.089</f>
        <v>321.99999999999966</v>
      </c>
      <c r="U603" s="21">
        <f t="shared" ca="1" si="1669"/>
        <v>7.8536585365853577</v>
      </c>
      <c r="V603" s="18">
        <f t="shared" ca="1" si="1670"/>
        <v>265.63414634146341</v>
      </c>
      <c r="W603" s="76"/>
      <c r="X603" s="24" t="s">
        <v>33</v>
      </c>
      <c r="Y603" s="24">
        <v>6</v>
      </c>
      <c r="Z603" s="24">
        <f t="shared" ref="Z603:AI603" si="1680">SUM(Z597:Z602)</f>
        <v>186</v>
      </c>
      <c r="AA603" s="25">
        <f t="shared" ca="1" si="1680"/>
        <v>183</v>
      </c>
      <c r="AB603" s="26">
        <f t="shared" ca="1" si="1680"/>
        <v>35872.664999999972</v>
      </c>
      <c r="AC603" s="25">
        <f t="shared" ca="1" si="1680"/>
        <v>12304</v>
      </c>
      <c r="AD603" s="25">
        <f t="shared" ca="1" si="1680"/>
        <v>358</v>
      </c>
      <c r="AE603" s="25">
        <f t="shared" ca="1" si="1680"/>
        <v>12662</v>
      </c>
      <c r="AF603" s="25">
        <f t="shared" ca="1" si="1680"/>
        <v>17021</v>
      </c>
      <c r="AG603" s="25">
        <f t="shared" ca="1" si="1680"/>
        <v>406</v>
      </c>
      <c r="AH603" s="25">
        <f t="shared" ca="1" si="1680"/>
        <v>17427</v>
      </c>
      <c r="AI603" s="25">
        <f t="shared" ca="1" si="1680"/>
        <v>30089</v>
      </c>
      <c r="AJ603" s="27">
        <f t="shared" ca="1" si="1674"/>
        <v>196.02549180327853</v>
      </c>
      <c r="AK603" s="24">
        <f>SUM(AK597:AK602)</f>
        <v>35074</v>
      </c>
      <c r="AL603" s="28">
        <f t="shared" ca="1" si="1652"/>
        <v>0.85787192792381817</v>
      </c>
      <c r="AM603" s="29">
        <v>1.5</v>
      </c>
      <c r="AN603" s="28">
        <f t="shared" ca="1" si="1654"/>
        <v>0.5591815755348355</v>
      </c>
      <c r="AO603" s="30">
        <f t="shared" ca="1" si="1655"/>
        <v>0.83877236330225324</v>
      </c>
      <c r="AP603" s="29">
        <f ca="1">SUM(AP597:AP602)</f>
        <v>1339.6239660020067</v>
      </c>
      <c r="AQ603" s="29">
        <f ca="1">AP603/AA603</f>
        <v>7.320349540994572</v>
      </c>
      <c r="AR603" s="25">
        <f t="shared" ca="1" si="1657"/>
        <v>164.4207650273224</v>
      </c>
      <c r="AS603" s="76"/>
      <c r="AT603" s="76"/>
    </row>
    <row r="604" spans="1:46" ht="15.75" customHeight="1" x14ac:dyDescent="0.25">
      <c r="A604" s="70"/>
      <c r="B604" s="16">
        <v>5</v>
      </c>
      <c r="C604" s="16" t="s">
        <v>34</v>
      </c>
      <c r="D604" s="17">
        <v>40</v>
      </c>
      <c r="E604" s="18">
        <f ca="1">IFERROR(__xludf.DUMMYFUNCTION("COUNT(IMPORTRANGE(""https://docs.google.com/spreadsheets/d/1u99JxAoytGQQ8GcjxXl38CGdyEWy5uIbuJJHnsotyvk/edit"",""23!d2:d41""))"),37)</f>
        <v>37</v>
      </c>
      <c r="F604" s="23">
        <f ca="1">IFERROR(__xludf.DUMMYFUNCTION("SUM(IMPORTRANGE(""https://docs.google.com/spreadsheets/d/1u99JxAoytGQQ8GcjxXl38CGdyEWy5uIbuJJHnsotyvk/edit"",""23!Q2:Q41""))"),7426.914)</f>
        <v>7426.9139999999998</v>
      </c>
      <c r="G604" s="18">
        <f ca="1">IFERROR(__xludf.DUMMYFUNCTION("IMPORTRANGE(""https://docs.google.com/spreadsheets/d/1u99JxAoytGQQ8GcjxXl38CGdyEWy5uIbuJJHnsotyvk/edit"",""23!e48"")"),2767)</f>
        <v>2767</v>
      </c>
      <c r="H604" s="18">
        <f ca="1">IFERROR(__xludf.DUMMYFUNCTION("IMPORTRANGE(""https://docs.google.com/spreadsheets/d/1u99JxAoytGQQ8GcjxXl38CGdyEWy5uIbuJJHnsotyvk/edit"",""23!e49"")"),0)</f>
        <v>0</v>
      </c>
      <c r="I604" s="18">
        <f t="shared" ca="1" si="1662"/>
        <v>2767</v>
      </c>
      <c r="J604" s="18">
        <f ca="1">IFERROR(__xludf.DUMMYFUNCTION("IMPORTRANGE(""https://docs.google.com/spreadsheets/d/1u99JxAoytGQQ8GcjxXl38CGdyEWy5uIbuJJHnsotyvk/edit"",""23!e52"")"),3122)</f>
        <v>3122</v>
      </c>
      <c r="K604" s="18">
        <f ca="1">IFERROR(__xludf.DUMMYFUNCTION("IMPORTRANGE(""https://docs.google.com/spreadsheets/d/1u99JxAoytGQQ8GcjxXl38CGdyEWy5uIbuJJHnsotyvk/edit"",""23!e53"")"),0)</f>
        <v>0</v>
      </c>
      <c r="L604" s="18">
        <f t="shared" ca="1" si="1663"/>
        <v>3122</v>
      </c>
      <c r="M604" s="18">
        <f t="shared" ca="1" si="1664"/>
        <v>5889</v>
      </c>
      <c r="N604" s="19">
        <f t="shared" ca="1" si="1665"/>
        <v>200.72740540540539</v>
      </c>
      <c r="O604" s="16">
        <v>9354</v>
      </c>
      <c r="P604" s="20">
        <f t="shared" ca="1" si="1666"/>
        <v>0.62957023733162287</v>
      </c>
      <c r="Q604" s="21">
        <v>1.5</v>
      </c>
      <c r="R604" s="20">
        <f t="shared" ca="1" si="1667"/>
        <v>0.52861794279562146</v>
      </c>
      <c r="S604" s="22">
        <f t="shared" ca="1" si="1668"/>
        <v>0.7929269141934322</v>
      </c>
      <c r="T604" s="21">
        <f ca="1">F604/30.713</f>
        <v>241.81662488197179</v>
      </c>
      <c r="U604" s="21">
        <f t="shared" ca="1" si="1669"/>
        <v>6.5355844562695076</v>
      </c>
      <c r="V604" s="18">
        <f t="shared" ca="1" si="1670"/>
        <v>159.16216216216216</v>
      </c>
      <c r="W604" s="76"/>
      <c r="X604" s="100" t="s">
        <v>35</v>
      </c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9"/>
      <c r="AS604" s="76"/>
      <c r="AT604" s="76"/>
    </row>
    <row r="605" spans="1:46" ht="15.75" customHeight="1" x14ac:dyDescent="0.25">
      <c r="A605" s="70"/>
      <c r="B605" s="16">
        <v>6</v>
      </c>
      <c r="C605" s="16" t="s">
        <v>23</v>
      </c>
      <c r="D605" s="17">
        <v>35</v>
      </c>
      <c r="E605" s="18">
        <f ca="1">IFERROR(__xludf.DUMMYFUNCTION("COUNT(IMPORTRANGE(""https://docs.google.com/spreadsheets/d/1uVc-vnTn57HE53lwrUYNZP4sGKTXisrqOoZ-6EyvLzY/edit"",""23!d2:d36""))"),34)</f>
        <v>34</v>
      </c>
      <c r="F605" s="23">
        <f ca="1">IFERROR(__xludf.DUMMYFUNCTION("SUM(IMPORTRANGE(""https://docs.google.com/spreadsheets/d/1uVc-vnTn57HE53lwrUYNZP4sGKTXisrqOoZ-6EyvLzY/edit"",""23!Q2:Q36""))"),6815.47999999999)</f>
        <v>6815.4799999999896</v>
      </c>
      <c r="G605" s="18">
        <f ca="1">IFERROR(__xludf.DUMMYFUNCTION("IMPORTRANGE(""https://docs.google.com/spreadsheets/d/1uVc-vnTn57HE53lwrUYNZP4sGKTXisrqOoZ-6EyvLzY/edit"",""23!e43"")"),1858)</f>
        <v>1858</v>
      </c>
      <c r="H605" s="18">
        <f ca="1">IFERROR(__xludf.DUMMYFUNCTION("IMPORTRANGE(""https://docs.google.com/spreadsheets/d/1uVc-vnTn57HE53lwrUYNZP4sGKTXisrqOoZ-6EyvLzY/edit"",""23!e44"")"),0)</f>
        <v>0</v>
      </c>
      <c r="I605" s="18">
        <f t="shared" ca="1" si="1662"/>
        <v>1858</v>
      </c>
      <c r="J605" s="18">
        <f ca="1">IFERROR(__xludf.DUMMYFUNCTION("IMPORTRANGE(""https://docs.google.com/spreadsheets/d/1uVc-vnTn57HE53lwrUYNZP4sGKTXisrqOoZ-6EyvLzY/edit"",""23!e47"")"),3259)</f>
        <v>3259</v>
      </c>
      <c r="K605" s="18">
        <f ca="1">IFERROR(__xludf.DUMMYFUNCTION("IMPORTRANGE(""https://docs.google.com/spreadsheets/d/1uVc-vnTn57HE53lwrUYNZP4sGKTXisrqOoZ-6EyvLzY/edit"",""23!e48"")"),0)</f>
        <v>0</v>
      </c>
      <c r="L605" s="18">
        <f t="shared" ca="1" si="1663"/>
        <v>3259</v>
      </c>
      <c r="M605" s="18">
        <f t="shared" ca="1" si="1664"/>
        <v>5117</v>
      </c>
      <c r="N605" s="19">
        <f t="shared" ca="1" si="1665"/>
        <v>200.45529411764676</v>
      </c>
      <c r="O605" s="16">
        <v>6853</v>
      </c>
      <c r="P605" s="20">
        <f t="shared" ca="1" si="1666"/>
        <v>0.74668028600612868</v>
      </c>
      <c r="Q605" s="21">
        <v>1.5</v>
      </c>
      <c r="R605" s="20">
        <f t="shared" ca="1" si="1667"/>
        <v>0.50052723114635189</v>
      </c>
      <c r="S605" s="22">
        <f t="shared" ca="1" si="1668"/>
        <v>0.75079084671952789</v>
      </c>
      <c r="T605" s="21">
        <f ca="1">F605/33.74</f>
        <v>201.99999999999969</v>
      </c>
      <c r="U605" s="21">
        <f t="shared" ca="1" si="1669"/>
        <v>5.9411764705882257</v>
      </c>
      <c r="V605" s="18">
        <f t="shared" ca="1" si="1670"/>
        <v>150.5</v>
      </c>
      <c r="W605" s="76"/>
      <c r="X605" s="1" t="s">
        <v>2</v>
      </c>
      <c r="Y605" s="1" t="s">
        <v>3</v>
      </c>
      <c r="Z605" s="1" t="s">
        <v>4</v>
      </c>
      <c r="AA605" s="1" t="s">
        <v>5</v>
      </c>
      <c r="AB605" s="2" t="s">
        <v>6</v>
      </c>
      <c r="AC605" s="1" t="s">
        <v>7</v>
      </c>
      <c r="AD605" s="1" t="s">
        <v>8</v>
      </c>
      <c r="AE605" s="1" t="s">
        <v>9</v>
      </c>
      <c r="AF605" s="1" t="s">
        <v>10</v>
      </c>
      <c r="AG605" s="1" t="s">
        <v>11</v>
      </c>
      <c r="AH605" s="1" t="s">
        <v>12</v>
      </c>
      <c r="AI605" s="1" t="s">
        <v>13</v>
      </c>
      <c r="AJ605" s="2" t="s">
        <v>14</v>
      </c>
      <c r="AK605" s="1" t="s">
        <v>15</v>
      </c>
      <c r="AL605" s="1" t="s">
        <v>16</v>
      </c>
      <c r="AM605" s="3" t="s">
        <v>17</v>
      </c>
      <c r="AN605" s="4" t="s">
        <v>18</v>
      </c>
      <c r="AO605" s="5" t="s">
        <v>19</v>
      </c>
      <c r="AP605" s="6" t="s">
        <v>20</v>
      </c>
      <c r="AQ605" s="6" t="s">
        <v>21</v>
      </c>
      <c r="AR605" s="7" t="s">
        <v>22</v>
      </c>
      <c r="AS605" s="76"/>
      <c r="AT605" s="76"/>
    </row>
    <row r="606" spans="1:46" ht="15.75" customHeight="1" x14ac:dyDescent="0.25">
      <c r="A606" s="70"/>
      <c r="B606" s="16">
        <v>7</v>
      </c>
      <c r="C606" s="16" t="s">
        <v>24</v>
      </c>
      <c r="D606" s="17">
        <v>44</v>
      </c>
      <c r="E606" s="31">
        <f ca="1">IFERROR(__xludf.DUMMYFUNCTION("COUNT(IMPORTRANGE(""https://docs.google.com/spreadsheets/d/1iuPvivSypupo44l6GtmR-2qZ3za7cTk7KzsOVp_kv2c/edit"",""23!d2:d45""))"),44)</f>
        <v>44</v>
      </c>
      <c r="F606" s="32">
        <f ca="1">IFERROR(__xludf.DUMMYFUNCTION("SUM(IMPORTRANGE(""https://docs.google.com/spreadsheets/d/1iuPvivSypupo44l6GtmR-2qZ3za7cTk7KzsOVp_kv2c/edit"",""23!Q2:Q45""))"),8805.96799999999)</f>
        <v>8805.9679999999898</v>
      </c>
      <c r="G606" s="31">
        <f ca="1">IFERROR(__xludf.DUMMYFUNCTION("IMPORTRANGE(""https://docs.google.com/spreadsheets/d/1iuPvivSypupo44l6GtmR-2qZ3za7cTk7KzsOVp_kv2c/edit"",""23!e53"")"),1172)</f>
        <v>1172</v>
      </c>
      <c r="H606" s="31">
        <f ca="1">IFERROR(__xludf.DUMMYFUNCTION("IMPORTRANGE(""https://docs.google.com/spreadsheets/d/1iuPvivSypupo44l6GtmR-2qZ3za7cTk7KzsOVp_kv2c/edit"",""23!e54"")"),0)</f>
        <v>0</v>
      </c>
      <c r="I606" s="31">
        <f t="shared" ca="1" si="1662"/>
        <v>1172</v>
      </c>
      <c r="J606" s="31">
        <f ca="1">IFERROR(__xludf.DUMMYFUNCTION("IMPORTRANGE(""https://docs.google.com/spreadsheets/d/1iuPvivSypupo44l6GtmR-2qZ3za7cTk7KzsOVp_kv2c/edit"",""23!e57"")"),1861)</f>
        <v>1861</v>
      </c>
      <c r="K606" s="31">
        <f ca="1">IFERROR(__xludf.DUMMYFUNCTION("IMPORTRANGE(""https://docs.google.com/spreadsheets/d/1iuPvivSypupo44l6GtmR-2qZ3za7cTk7KzsOVp_kv2c/edit"",""23!e58"")"),0)</f>
        <v>0</v>
      </c>
      <c r="L606" s="18">
        <f t="shared" ca="1" si="1663"/>
        <v>1861</v>
      </c>
      <c r="M606" s="18">
        <f t="shared" ca="1" si="1664"/>
        <v>3033</v>
      </c>
      <c r="N606" s="19">
        <f t="shared" ca="1" si="1665"/>
        <v>200.13563636363614</v>
      </c>
      <c r="O606" s="16">
        <v>1580</v>
      </c>
      <c r="P606" s="33">
        <f t="shared" ca="1" si="1666"/>
        <v>1.919620253164557</v>
      </c>
      <c r="Q606" s="21">
        <v>1.5</v>
      </c>
      <c r="R606" s="20">
        <f t="shared" ca="1" si="1667"/>
        <v>0.22961700519465914</v>
      </c>
      <c r="S606" s="22">
        <f t="shared" ca="1" si="1668"/>
        <v>0.34442550779198872</v>
      </c>
      <c r="T606" s="21">
        <f ca="1">F606/26.805</f>
        <v>328.51960455138931</v>
      </c>
      <c r="U606" s="21">
        <f t="shared" ca="1" si="1669"/>
        <v>7.4663546488952113</v>
      </c>
      <c r="V606" s="18">
        <f t="shared" ca="1" si="1670"/>
        <v>68.931818181818187</v>
      </c>
      <c r="W606" s="76"/>
      <c r="X606" s="8">
        <v>1</v>
      </c>
      <c r="Y606" s="8" t="s">
        <v>28</v>
      </c>
      <c r="Z606" s="8">
        <f t="shared" ref="Z606:AI606" si="1681">SUM(D601)</f>
        <v>33</v>
      </c>
      <c r="AA606" s="9">
        <f t="shared" ca="1" si="1681"/>
        <v>33</v>
      </c>
      <c r="AB606" s="11">
        <f t="shared" ca="1" si="1681"/>
        <v>6590.6270000000004</v>
      </c>
      <c r="AC606" s="9">
        <f t="shared" ca="1" si="1681"/>
        <v>2774</v>
      </c>
      <c r="AD606" s="9">
        <f t="shared" ca="1" si="1681"/>
        <v>137</v>
      </c>
      <c r="AE606" s="9">
        <f t="shared" ca="1" si="1681"/>
        <v>2911</v>
      </c>
      <c r="AF606" s="9">
        <f t="shared" ca="1" si="1681"/>
        <v>3120</v>
      </c>
      <c r="AG606" s="9">
        <f t="shared" ca="1" si="1681"/>
        <v>138</v>
      </c>
      <c r="AH606" s="9">
        <f t="shared" ca="1" si="1681"/>
        <v>3258</v>
      </c>
      <c r="AI606" s="9">
        <f t="shared" ca="1" si="1681"/>
        <v>6169</v>
      </c>
      <c r="AJ606" s="11">
        <f t="shared" ref="AJ606:AJ612" ca="1" si="1682">AB606/AA606</f>
        <v>199.71596969696972</v>
      </c>
      <c r="AK606" s="8">
        <f t="shared" ref="AK606:AK607" si="1683">SUM(O601)</f>
        <v>7315</v>
      </c>
      <c r="AL606" s="12">
        <f t="shared" ref="AL606:AL612" ca="1" si="1684">AI606/AK606</f>
        <v>0.84333561175666438</v>
      </c>
      <c r="AM606" s="13">
        <f t="shared" ref="AM606:AM607" si="1685">SUM(Q601)</f>
        <v>1.5</v>
      </c>
      <c r="AN606" s="12">
        <f t="shared" ref="AN606:AN612" ca="1" si="1686">AO606/AM606</f>
        <v>0.62401751254723814</v>
      </c>
      <c r="AO606" s="14">
        <f t="shared" ref="AO606:AO612" ca="1" si="1687">AI606/AB606</f>
        <v>0.93602626882085715</v>
      </c>
      <c r="AP606" s="13">
        <f t="shared" ref="AP606:AQ606" ca="1" si="1688">SUM(T601)</f>
        <v>213.30960934718584</v>
      </c>
      <c r="AQ606" s="13">
        <f t="shared" ca="1" si="1688"/>
        <v>6.4639275559753289</v>
      </c>
      <c r="AR606" s="9">
        <f t="shared" ref="AR606:AR612" ca="1" si="1689">AI606/AA606</f>
        <v>186.93939393939394</v>
      </c>
      <c r="AS606" s="76"/>
      <c r="AT606" s="76"/>
    </row>
    <row r="607" spans="1:46" ht="15.75" customHeight="1" x14ac:dyDescent="0.25">
      <c r="A607" s="70"/>
      <c r="B607" s="16">
        <v>8</v>
      </c>
      <c r="C607" s="16" t="s">
        <v>25</v>
      </c>
      <c r="D607" s="34">
        <v>32</v>
      </c>
      <c r="E607" s="18">
        <f ca="1">IFERROR(__xludf.DUMMYFUNCTION("COUNT(IMPORTRANGE(""https://docs.google.com/spreadsheets/d/1sqWX7UerdR9KR_duBzDNfjwbPG-3hLgV1LiN2ZVZ6Js/edit"",""23!d2:D33""))"),32)</f>
        <v>32</v>
      </c>
      <c r="F607" s="23">
        <f ca="1">IFERROR(__xludf.DUMMYFUNCTION("SUM(IMPORTRANGE(""https://docs.google.com/spreadsheets/d/1sqWX7UerdR9KR_duBzDNfjwbPG-3hLgV1LiN2ZVZ6Js/edit"",""23!Q2:Q33""))"),6022.252)</f>
        <v>6022.2520000000004</v>
      </c>
      <c r="G607" s="18">
        <f ca="1">IFERROR(__xludf.DUMMYFUNCTION("IMPORTRANGE(""https://docs.google.com/spreadsheets/d/1sqWX7UerdR9KR_duBzDNfjwbPG-3hLgV1LiN2ZVZ6Js/edit"",""23!e40"")"),2536)</f>
        <v>2536</v>
      </c>
      <c r="H607" s="18">
        <f ca="1">IFERROR(__xludf.DUMMYFUNCTION("IMPORTRANGE(""https://docs.google.com/spreadsheets/d/1sqWX7UerdR9KR_duBzDNfjwbPG-3hLgV1LiN2ZVZ6Js/edit"",""23!e41"")"),335)</f>
        <v>335</v>
      </c>
      <c r="I607" s="18">
        <f t="shared" ca="1" si="1662"/>
        <v>2871</v>
      </c>
      <c r="J607" s="18">
        <f ca="1">IFERROR(__xludf.DUMMYFUNCTION("IMPORTRANGE(""https://docs.google.com/spreadsheets/d/1sqWX7UerdR9KR_duBzDNfjwbPG-3hLgV1LiN2ZVZ6Js/edit"",""23!e44"")"),3623)</f>
        <v>3623</v>
      </c>
      <c r="K607" s="18">
        <f ca="1">IFERROR(__xludf.DUMMYFUNCTION("IMPORTRANGE(""https://docs.google.com/spreadsheets/d/1sqWX7UerdR9KR_duBzDNfjwbPG-3hLgV1LiN2ZVZ6Js/edit"",""23!e45"")"),245)</f>
        <v>245</v>
      </c>
      <c r="L607" s="18">
        <f ca="1">J607+K607</f>
        <v>3868</v>
      </c>
      <c r="M607" s="18">
        <f t="shared" ca="1" si="1664"/>
        <v>6739</v>
      </c>
      <c r="N607" s="19">
        <f t="shared" ca="1" si="1665"/>
        <v>188.19537500000001</v>
      </c>
      <c r="O607" s="16">
        <v>6622</v>
      </c>
      <c r="P607" s="20">
        <f t="shared" ca="1" si="1666"/>
        <v>1.0176683781334943</v>
      </c>
      <c r="Q607" s="21">
        <v>1.5</v>
      </c>
      <c r="R607" s="20">
        <f t="shared" ca="1" si="1667"/>
        <v>0.74601107138437017</v>
      </c>
      <c r="S607" s="22">
        <f t="shared" ca="1" si="1668"/>
        <v>1.1190166070765553</v>
      </c>
      <c r="T607" s="21">
        <f ca="1">F607/23.84</f>
        <v>252.61124161073826</v>
      </c>
      <c r="U607" s="21">
        <f t="shared" ca="1" si="1669"/>
        <v>7.8941013003355707</v>
      </c>
      <c r="V607" s="18">
        <f t="shared" ca="1" si="1670"/>
        <v>210.59375</v>
      </c>
      <c r="W607" s="76"/>
      <c r="X607" s="8">
        <v>2</v>
      </c>
      <c r="Y607" s="8" t="s">
        <v>30</v>
      </c>
      <c r="Z607" s="8">
        <f t="shared" ref="Z607:AI607" si="1690">SUM(D602)</f>
        <v>60</v>
      </c>
      <c r="AA607" s="9">
        <f t="shared" ca="1" si="1690"/>
        <v>56</v>
      </c>
      <c r="AB607" s="10">
        <f t="shared" ca="1" si="1690"/>
        <v>10982.7129999999</v>
      </c>
      <c r="AC607" s="9">
        <f t="shared" ca="1" si="1690"/>
        <v>3553</v>
      </c>
      <c r="AD607" s="9">
        <f t="shared" ca="1" si="1690"/>
        <v>45</v>
      </c>
      <c r="AE607" s="9">
        <f t="shared" ca="1" si="1690"/>
        <v>3598</v>
      </c>
      <c r="AF607" s="9">
        <f t="shared" ca="1" si="1690"/>
        <v>5199</v>
      </c>
      <c r="AG607" s="9">
        <f t="shared" ca="1" si="1690"/>
        <v>120</v>
      </c>
      <c r="AH607" s="9">
        <f t="shared" ca="1" si="1690"/>
        <v>5319</v>
      </c>
      <c r="AI607" s="9">
        <f t="shared" ca="1" si="1690"/>
        <v>8917</v>
      </c>
      <c r="AJ607" s="11">
        <f t="shared" ca="1" si="1682"/>
        <v>196.11987499999822</v>
      </c>
      <c r="AK607" s="8">
        <f t="shared" si="1683"/>
        <v>11164</v>
      </c>
      <c r="AL607" s="12">
        <f t="shared" ca="1" si="1684"/>
        <v>0.79872805446076678</v>
      </c>
      <c r="AM607" s="13">
        <f t="shared" si="1685"/>
        <v>1.5</v>
      </c>
      <c r="AN607" s="12">
        <f t="shared" ca="1" si="1686"/>
        <v>0.5412748805023605</v>
      </c>
      <c r="AO607" s="14">
        <f t="shared" ca="1" si="1687"/>
        <v>0.81191232075354069</v>
      </c>
      <c r="AP607" s="13">
        <f t="shared" ref="AP607:AQ607" ca="1" si="1691">SUM(T602)</f>
        <v>370.99999999999659</v>
      </c>
      <c r="AQ607" s="13">
        <f t="shared" ca="1" si="1691"/>
        <v>6.6249999999999387</v>
      </c>
      <c r="AR607" s="9">
        <f t="shared" ca="1" si="1689"/>
        <v>159.23214285714286</v>
      </c>
      <c r="AS607" s="76"/>
      <c r="AT607" s="76"/>
    </row>
    <row r="608" spans="1:46" ht="15.75" customHeight="1" x14ac:dyDescent="0.25">
      <c r="A608" s="70"/>
      <c r="B608" s="16">
        <v>9</v>
      </c>
      <c r="C608" s="16" t="s">
        <v>36</v>
      </c>
      <c r="D608" s="34">
        <v>30</v>
      </c>
      <c r="E608" s="18">
        <f ca="1">IFERROR(__xludf.DUMMYFUNCTION("COUNT(IMPORTRANGE(""https://docs.google.com/spreadsheets/d/1YNna43iTSqnwwbMJgTIPHSJEoDO8RGPRFg5pJCoQR_Y/edit"",""23!d2:d31""))"),30)</f>
        <v>30</v>
      </c>
      <c r="F608" s="23">
        <f ca="1">IFERROR(__xludf.DUMMYFUNCTION("SUM(IMPORTRANGE(""https://docs.google.com/spreadsheets/d/1YNna43iTSqnwwbMJgTIPHSJEoDO8RGPRFg5pJCoQR_Y/edit"",""23!Q2:Q31""))"),5905.02799999999)</f>
        <v>5905.0279999999902</v>
      </c>
      <c r="G608" s="18">
        <f ca="1">IFERROR(__xludf.DUMMYFUNCTION("IMPORTRANGE(""https://docs.google.com/spreadsheets/d/1YNna43iTSqnwwbMJgTIPHSJEoDO8RGPRFg5pJCoQR_Y/edit"",""23!e38"")"),1691)</f>
        <v>1691</v>
      </c>
      <c r="H608" s="18">
        <f ca="1">IFERROR(__xludf.DUMMYFUNCTION("IMPORTRANGE(""https://docs.google.com/spreadsheets/d/1YNna43iTSqnwwbMJgTIPHSJEoDO8RGPRFg5pJCoQR_Y/edit"",""23!e39"")"),0)</f>
        <v>0</v>
      </c>
      <c r="I608" s="18">
        <f t="shared" ca="1" si="1662"/>
        <v>1691</v>
      </c>
      <c r="J608" s="18">
        <f ca="1">IFERROR(__xludf.DUMMYFUNCTION("IMPORTRANGE(""https://docs.google.com/spreadsheets/d/1YNna43iTSqnwwbMJgTIPHSJEoDO8RGPRFg5pJCoQR_Y/edit"",""23!e42"")"),2707)</f>
        <v>2707</v>
      </c>
      <c r="K608" s="18">
        <f ca="1">IFERROR(__xludf.DUMMYFUNCTION("IMPORTRANGE(""https://docs.google.com/spreadsheets/d/1YNna43iTSqnwwbMJgTIPHSJEoDO8RGPRFg5pJCoQR_Y/edit"",""23!e43"")"),0)</f>
        <v>0</v>
      </c>
      <c r="L608" s="18">
        <f t="shared" ref="L608:L617" ca="1" si="1692">SUM(J608:K608)</f>
        <v>2707</v>
      </c>
      <c r="M608" s="18">
        <f t="shared" ca="1" si="1664"/>
        <v>4398</v>
      </c>
      <c r="N608" s="19">
        <f t="shared" ca="1" si="1665"/>
        <v>196.83426666666634</v>
      </c>
      <c r="O608" s="16">
        <v>4796</v>
      </c>
      <c r="P608" s="20">
        <f t="shared" ca="1" si="1666"/>
        <v>0.91701417848206834</v>
      </c>
      <c r="Q608" s="21">
        <v>1.5</v>
      </c>
      <c r="R608" s="20">
        <f t="shared" ca="1" si="1667"/>
        <v>0.49652601139232616</v>
      </c>
      <c r="S608" s="22">
        <f t="shared" ca="1" si="1668"/>
        <v>0.74478901708848921</v>
      </c>
      <c r="T608" s="21">
        <f ca="1">F608/37.414</f>
        <v>157.82936868551852</v>
      </c>
      <c r="U608" s="21">
        <f t="shared" ca="1" si="1669"/>
        <v>5.2609789561839504</v>
      </c>
      <c r="V608" s="18">
        <f t="shared" ca="1" si="1670"/>
        <v>146.6</v>
      </c>
      <c r="W608" s="76"/>
      <c r="X608" s="8">
        <v>3</v>
      </c>
      <c r="Y608" s="8" t="s">
        <v>34</v>
      </c>
      <c r="Z608" s="8">
        <f t="shared" ref="Z608:AI608" si="1693">SUM(D604)</f>
        <v>40</v>
      </c>
      <c r="AA608" s="9">
        <f t="shared" ca="1" si="1693"/>
        <v>37</v>
      </c>
      <c r="AB608" s="10">
        <f t="shared" ca="1" si="1693"/>
        <v>7426.9139999999998</v>
      </c>
      <c r="AC608" s="9">
        <f t="shared" ca="1" si="1693"/>
        <v>2767</v>
      </c>
      <c r="AD608" s="9">
        <f t="shared" ca="1" si="1693"/>
        <v>0</v>
      </c>
      <c r="AE608" s="9">
        <f t="shared" ca="1" si="1693"/>
        <v>2767</v>
      </c>
      <c r="AF608" s="9">
        <f t="shared" ca="1" si="1693"/>
        <v>3122</v>
      </c>
      <c r="AG608" s="9">
        <f t="shared" ca="1" si="1693"/>
        <v>0</v>
      </c>
      <c r="AH608" s="9">
        <f t="shared" ca="1" si="1693"/>
        <v>3122</v>
      </c>
      <c r="AI608" s="9">
        <f t="shared" ca="1" si="1693"/>
        <v>5889</v>
      </c>
      <c r="AJ608" s="11">
        <f t="shared" ca="1" si="1682"/>
        <v>200.72740540540539</v>
      </c>
      <c r="AK608" s="8">
        <f>SUM(O604)</f>
        <v>9354</v>
      </c>
      <c r="AL608" s="12">
        <f t="shared" ca="1" si="1684"/>
        <v>0.62957023733162287</v>
      </c>
      <c r="AM608" s="13">
        <f>SUM(Q604)</f>
        <v>1.5</v>
      </c>
      <c r="AN608" s="12">
        <f t="shared" ca="1" si="1686"/>
        <v>0.52861794279562146</v>
      </c>
      <c r="AO608" s="14">
        <f t="shared" ca="1" si="1687"/>
        <v>0.7929269141934322</v>
      </c>
      <c r="AP608" s="13">
        <f t="shared" ref="AP608:AQ608" ca="1" si="1694">SUM(T604)</f>
        <v>241.81662488197179</v>
      </c>
      <c r="AQ608" s="13">
        <f t="shared" ca="1" si="1694"/>
        <v>6.5355844562695076</v>
      </c>
      <c r="AR608" s="9">
        <f t="shared" ca="1" si="1689"/>
        <v>159.16216216216216</v>
      </c>
      <c r="AS608" s="76"/>
      <c r="AT608" s="76"/>
    </row>
    <row r="609" spans="1:46" ht="15.75" customHeight="1" x14ac:dyDescent="0.25">
      <c r="A609" s="70"/>
      <c r="B609" s="16">
        <v>10</v>
      </c>
      <c r="C609" s="16" t="s">
        <v>37</v>
      </c>
      <c r="D609" s="17">
        <v>30</v>
      </c>
      <c r="E609" s="18">
        <f ca="1">IFERROR(__xludf.DUMMYFUNCTION("COUNT(IMPORTRANGE(""https://docs.google.com/spreadsheets/d/1913Df5BsXS_b-nClL8LOK5w0engQYTl1mPOiyngRtO0/edit"",""23!d2:d31""))"),27)</f>
        <v>27</v>
      </c>
      <c r="F609" s="23">
        <f ca="1">IFERROR(__xludf.DUMMYFUNCTION("SUM(IMPORTRANGE(""https://docs.google.com/spreadsheets/d/1913Df5BsXS_b-nClL8LOK5w0engQYTl1mPOiyngRtO0/edit"",""23!Q2:Q31""))"),5228.49)</f>
        <v>5228.49</v>
      </c>
      <c r="G609" s="18">
        <f ca="1">IFERROR(__xludf.DUMMYFUNCTION("(IMPORTRANGE(""https://docs.google.com/spreadsheets/d/1913Df5BsXS_b-nClL8LOK5w0engQYTl1mPOiyngRtO0/edit"",""23!e38""))"),2134)</f>
        <v>2134</v>
      </c>
      <c r="H609" s="18">
        <f ca="1">IFERROR(__xludf.DUMMYFUNCTION("(IMPORTRANGE(""https://docs.google.com/spreadsheets/d/1913Df5BsXS_b-nClL8LOK5w0engQYTl1mPOiyngRtO0/edit"",""23!e39""))"),0)</f>
        <v>0</v>
      </c>
      <c r="I609" s="18">
        <f t="shared" ca="1" si="1662"/>
        <v>2134</v>
      </c>
      <c r="J609" s="18">
        <f ca="1">IFERROR(__xludf.DUMMYFUNCTION("(IMPORTRANGE(""https://docs.google.com/spreadsheets/d/1913Df5BsXS_b-nClL8LOK5w0engQYTl1mPOiyngRtO0/edit"",""23!e42""))"),3026)</f>
        <v>3026</v>
      </c>
      <c r="K609" s="18">
        <f ca="1">IFERROR(__xludf.DUMMYFUNCTION("(IMPORTRANGE(""https://docs.google.com/spreadsheets/d/1913Df5BsXS_b-nClL8LOK5w0engQYTl1mPOiyngRtO0/edit"",""23!e43""))"),0)</f>
        <v>0</v>
      </c>
      <c r="L609" s="18">
        <f t="shared" ca="1" si="1692"/>
        <v>3026</v>
      </c>
      <c r="M609" s="18">
        <f t="shared" ca="1" si="1664"/>
        <v>5160</v>
      </c>
      <c r="N609" s="19">
        <f t="shared" ca="1" si="1665"/>
        <v>193.64777777777778</v>
      </c>
      <c r="O609" s="16">
        <v>5887</v>
      </c>
      <c r="P609" s="20">
        <f t="shared" ca="1" si="1666"/>
        <v>0.87650755902836763</v>
      </c>
      <c r="Q609" s="21">
        <v>1.5</v>
      </c>
      <c r="R609" s="20">
        <f t="shared" ca="1" si="1667"/>
        <v>0.65793374377688396</v>
      </c>
      <c r="S609" s="22">
        <f t="shared" ca="1" si="1668"/>
        <v>0.98690061566532594</v>
      </c>
      <c r="T609" s="21">
        <f ca="1">F609/24.792</f>
        <v>210.89424007744432</v>
      </c>
      <c r="U609" s="21">
        <f t="shared" ca="1" si="1669"/>
        <v>7.8108977806460862</v>
      </c>
      <c r="V609" s="18">
        <f t="shared" ca="1" si="1670"/>
        <v>191.11111111111111</v>
      </c>
      <c r="W609" s="76"/>
      <c r="X609" s="8">
        <v>4</v>
      </c>
      <c r="Y609" s="8" t="s">
        <v>38</v>
      </c>
      <c r="Z609" s="8">
        <f t="shared" ref="Z609:AI609" si="1695">SUM(D612)</f>
        <v>30</v>
      </c>
      <c r="AA609" s="9">
        <f t="shared" ca="1" si="1695"/>
        <v>30</v>
      </c>
      <c r="AB609" s="10">
        <f t="shared" ca="1" si="1695"/>
        <v>6490.3029999999999</v>
      </c>
      <c r="AC609" s="9">
        <f t="shared" ca="1" si="1695"/>
        <v>2354</v>
      </c>
      <c r="AD609" s="9">
        <f t="shared" ca="1" si="1695"/>
        <v>0</v>
      </c>
      <c r="AE609" s="9">
        <f t="shared" ca="1" si="1695"/>
        <v>2354</v>
      </c>
      <c r="AF609" s="9">
        <f t="shared" ca="1" si="1695"/>
        <v>3045</v>
      </c>
      <c r="AG609" s="9">
        <f t="shared" ca="1" si="1695"/>
        <v>0</v>
      </c>
      <c r="AH609" s="9">
        <f t="shared" ca="1" si="1695"/>
        <v>3045</v>
      </c>
      <c r="AI609" s="9">
        <f t="shared" ca="1" si="1695"/>
        <v>5399</v>
      </c>
      <c r="AJ609" s="11">
        <f t="shared" ca="1" si="1682"/>
        <v>216.34343333333334</v>
      </c>
      <c r="AK609" s="8">
        <v>7324</v>
      </c>
      <c r="AL609" s="12">
        <f t="shared" ca="1" si="1684"/>
        <v>0.73716548334243581</v>
      </c>
      <c r="AM609" s="13">
        <f>SUM(Q612)</f>
        <v>1.5</v>
      </c>
      <c r="AN609" s="12">
        <f t="shared" ca="1" si="1686"/>
        <v>0.55457092424395804</v>
      </c>
      <c r="AO609" s="14">
        <f t="shared" ca="1" si="1687"/>
        <v>0.83185638636593706</v>
      </c>
      <c r="AP609" s="13">
        <f t="shared" ref="AP609:AQ609" ca="1" si="1696">SUM(T612)</f>
        <v>157.5125106176435</v>
      </c>
      <c r="AQ609" s="13">
        <f t="shared" ca="1" si="1696"/>
        <v>5.2504170205881167</v>
      </c>
      <c r="AR609" s="9">
        <f t="shared" ca="1" si="1689"/>
        <v>179.96666666666667</v>
      </c>
      <c r="AS609" s="76"/>
      <c r="AT609" s="76"/>
    </row>
    <row r="610" spans="1:46" ht="15.75" customHeight="1" x14ac:dyDescent="0.25">
      <c r="A610" s="70"/>
      <c r="B610" s="16">
        <v>12</v>
      </c>
      <c r="C610" s="16" t="s">
        <v>39</v>
      </c>
      <c r="D610" s="17">
        <v>28</v>
      </c>
      <c r="E610" s="18">
        <f ca="1">IFERROR(__xludf.DUMMYFUNCTION("COUNT(IMPORTRANGE(""https://docs.google.com/spreadsheets/d/1wMeol_MpSIcocGxt3WZGl46mJ2tc80mANPvP_YzaP18/edit"",""23!d2:d29""))"),28)</f>
        <v>28</v>
      </c>
      <c r="F610" s="23">
        <f ca="1">IFERROR(__xludf.DUMMYFUNCTION("SUM(IMPORTRANGE(""https://docs.google.com/spreadsheets/d/1wMeol_MpSIcocGxt3WZGl46mJ2tc80mANPvP_YzaP18/edit"",""23!Q2:Q29""))"),5437.415)</f>
        <v>5437.415</v>
      </c>
      <c r="G610" s="18">
        <f ca="1">IFERROR(__xludf.DUMMYFUNCTION("IMPORTRANGE(""https://docs.google.com/spreadsheets/d/1wMeol_MpSIcocGxt3WZGl46mJ2tc80mANPvP_YzaP18/edit"",""23!e36"")"),1421)</f>
        <v>1421</v>
      </c>
      <c r="H610" s="18">
        <f ca="1">IFERROR(__xludf.DUMMYFUNCTION("(IMPORTRANGE(""https://docs.google.com/spreadsheets/d/1wMeol_MpSIcocGxt3WZGl46mJ2tc80mANPvP_YzaP18/edit"",""23!e37""))"),0)</f>
        <v>0</v>
      </c>
      <c r="I610" s="18">
        <f t="shared" ca="1" si="1662"/>
        <v>1421</v>
      </c>
      <c r="J610" s="18">
        <f ca="1">IFERROR(__xludf.DUMMYFUNCTION("IMPORTRANGE(""https://docs.google.com/spreadsheets/d/1wMeol_MpSIcocGxt3WZGl46mJ2tc80mANPvP_YzaP18/edit"",""23!e40"")"),1949)</f>
        <v>1949</v>
      </c>
      <c r="K610" s="18">
        <f ca="1">IFERROR(__xludf.DUMMYFUNCTION("IMPORTRANGE(""https://docs.google.com/spreadsheets/d/1wMeol_MpSIcocGxt3WZGl46mJ2tc80mANPvP_YzaP18/edit"",""23!e41"")"),118)</f>
        <v>118</v>
      </c>
      <c r="L610" s="18">
        <f t="shared" ca="1" si="1692"/>
        <v>2067</v>
      </c>
      <c r="M610" s="18">
        <f t="shared" ca="1" si="1664"/>
        <v>3488</v>
      </c>
      <c r="N610" s="19">
        <f t="shared" ca="1" si="1665"/>
        <v>194.19339285714287</v>
      </c>
      <c r="O610" s="16">
        <v>3569</v>
      </c>
      <c r="P610" s="20">
        <f t="shared" ca="1" si="1666"/>
        <v>0.97730456710563185</v>
      </c>
      <c r="Q610" s="21">
        <v>1.5</v>
      </c>
      <c r="R610" s="20">
        <f t="shared" ca="1" si="1667"/>
        <v>0.42765419474756539</v>
      </c>
      <c r="S610" s="22">
        <f t="shared" ca="1" si="1668"/>
        <v>0.64148129212134808</v>
      </c>
      <c r="T610" s="21">
        <f ca="1">F610/21.463</f>
        <v>253.33900200344777</v>
      </c>
      <c r="U610" s="21">
        <f t="shared" ca="1" si="1669"/>
        <v>9.0478215001231348</v>
      </c>
      <c r="V610" s="18">
        <f t="shared" ca="1" si="1670"/>
        <v>124.57142857142857</v>
      </c>
      <c r="W610" s="76"/>
      <c r="X610" s="8">
        <v>5</v>
      </c>
      <c r="Y610" s="8" t="s">
        <v>40</v>
      </c>
      <c r="Z610" s="8">
        <f t="shared" ref="Z610:AI610" si="1697">SUM(D614)</f>
        <v>30</v>
      </c>
      <c r="AA610" s="9">
        <f t="shared" ca="1" si="1697"/>
        <v>30</v>
      </c>
      <c r="AB610" s="10">
        <f t="shared" ca="1" si="1697"/>
        <v>5830.8149999999896</v>
      </c>
      <c r="AC610" s="9">
        <f t="shared" ca="1" si="1697"/>
        <v>3327</v>
      </c>
      <c r="AD610" s="9">
        <f t="shared" ca="1" si="1697"/>
        <v>0</v>
      </c>
      <c r="AE610" s="9">
        <f t="shared" ca="1" si="1697"/>
        <v>3327</v>
      </c>
      <c r="AF610" s="9">
        <f t="shared" ca="1" si="1697"/>
        <v>4226</v>
      </c>
      <c r="AG610" s="9">
        <f t="shared" ca="1" si="1697"/>
        <v>0</v>
      </c>
      <c r="AH610" s="9">
        <f t="shared" ca="1" si="1697"/>
        <v>4226</v>
      </c>
      <c r="AI610" s="9">
        <f t="shared" ca="1" si="1697"/>
        <v>7553</v>
      </c>
      <c r="AJ610" s="11">
        <f t="shared" ca="1" si="1682"/>
        <v>194.36049999999966</v>
      </c>
      <c r="AK610" s="8">
        <f t="shared" ref="AK610:AK611" si="1698">SUM(O614)</f>
        <v>8239</v>
      </c>
      <c r="AL610" s="12">
        <f t="shared" ca="1" si="1684"/>
        <v>0.91673746813933732</v>
      </c>
      <c r="AM610" s="13">
        <f t="shared" ref="AM610:AM611" si="1699">SUM(Q614)</f>
        <v>1.5</v>
      </c>
      <c r="AN610" s="12">
        <f t="shared" ca="1" si="1686"/>
        <v>0.8635728167217348</v>
      </c>
      <c r="AO610" s="14">
        <f t="shared" ca="1" si="1687"/>
        <v>1.2953592250826023</v>
      </c>
      <c r="AP610" s="13">
        <f t="shared" ref="AP610:AQ610" ca="1" si="1700">SUM(T614)</f>
        <v>204.99999999999963</v>
      </c>
      <c r="AQ610" s="13">
        <f t="shared" ca="1" si="1700"/>
        <v>6.8333333333333206</v>
      </c>
      <c r="AR610" s="9">
        <f t="shared" ca="1" si="1689"/>
        <v>251.76666666666668</v>
      </c>
      <c r="AS610" s="76"/>
      <c r="AT610" s="76"/>
    </row>
    <row r="611" spans="1:46" ht="15.75" customHeight="1" x14ac:dyDescent="0.25">
      <c r="A611" s="70"/>
      <c r="B611" s="16">
        <v>12</v>
      </c>
      <c r="C611" s="16" t="s">
        <v>41</v>
      </c>
      <c r="D611" s="17">
        <v>24</v>
      </c>
      <c r="E611" s="18">
        <f ca="1">IFERROR(__xludf.DUMMYFUNCTION("COUNT(IMPORTRANGE(""https://docs.google.com/spreadsheets/d/1sHk6_yuc4kORC_xnhEeazoemV_hVUQVqRpfoNae-PLk/edit"",""23!d2:d25""))"),24)</f>
        <v>24</v>
      </c>
      <c r="F611" s="23">
        <f ca="1">IFERROR(__xludf.DUMMYFUNCTION("SUM(IMPORTRANGE(""https://docs.google.com/spreadsheets/d/1sHk6_yuc4kORC_xnhEeazoemV_hVUQVqRpfoNae-PLk/edit"",""23!Q2:Q25""))"),4763.524)</f>
        <v>4763.5240000000003</v>
      </c>
      <c r="G611" s="18">
        <f ca="1">IFERROR(__xludf.DUMMYFUNCTION("IMPORTRANGE(""https://docs.google.com/spreadsheets/d/1sHk6_yuc4kORC_xnhEeazoemV_hVUQVqRpfoNae-PLk/edit"",""23!e32"")"),1479)</f>
        <v>1479</v>
      </c>
      <c r="H611" s="18">
        <f ca="1">IFERROR(__xludf.DUMMYFUNCTION("IMPORTRANGE(""https://docs.google.com/spreadsheets/d/1sHk6_yuc4kORC_xnhEeazoemV_hVUQVqRpfoNae-PLk/edit"",""23!e33"")"),0)</f>
        <v>0</v>
      </c>
      <c r="I611" s="18">
        <f t="shared" ca="1" si="1662"/>
        <v>1479</v>
      </c>
      <c r="J611" s="18">
        <f ca="1">IFERROR(__xludf.DUMMYFUNCTION("IMPORTRANGE(""https://docs.google.com/spreadsheets/d/1sHk6_yuc4kORC_xnhEeazoemV_hVUQVqRpfoNae-PLk/edit"",""23!e36"")"),1771)</f>
        <v>1771</v>
      </c>
      <c r="K611" s="18">
        <f ca="1">IFERROR(__xludf.DUMMYFUNCTION("IMPORTRANGE(""https://docs.google.com/spreadsheets/d/1sHk6_yuc4kORC_xnhEeazoemV_hVUQVqRpfoNae-PLk/edit"",""23!e37"")"),0)</f>
        <v>0</v>
      </c>
      <c r="L611" s="18">
        <f t="shared" ca="1" si="1692"/>
        <v>1771</v>
      </c>
      <c r="M611" s="18">
        <f t="shared" ca="1" si="1664"/>
        <v>3250</v>
      </c>
      <c r="N611" s="19">
        <f t="shared" ca="1" si="1665"/>
        <v>198.48016666666669</v>
      </c>
      <c r="O611" s="16">
        <v>3801</v>
      </c>
      <c r="P611" s="20">
        <f t="shared" ca="1" si="1666"/>
        <v>0.85503814785582744</v>
      </c>
      <c r="Q611" s="21">
        <v>1.5</v>
      </c>
      <c r="R611" s="20">
        <f t="shared" ca="1" si="1667"/>
        <v>0.45484533439249314</v>
      </c>
      <c r="S611" s="22">
        <f t="shared" ca="1" si="1668"/>
        <v>0.68226800158873968</v>
      </c>
      <c r="T611" s="21">
        <f ca="1">F611/29.628</f>
        <v>160.7777777777778</v>
      </c>
      <c r="U611" s="21">
        <f t="shared" ca="1" si="1669"/>
        <v>6.6990740740740753</v>
      </c>
      <c r="V611" s="18">
        <f t="shared" ca="1" si="1670"/>
        <v>135.41666666666666</v>
      </c>
      <c r="W611" s="76"/>
      <c r="X611" s="8">
        <v>6</v>
      </c>
      <c r="Y611" s="8" t="s">
        <v>42</v>
      </c>
      <c r="Z611" s="8">
        <f t="shared" ref="Z611:AI611" si="1701">SUM(D615)</f>
        <v>33</v>
      </c>
      <c r="AA611" s="9">
        <f t="shared" ca="1" si="1701"/>
        <v>33</v>
      </c>
      <c r="AB611" s="10">
        <f t="shared" ca="1" si="1701"/>
        <v>6337.2029999999904</v>
      </c>
      <c r="AC611" s="9">
        <f t="shared" ca="1" si="1701"/>
        <v>3845</v>
      </c>
      <c r="AD611" s="9">
        <f t="shared" ca="1" si="1701"/>
        <v>0</v>
      </c>
      <c r="AE611" s="9">
        <f t="shared" ca="1" si="1701"/>
        <v>3845</v>
      </c>
      <c r="AF611" s="9">
        <f t="shared" ca="1" si="1701"/>
        <v>3892</v>
      </c>
      <c r="AG611" s="9">
        <f t="shared" ca="1" si="1701"/>
        <v>71</v>
      </c>
      <c r="AH611" s="9">
        <f t="shared" ca="1" si="1701"/>
        <v>3963</v>
      </c>
      <c r="AI611" s="9">
        <f t="shared" ca="1" si="1701"/>
        <v>7808</v>
      </c>
      <c r="AJ611" s="11">
        <f t="shared" ca="1" si="1682"/>
        <v>192.03645454545426</v>
      </c>
      <c r="AK611" s="8">
        <f t="shared" si="1698"/>
        <v>9877</v>
      </c>
      <c r="AL611" s="12">
        <f t="shared" ca="1" si="1684"/>
        <v>0.79052343829097904</v>
      </c>
      <c r="AM611" s="13">
        <f t="shared" si="1699"/>
        <v>1.5</v>
      </c>
      <c r="AN611" s="12">
        <f t="shared" ca="1" si="1686"/>
        <v>0.82139286580110193</v>
      </c>
      <c r="AO611" s="14">
        <f t="shared" ca="1" si="1687"/>
        <v>1.232089298701653</v>
      </c>
      <c r="AP611" s="13">
        <f t="shared" ref="AP611:AQ611" ca="1" si="1702">SUM(T615)</f>
        <v>242.2941311412728</v>
      </c>
      <c r="AQ611" s="13">
        <f t="shared" ca="1" si="1702"/>
        <v>7.3422463982203876</v>
      </c>
      <c r="AR611" s="9">
        <f t="shared" ca="1" si="1689"/>
        <v>236.60606060606059</v>
      </c>
      <c r="AS611" s="76"/>
      <c r="AT611" s="76"/>
    </row>
    <row r="612" spans="1:46" ht="15.75" customHeight="1" x14ac:dyDescent="0.25">
      <c r="A612" s="70"/>
      <c r="B612" s="16">
        <v>13</v>
      </c>
      <c r="C612" s="16" t="s">
        <v>43</v>
      </c>
      <c r="D612" s="17">
        <v>30</v>
      </c>
      <c r="E612" s="18">
        <f ca="1">IFERROR(__xludf.DUMMYFUNCTION("COUNT(IMPORTRANGE(""https://docs.google.com/spreadsheets/d/1uGXvAN2jA6kmcEHUY4KqOHHewllZsujDdA6KVDfBCoA/edit"",""23!d2:d31""))"),30)</f>
        <v>30</v>
      </c>
      <c r="F612" s="23">
        <f ca="1">IFERROR(__xludf.DUMMYFUNCTION("SUM(IMPORTRANGE(""https://docs.google.com/spreadsheets/d/1uGXvAN2jA6kmcEHUY4KqOHHewllZsujDdA6KVDfBCoA/edit"",""23!Q2:Q31""))"),6490.303)</f>
        <v>6490.3029999999999</v>
      </c>
      <c r="G612" s="18">
        <f ca="1">IFERROR(__xludf.DUMMYFUNCTION("IMPORTRANGE(""https://docs.google.com/spreadsheets/d/1uGXvAN2jA6kmcEHUY4KqOHHewllZsujDdA6KVDfBCoA/edit"",""23!e38"")"),2354)</f>
        <v>2354</v>
      </c>
      <c r="H612" s="18">
        <f ca="1">IFERROR(__xludf.DUMMYFUNCTION("IMPORTRANGE(""https://docs.google.com/spreadsheets/d/1uGXvAN2jA6kmcEHUY4KqOHHewllZsujDdA6KVDfBCoA/edit"",""23!e39"")"),0)</f>
        <v>0</v>
      </c>
      <c r="I612" s="18">
        <f t="shared" ca="1" si="1662"/>
        <v>2354</v>
      </c>
      <c r="J612" s="18">
        <f ca="1">IFERROR(__xludf.DUMMYFUNCTION("IMPORTRANGE(""https://docs.google.com/spreadsheets/d/1uGXvAN2jA6kmcEHUY4KqOHHewllZsujDdA6KVDfBCoA/edit"",""23!e42"")"),3045)</f>
        <v>3045</v>
      </c>
      <c r="K612" s="18">
        <f ca="1">IFERROR(__xludf.DUMMYFUNCTION("IMPORTRANGE(""https://docs.google.com/spreadsheets/d/1uGXvAN2jA6kmcEHUY4KqOHHewllZsujDdA6KVDfBCoA/edit"",""23!e43"")"),0)</f>
        <v>0</v>
      </c>
      <c r="L612" s="18">
        <f t="shared" ca="1" si="1692"/>
        <v>3045</v>
      </c>
      <c r="M612" s="18">
        <f t="shared" ca="1" si="1664"/>
        <v>5399</v>
      </c>
      <c r="N612" s="19">
        <f t="shared" ca="1" si="1665"/>
        <v>216.34343333333334</v>
      </c>
      <c r="O612" s="16">
        <v>8345</v>
      </c>
      <c r="P612" s="20">
        <f t="shared" ca="1" si="1666"/>
        <v>0.64697423606950266</v>
      </c>
      <c r="Q612" s="21">
        <v>1.5</v>
      </c>
      <c r="R612" s="20">
        <f t="shared" ca="1" si="1667"/>
        <v>0.55457092424395804</v>
      </c>
      <c r="S612" s="22">
        <f t="shared" ca="1" si="1668"/>
        <v>0.83185638636593706</v>
      </c>
      <c r="T612" s="21">
        <f ca="1">F612/41.205</f>
        <v>157.5125106176435</v>
      </c>
      <c r="U612" s="21">
        <f t="shared" ca="1" si="1669"/>
        <v>5.2504170205881167</v>
      </c>
      <c r="V612" s="18">
        <f t="shared" ca="1" si="1670"/>
        <v>179.96666666666667</v>
      </c>
      <c r="W612" s="76"/>
      <c r="X612" s="24" t="s">
        <v>33</v>
      </c>
      <c r="Y612" s="24">
        <v>6</v>
      </c>
      <c r="Z612" s="24">
        <f t="shared" ref="Z612:AI612" si="1703">SUM(Z606:Z611)</f>
        <v>226</v>
      </c>
      <c r="AA612" s="25">
        <f t="shared" ca="1" si="1703"/>
        <v>219</v>
      </c>
      <c r="AB612" s="27">
        <f t="shared" ca="1" si="1703"/>
        <v>43658.574999999881</v>
      </c>
      <c r="AC612" s="25">
        <f t="shared" ca="1" si="1703"/>
        <v>18620</v>
      </c>
      <c r="AD612" s="25">
        <f t="shared" ca="1" si="1703"/>
        <v>182</v>
      </c>
      <c r="AE612" s="25">
        <f t="shared" ca="1" si="1703"/>
        <v>18802</v>
      </c>
      <c r="AF612" s="25">
        <f t="shared" ca="1" si="1703"/>
        <v>22604</v>
      </c>
      <c r="AG612" s="25">
        <f t="shared" ca="1" si="1703"/>
        <v>329</v>
      </c>
      <c r="AH612" s="25">
        <f t="shared" ca="1" si="1703"/>
        <v>22933</v>
      </c>
      <c r="AI612" s="25">
        <f t="shared" ca="1" si="1703"/>
        <v>41735</v>
      </c>
      <c r="AJ612" s="27">
        <f t="shared" ca="1" si="1682"/>
        <v>199.35422374429169</v>
      </c>
      <c r="AK612" s="24">
        <f>SUM(AK606:AK611)</f>
        <v>53273</v>
      </c>
      <c r="AL612" s="28">
        <f t="shared" ca="1" si="1684"/>
        <v>0.7834174910367353</v>
      </c>
      <c r="AM612" s="29">
        <v>1.5</v>
      </c>
      <c r="AN612" s="28">
        <f t="shared" ca="1" si="1686"/>
        <v>0.63729366644086316</v>
      </c>
      <c r="AO612" s="30">
        <f t="shared" ca="1" si="1687"/>
        <v>0.9559404996612948</v>
      </c>
      <c r="AP612" s="29">
        <f ca="1">SUM(AP606:AP611)</f>
        <v>1430.9328759880702</v>
      </c>
      <c r="AQ612" s="29">
        <f ca="1">AP612/AA612</f>
        <v>6.5339400730048869</v>
      </c>
      <c r="AR612" s="25">
        <f t="shared" ca="1" si="1689"/>
        <v>190.57077625570776</v>
      </c>
      <c r="AS612" s="76"/>
      <c r="AT612" s="76"/>
    </row>
    <row r="613" spans="1:46" ht="15.75" customHeight="1" x14ac:dyDescent="0.25">
      <c r="A613" s="70"/>
      <c r="B613" s="16">
        <v>14</v>
      </c>
      <c r="C613" s="16" t="s">
        <v>27</v>
      </c>
      <c r="D613" s="17">
        <v>30</v>
      </c>
      <c r="E613" s="18">
        <f ca="1">IFERROR(__xludf.DUMMYFUNCTION("COUNT(IMPORTRANGE(""https://docs.google.com/spreadsheets/d/1iYtf3wkjJIgOL8ej0-L89wY8FLXKi6EiRbi9UqA1Bzw/edit"",""23!d2:d31""))"),28)</f>
        <v>28</v>
      </c>
      <c r="F613" s="23">
        <f ca="1">IFERROR(__xludf.DUMMYFUNCTION("SUM(IMPORTRANGE(""https://docs.google.com/spreadsheets/d/1iYtf3wkjJIgOL8ej0-L89wY8FLXKi6EiRbi9UqA1Bzw/edit"",""23!Q2:Q31""))"),5225.94)</f>
        <v>5225.9399999999996</v>
      </c>
      <c r="G613" s="18">
        <f ca="1">IFERROR(__xludf.DUMMYFUNCTION("IMPORTRANGE(""https://docs.google.com/spreadsheets/d/1iYtf3wkjJIgOL8ej0-L89wY8FLXKi6EiRbi9UqA1Bzw/edit"",""23!e38"")"),2895)</f>
        <v>2895</v>
      </c>
      <c r="H613" s="18">
        <f ca="1">IFERROR(__xludf.DUMMYFUNCTION("IMPORTRANGE(""https://docs.google.com/spreadsheets/d/1iYtf3wkjJIgOL8ej0-L89wY8FLXKi6EiRbi9UqA1Bzw/edit"",""23!e39"")"),23)</f>
        <v>23</v>
      </c>
      <c r="I613" s="18">
        <f t="shared" ca="1" si="1662"/>
        <v>2918</v>
      </c>
      <c r="J613" s="18">
        <f ca="1">IFERROR(__xludf.DUMMYFUNCTION("IMPORTRANGE(""https://docs.google.com/spreadsheets/d/1iYtf3wkjJIgOL8ej0-L89wY8FLXKi6EiRbi9UqA1Bzw/edit"",""23!e42"")"),2766)</f>
        <v>2766</v>
      </c>
      <c r="K613" s="18">
        <f ca="1">IFERROR(__xludf.DUMMYFUNCTION("IMPORTRANGE(""https://docs.google.com/spreadsheets/d/1iYtf3wkjJIgOL8ej0-L89wY8FLXKi6EiRbi9UqA1Bzw/edit"",""23!e43"")"),152)</f>
        <v>152</v>
      </c>
      <c r="L613" s="18">
        <f t="shared" ca="1" si="1692"/>
        <v>2918</v>
      </c>
      <c r="M613" s="18">
        <f t="shared" ca="1" si="1664"/>
        <v>5836</v>
      </c>
      <c r="N613" s="19">
        <f t="shared" ca="1" si="1665"/>
        <v>186.64071428571427</v>
      </c>
      <c r="O613" s="16">
        <v>8101</v>
      </c>
      <c r="P613" s="20">
        <f t="shared" ca="1" si="1666"/>
        <v>0.72040488828539684</v>
      </c>
      <c r="Q613" s="21">
        <v>1.5</v>
      </c>
      <c r="R613" s="20">
        <f t="shared" ca="1" si="1667"/>
        <v>0.74449126217803252</v>
      </c>
      <c r="S613" s="22">
        <f t="shared" ca="1" si="1668"/>
        <v>1.1167368932670487</v>
      </c>
      <c r="T613" s="21">
        <f ca="1">F613/19.985</f>
        <v>261.49311983987991</v>
      </c>
      <c r="U613" s="21">
        <f t="shared" ca="1" si="1669"/>
        <v>9.3390399942814248</v>
      </c>
      <c r="V613" s="18">
        <f t="shared" ca="1" si="1670"/>
        <v>208.42857142857142</v>
      </c>
      <c r="W613" s="76"/>
      <c r="X613" s="97" t="s">
        <v>44</v>
      </c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9"/>
      <c r="AS613" s="76"/>
      <c r="AT613" s="76"/>
    </row>
    <row r="614" spans="1:46" ht="15.75" customHeight="1" x14ac:dyDescent="0.25">
      <c r="A614" s="70"/>
      <c r="B614" s="16">
        <v>15</v>
      </c>
      <c r="C614" s="16" t="s">
        <v>40</v>
      </c>
      <c r="D614" s="17">
        <v>30</v>
      </c>
      <c r="E614" s="18">
        <f ca="1">IFERROR(__xludf.DUMMYFUNCTION("COUNT(IMPORTRANGE(""https://docs.google.com/spreadsheets/d/1Wdf8MsoDBzMSsrzOXwaGQzbVjVqOWfKSqYmbncevZgA/edit"",""23!d2:d31""))"),30)</f>
        <v>30</v>
      </c>
      <c r="F614" s="23">
        <f ca="1">IFERROR(__xludf.DUMMYFUNCTION("SUM(IMPORTRANGE(""https://docs.google.com/spreadsheets/d/1Wdf8MsoDBzMSsrzOXwaGQzbVjVqOWfKSqYmbncevZgA/edit"",""23!Q2:Q31""))"),5830.81499999999)</f>
        <v>5830.8149999999896</v>
      </c>
      <c r="G614" s="18">
        <f ca="1">IFERROR(__xludf.DUMMYFUNCTION("IMPORTRANGE(""https://docs.google.com/spreadsheets/d/1Wdf8MsoDBzMSsrzOXwaGQzbVjVqOWfKSqYmbncevZgA/edit"",""23!e38"")"),3327)</f>
        <v>3327</v>
      </c>
      <c r="H614" s="18">
        <f ca="1">IFERROR(__xludf.DUMMYFUNCTION("IMPORTRANGE(""https://docs.google.com/spreadsheets/d/1Wdf8MsoDBzMSsrzOXwaGQzbVjVqOWfKSqYmbncevZgA/edit"",""23!e39"")"),0)</f>
        <v>0</v>
      </c>
      <c r="I614" s="18">
        <f t="shared" ca="1" si="1662"/>
        <v>3327</v>
      </c>
      <c r="J614" s="18">
        <f ca="1">IFERROR(__xludf.DUMMYFUNCTION("IMPORTRANGE(""https://docs.google.com/spreadsheets/d/1Wdf8MsoDBzMSsrzOXwaGQzbVjVqOWfKSqYmbncevZgA/edit"",""23!e42"")"),4226)</f>
        <v>4226</v>
      </c>
      <c r="K614" s="18">
        <f ca="1">IFERROR(__xludf.DUMMYFUNCTION("IMPORTRANGE(""https://docs.google.com/spreadsheets/d/1Wdf8MsoDBzMSsrzOXwaGQzbVjVqOWfKSqYmbncevZgA/edit"",""23!e43"")"),0)</f>
        <v>0</v>
      </c>
      <c r="L614" s="18">
        <f t="shared" ca="1" si="1692"/>
        <v>4226</v>
      </c>
      <c r="M614" s="18">
        <f t="shared" ca="1" si="1664"/>
        <v>7553</v>
      </c>
      <c r="N614" s="19">
        <f t="shared" ca="1" si="1665"/>
        <v>194.36049999999966</v>
      </c>
      <c r="O614" s="16">
        <v>8239</v>
      </c>
      <c r="P614" s="20">
        <f t="shared" ca="1" si="1666"/>
        <v>0.91673746813933732</v>
      </c>
      <c r="Q614" s="21">
        <v>1.5</v>
      </c>
      <c r="R614" s="20">
        <f t="shared" ca="1" si="1667"/>
        <v>0.8635728167217348</v>
      </c>
      <c r="S614" s="22">
        <f t="shared" ca="1" si="1668"/>
        <v>1.2953592250826023</v>
      </c>
      <c r="T614" s="21">
        <f ca="1">F614/28.443</f>
        <v>204.99999999999963</v>
      </c>
      <c r="U614" s="21">
        <f t="shared" ca="1" si="1669"/>
        <v>6.8333333333333206</v>
      </c>
      <c r="V614" s="18">
        <f t="shared" ca="1" si="1670"/>
        <v>251.76666666666668</v>
      </c>
      <c r="W614" s="76"/>
      <c r="X614" s="1" t="s">
        <v>2</v>
      </c>
      <c r="Y614" s="1" t="s">
        <v>3</v>
      </c>
      <c r="Z614" s="1" t="s">
        <v>4</v>
      </c>
      <c r="AA614" s="1" t="s">
        <v>5</v>
      </c>
      <c r="AB614" s="2" t="s">
        <v>6</v>
      </c>
      <c r="AC614" s="1" t="s">
        <v>7</v>
      </c>
      <c r="AD614" s="1" t="s">
        <v>8</v>
      </c>
      <c r="AE614" s="1" t="s">
        <v>9</v>
      </c>
      <c r="AF614" s="1" t="s">
        <v>10</v>
      </c>
      <c r="AG614" s="1" t="s">
        <v>11</v>
      </c>
      <c r="AH614" s="1" t="s">
        <v>12</v>
      </c>
      <c r="AI614" s="1" t="s">
        <v>13</v>
      </c>
      <c r="AJ614" s="2" t="s">
        <v>14</v>
      </c>
      <c r="AK614" s="1" t="s">
        <v>15</v>
      </c>
      <c r="AL614" s="1" t="s">
        <v>16</v>
      </c>
      <c r="AM614" s="3" t="s">
        <v>17</v>
      </c>
      <c r="AN614" s="4" t="s">
        <v>18</v>
      </c>
      <c r="AO614" s="5" t="s">
        <v>19</v>
      </c>
      <c r="AP614" s="6" t="s">
        <v>20</v>
      </c>
      <c r="AQ614" s="6" t="s">
        <v>21</v>
      </c>
      <c r="AR614" s="7" t="s">
        <v>22</v>
      </c>
      <c r="AS614" s="76"/>
      <c r="AT614" s="76"/>
    </row>
    <row r="615" spans="1:46" ht="15.75" customHeight="1" x14ac:dyDescent="0.25">
      <c r="A615" s="70"/>
      <c r="B615" s="16">
        <v>16</v>
      </c>
      <c r="C615" s="16" t="s">
        <v>42</v>
      </c>
      <c r="D615" s="17">
        <v>33</v>
      </c>
      <c r="E615" s="18">
        <f ca="1">IFERROR(__xludf.DUMMYFUNCTION("COUNT(IMPORTRANGE(""https://docs.google.com/spreadsheets/d/1Z5uB5HbeAKcHmG4EOw3rf2J8NpyvDiha6RReERAMvA0/edit"",""23!d2:d34""))"),33)</f>
        <v>33</v>
      </c>
      <c r="F615" s="23">
        <f ca="1">IFERROR(__xludf.DUMMYFUNCTION("SUM(IMPORTRANGE(""https://docs.google.com/spreadsheets/d/1Z5uB5HbeAKcHmG4EOw3rf2J8NpyvDiha6RReERAMvA0/edit"",""23!Q2:Q34""))"),6337.20299999999)</f>
        <v>6337.2029999999904</v>
      </c>
      <c r="G615" s="18">
        <f ca="1">IFERROR(__xludf.DUMMYFUNCTION("IMPORTRANGE(""https://docs.google.com/spreadsheets/d/1Z5uB5HbeAKcHmG4EOw3rf2J8NpyvDiha6RReERAMvA0/edit"",""23!e41"")"),3845)</f>
        <v>3845</v>
      </c>
      <c r="H615" s="18">
        <f ca="1">IFERROR(__xludf.DUMMYFUNCTION("IMPORTRANGE(""https://docs.google.com/spreadsheets/d/1Z5uB5HbeAKcHmG4EOw3rf2J8NpyvDiha6RReERAMvA0/edit"",""23!e42"")"),0)</f>
        <v>0</v>
      </c>
      <c r="I615" s="18">
        <f t="shared" ca="1" si="1662"/>
        <v>3845</v>
      </c>
      <c r="J615" s="18">
        <f ca="1">IFERROR(__xludf.DUMMYFUNCTION("IMPORTRANGE(""https://docs.google.com/spreadsheets/d/1Z5uB5HbeAKcHmG4EOw3rf2J8NpyvDiha6RReERAMvA0/edit"",""23!e45"")"),3892)</f>
        <v>3892</v>
      </c>
      <c r="K615" s="18">
        <f ca="1">IFERROR(__xludf.DUMMYFUNCTION("IMPORTRANGE(""https://docs.google.com/spreadsheets/d/1Z5uB5HbeAKcHmG4EOw3rf2J8NpyvDiha6RReERAMvA0/edit"",""23!e46"")"),71)</f>
        <v>71</v>
      </c>
      <c r="L615" s="18">
        <f t="shared" ca="1" si="1692"/>
        <v>3963</v>
      </c>
      <c r="M615" s="18">
        <f t="shared" ca="1" si="1664"/>
        <v>7808</v>
      </c>
      <c r="N615" s="19">
        <f t="shared" ca="1" si="1665"/>
        <v>192.03645454545426</v>
      </c>
      <c r="O615" s="16">
        <v>9877</v>
      </c>
      <c r="P615" s="20">
        <f t="shared" ca="1" si="1666"/>
        <v>0.79052343829097904</v>
      </c>
      <c r="Q615" s="21">
        <v>1.5</v>
      </c>
      <c r="R615" s="20">
        <f t="shared" ca="1" si="1667"/>
        <v>0.82139286580110193</v>
      </c>
      <c r="S615" s="22">
        <f t="shared" ca="1" si="1668"/>
        <v>1.232089298701653</v>
      </c>
      <c r="T615" s="21">
        <f ca="1">F615/26.155</f>
        <v>242.2941311412728</v>
      </c>
      <c r="U615" s="21">
        <f t="shared" ca="1" si="1669"/>
        <v>7.3422463982203876</v>
      </c>
      <c r="V615" s="18">
        <f t="shared" ca="1" si="1670"/>
        <v>236.60606060606059</v>
      </c>
      <c r="W615" s="76"/>
      <c r="X615" s="8">
        <v>1</v>
      </c>
      <c r="Y615" s="8" t="s">
        <v>26</v>
      </c>
      <c r="Z615" s="8">
        <f t="shared" ref="Z615:AI615" si="1704">SUM(D600)</f>
        <v>20</v>
      </c>
      <c r="AA615" s="9">
        <f t="shared" ca="1" si="1704"/>
        <v>19</v>
      </c>
      <c r="AB615" s="11">
        <f t="shared" ca="1" si="1704"/>
        <v>3755.643</v>
      </c>
      <c r="AC615" s="9">
        <f t="shared" ca="1" si="1704"/>
        <v>1781</v>
      </c>
      <c r="AD615" s="9">
        <f t="shared" ca="1" si="1704"/>
        <v>0</v>
      </c>
      <c r="AE615" s="9">
        <f t="shared" ca="1" si="1704"/>
        <v>1781</v>
      </c>
      <c r="AF615" s="9">
        <f t="shared" ca="1" si="1704"/>
        <v>3285</v>
      </c>
      <c r="AG615" s="9">
        <f t="shared" ca="1" si="1704"/>
        <v>0</v>
      </c>
      <c r="AH615" s="9">
        <f t="shared" ca="1" si="1704"/>
        <v>3285</v>
      </c>
      <c r="AI615" s="9">
        <f t="shared" ca="1" si="1704"/>
        <v>5066</v>
      </c>
      <c r="AJ615" s="11">
        <f t="shared" ref="AJ615:AJ621" ca="1" si="1705">AB615/AA615</f>
        <v>197.66542105263159</v>
      </c>
      <c r="AK615" s="8">
        <f>SUM(O600)</f>
        <v>5161</v>
      </c>
      <c r="AL615" s="12">
        <f t="shared" ref="AL615:AL621" ca="1" si="1706">AI615/AK615</f>
        <v>0.9815927145901957</v>
      </c>
      <c r="AM615" s="13">
        <f>SUM(Q600)</f>
        <v>1.5</v>
      </c>
      <c r="AN615" s="12">
        <f t="shared" ref="AN615:AN621" ca="1" si="1707">AO615/AM615</f>
        <v>0.89926900222767003</v>
      </c>
      <c r="AO615" s="14">
        <f t="shared" ref="AO615:AO621" ca="1" si="1708">AI615/AB615</f>
        <v>1.3489035033415051</v>
      </c>
      <c r="AP615" s="13">
        <f t="shared" ref="AP615:AQ615" ca="1" si="1709">SUM(T600)</f>
        <v>260.5371488033299</v>
      </c>
      <c r="AQ615" s="13">
        <f t="shared" ca="1" si="1709"/>
        <v>13.712481515964731</v>
      </c>
      <c r="AR615" s="9">
        <f t="shared" ref="AR615:AR621" ca="1" si="1710">AI615/AA615</f>
        <v>266.63157894736844</v>
      </c>
      <c r="AS615" s="76"/>
      <c r="AT615" s="76"/>
    </row>
    <row r="616" spans="1:46" ht="15.75" customHeight="1" x14ac:dyDescent="0.25">
      <c r="A616" s="70"/>
      <c r="B616" s="16">
        <v>17</v>
      </c>
      <c r="C616" s="16" t="s">
        <v>29</v>
      </c>
      <c r="D616" s="17">
        <v>30</v>
      </c>
      <c r="E616" s="18">
        <f ca="1">IFERROR(__xludf.DUMMYFUNCTION("COUNT(IMPORTRANGE(""https://docs.google.com/spreadsheets/d/1wfJqI0e9wVPqEQv3N6b8KgINjqI0OBECEyIFeY9j3i8/edit"",""23!d2:d31""))"),30)</f>
        <v>30</v>
      </c>
      <c r="F616" s="23">
        <f ca="1">IFERROR(__xludf.DUMMYFUNCTION("SUM(IMPORTRANGE(""https://docs.google.com/spreadsheets/d/1wfJqI0e9wVPqEQv3N6b8KgINjqI0OBECEyIFeY9j3i8/edit"",""23!Q2:Q31""))"),5960.47499999999)</f>
        <v>5960.4749999999904</v>
      </c>
      <c r="G616" s="18">
        <f ca="1">IFERROR(__xludf.DUMMYFUNCTION("IMPORTRANGE(""https://docs.google.com/spreadsheets/d/1wfJqI0e9wVPqEQv3N6b8KgINjqI0OBECEyIFeY9j3i8/edit"",""23!e38"")"),2909)</f>
        <v>2909</v>
      </c>
      <c r="H616" s="18">
        <f ca="1">IFERROR(__xludf.DUMMYFUNCTION("IMPORTRANGE(""https://docs.google.com/spreadsheets/d/1wfJqI0e9wVPqEQv3N6b8KgINjqI0OBECEyIFeY9j3i8/edit"",""23!e39"")"),0)</f>
        <v>0</v>
      </c>
      <c r="I616" s="18">
        <f t="shared" ca="1" si="1662"/>
        <v>2909</v>
      </c>
      <c r="J616" s="18">
        <f ca="1">IFERROR(__xludf.DUMMYFUNCTION("IMPORTRANGE(""https://docs.google.com/spreadsheets/d/1wfJqI0e9wVPqEQv3N6b8KgINjqI0OBECEyIFeY9j3i8/edit"",""23!e42"")"),4371)</f>
        <v>4371</v>
      </c>
      <c r="K616" s="18">
        <f ca="1">IFERROR(__xludf.DUMMYFUNCTION("IMPORTRANGE(""https://docs.google.com/spreadsheets/d/1wfJqI0e9wVPqEQv3N6b8KgINjqI0OBECEyIFeY9j3i8/edit"",""23!e43"")"),0)</f>
        <v>0</v>
      </c>
      <c r="L616" s="18">
        <f t="shared" ca="1" si="1692"/>
        <v>4371</v>
      </c>
      <c r="M616" s="18">
        <f t="shared" ca="1" si="1664"/>
        <v>7280</v>
      </c>
      <c r="N616" s="19">
        <f t="shared" ca="1" si="1665"/>
        <v>198.68249999999969</v>
      </c>
      <c r="O616" s="16">
        <v>9201</v>
      </c>
      <c r="P616" s="20">
        <f t="shared" ca="1" si="1666"/>
        <v>0.79121834583197481</v>
      </c>
      <c r="Q616" s="21">
        <v>1.5</v>
      </c>
      <c r="R616" s="20">
        <f t="shared" ca="1" si="1667"/>
        <v>0.81425277907102045</v>
      </c>
      <c r="S616" s="22">
        <f t="shared" ca="1" si="1668"/>
        <v>1.2213791686065307</v>
      </c>
      <c r="T616" s="21">
        <f ca="1">F616/26.491</f>
        <v>224.99999999999963</v>
      </c>
      <c r="U616" s="21">
        <f t="shared" ca="1" si="1669"/>
        <v>7.4999999999999876</v>
      </c>
      <c r="V616" s="18">
        <f t="shared" ca="1" si="1670"/>
        <v>242.66666666666666</v>
      </c>
      <c r="W616" s="76"/>
      <c r="X616" s="8">
        <v>2</v>
      </c>
      <c r="Y616" s="8" t="s">
        <v>32</v>
      </c>
      <c r="Z616" s="8">
        <f t="shared" ref="Z616:AI616" si="1711">SUM(D603)</f>
        <v>42</v>
      </c>
      <c r="AA616" s="9">
        <f t="shared" ca="1" si="1711"/>
        <v>41</v>
      </c>
      <c r="AB616" s="10">
        <f t="shared" ca="1" si="1711"/>
        <v>8078.6579999999904</v>
      </c>
      <c r="AC616" s="8">
        <f t="shared" ca="1" si="1711"/>
        <v>4834</v>
      </c>
      <c r="AD616" s="8">
        <f t="shared" ca="1" si="1711"/>
        <v>0</v>
      </c>
      <c r="AE616" s="9">
        <f t="shared" ca="1" si="1711"/>
        <v>4834</v>
      </c>
      <c r="AF616" s="8">
        <f t="shared" ca="1" si="1711"/>
        <v>5901</v>
      </c>
      <c r="AG616" s="8">
        <f t="shared" ca="1" si="1711"/>
        <v>156</v>
      </c>
      <c r="AH616" s="9">
        <f t="shared" ca="1" si="1711"/>
        <v>6057</v>
      </c>
      <c r="AI616" s="9">
        <f t="shared" ca="1" si="1711"/>
        <v>10891</v>
      </c>
      <c r="AJ616" s="11">
        <f t="shared" ca="1" si="1705"/>
        <v>197.04043902439</v>
      </c>
      <c r="AK616" s="8">
        <f>SUM(O603)</f>
        <v>13817</v>
      </c>
      <c r="AL616" s="12">
        <f t="shared" ca="1" si="1706"/>
        <v>0.78823188825360069</v>
      </c>
      <c r="AM616" s="13">
        <f>SUM(Q603)</f>
        <v>1.5</v>
      </c>
      <c r="AN616" s="12">
        <f t="shared" ca="1" si="1707"/>
        <v>0.89874663176318093</v>
      </c>
      <c r="AO616" s="14">
        <f t="shared" ca="1" si="1708"/>
        <v>1.3481199476447714</v>
      </c>
      <c r="AP616" s="13">
        <f t="shared" ref="AP616:AQ616" ca="1" si="1712">SUM(T603)</f>
        <v>321.99999999999966</v>
      </c>
      <c r="AQ616" s="13">
        <f t="shared" ca="1" si="1712"/>
        <v>7.8536585365853577</v>
      </c>
      <c r="AR616" s="9">
        <f t="shared" ca="1" si="1710"/>
        <v>265.63414634146341</v>
      </c>
      <c r="AS616" s="76"/>
      <c r="AT616" s="76"/>
    </row>
    <row r="617" spans="1:46" ht="15.75" customHeight="1" x14ac:dyDescent="0.25">
      <c r="A617" s="70"/>
      <c r="B617" s="16">
        <v>18</v>
      </c>
      <c r="C617" s="16" t="s">
        <v>31</v>
      </c>
      <c r="D617" s="17">
        <v>15</v>
      </c>
      <c r="E617" s="18">
        <f ca="1">IFERROR(__xludf.DUMMYFUNCTION("COUNT(IMPORTRANGE(""https://docs.google.com/spreadsheets/d/1-y2KhTAo7d8kowgUuWUDfRQuRMUAFteRYEXorT3_wOs/edit"",""23!d2:d16""))"),15)</f>
        <v>15</v>
      </c>
      <c r="F617" s="19">
        <f ca="1">IFERROR(__xludf.DUMMYFUNCTION("SUM(IMPORTRANGE(""https://docs.google.com/spreadsheets/d/1-y2KhTAo7d8kowgUuWUDfRQuRMUAFteRYEXorT3_wOs/edit"",""23!Q2:Q16""))"),3042.55)</f>
        <v>3042.55</v>
      </c>
      <c r="G617" s="18">
        <f ca="1">IFERROR(__xludf.DUMMYFUNCTION("IMPORTRANGE(""https://docs.google.com/spreadsheets/d/1-y2KhTAo7d8kowgUuWUDfRQuRMUAFteRYEXorT3_wOs/edit"",""23!e23"")"),934)</f>
        <v>934</v>
      </c>
      <c r="H617" s="18">
        <f ca="1">IFERROR(__xludf.DUMMYFUNCTION("IMPORTRANGE(""https://docs.google.com/spreadsheets/d/1-y2KhTAo7d8kowgUuWUDfRQuRMUAFteRYEXorT3_wOs/edit"",""23!e24"")"),0)</f>
        <v>0</v>
      </c>
      <c r="I617" s="18">
        <f t="shared" ca="1" si="1662"/>
        <v>934</v>
      </c>
      <c r="J617" s="18">
        <f ca="1">IFERROR(__xludf.DUMMYFUNCTION("IMPORTRANGE(""https://docs.google.com/spreadsheets/d/1-y2KhTAo7d8kowgUuWUDfRQuRMUAFteRYEXorT3_wOs/edit"",""23!e27"")"),1141)</f>
        <v>1141</v>
      </c>
      <c r="K617" s="18">
        <f ca="1">IFERROR(__xludf.DUMMYFUNCTION("IMPORTRANGE(""https://docs.google.com/spreadsheets/d/1-y2KhTAo7d8kowgUuWUDfRQuRMUAFteRYEXorT3_wOs/edit"",""23!e28"")"),9)</f>
        <v>9</v>
      </c>
      <c r="L617" s="18">
        <f t="shared" ca="1" si="1692"/>
        <v>1150</v>
      </c>
      <c r="M617" s="18">
        <f t="shared" ca="1" si="1664"/>
        <v>2084</v>
      </c>
      <c r="N617" s="19">
        <f t="shared" ca="1" si="1665"/>
        <v>202.83666666666667</v>
      </c>
      <c r="O617" s="16">
        <v>2717</v>
      </c>
      <c r="P617" s="20">
        <f t="shared" ca="1" si="1666"/>
        <v>0.76702245123297752</v>
      </c>
      <c r="Q617" s="21">
        <v>1.5</v>
      </c>
      <c r="R617" s="20">
        <f t="shared" ca="1" si="1667"/>
        <v>0.4566345116212826</v>
      </c>
      <c r="S617" s="22">
        <f t="shared" ca="1" si="1668"/>
        <v>0.68495176743192387</v>
      </c>
      <c r="T617" s="21">
        <f ca="1">F617/43.465</f>
        <v>70</v>
      </c>
      <c r="U617" s="21">
        <f t="shared" ca="1" si="1669"/>
        <v>4.666666666666667</v>
      </c>
      <c r="V617" s="18">
        <f t="shared" ca="1" si="1670"/>
        <v>138.93333333333334</v>
      </c>
      <c r="W617" s="76"/>
      <c r="X617" s="8">
        <v>3</v>
      </c>
      <c r="Y617" s="8" t="s">
        <v>36</v>
      </c>
      <c r="Z617" s="8">
        <f t="shared" ref="Z617:AI617" si="1713">SUM(D608)</f>
        <v>30</v>
      </c>
      <c r="AA617" s="9">
        <f t="shared" ca="1" si="1713"/>
        <v>30</v>
      </c>
      <c r="AB617" s="10">
        <f t="shared" ca="1" si="1713"/>
        <v>5905.0279999999902</v>
      </c>
      <c r="AC617" s="9">
        <f t="shared" ca="1" si="1713"/>
        <v>1691</v>
      </c>
      <c r="AD617" s="9">
        <f t="shared" ca="1" si="1713"/>
        <v>0</v>
      </c>
      <c r="AE617" s="9">
        <f t="shared" ca="1" si="1713"/>
        <v>1691</v>
      </c>
      <c r="AF617" s="9">
        <f t="shared" ca="1" si="1713"/>
        <v>2707</v>
      </c>
      <c r="AG617" s="9">
        <f t="shared" ca="1" si="1713"/>
        <v>0</v>
      </c>
      <c r="AH617" s="9">
        <f t="shared" ca="1" si="1713"/>
        <v>2707</v>
      </c>
      <c r="AI617" s="9">
        <f t="shared" ca="1" si="1713"/>
        <v>4398</v>
      </c>
      <c r="AJ617" s="11">
        <f t="shared" ca="1" si="1705"/>
        <v>196.83426666666634</v>
      </c>
      <c r="AK617" s="8">
        <f t="shared" ref="AK617:AK620" si="1714">SUM(O608)</f>
        <v>4796</v>
      </c>
      <c r="AL617" s="12">
        <f t="shared" ca="1" si="1706"/>
        <v>0.91701417848206834</v>
      </c>
      <c r="AM617" s="13">
        <f t="shared" ref="AM617:AM620" si="1715">SUM(Q608)</f>
        <v>1.5</v>
      </c>
      <c r="AN617" s="12">
        <f t="shared" ca="1" si="1707"/>
        <v>0.49652601139232616</v>
      </c>
      <c r="AO617" s="14">
        <f t="shared" ca="1" si="1708"/>
        <v>0.74478901708848921</v>
      </c>
      <c r="AP617" s="13">
        <f t="shared" ref="AP617:AQ617" ca="1" si="1716">SUM(T608)</f>
        <v>157.82936868551852</v>
      </c>
      <c r="AQ617" s="13">
        <f t="shared" ca="1" si="1716"/>
        <v>5.2609789561839504</v>
      </c>
      <c r="AR617" s="9">
        <f t="shared" ca="1" si="1710"/>
        <v>146.6</v>
      </c>
      <c r="AS617" s="76"/>
      <c r="AT617" s="76"/>
    </row>
    <row r="618" spans="1:46" ht="15.75" customHeight="1" x14ac:dyDescent="0.2">
      <c r="A618" s="70"/>
      <c r="B618" s="98" t="s">
        <v>33</v>
      </c>
      <c r="C618" s="98">
        <v>18</v>
      </c>
      <c r="D618" s="98">
        <f t="shared" ref="D618:M618" si="1717">SUM(D600:D617)</f>
        <v>586</v>
      </c>
      <c r="E618" s="74">
        <f t="shared" ca="1" si="1717"/>
        <v>571</v>
      </c>
      <c r="F618" s="99">
        <f t="shared" ca="1" si="1717"/>
        <v>112699.99799999983</v>
      </c>
      <c r="G618" s="74">
        <f t="shared" ca="1" si="1717"/>
        <v>44264</v>
      </c>
      <c r="H618" s="74">
        <f t="shared" ca="1" si="1717"/>
        <v>540</v>
      </c>
      <c r="I618" s="74">
        <f t="shared" ca="1" si="1717"/>
        <v>44804</v>
      </c>
      <c r="J618" s="74">
        <f t="shared" ca="1" si="1717"/>
        <v>58264</v>
      </c>
      <c r="K618" s="74">
        <f t="shared" ca="1" si="1717"/>
        <v>1009</v>
      </c>
      <c r="L618" s="74">
        <f t="shared" ca="1" si="1717"/>
        <v>59273</v>
      </c>
      <c r="M618" s="74">
        <f t="shared" ca="1" si="1717"/>
        <v>104077</v>
      </c>
      <c r="N618" s="99">
        <f t="shared" ca="1" si="1665"/>
        <v>197.373026269702</v>
      </c>
      <c r="O618" s="98">
        <f>SUM(O600:O617)</f>
        <v>126399</v>
      </c>
      <c r="P618" s="69">
        <f t="shared" ca="1" si="1666"/>
        <v>0.82340050158624678</v>
      </c>
      <c r="Q618" s="72">
        <v>1.5</v>
      </c>
      <c r="R618" s="69">
        <f t="shared" ca="1" si="1667"/>
        <v>0.61565810024829604</v>
      </c>
      <c r="S618" s="73">
        <f t="shared" ca="1" si="1668"/>
        <v>0.92348715037244411</v>
      </c>
      <c r="T618" s="72">
        <f ca="1">SUM(T600:T617)</f>
        <v>4135.9343793375947</v>
      </c>
      <c r="U618" s="72">
        <f t="shared" ca="1" si="1669"/>
        <v>7.2433176520798508</v>
      </c>
      <c r="V618" s="74">
        <f t="shared" ca="1" si="1670"/>
        <v>182.27145359019264</v>
      </c>
      <c r="W618" s="76"/>
      <c r="X618" s="8">
        <v>4</v>
      </c>
      <c r="Y618" s="8" t="s">
        <v>37</v>
      </c>
      <c r="Z618" s="8">
        <f t="shared" ref="Z618:AI618" si="1718">SUM(D609)</f>
        <v>30</v>
      </c>
      <c r="AA618" s="9">
        <f t="shared" ca="1" si="1718"/>
        <v>27</v>
      </c>
      <c r="AB618" s="10">
        <f t="shared" ca="1" si="1718"/>
        <v>5228.49</v>
      </c>
      <c r="AC618" s="9">
        <f t="shared" ca="1" si="1718"/>
        <v>2134</v>
      </c>
      <c r="AD618" s="9">
        <f t="shared" ca="1" si="1718"/>
        <v>0</v>
      </c>
      <c r="AE618" s="9">
        <f t="shared" ca="1" si="1718"/>
        <v>2134</v>
      </c>
      <c r="AF618" s="9">
        <f t="shared" ca="1" si="1718"/>
        <v>3026</v>
      </c>
      <c r="AG618" s="9">
        <f t="shared" ca="1" si="1718"/>
        <v>0</v>
      </c>
      <c r="AH618" s="9">
        <f t="shared" ca="1" si="1718"/>
        <v>3026</v>
      </c>
      <c r="AI618" s="9">
        <f t="shared" ca="1" si="1718"/>
        <v>5160</v>
      </c>
      <c r="AJ618" s="11">
        <f t="shared" ca="1" si="1705"/>
        <v>193.64777777777778</v>
      </c>
      <c r="AK618" s="8">
        <f t="shared" si="1714"/>
        <v>5887</v>
      </c>
      <c r="AL618" s="12">
        <f t="shared" ca="1" si="1706"/>
        <v>0.87650755902836763</v>
      </c>
      <c r="AM618" s="13">
        <f t="shared" si="1715"/>
        <v>1.5</v>
      </c>
      <c r="AN618" s="12">
        <f t="shared" ca="1" si="1707"/>
        <v>0.65793374377688396</v>
      </c>
      <c r="AO618" s="14">
        <f t="shared" ca="1" si="1708"/>
        <v>0.98690061566532594</v>
      </c>
      <c r="AP618" s="13">
        <f t="shared" ref="AP618:AQ618" ca="1" si="1719">SUM(T609)</f>
        <v>210.89424007744432</v>
      </c>
      <c r="AQ618" s="13">
        <f t="shared" ca="1" si="1719"/>
        <v>7.8108977806460862</v>
      </c>
      <c r="AR618" s="9">
        <f t="shared" ca="1" si="1710"/>
        <v>191.11111111111111</v>
      </c>
      <c r="AS618" s="76"/>
      <c r="AT618" s="76"/>
    </row>
    <row r="619" spans="1:46" ht="15.75" customHeight="1" x14ac:dyDescent="0.2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6"/>
      <c r="X619" s="8">
        <v>5</v>
      </c>
      <c r="Y619" s="8" t="s">
        <v>39</v>
      </c>
      <c r="Z619" s="8">
        <f t="shared" ref="Z619:AI619" si="1720">SUM(D610)</f>
        <v>28</v>
      </c>
      <c r="AA619" s="9">
        <f t="shared" ca="1" si="1720"/>
        <v>28</v>
      </c>
      <c r="AB619" s="10">
        <f t="shared" ca="1" si="1720"/>
        <v>5437.415</v>
      </c>
      <c r="AC619" s="9">
        <f t="shared" ca="1" si="1720"/>
        <v>1421</v>
      </c>
      <c r="AD619" s="9">
        <f t="shared" ca="1" si="1720"/>
        <v>0</v>
      </c>
      <c r="AE619" s="9">
        <f t="shared" ca="1" si="1720"/>
        <v>1421</v>
      </c>
      <c r="AF619" s="9">
        <f t="shared" ca="1" si="1720"/>
        <v>1949</v>
      </c>
      <c r="AG619" s="9">
        <f t="shared" ca="1" si="1720"/>
        <v>118</v>
      </c>
      <c r="AH619" s="9">
        <f t="shared" ca="1" si="1720"/>
        <v>2067</v>
      </c>
      <c r="AI619" s="9">
        <f t="shared" ca="1" si="1720"/>
        <v>3488</v>
      </c>
      <c r="AJ619" s="11">
        <f t="shared" ca="1" si="1705"/>
        <v>194.19339285714287</v>
      </c>
      <c r="AK619" s="8">
        <f t="shared" si="1714"/>
        <v>3569</v>
      </c>
      <c r="AL619" s="12">
        <f t="shared" ca="1" si="1706"/>
        <v>0.97730456710563185</v>
      </c>
      <c r="AM619" s="13">
        <f t="shared" si="1715"/>
        <v>1.5</v>
      </c>
      <c r="AN619" s="12">
        <f t="shared" ca="1" si="1707"/>
        <v>0.42765419474756539</v>
      </c>
      <c r="AO619" s="14">
        <f t="shared" ca="1" si="1708"/>
        <v>0.64148129212134808</v>
      </c>
      <c r="AP619" s="13">
        <f t="shared" ref="AP619:AQ619" ca="1" si="1721">SUM(T610)</f>
        <v>253.33900200344777</v>
      </c>
      <c r="AQ619" s="13">
        <f t="shared" ca="1" si="1721"/>
        <v>9.0478215001231348</v>
      </c>
      <c r="AR619" s="9">
        <f t="shared" ca="1" si="1710"/>
        <v>124.57142857142857</v>
      </c>
      <c r="AS619" s="76"/>
      <c r="AT619" s="76"/>
    </row>
    <row r="620" spans="1:46" ht="15.75" customHeight="1" x14ac:dyDescent="0.2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6"/>
      <c r="X620" s="8">
        <v>6</v>
      </c>
      <c r="Y620" s="8" t="s">
        <v>41</v>
      </c>
      <c r="Z620" s="8">
        <f t="shared" ref="Z620:AI620" si="1722">SUM(D611)</f>
        <v>24</v>
      </c>
      <c r="AA620" s="9">
        <f t="shared" ca="1" si="1722"/>
        <v>24</v>
      </c>
      <c r="AB620" s="10">
        <f t="shared" ca="1" si="1722"/>
        <v>4763.5240000000003</v>
      </c>
      <c r="AC620" s="9">
        <f t="shared" ca="1" si="1722"/>
        <v>1479</v>
      </c>
      <c r="AD620" s="9">
        <f t="shared" ca="1" si="1722"/>
        <v>0</v>
      </c>
      <c r="AE620" s="9">
        <f t="shared" ca="1" si="1722"/>
        <v>1479</v>
      </c>
      <c r="AF620" s="9">
        <f t="shared" ca="1" si="1722"/>
        <v>1771</v>
      </c>
      <c r="AG620" s="9">
        <f t="shared" ca="1" si="1722"/>
        <v>0</v>
      </c>
      <c r="AH620" s="9">
        <f t="shared" ca="1" si="1722"/>
        <v>1771</v>
      </c>
      <c r="AI620" s="9">
        <f t="shared" ca="1" si="1722"/>
        <v>3250</v>
      </c>
      <c r="AJ620" s="11">
        <f t="shared" ca="1" si="1705"/>
        <v>198.48016666666669</v>
      </c>
      <c r="AK620" s="8">
        <f t="shared" si="1714"/>
        <v>3801</v>
      </c>
      <c r="AL620" s="12">
        <f t="shared" ca="1" si="1706"/>
        <v>0.85503814785582744</v>
      </c>
      <c r="AM620" s="13">
        <f t="shared" si="1715"/>
        <v>1.5</v>
      </c>
      <c r="AN620" s="12">
        <f t="shared" ca="1" si="1707"/>
        <v>0.45484533439249314</v>
      </c>
      <c r="AO620" s="14">
        <f t="shared" ca="1" si="1708"/>
        <v>0.68226800158873968</v>
      </c>
      <c r="AP620" s="13">
        <f t="shared" ref="AP620:AQ620" ca="1" si="1723">SUM(T611)</f>
        <v>160.7777777777778</v>
      </c>
      <c r="AQ620" s="13">
        <f t="shared" ca="1" si="1723"/>
        <v>6.6990740740740753</v>
      </c>
      <c r="AR620" s="9">
        <f t="shared" ca="1" si="1710"/>
        <v>135.41666666666666</v>
      </c>
      <c r="AS620" s="76"/>
      <c r="AT620" s="76"/>
    </row>
    <row r="621" spans="1:46" ht="15.75" customHeight="1" x14ac:dyDescent="0.25">
      <c r="A621" s="110" t="s">
        <v>45</v>
      </c>
      <c r="B621" s="76"/>
      <c r="C621" s="76"/>
      <c r="D621" s="75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24" t="s">
        <v>33</v>
      </c>
      <c r="Y621" s="24">
        <v>6</v>
      </c>
      <c r="Z621" s="24">
        <f t="shared" ref="Z621:AI621" si="1724">SUM(Z615:Z620)</f>
        <v>174</v>
      </c>
      <c r="AA621" s="25">
        <f t="shared" ca="1" si="1724"/>
        <v>169</v>
      </c>
      <c r="AB621" s="27">
        <f t="shared" ca="1" si="1724"/>
        <v>33168.75799999998</v>
      </c>
      <c r="AC621" s="25">
        <f t="shared" ca="1" si="1724"/>
        <v>13340</v>
      </c>
      <c r="AD621" s="25">
        <f t="shared" ca="1" si="1724"/>
        <v>0</v>
      </c>
      <c r="AE621" s="25">
        <f t="shared" ca="1" si="1724"/>
        <v>13340</v>
      </c>
      <c r="AF621" s="25">
        <f t="shared" ca="1" si="1724"/>
        <v>18639</v>
      </c>
      <c r="AG621" s="25">
        <f t="shared" ca="1" si="1724"/>
        <v>274</v>
      </c>
      <c r="AH621" s="25">
        <f t="shared" ca="1" si="1724"/>
        <v>18913</v>
      </c>
      <c r="AI621" s="25">
        <f t="shared" ca="1" si="1724"/>
        <v>32253</v>
      </c>
      <c r="AJ621" s="27">
        <f t="shared" ca="1" si="1705"/>
        <v>196.26484023668627</v>
      </c>
      <c r="AK621" s="24">
        <f>SUM(AK615:AK620)</f>
        <v>37031</v>
      </c>
      <c r="AL621" s="28">
        <f t="shared" ca="1" si="1706"/>
        <v>0.87097296859388085</v>
      </c>
      <c r="AM621" s="29">
        <v>1.5</v>
      </c>
      <c r="AN621" s="28">
        <f t="shared" ca="1" si="1707"/>
        <v>0.64826063128441569</v>
      </c>
      <c r="AO621" s="30">
        <f t="shared" ca="1" si="1708"/>
        <v>0.97239094692662353</v>
      </c>
      <c r="AP621" s="29">
        <f ca="1">SUM(AP615:AP620)</f>
        <v>1365.377537347518</v>
      </c>
      <c r="AQ621" s="29">
        <f ca="1">AP621/AA621</f>
        <v>8.0791570257249585</v>
      </c>
      <c r="AR621" s="25">
        <f t="shared" ca="1" si="1710"/>
        <v>190.84615384615384</v>
      </c>
      <c r="AS621" s="76"/>
      <c r="AT621" s="76"/>
    </row>
    <row r="622" spans="1:46" ht="15.75" customHeight="1" x14ac:dyDescent="0.2">
      <c r="A622" s="110" t="s">
        <v>45</v>
      </c>
      <c r="B622" s="76"/>
      <c r="C622" s="76"/>
      <c r="D622" s="75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7" t="s">
        <v>1</v>
      </c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9"/>
      <c r="AS622" s="76"/>
      <c r="AT622" s="76"/>
    </row>
    <row r="623" spans="1:46" ht="15.75" customHeight="1" x14ac:dyDescent="0.2">
      <c r="A623" s="109">
        <v>46289</v>
      </c>
      <c r="B623" s="80" t="s">
        <v>2</v>
      </c>
      <c r="C623" s="80" t="s">
        <v>3</v>
      </c>
      <c r="D623" s="80" t="s">
        <v>4</v>
      </c>
      <c r="E623" s="80" t="s">
        <v>5</v>
      </c>
      <c r="F623" s="81" t="s">
        <v>6</v>
      </c>
      <c r="G623" s="80" t="s">
        <v>7</v>
      </c>
      <c r="H623" s="80" t="s">
        <v>8</v>
      </c>
      <c r="I623" s="80" t="s">
        <v>9</v>
      </c>
      <c r="J623" s="80" t="s">
        <v>10</v>
      </c>
      <c r="K623" s="80" t="s">
        <v>11</v>
      </c>
      <c r="L623" s="80" t="s">
        <v>12</v>
      </c>
      <c r="M623" s="80" t="s">
        <v>13</v>
      </c>
      <c r="N623" s="81" t="s">
        <v>14</v>
      </c>
      <c r="O623" s="80" t="s">
        <v>15</v>
      </c>
      <c r="P623" s="80" t="s">
        <v>16</v>
      </c>
      <c r="Q623" s="80" t="s">
        <v>17</v>
      </c>
      <c r="R623" s="80" t="s">
        <v>18</v>
      </c>
      <c r="S623" s="106" t="s">
        <v>19</v>
      </c>
      <c r="T623" s="107" t="s">
        <v>20</v>
      </c>
      <c r="U623" s="107" t="s">
        <v>21</v>
      </c>
      <c r="V623" s="105" t="s">
        <v>22</v>
      </c>
      <c r="W623" s="76"/>
      <c r="X623" s="1" t="s">
        <v>2</v>
      </c>
      <c r="Y623" s="1" t="s">
        <v>3</v>
      </c>
      <c r="Z623" s="1" t="s">
        <v>4</v>
      </c>
      <c r="AA623" s="1" t="s">
        <v>5</v>
      </c>
      <c r="AB623" s="2" t="s">
        <v>6</v>
      </c>
      <c r="AC623" s="1" t="s">
        <v>7</v>
      </c>
      <c r="AD623" s="1" t="s">
        <v>8</v>
      </c>
      <c r="AE623" s="1" t="s">
        <v>9</v>
      </c>
      <c r="AF623" s="1" t="s">
        <v>10</v>
      </c>
      <c r="AG623" s="1" t="s">
        <v>11</v>
      </c>
      <c r="AH623" s="1" t="s">
        <v>12</v>
      </c>
      <c r="AI623" s="1" t="s">
        <v>13</v>
      </c>
      <c r="AJ623" s="2" t="s">
        <v>14</v>
      </c>
      <c r="AK623" s="1" t="s">
        <v>15</v>
      </c>
      <c r="AL623" s="1" t="s">
        <v>16</v>
      </c>
      <c r="AM623" s="3" t="s">
        <v>17</v>
      </c>
      <c r="AN623" s="4" t="s">
        <v>18</v>
      </c>
      <c r="AO623" s="5" t="s">
        <v>19</v>
      </c>
      <c r="AP623" s="6" t="s">
        <v>20</v>
      </c>
      <c r="AQ623" s="6" t="s">
        <v>21</v>
      </c>
      <c r="AR623" s="7" t="s">
        <v>22</v>
      </c>
      <c r="AS623" s="76"/>
      <c r="AT623" s="76"/>
    </row>
    <row r="624" spans="1:46" ht="15.75" customHeight="1" x14ac:dyDescent="0.2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6"/>
      <c r="X624" s="8">
        <v>1</v>
      </c>
      <c r="Y624" s="8" t="s">
        <v>23</v>
      </c>
      <c r="Z624" s="8">
        <f t="shared" ref="Z624:AI624" si="1725">SUM(D632)</f>
        <v>35</v>
      </c>
      <c r="AA624" s="9">
        <f t="shared" ca="1" si="1725"/>
        <v>35</v>
      </c>
      <c r="AB624" s="10">
        <f t="shared" ca="1" si="1725"/>
        <v>6796.8159999999898</v>
      </c>
      <c r="AC624" s="9">
        <f t="shared" ca="1" si="1725"/>
        <v>2847</v>
      </c>
      <c r="AD624" s="9">
        <f t="shared" ca="1" si="1725"/>
        <v>0</v>
      </c>
      <c r="AE624" s="9">
        <f t="shared" ca="1" si="1725"/>
        <v>2847</v>
      </c>
      <c r="AF624" s="9">
        <f t="shared" ca="1" si="1725"/>
        <v>2403</v>
      </c>
      <c r="AG624" s="9">
        <f t="shared" ca="1" si="1725"/>
        <v>195</v>
      </c>
      <c r="AH624" s="9">
        <f t="shared" ca="1" si="1725"/>
        <v>2598</v>
      </c>
      <c r="AI624" s="9">
        <f t="shared" ca="1" si="1725"/>
        <v>5445</v>
      </c>
      <c r="AJ624" s="11">
        <f t="shared" ref="AJ624:AJ626" ca="1" si="1726">AB624/AA624</f>
        <v>194.19474285714256</v>
      </c>
      <c r="AK624" s="8">
        <f>SUM(O632)</f>
        <v>6853</v>
      </c>
      <c r="AL624" s="12">
        <f t="shared" ref="AL624:AL630" ca="1" si="1727">AI624/AK624</f>
        <v>0.7945425361155698</v>
      </c>
      <c r="AM624" s="13">
        <f t="shared" ref="AM624:AM626" si="1728">SUM(Q632)</f>
        <v>1.5</v>
      </c>
      <c r="AN624" s="12">
        <f t="shared" ref="AN624:AN630" ca="1" si="1729">AO624/AM624</f>
        <v>0.53407360152165451</v>
      </c>
      <c r="AO624" s="14">
        <f t="shared" ref="AO624:AO630" ca="1" si="1730">AI624/AB624</f>
        <v>0.80111040228248176</v>
      </c>
      <c r="AP624" s="13">
        <f t="shared" ref="AP624:AQ624" ca="1" si="1731">SUM(T632)</f>
        <v>201.44682868998191</v>
      </c>
      <c r="AQ624" s="13">
        <f t="shared" ca="1" si="1731"/>
        <v>5.7556236768566258</v>
      </c>
      <c r="AR624" s="9">
        <f t="shared" ref="AR624:AR630" ca="1" si="1732">AI624/AA624</f>
        <v>155.57142857142858</v>
      </c>
      <c r="AS624" s="76"/>
      <c r="AT624" s="76"/>
    </row>
    <row r="625" spans="1:46" ht="15.75" customHeight="1" x14ac:dyDescent="0.2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6"/>
      <c r="X625" s="8">
        <v>2</v>
      </c>
      <c r="Y625" s="8" t="s">
        <v>24</v>
      </c>
      <c r="Z625" s="8">
        <f t="shared" ref="Z625:AI625" si="1733">SUM(D633)</f>
        <v>44</v>
      </c>
      <c r="AA625" s="9">
        <f t="shared" ca="1" si="1733"/>
        <v>44</v>
      </c>
      <c r="AB625" s="10">
        <f t="shared" ca="1" si="1733"/>
        <v>8881.6639999999898</v>
      </c>
      <c r="AC625" s="9">
        <f t="shared" ca="1" si="1733"/>
        <v>1193</v>
      </c>
      <c r="AD625" s="9">
        <f t="shared" ca="1" si="1733"/>
        <v>0</v>
      </c>
      <c r="AE625" s="9">
        <f t="shared" ca="1" si="1733"/>
        <v>1193</v>
      </c>
      <c r="AF625" s="9">
        <f t="shared" ca="1" si="1733"/>
        <v>2185</v>
      </c>
      <c r="AG625" s="9">
        <f t="shared" ca="1" si="1733"/>
        <v>0</v>
      </c>
      <c r="AH625" s="9">
        <f t="shared" ca="1" si="1733"/>
        <v>2185</v>
      </c>
      <c r="AI625" s="9">
        <f t="shared" ca="1" si="1733"/>
        <v>3378</v>
      </c>
      <c r="AJ625" s="11">
        <f t="shared" ca="1" si="1726"/>
        <v>201.85599999999977</v>
      </c>
      <c r="AK625" s="8">
        <v>1580</v>
      </c>
      <c r="AL625" s="15">
        <f t="shared" ca="1" si="1727"/>
        <v>2.1379746835443036</v>
      </c>
      <c r="AM625" s="13">
        <f t="shared" si="1728"/>
        <v>1.5</v>
      </c>
      <c r="AN625" s="12">
        <f t="shared" ca="1" si="1729"/>
        <v>0.2535560903902695</v>
      </c>
      <c r="AO625" s="14">
        <f t="shared" ca="1" si="1730"/>
        <v>0.38033413558540424</v>
      </c>
      <c r="AP625" s="13">
        <f t="shared" ref="AP625:AQ625" ca="1" si="1734">SUM(T633)</f>
        <v>331.34355530684536</v>
      </c>
      <c r="AQ625" s="13">
        <f t="shared" ca="1" si="1734"/>
        <v>7.5305353478828492</v>
      </c>
      <c r="AR625" s="9">
        <f t="shared" ca="1" si="1732"/>
        <v>76.772727272727266</v>
      </c>
      <c r="AS625" s="76"/>
      <c r="AT625" s="76"/>
    </row>
    <row r="626" spans="1:46" ht="15.75" customHeight="1" x14ac:dyDescent="0.2">
      <c r="A626" s="70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6"/>
      <c r="X626" s="8">
        <v>3</v>
      </c>
      <c r="Y626" s="8" t="s">
        <v>25</v>
      </c>
      <c r="Z626" s="8">
        <f t="shared" ref="Z626:AI626" si="1735">SUM(D634)</f>
        <v>32</v>
      </c>
      <c r="AA626" s="9">
        <f t="shared" ca="1" si="1735"/>
        <v>31</v>
      </c>
      <c r="AB626" s="10">
        <f t="shared" ca="1" si="1735"/>
        <v>6077.4319999999998</v>
      </c>
      <c r="AC626" s="9">
        <f t="shared" ca="1" si="1735"/>
        <v>2318</v>
      </c>
      <c r="AD626" s="9">
        <f t="shared" ca="1" si="1735"/>
        <v>369</v>
      </c>
      <c r="AE626" s="9">
        <f t="shared" ca="1" si="1735"/>
        <v>2687</v>
      </c>
      <c r="AF626" s="9">
        <f t="shared" ca="1" si="1735"/>
        <v>3583</v>
      </c>
      <c r="AG626" s="9">
        <f t="shared" ca="1" si="1735"/>
        <v>359</v>
      </c>
      <c r="AH626" s="9">
        <f t="shared" ca="1" si="1735"/>
        <v>3942</v>
      </c>
      <c r="AI626" s="9">
        <f t="shared" ca="1" si="1735"/>
        <v>6629</v>
      </c>
      <c r="AJ626" s="11">
        <f t="shared" ca="1" si="1726"/>
        <v>196.04619354838709</v>
      </c>
      <c r="AK626" s="8">
        <f>SUM(O634)</f>
        <v>6622</v>
      </c>
      <c r="AL626" s="12">
        <f t="shared" ca="1" si="1727"/>
        <v>1.0010570824524312</v>
      </c>
      <c r="AM626" s="13">
        <f t="shared" si="1728"/>
        <v>1.5</v>
      </c>
      <c r="AN626" s="12">
        <f t="shared" ca="1" si="1729"/>
        <v>0.72717116922630043</v>
      </c>
      <c r="AO626" s="14">
        <f t="shared" ca="1" si="1730"/>
        <v>1.0907567538394507</v>
      </c>
      <c r="AP626" s="13">
        <f t="shared" ref="AP626:AQ626" ca="1" si="1736">SUM(T634)</f>
        <v>254.92583892617449</v>
      </c>
      <c r="AQ626" s="13">
        <f t="shared" ca="1" si="1736"/>
        <v>8.2234141589088541</v>
      </c>
      <c r="AR626" s="9">
        <f t="shared" ca="1" si="1732"/>
        <v>213.83870967741936</v>
      </c>
      <c r="AS626" s="76"/>
      <c r="AT626" s="76"/>
    </row>
    <row r="627" spans="1:46" ht="15.75" customHeight="1" x14ac:dyDescent="0.25">
      <c r="A627" s="70"/>
      <c r="B627" s="16">
        <v>1</v>
      </c>
      <c r="C627" s="16" t="s">
        <v>26</v>
      </c>
      <c r="D627" s="17">
        <v>20</v>
      </c>
      <c r="E627" s="18">
        <f ca="1">IFERROR(__xludf.DUMMYFUNCTION("COUNT(IMPORTRANGE(""https://docs.google.com/spreadsheets/d/1F0NpMx7WhcgPgxTWpryY3Z1CGg56FL6aiL4mHs43w4E/edit"",""24!d2:d21""))"),20)</f>
        <v>20</v>
      </c>
      <c r="F627" s="19">
        <f ca="1">IFERROR(__xludf.DUMMYFUNCTION("SUM(IMPORTRANGE(""https://docs.google.com/spreadsheets/d/1F0NpMx7WhcgPgxTWpryY3Z1CGg56FL6aiL4mHs43w4E/edit"",""24!Q2:Q21""))"),3921.492)</f>
        <v>3921.4920000000002</v>
      </c>
      <c r="G627" s="18">
        <f ca="1">IFERROR(__xludf.DUMMYFUNCTION("IMPORTRANGE(""https://docs.google.com/spreadsheets/d/1F0NpMx7WhcgPgxTWpryY3Z1CGg56FL6aiL4mHs43w4E/edit"",""24!e28"")"),2129)</f>
        <v>2129</v>
      </c>
      <c r="H627" s="18">
        <f ca="1">IFERROR(__xludf.DUMMYFUNCTION("IMPORTRANGE(""https://docs.google.com/spreadsheets/d/1F0NpMx7WhcgPgxTWpryY3Z1CGg56FL6aiL4mHs43w4E/edit"",""24!e29"")"),65)</f>
        <v>65</v>
      </c>
      <c r="I627" s="18">
        <f t="shared" ref="I627:I644" ca="1" si="1737">SUM(G627:H627)</f>
        <v>2194</v>
      </c>
      <c r="J627" s="18">
        <f ca="1">IFERROR(__xludf.DUMMYFUNCTION("IMPORTRANGE(""https://docs.google.com/spreadsheets/d/1F0NpMx7WhcgPgxTWpryY3Z1CGg56FL6aiL4mHs43w4E/edit"",""24!e32"")"),2786)</f>
        <v>2786</v>
      </c>
      <c r="K627" s="18">
        <f ca="1">IFERROR(__xludf.DUMMYFUNCTION("IMPORTRANGE(""https://docs.google.com/spreadsheets/d/1F0NpMx7WhcgPgxTWpryY3Z1CGg56FL6aiL4mHs43w4E/edit"",""24!e33"")"),0)</f>
        <v>0</v>
      </c>
      <c r="L627" s="18">
        <f t="shared" ref="L627:L633" ca="1" si="1738">SUM(J627:K627)</f>
        <v>2786</v>
      </c>
      <c r="M627" s="18">
        <f t="shared" ref="M627:M644" ca="1" si="1739">SUM(I627+L627)</f>
        <v>4980</v>
      </c>
      <c r="N627" s="19">
        <f t="shared" ref="N627:N645" ca="1" si="1740">F627/E627</f>
        <v>196.0746</v>
      </c>
      <c r="O627" s="16">
        <v>5161</v>
      </c>
      <c r="P627" s="20">
        <f t="shared" ref="P627:P645" ca="1" si="1741">M627/O627</f>
        <v>0.96492927727184652</v>
      </c>
      <c r="Q627" s="21">
        <v>1.5</v>
      </c>
      <c r="R627" s="20">
        <f t="shared" ref="R627:R645" ca="1" si="1742">S627/Q627</f>
        <v>0.84661654288724797</v>
      </c>
      <c r="S627" s="22">
        <f t="shared" ref="S627:S645" ca="1" si="1743">M627/F627</f>
        <v>1.2699248143308719</v>
      </c>
      <c r="T627" s="21">
        <f ca="1">F627/14.415</f>
        <v>272.04245577523415</v>
      </c>
      <c r="U627" s="21">
        <f t="shared" ref="U627:U645" ca="1" si="1744">T627/E627</f>
        <v>13.602122788761708</v>
      </c>
      <c r="V627" s="18">
        <f t="shared" ref="V627:V645" ca="1" si="1745">M627/E627</f>
        <v>249</v>
      </c>
      <c r="W627" s="76"/>
      <c r="X627" s="8">
        <v>4</v>
      </c>
      <c r="Y627" s="8" t="s">
        <v>27</v>
      </c>
      <c r="Z627" s="8">
        <f t="shared" ref="Z627:AK627" si="1746">SUM(D640)</f>
        <v>30</v>
      </c>
      <c r="AA627" s="9">
        <f t="shared" ca="1" si="1746"/>
        <v>30</v>
      </c>
      <c r="AB627" s="10">
        <f t="shared" ca="1" si="1746"/>
        <v>5531.7379999999903</v>
      </c>
      <c r="AC627" s="9">
        <f t="shared" ca="1" si="1746"/>
        <v>2681</v>
      </c>
      <c r="AD627" s="9">
        <f t="shared" ca="1" si="1746"/>
        <v>0</v>
      </c>
      <c r="AE627" s="9">
        <f t="shared" ca="1" si="1746"/>
        <v>2681</v>
      </c>
      <c r="AF627" s="9">
        <f t="shared" ca="1" si="1746"/>
        <v>3331</v>
      </c>
      <c r="AG627" s="9">
        <f t="shared" ca="1" si="1746"/>
        <v>0</v>
      </c>
      <c r="AH627" s="9">
        <f t="shared" ca="1" si="1746"/>
        <v>3331</v>
      </c>
      <c r="AI627" s="9">
        <f t="shared" ca="1" si="1746"/>
        <v>6012</v>
      </c>
      <c r="AJ627" s="11">
        <f t="shared" ca="1" si="1746"/>
        <v>184.39126666666635</v>
      </c>
      <c r="AK627" s="8">
        <f t="shared" si="1746"/>
        <v>8101</v>
      </c>
      <c r="AL627" s="12">
        <f t="shared" ca="1" si="1727"/>
        <v>0.74213060116035057</v>
      </c>
      <c r="AM627" s="13">
        <f>SUM(Q640)</f>
        <v>1.5</v>
      </c>
      <c r="AN627" s="12">
        <f t="shared" ca="1" si="1729"/>
        <v>0.72454624568264203</v>
      </c>
      <c r="AO627" s="14">
        <f t="shared" ca="1" si="1730"/>
        <v>1.0868193685239631</v>
      </c>
      <c r="AP627" s="13">
        <f t="shared" ref="AP627:AQ627" ca="1" si="1747">SUM(T640)</f>
        <v>276.79449587190345</v>
      </c>
      <c r="AQ627" s="13">
        <f t="shared" ca="1" si="1747"/>
        <v>9.2264831957301148</v>
      </c>
      <c r="AR627" s="9">
        <f t="shared" ca="1" si="1732"/>
        <v>200.4</v>
      </c>
      <c r="AS627" s="76"/>
      <c r="AT627" s="76"/>
    </row>
    <row r="628" spans="1:46" ht="15.75" customHeight="1" x14ac:dyDescent="0.25">
      <c r="A628" s="70"/>
      <c r="B628" s="16">
        <v>2</v>
      </c>
      <c r="C628" s="16" t="s">
        <v>28</v>
      </c>
      <c r="D628" s="17">
        <v>33</v>
      </c>
      <c r="E628" s="18">
        <f ca="1">IFERROR(__xludf.DUMMYFUNCTION("COUNT(IMPORTRANGE(""https://docs.google.com/spreadsheets/d/1H9vAqftAHb0OdeSGXHTnJFzoWUgpoH31sc0sHNN8y1o/edit"",""24!d2:d34""))"),33)</f>
        <v>33</v>
      </c>
      <c r="F628" s="19">
        <f ca="1">IFERROR(__xludf.DUMMYFUNCTION("SUM(IMPORTRANGE(""https://docs.google.com/spreadsheets/d/1H9vAqftAHb0OdeSGXHTnJFzoWUgpoH31sc0sHNN8y1o/edit"",""24!Q2:Q34""))"),6478.958)</f>
        <v>6478.9579999999996</v>
      </c>
      <c r="G628" s="18">
        <f ca="1">IFERROR(__xludf.DUMMYFUNCTION("IMPORTRANGE(""https://docs.google.com/spreadsheets/d/1H9vAqftAHb0OdeSGXHTnJFzoWUgpoH31sc0sHNN8y1o/edit"",""24!e41"")"),2956)</f>
        <v>2956</v>
      </c>
      <c r="H628" s="18">
        <f ca="1">IFERROR(__xludf.DUMMYFUNCTION("IMPORTRANGE(""https://docs.google.com/spreadsheets/d/1H9vAqftAHb0OdeSGXHTnJFzoWUgpoH31sc0sHNN8y1o/edit"",""24!e42"")"),153)</f>
        <v>153</v>
      </c>
      <c r="I628" s="18">
        <f t="shared" ca="1" si="1737"/>
        <v>3109</v>
      </c>
      <c r="J628" s="18">
        <f ca="1">IFERROR(__xludf.DUMMYFUNCTION("IMPORTRANGE(""https://docs.google.com/spreadsheets/d/1H9vAqftAHb0OdeSGXHTnJFzoWUgpoH31sc0sHNN8y1o/edit"",""24!e45"")"),2550)</f>
        <v>2550</v>
      </c>
      <c r="K628" s="18">
        <f ca="1">IFERROR(__xludf.DUMMYFUNCTION("IMPORTRANGE(""https://docs.google.com/spreadsheets/d/1H9vAqftAHb0OdeSGXHTnJFzoWUgpoH31sc0sHNN8y1o/edit"",""24!e46"")"),290)</f>
        <v>290</v>
      </c>
      <c r="L628" s="18">
        <f t="shared" ca="1" si="1738"/>
        <v>2840</v>
      </c>
      <c r="M628" s="18">
        <f t="shared" ca="1" si="1739"/>
        <v>5949</v>
      </c>
      <c r="N628" s="19">
        <f t="shared" ca="1" si="1740"/>
        <v>196.33206060606059</v>
      </c>
      <c r="O628" s="16">
        <v>7315</v>
      </c>
      <c r="P628" s="20">
        <f t="shared" ca="1" si="1741"/>
        <v>0.81326042378673957</v>
      </c>
      <c r="Q628" s="21">
        <v>1.5</v>
      </c>
      <c r="R628" s="20">
        <f t="shared" ca="1" si="1742"/>
        <v>0.6121354699320477</v>
      </c>
      <c r="S628" s="22">
        <f t="shared" ca="1" si="1743"/>
        <v>0.91820320489807161</v>
      </c>
      <c r="T628" s="21">
        <f ca="1">F628/30.897</f>
        <v>209.6953749554973</v>
      </c>
      <c r="U628" s="21">
        <f t="shared" ca="1" si="1744"/>
        <v>6.3544053016817363</v>
      </c>
      <c r="V628" s="18">
        <f t="shared" ca="1" si="1745"/>
        <v>180.27272727272728</v>
      </c>
      <c r="W628" s="76"/>
      <c r="X628" s="8">
        <v>5</v>
      </c>
      <c r="Y628" s="8" t="s">
        <v>29</v>
      </c>
      <c r="Z628" s="8">
        <f t="shared" ref="Z628:AI628" si="1748">SUM(D643)</f>
        <v>30</v>
      </c>
      <c r="AA628" s="9">
        <f t="shared" ca="1" si="1748"/>
        <v>30</v>
      </c>
      <c r="AB628" s="10">
        <f t="shared" ca="1" si="1748"/>
        <v>6172.4029999999902</v>
      </c>
      <c r="AC628" s="9">
        <f t="shared" ca="1" si="1748"/>
        <v>2794</v>
      </c>
      <c r="AD628" s="9">
        <f t="shared" ca="1" si="1748"/>
        <v>0</v>
      </c>
      <c r="AE628" s="9">
        <f t="shared" ca="1" si="1748"/>
        <v>2794</v>
      </c>
      <c r="AF628" s="9">
        <f t="shared" ca="1" si="1748"/>
        <v>4059</v>
      </c>
      <c r="AG628" s="9">
        <f t="shared" ca="1" si="1748"/>
        <v>0</v>
      </c>
      <c r="AH628" s="9">
        <f t="shared" ca="1" si="1748"/>
        <v>4059</v>
      </c>
      <c r="AI628" s="9">
        <f t="shared" ca="1" si="1748"/>
        <v>6853</v>
      </c>
      <c r="AJ628" s="11">
        <f t="shared" ref="AJ628:AJ630" ca="1" si="1749">AB628/AA628</f>
        <v>205.74676666666633</v>
      </c>
      <c r="AK628" s="8">
        <f t="shared" ref="AK628:AK629" si="1750">SUM(O643)</f>
        <v>9201</v>
      </c>
      <c r="AL628" s="12">
        <f t="shared" ca="1" si="1727"/>
        <v>0.74481034670144552</v>
      </c>
      <c r="AM628" s="13">
        <f t="shared" ref="AM628:AM629" si="1751">SUM(Q643)</f>
        <v>1.5</v>
      </c>
      <c r="AN628" s="12">
        <f t="shared" ca="1" si="1729"/>
        <v>0.74017634082976658</v>
      </c>
      <c r="AO628" s="14">
        <f t="shared" ca="1" si="1730"/>
        <v>1.1102645112446499</v>
      </c>
      <c r="AP628" s="13">
        <f t="shared" ref="AP628:AQ628" ca="1" si="1752">SUM(T643)</f>
        <v>232.99999999999963</v>
      </c>
      <c r="AQ628" s="13">
        <f t="shared" ca="1" si="1752"/>
        <v>7.7666666666666542</v>
      </c>
      <c r="AR628" s="9">
        <f t="shared" ca="1" si="1732"/>
        <v>228.43333333333334</v>
      </c>
      <c r="AS628" s="76"/>
      <c r="AT628" s="76"/>
    </row>
    <row r="629" spans="1:46" ht="15.75" customHeight="1" x14ac:dyDescent="0.25">
      <c r="A629" s="70"/>
      <c r="B629" s="16">
        <v>3</v>
      </c>
      <c r="C629" s="16" t="s">
        <v>30</v>
      </c>
      <c r="D629" s="17">
        <v>60</v>
      </c>
      <c r="E629" s="18">
        <f ca="1">IFERROR(__xludf.DUMMYFUNCTION("COUNT(IMPORTRANGE(""https://docs.google.com/spreadsheets/d/1EWN6nfpuVxbUE_9opjYCWaI7MTm5xsF6ssjklSbMZnA/edit"",""24!d2:d61""))"),57)</f>
        <v>57</v>
      </c>
      <c r="F629" s="23">
        <f ca="1">IFERROR(__xludf.DUMMYFUNCTION("SUM(IMPORTRANGE(""https://docs.google.com/spreadsheets/d/1EWN6nfpuVxbUE_9opjYCWaI7MTm5xsF6ssjklSbMZnA/edit"",""24!Q2:Q61""))"),11151.7529999999)</f>
        <v>11151.752999999901</v>
      </c>
      <c r="G629" s="18">
        <f ca="1">IFERROR(__xludf.DUMMYFUNCTION("IMPORTRANGE(""https://docs.google.com/spreadsheets/d/1EWN6nfpuVxbUE_9opjYCWaI7MTm5xsF6ssjklSbMZnA/edit"",""24!e68"")"),3519)</f>
        <v>3519</v>
      </c>
      <c r="H629" s="18">
        <f ca="1">IFERROR(__xludf.DUMMYFUNCTION("IMPORTRANGE(""https://docs.google.com/spreadsheets/d/1EWN6nfpuVxbUE_9opjYCWaI7MTm5xsF6ssjklSbMZnA/edit"",""24!e69"")"),0)</f>
        <v>0</v>
      </c>
      <c r="I629" s="18">
        <f t="shared" ca="1" si="1737"/>
        <v>3519</v>
      </c>
      <c r="J629" s="18">
        <f ca="1">IFERROR(__xludf.DUMMYFUNCTION("IMPORTRANGE(""https://docs.google.com/spreadsheets/d/1EWN6nfpuVxbUE_9opjYCWaI7MTm5xsF6ssjklSbMZnA/edit"",""24!e72"")"),5897)</f>
        <v>5897</v>
      </c>
      <c r="K629" s="18">
        <f ca="1">IFERROR(__xludf.DUMMYFUNCTION("IMPORTRANGE(""https://docs.google.com/spreadsheets/d/1EWN6nfpuVxbUE_9opjYCWaI7MTm5xsF6ssjklSbMZnA/edit"",""24!e73"")"),0)</f>
        <v>0</v>
      </c>
      <c r="L629" s="18">
        <f t="shared" ca="1" si="1738"/>
        <v>5897</v>
      </c>
      <c r="M629" s="18">
        <f t="shared" ca="1" si="1739"/>
        <v>9416</v>
      </c>
      <c r="N629" s="19">
        <f t="shared" ca="1" si="1740"/>
        <v>195.64478947368247</v>
      </c>
      <c r="O629" s="16">
        <v>11164</v>
      </c>
      <c r="P629" s="20">
        <f t="shared" ca="1" si="1741"/>
        <v>0.84342529559297741</v>
      </c>
      <c r="Q629" s="21">
        <v>1.5</v>
      </c>
      <c r="R629" s="20">
        <f t="shared" ca="1" si="1742"/>
        <v>0.56290103747217046</v>
      </c>
      <c r="S629" s="22">
        <f t="shared" ca="1" si="1743"/>
        <v>0.84435155620825564</v>
      </c>
      <c r="T629" s="21">
        <f ca="1">F629/29.603</f>
        <v>376.71023207107049</v>
      </c>
      <c r="U629" s="21">
        <f t="shared" ca="1" si="1744"/>
        <v>6.6089514398433415</v>
      </c>
      <c r="V629" s="18">
        <f t="shared" ca="1" si="1745"/>
        <v>165.19298245614036</v>
      </c>
      <c r="W629" s="76"/>
      <c r="X629" s="8">
        <v>6</v>
      </c>
      <c r="Y629" s="8" t="s">
        <v>31</v>
      </c>
      <c r="Z629" s="8">
        <f t="shared" ref="Z629:AI629" si="1753">SUM(D644)</f>
        <v>15</v>
      </c>
      <c r="AA629" s="9">
        <f t="shared" ca="1" si="1753"/>
        <v>15</v>
      </c>
      <c r="AB629" s="11">
        <f t="shared" ca="1" si="1753"/>
        <v>3042.5499999999902</v>
      </c>
      <c r="AC629" s="9">
        <f t="shared" ca="1" si="1753"/>
        <v>898</v>
      </c>
      <c r="AD629" s="9">
        <f t="shared" ca="1" si="1753"/>
        <v>9</v>
      </c>
      <c r="AE629" s="9">
        <f t="shared" ca="1" si="1753"/>
        <v>907</v>
      </c>
      <c r="AF629" s="9">
        <f t="shared" ca="1" si="1753"/>
        <v>1147</v>
      </c>
      <c r="AG629" s="9">
        <f t="shared" ca="1" si="1753"/>
        <v>11</v>
      </c>
      <c r="AH629" s="9">
        <f t="shared" ca="1" si="1753"/>
        <v>1158</v>
      </c>
      <c r="AI629" s="9">
        <f t="shared" ca="1" si="1753"/>
        <v>2065</v>
      </c>
      <c r="AJ629" s="11">
        <f t="shared" ca="1" si="1749"/>
        <v>202.83666666666602</v>
      </c>
      <c r="AK629" s="8">
        <f t="shared" si="1750"/>
        <v>2717</v>
      </c>
      <c r="AL629" s="12">
        <f t="shared" ca="1" si="1727"/>
        <v>0.76002944423997054</v>
      </c>
      <c r="AM629" s="13">
        <f t="shared" si="1751"/>
        <v>1.5</v>
      </c>
      <c r="AN629" s="12">
        <f t="shared" ca="1" si="1729"/>
        <v>0.45247133709114756</v>
      </c>
      <c r="AO629" s="14">
        <f t="shared" ca="1" si="1730"/>
        <v>0.67870700563672137</v>
      </c>
      <c r="AP629" s="13">
        <f t="shared" ref="AP629:AQ629" ca="1" si="1754">SUM(T644)</f>
        <v>69.999999999999773</v>
      </c>
      <c r="AQ629" s="13">
        <f t="shared" ca="1" si="1754"/>
        <v>4.6666666666666519</v>
      </c>
      <c r="AR629" s="9">
        <f t="shared" ca="1" si="1732"/>
        <v>137.66666666666666</v>
      </c>
      <c r="AS629" s="76"/>
      <c r="AT629" s="76"/>
    </row>
    <row r="630" spans="1:46" ht="15.75" customHeight="1" x14ac:dyDescent="0.25">
      <c r="A630" s="70"/>
      <c r="B630" s="16">
        <v>4</v>
      </c>
      <c r="C630" s="16" t="s">
        <v>32</v>
      </c>
      <c r="D630" s="17">
        <v>42</v>
      </c>
      <c r="E630" s="18">
        <f ca="1">IFERROR(__xludf.DUMMYFUNCTION("COUNT(IMPORTRANGE(""https://docs.google.com/spreadsheets/d/1Rmar8QqWK4XOJ-eY6xMzkAfDSw0srEXcAw89ilArun8/edit"",""24!d2:d43""))"),41)</f>
        <v>41</v>
      </c>
      <c r="F630" s="23">
        <f ca="1">IFERROR(__xludf.DUMMYFUNCTION("SUM(IMPORTRANGE(""https://docs.google.com/spreadsheets/d/1Rmar8QqWK4XOJ-eY6xMzkAfDSw0srEXcAw89ilArun8/edit"",""24!Q2:Q43""))"),7880.09499999999)</f>
        <v>7880.0949999999903</v>
      </c>
      <c r="G630" s="16">
        <f ca="1">IFERROR(__xludf.DUMMYFUNCTION("IMPORTRANGE(""https://docs.google.com/spreadsheets/d/1Rmar8QqWK4XOJ-eY6xMzkAfDSw0srEXcAw89ilArun8/edit"",""24!e50"")"),4439)</f>
        <v>4439</v>
      </c>
      <c r="H630" s="16">
        <f ca="1">IFERROR(__xludf.DUMMYFUNCTION("IMPORTRANGE(""https://docs.google.com/spreadsheets/d/1Rmar8QqWK4XOJ-eY6xMzkAfDSw0srEXcAw89ilArun8/edit"",""24!e51"")"),0)</f>
        <v>0</v>
      </c>
      <c r="I630" s="18">
        <f t="shared" ca="1" si="1737"/>
        <v>4439</v>
      </c>
      <c r="J630" s="16">
        <f ca="1">IFERROR(__xludf.DUMMYFUNCTION("IMPORTRANGE(""https://docs.google.com/spreadsheets/d/1Rmar8QqWK4XOJ-eY6xMzkAfDSw0srEXcAw89ilArun8/edit"",""24!e54"")"),5937)</f>
        <v>5937</v>
      </c>
      <c r="K630" s="16">
        <f ca="1">IFERROR(__xludf.DUMMYFUNCTION("IMPORTRANGE(""https://docs.google.com/spreadsheets/d/1Rmar8QqWK4XOJ-eY6xMzkAfDSw0srEXcAw89ilArun8/edit"",""24!e55"")"),0)</f>
        <v>0</v>
      </c>
      <c r="L630" s="18">
        <f t="shared" ca="1" si="1738"/>
        <v>5937</v>
      </c>
      <c r="M630" s="18">
        <f t="shared" ca="1" si="1739"/>
        <v>10376</v>
      </c>
      <c r="N630" s="19">
        <f t="shared" ca="1" si="1740"/>
        <v>192.19743902439001</v>
      </c>
      <c r="O630" s="16">
        <v>13817</v>
      </c>
      <c r="P630" s="20">
        <f t="shared" ca="1" si="1741"/>
        <v>0.75095896359557068</v>
      </c>
      <c r="Q630" s="21">
        <v>1.5</v>
      </c>
      <c r="R630" s="20">
        <f t="shared" ca="1" si="1742"/>
        <v>0.87782359645833485</v>
      </c>
      <c r="S630" s="22">
        <f t="shared" ca="1" si="1743"/>
        <v>1.3167353946875022</v>
      </c>
      <c r="T630" s="21">
        <f ca="1">F630/25.089</f>
        <v>314.0856550679577</v>
      </c>
      <c r="U630" s="21">
        <f t="shared" ca="1" si="1744"/>
        <v>7.6606257333648218</v>
      </c>
      <c r="V630" s="18">
        <f t="shared" ca="1" si="1745"/>
        <v>253.07317073170731</v>
      </c>
      <c r="W630" s="76"/>
      <c r="X630" s="24" t="s">
        <v>33</v>
      </c>
      <c r="Y630" s="24">
        <v>6</v>
      </c>
      <c r="Z630" s="24">
        <f t="shared" ref="Z630:AI630" si="1755">SUM(Z624:Z629)</f>
        <v>186</v>
      </c>
      <c r="AA630" s="25">
        <f t="shared" ca="1" si="1755"/>
        <v>185</v>
      </c>
      <c r="AB630" s="26">
        <f t="shared" ca="1" si="1755"/>
        <v>36502.602999999945</v>
      </c>
      <c r="AC630" s="25">
        <f t="shared" ca="1" si="1755"/>
        <v>12731</v>
      </c>
      <c r="AD630" s="25">
        <f t="shared" ca="1" si="1755"/>
        <v>378</v>
      </c>
      <c r="AE630" s="25">
        <f t="shared" ca="1" si="1755"/>
        <v>13109</v>
      </c>
      <c r="AF630" s="25">
        <f t="shared" ca="1" si="1755"/>
        <v>16708</v>
      </c>
      <c r="AG630" s="25">
        <f t="shared" ca="1" si="1755"/>
        <v>565</v>
      </c>
      <c r="AH630" s="25">
        <f t="shared" ca="1" si="1755"/>
        <v>17273</v>
      </c>
      <c r="AI630" s="25">
        <f t="shared" ca="1" si="1755"/>
        <v>30382</v>
      </c>
      <c r="AJ630" s="27">
        <f t="shared" ca="1" si="1749"/>
        <v>197.31136756756726</v>
      </c>
      <c r="AK630" s="24">
        <f>SUM(AK624:AK629)</f>
        <v>35074</v>
      </c>
      <c r="AL630" s="28">
        <f t="shared" ca="1" si="1727"/>
        <v>0.86622569424645035</v>
      </c>
      <c r="AM630" s="29">
        <v>1.5</v>
      </c>
      <c r="AN630" s="28">
        <f t="shared" ca="1" si="1729"/>
        <v>0.55488280292412839</v>
      </c>
      <c r="AO630" s="30">
        <f t="shared" ca="1" si="1730"/>
        <v>0.83232420438619259</v>
      </c>
      <c r="AP630" s="29">
        <f ca="1">SUM(AP624:AP629)</f>
        <v>1367.5107187949045</v>
      </c>
      <c r="AQ630" s="29">
        <f ca="1">AP630/AA630</f>
        <v>7.3919498313238083</v>
      </c>
      <c r="AR630" s="25">
        <f t="shared" ca="1" si="1732"/>
        <v>164.22702702702702</v>
      </c>
      <c r="AS630" s="76"/>
      <c r="AT630" s="76"/>
    </row>
    <row r="631" spans="1:46" ht="15.75" customHeight="1" x14ac:dyDescent="0.25">
      <c r="A631" s="70"/>
      <c r="B631" s="16">
        <v>5</v>
      </c>
      <c r="C631" s="16" t="s">
        <v>34</v>
      </c>
      <c r="D631" s="17">
        <v>40</v>
      </c>
      <c r="E631" s="18">
        <f ca="1">IFERROR(__xludf.DUMMYFUNCTION("COUNT(IMPORTRANGE(""https://docs.google.com/spreadsheets/d/1u99JxAoytGQQ8GcjxXl38CGdyEWy5uIbuJJHnsotyvk/edit"",""24!d2:d41""))"),38)</f>
        <v>38</v>
      </c>
      <c r="F631" s="23">
        <f ca="1">IFERROR(__xludf.DUMMYFUNCTION("SUM(IMPORTRANGE(""https://docs.google.com/spreadsheets/d/1u99JxAoytGQQ8GcjxXl38CGdyEWy5uIbuJJHnsotyvk/edit"",""24!Q2:Q41""))"),7596.996)</f>
        <v>7596.9960000000001</v>
      </c>
      <c r="G631" s="18">
        <f ca="1">IFERROR(__xludf.DUMMYFUNCTION("IMPORTRANGE(""https://docs.google.com/spreadsheets/d/1u99JxAoytGQQ8GcjxXl38CGdyEWy5uIbuJJHnsotyvk/edit"",""24!e48"")"),2915)</f>
        <v>2915</v>
      </c>
      <c r="H631" s="18">
        <f ca="1">IFERROR(__xludf.DUMMYFUNCTION("IMPORTRANGE(""https://docs.google.com/spreadsheets/d/1u99JxAoytGQQ8GcjxXl38CGdyEWy5uIbuJJHnsotyvk/edit"",""24!e49"")"),0)</f>
        <v>0</v>
      </c>
      <c r="I631" s="18">
        <f t="shared" ca="1" si="1737"/>
        <v>2915</v>
      </c>
      <c r="J631" s="18">
        <f ca="1">IFERROR(__xludf.DUMMYFUNCTION("IMPORTRANGE(""https://docs.google.com/spreadsheets/d/1u99JxAoytGQQ8GcjxXl38CGdyEWy5uIbuJJHnsotyvk/edit"",""24!e52"")"),2847)</f>
        <v>2847</v>
      </c>
      <c r="K631" s="18">
        <f ca="1">IFERROR(__xludf.DUMMYFUNCTION("IMPORTRANGE(""https://docs.google.com/spreadsheets/d/1u99JxAoytGQQ8GcjxXl38CGdyEWy5uIbuJJHnsotyvk/edit"",""24!e53"")"),99)</f>
        <v>99</v>
      </c>
      <c r="L631" s="18">
        <f t="shared" ca="1" si="1738"/>
        <v>2946</v>
      </c>
      <c r="M631" s="18">
        <f t="shared" ca="1" si="1739"/>
        <v>5861</v>
      </c>
      <c r="N631" s="19">
        <f t="shared" ca="1" si="1740"/>
        <v>199.92094736842105</v>
      </c>
      <c r="O631" s="16">
        <v>9354</v>
      </c>
      <c r="P631" s="20">
        <f t="shared" ca="1" si="1741"/>
        <v>0.62657686551208036</v>
      </c>
      <c r="Q631" s="21">
        <v>1.5</v>
      </c>
      <c r="R631" s="20">
        <f t="shared" ca="1" si="1742"/>
        <v>0.51432610117648259</v>
      </c>
      <c r="S631" s="22">
        <f t="shared" ca="1" si="1743"/>
        <v>0.77148915176472388</v>
      </c>
      <c r="T631" s="21">
        <f ca="1">F631/30.713</f>
        <v>247.35441018461236</v>
      </c>
      <c r="U631" s="21">
        <f t="shared" ca="1" si="1744"/>
        <v>6.5093265838055885</v>
      </c>
      <c r="V631" s="18">
        <f t="shared" ca="1" si="1745"/>
        <v>154.23684210526315</v>
      </c>
      <c r="W631" s="76"/>
      <c r="X631" s="100" t="s">
        <v>35</v>
      </c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9"/>
      <c r="AS631" s="76"/>
      <c r="AT631" s="76"/>
    </row>
    <row r="632" spans="1:46" ht="15.75" customHeight="1" x14ac:dyDescent="0.25">
      <c r="A632" s="70"/>
      <c r="B632" s="16">
        <v>6</v>
      </c>
      <c r="C632" s="16" t="s">
        <v>23</v>
      </c>
      <c r="D632" s="17">
        <v>35</v>
      </c>
      <c r="E632" s="18">
        <f ca="1">IFERROR(__xludf.DUMMYFUNCTION("COUNT(IMPORTRANGE(""https://docs.google.com/spreadsheets/d/1uVc-vnTn57HE53lwrUYNZP4sGKTXisrqOoZ-6EyvLzY/edit"",""24!d2:d36""))"),35)</f>
        <v>35</v>
      </c>
      <c r="F632" s="23">
        <f ca="1">IFERROR(__xludf.DUMMYFUNCTION("SUM(IMPORTRANGE(""https://docs.google.com/spreadsheets/d/1uVc-vnTn57HE53lwrUYNZP4sGKTXisrqOoZ-6EyvLzY/edit"",""24!Q2:Q36""))"),6796.81599999999)</f>
        <v>6796.8159999999898</v>
      </c>
      <c r="G632" s="18">
        <f ca="1">IFERROR(__xludf.DUMMYFUNCTION("IMPORTRANGE(""https://docs.google.com/spreadsheets/d/1uVc-vnTn57HE53lwrUYNZP4sGKTXisrqOoZ-6EyvLzY/edit"",""24!e43"")"),2847)</f>
        <v>2847</v>
      </c>
      <c r="H632" s="18">
        <f ca="1">IFERROR(__xludf.DUMMYFUNCTION("IMPORTRANGE(""https://docs.google.com/spreadsheets/d/1uVc-vnTn57HE53lwrUYNZP4sGKTXisrqOoZ-6EyvLzY/edit"",""24!e44"")"),0)</f>
        <v>0</v>
      </c>
      <c r="I632" s="18">
        <f t="shared" ca="1" si="1737"/>
        <v>2847</v>
      </c>
      <c r="J632" s="18">
        <f ca="1">IFERROR(__xludf.DUMMYFUNCTION("IMPORTRANGE(""https://docs.google.com/spreadsheets/d/1uVc-vnTn57HE53lwrUYNZP4sGKTXisrqOoZ-6EyvLzY/edit"",""24!e47"")"),2403)</f>
        <v>2403</v>
      </c>
      <c r="K632" s="18">
        <f ca="1">IFERROR(__xludf.DUMMYFUNCTION("IMPORTRANGE(""https://docs.google.com/spreadsheets/d/1uVc-vnTn57HE53lwrUYNZP4sGKTXisrqOoZ-6EyvLzY/edit"",""24!e48"")"),195)</f>
        <v>195</v>
      </c>
      <c r="L632" s="18">
        <f t="shared" ca="1" si="1738"/>
        <v>2598</v>
      </c>
      <c r="M632" s="18">
        <f t="shared" ca="1" si="1739"/>
        <v>5445</v>
      </c>
      <c r="N632" s="19">
        <f t="shared" ca="1" si="1740"/>
        <v>194.19474285714256</v>
      </c>
      <c r="O632" s="16">
        <v>6853</v>
      </c>
      <c r="P632" s="20">
        <f t="shared" ca="1" si="1741"/>
        <v>0.7945425361155698</v>
      </c>
      <c r="Q632" s="21">
        <v>1.5</v>
      </c>
      <c r="R632" s="20">
        <f t="shared" ca="1" si="1742"/>
        <v>0.53407360152165451</v>
      </c>
      <c r="S632" s="22">
        <f t="shared" ca="1" si="1743"/>
        <v>0.80111040228248176</v>
      </c>
      <c r="T632" s="21">
        <f ca="1">F632/33.74</f>
        <v>201.44682868998191</v>
      </c>
      <c r="U632" s="21">
        <f t="shared" ca="1" si="1744"/>
        <v>5.7556236768566258</v>
      </c>
      <c r="V632" s="18">
        <f t="shared" ca="1" si="1745"/>
        <v>155.57142857142858</v>
      </c>
      <c r="W632" s="76"/>
      <c r="X632" s="1" t="s">
        <v>2</v>
      </c>
      <c r="Y632" s="1" t="s">
        <v>3</v>
      </c>
      <c r="Z632" s="1" t="s">
        <v>4</v>
      </c>
      <c r="AA632" s="1" t="s">
        <v>5</v>
      </c>
      <c r="AB632" s="2" t="s">
        <v>6</v>
      </c>
      <c r="AC632" s="1" t="s">
        <v>7</v>
      </c>
      <c r="AD632" s="1" t="s">
        <v>8</v>
      </c>
      <c r="AE632" s="1" t="s">
        <v>9</v>
      </c>
      <c r="AF632" s="1" t="s">
        <v>10</v>
      </c>
      <c r="AG632" s="1" t="s">
        <v>11</v>
      </c>
      <c r="AH632" s="1" t="s">
        <v>12</v>
      </c>
      <c r="AI632" s="1" t="s">
        <v>13</v>
      </c>
      <c r="AJ632" s="2" t="s">
        <v>14</v>
      </c>
      <c r="AK632" s="1" t="s">
        <v>15</v>
      </c>
      <c r="AL632" s="1" t="s">
        <v>16</v>
      </c>
      <c r="AM632" s="3" t="s">
        <v>17</v>
      </c>
      <c r="AN632" s="4" t="s">
        <v>18</v>
      </c>
      <c r="AO632" s="5" t="s">
        <v>19</v>
      </c>
      <c r="AP632" s="6" t="s">
        <v>20</v>
      </c>
      <c r="AQ632" s="6" t="s">
        <v>21</v>
      </c>
      <c r="AR632" s="7" t="s">
        <v>22</v>
      </c>
      <c r="AS632" s="76"/>
      <c r="AT632" s="76"/>
    </row>
    <row r="633" spans="1:46" ht="15.75" customHeight="1" x14ac:dyDescent="0.25">
      <c r="A633" s="70"/>
      <c r="B633" s="16">
        <v>7</v>
      </c>
      <c r="C633" s="16" t="s">
        <v>24</v>
      </c>
      <c r="D633" s="17">
        <v>44</v>
      </c>
      <c r="E633" s="31">
        <f ca="1">IFERROR(__xludf.DUMMYFUNCTION("COUNT(IMPORTRANGE(""https://docs.google.com/spreadsheets/d/1iuPvivSypupo44l6GtmR-2qZ3za7cTk7KzsOVp_kv2c/edit"",""24!d2:d45""))"),44)</f>
        <v>44</v>
      </c>
      <c r="F633" s="32">
        <f ca="1">IFERROR(__xludf.DUMMYFUNCTION("SUM(IMPORTRANGE(""https://docs.google.com/spreadsheets/d/1iuPvivSypupo44l6GtmR-2qZ3za7cTk7KzsOVp_kv2c/edit"",""24!Q2:Q45""))"),8881.66399999999)</f>
        <v>8881.6639999999898</v>
      </c>
      <c r="G633" s="31">
        <f ca="1">IFERROR(__xludf.DUMMYFUNCTION("IMPORTRANGE(""https://docs.google.com/spreadsheets/d/1iuPvivSypupo44l6GtmR-2qZ3za7cTk7KzsOVp_kv2c/edit"",""24!e53"")"),1193)</f>
        <v>1193</v>
      </c>
      <c r="H633" s="31">
        <f ca="1">IFERROR(__xludf.DUMMYFUNCTION("IMPORTRANGE(""https://docs.google.com/spreadsheets/d/1iuPvivSypupo44l6GtmR-2qZ3za7cTk7KzsOVp_kv2c/edit"",""24!e54"")"),0)</f>
        <v>0</v>
      </c>
      <c r="I633" s="31">
        <f t="shared" ca="1" si="1737"/>
        <v>1193</v>
      </c>
      <c r="J633" s="31">
        <f ca="1">IFERROR(__xludf.DUMMYFUNCTION("IMPORTRANGE(""https://docs.google.com/spreadsheets/d/1iuPvivSypupo44l6GtmR-2qZ3za7cTk7KzsOVp_kv2c/edit"",""24!e57"")"),2185)</f>
        <v>2185</v>
      </c>
      <c r="K633" s="31">
        <f ca="1">IFERROR(__xludf.DUMMYFUNCTION("IMPORTRANGE(""https://docs.google.com/spreadsheets/d/1iuPvivSypupo44l6GtmR-2qZ3za7cTk7KzsOVp_kv2c/edit"",""24!e58"")"),0)</f>
        <v>0</v>
      </c>
      <c r="L633" s="18">
        <f t="shared" ca="1" si="1738"/>
        <v>2185</v>
      </c>
      <c r="M633" s="18">
        <f t="shared" ca="1" si="1739"/>
        <v>3378</v>
      </c>
      <c r="N633" s="19">
        <f t="shared" ca="1" si="1740"/>
        <v>201.85599999999977</v>
      </c>
      <c r="O633" s="16">
        <v>1580</v>
      </c>
      <c r="P633" s="33">
        <f t="shared" ca="1" si="1741"/>
        <v>2.1379746835443036</v>
      </c>
      <c r="Q633" s="21">
        <v>1.5</v>
      </c>
      <c r="R633" s="20">
        <f t="shared" ca="1" si="1742"/>
        <v>0.2535560903902695</v>
      </c>
      <c r="S633" s="22">
        <f t="shared" ca="1" si="1743"/>
        <v>0.38033413558540424</v>
      </c>
      <c r="T633" s="21">
        <f ca="1">F633/26.805</f>
        <v>331.34355530684536</v>
      </c>
      <c r="U633" s="21">
        <f t="shared" ca="1" si="1744"/>
        <v>7.5305353478828492</v>
      </c>
      <c r="V633" s="18">
        <f t="shared" ca="1" si="1745"/>
        <v>76.772727272727266</v>
      </c>
      <c r="W633" s="76"/>
      <c r="X633" s="8">
        <v>1</v>
      </c>
      <c r="Y633" s="8" t="s">
        <v>28</v>
      </c>
      <c r="Z633" s="8">
        <f t="shared" ref="Z633:AI633" si="1756">SUM(D628)</f>
        <v>33</v>
      </c>
      <c r="AA633" s="9">
        <f t="shared" ca="1" si="1756"/>
        <v>33</v>
      </c>
      <c r="AB633" s="11">
        <f t="shared" ca="1" si="1756"/>
        <v>6478.9579999999996</v>
      </c>
      <c r="AC633" s="9">
        <f t="shared" ca="1" si="1756"/>
        <v>2956</v>
      </c>
      <c r="AD633" s="9">
        <f t="shared" ca="1" si="1756"/>
        <v>153</v>
      </c>
      <c r="AE633" s="9">
        <f t="shared" ca="1" si="1756"/>
        <v>3109</v>
      </c>
      <c r="AF633" s="9">
        <f t="shared" ca="1" si="1756"/>
        <v>2550</v>
      </c>
      <c r="AG633" s="9">
        <f t="shared" ca="1" si="1756"/>
        <v>290</v>
      </c>
      <c r="AH633" s="9">
        <f t="shared" ca="1" si="1756"/>
        <v>2840</v>
      </c>
      <c r="AI633" s="9">
        <f t="shared" ca="1" si="1756"/>
        <v>5949</v>
      </c>
      <c r="AJ633" s="11">
        <f t="shared" ref="AJ633:AJ639" ca="1" si="1757">AB633/AA633</f>
        <v>196.33206060606059</v>
      </c>
      <c r="AK633" s="8">
        <f t="shared" ref="AK633:AK634" si="1758">SUM(O628)</f>
        <v>7315</v>
      </c>
      <c r="AL633" s="12">
        <f t="shared" ref="AL633:AL639" ca="1" si="1759">AI633/AK633</f>
        <v>0.81326042378673957</v>
      </c>
      <c r="AM633" s="13">
        <f t="shared" ref="AM633:AM634" si="1760">SUM(Q628)</f>
        <v>1.5</v>
      </c>
      <c r="AN633" s="12">
        <f t="shared" ref="AN633:AN639" ca="1" si="1761">AO633/AM633</f>
        <v>0.6121354699320477</v>
      </c>
      <c r="AO633" s="14">
        <f t="shared" ref="AO633:AO639" ca="1" si="1762">AI633/AB633</f>
        <v>0.91820320489807161</v>
      </c>
      <c r="AP633" s="13">
        <f t="shared" ref="AP633:AQ633" ca="1" si="1763">SUM(T628)</f>
        <v>209.6953749554973</v>
      </c>
      <c r="AQ633" s="13">
        <f t="shared" ca="1" si="1763"/>
        <v>6.3544053016817363</v>
      </c>
      <c r="AR633" s="9">
        <f t="shared" ref="AR633:AR639" ca="1" si="1764">AI633/AA633</f>
        <v>180.27272727272728</v>
      </c>
      <c r="AS633" s="76"/>
      <c r="AT633" s="76"/>
    </row>
    <row r="634" spans="1:46" ht="15.75" customHeight="1" x14ac:dyDescent="0.25">
      <c r="A634" s="70"/>
      <c r="B634" s="16">
        <v>8</v>
      </c>
      <c r="C634" s="16" t="s">
        <v>25</v>
      </c>
      <c r="D634" s="34">
        <v>32</v>
      </c>
      <c r="E634" s="18">
        <f ca="1">IFERROR(__xludf.DUMMYFUNCTION("COUNT(IMPORTRANGE(""https://docs.google.com/spreadsheets/d/1sqWX7UerdR9KR_duBzDNfjwbPG-3hLgV1LiN2ZVZ6Js/edit"",""24!d2:D33""))"),31)</f>
        <v>31</v>
      </c>
      <c r="F634" s="23">
        <f ca="1">IFERROR(__xludf.DUMMYFUNCTION("SUM(IMPORTRANGE(""https://docs.google.com/spreadsheets/d/1sqWX7UerdR9KR_duBzDNfjwbPG-3hLgV1LiN2ZVZ6Js/edit"",""24!Q2:Q33""))"),6077.432)</f>
        <v>6077.4319999999998</v>
      </c>
      <c r="G634" s="18">
        <f ca="1">IFERROR(__xludf.DUMMYFUNCTION("IMPORTRANGE(""https://docs.google.com/spreadsheets/d/1sqWX7UerdR9KR_duBzDNfjwbPG-3hLgV1LiN2ZVZ6Js/edit"",""24!e40"")"),2318)</f>
        <v>2318</v>
      </c>
      <c r="H634" s="18">
        <f ca="1">IFERROR(__xludf.DUMMYFUNCTION("IMPORTRANGE(""https://docs.google.com/spreadsheets/d/1sqWX7UerdR9KR_duBzDNfjwbPG-3hLgV1LiN2ZVZ6Js/edit"",""24!e41"")"),369)</f>
        <v>369</v>
      </c>
      <c r="I634" s="18">
        <f t="shared" ca="1" si="1737"/>
        <v>2687</v>
      </c>
      <c r="J634" s="18">
        <f ca="1">IFERROR(__xludf.DUMMYFUNCTION("IMPORTRANGE(""https://docs.google.com/spreadsheets/d/1sqWX7UerdR9KR_duBzDNfjwbPG-3hLgV1LiN2ZVZ6Js/edit"",""24!e44"")"),3583)</f>
        <v>3583</v>
      </c>
      <c r="K634" s="18">
        <f ca="1">IFERROR(__xludf.DUMMYFUNCTION("IMPORTRANGE(""https://docs.google.com/spreadsheets/d/1sqWX7UerdR9KR_duBzDNfjwbPG-3hLgV1LiN2ZVZ6Js/edit"",""24!e45"")"),359)</f>
        <v>359</v>
      </c>
      <c r="L634" s="18">
        <f ca="1">J634+K634</f>
        <v>3942</v>
      </c>
      <c r="M634" s="18">
        <f t="shared" ca="1" si="1739"/>
        <v>6629</v>
      </c>
      <c r="N634" s="19">
        <f t="shared" ca="1" si="1740"/>
        <v>196.04619354838709</v>
      </c>
      <c r="O634" s="16">
        <v>6622</v>
      </c>
      <c r="P634" s="20">
        <f t="shared" ca="1" si="1741"/>
        <v>1.0010570824524312</v>
      </c>
      <c r="Q634" s="21">
        <v>1.5</v>
      </c>
      <c r="R634" s="20">
        <f t="shared" ca="1" si="1742"/>
        <v>0.72717116922630043</v>
      </c>
      <c r="S634" s="22">
        <f t="shared" ca="1" si="1743"/>
        <v>1.0907567538394507</v>
      </c>
      <c r="T634" s="21">
        <f ca="1">F634/23.84</f>
        <v>254.92583892617449</v>
      </c>
      <c r="U634" s="21">
        <f t="shared" ca="1" si="1744"/>
        <v>8.2234141589088541</v>
      </c>
      <c r="V634" s="18">
        <f t="shared" ca="1" si="1745"/>
        <v>213.83870967741936</v>
      </c>
      <c r="W634" s="76"/>
      <c r="X634" s="8">
        <v>2</v>
      </c>
      <c r="Y634" s="8" t="s">
        <v>30</v>
      </c>
      <c r="Z634" s="8">
        <f t="shared" ref="Z634:AI634" si="1765">SUM(D629)</f>
        <v>60</v>
      </c>
      <c r="AA634" s="9">
        <f t="shared" ca="1" si="1765"/>
        <v>57</v>
      </c>
      <c r="AB634" s="10">
        <f t="shared" ca="1" si="1765"/>
        <v>11151.752999999901</v>
      </c>
      <c r="AC634" s="9">
        <f t="shared" ca="1" si="1765"/>
        <v>3519</v>
      </c>
      <c r="AD634" s="9">
        <f t="shared" ca="1" si="1765"/>
        <v>0</v>
      </c>
      <c r="AE634" s="9">
        <f t="shared" ca="1" si="1765"/>
        <v>3519</v>
      </c>
      <c r="AF634" s="9">
        <f t="shared" ca="1" si="1765"/>
        <v>5897</v>
      </c>
      <c r="AG634" s="9">
        <f t="shared" ca="1" si="1765"/>
        <v>0</v>
      </c>
      <c r="AH634" s="9">
        <f t="shared" ca="1" si="1765"/>
        <v>5897</v>
      </c>
      <c r="AI634" s="9">
        <f t="shared" ca="1" si="1765"/>
        <v>9416</v>
      </c>
      <c r="AJ634" s="11">
        <f t="shared" ca="1" si="1757"/>
        <v>195.64478947368247</v>
      </c>
      <c r="AK634" s="8">
        <f t="shared" si="1758"/>
        <v>11164</v>
      </c>
      <c r="AL634" s="12">
        <f t="shared" ca="1" si="1759"/>
        <v>0.84342529559297741</v>
      </c>
      <c r="AM634" s="13">
        <f t="shared" si="1760"/>
        <v>1.5</v>
      </c>
      <c r="AN634" s="12">
        <f t="shared" ca="1" si="1761"/>
        <v>0.56290103747217046</v>
      </c>
      <c r="AO634" s="14">
        <f t="shared" ca="1" si="1762"/>
        <v>0.84435155620825564</v>
      </c>
      <c r="AP634" s="13">
        <f t="shared" ref="AP634:AQ634" ca="1" si="1766">SUM(T629)</f>
        <v>376.71023207107049</v>
      </c>
      <c r="AQ634" s="13">
        <f t="shared" ca="1" si="1766"/>
        <v>6.6089514398433415</v>
      </c>
      <c r="AR634" s="9">
        <f t="shared" ca="1" si="1764"/>
        <v>165.19298245614036</v>
      </c>
      <c r="AS634" s="76"/>
      <c r="AT634" s="76"/>
    </row>
    <row r="635" spans="1:46" ht="15.75" customHeight="1" x14ac:dyDescent="0.25">
      <c r="A635" s="70"/>
      <c r="B635" s="16">
        <v>9</v>
      </c>
      <c r="C635" s="16" t="s">
        <v>36</v>
      </c>
      <c r="D635" s="34">
        <v>30</v>
      </c>
      <c r="E635" s="18">
        <f ca="1">IFERROR(__xludf.DUMMYFUNCTION("COUNT(IMPORTRANGE(""https://docs.google.com/spreadsheets/d/1YNna43iTSqnwwbMJgTIPHSJEoDO8RGPRFg5pJCoQR_Y/edit"",""24!d2:d31""))"),30)</f>
        <v>30</v>
      </c>
      <c r="F635" s="23">
        <f ca="1">IFERROR(__xludf.DUMMYFUNCTION("SUM(IMPORTRANGE(""https://docs.google.com/spreadsheets/d/1YNna43iTSqnwwbMJgTIPHSJEoDO8RGPRFg5pJCoQR_Y/edit"",""24!Q2:Q31""))"),5810.69499999999)</f>
        <v>5810.6949999999897</v>
      </c>
      <c r="G635" s="18">
        <f ca="1">IFERROR(__xludf.DUMMYFUNCTION("IMPORTRANGE(""https://docs.google.com/spreadsheets/d/1YNna43iTSqnwwbMJgTIPHSJEoDO8RGPRFg5pJCoQR_Y/edit"",""24!e38"")"),1644)</f>
        <v>1644</v>
      </c>
      <c r="H635" s="18">
        <f ca="1">IFERROR(__xludf.DUMMYFUNCTION("IMPORTRANGE(""https://docs.google.com/spreadsheets/d/1YNna43iTSqnwwbMJgTIPHSJEoDO8RGPRFg5pJCoQR_Y/edit"",""24!e39"")"),0)</f>
        <v>0</v>
      </c>
      <c r="I635" s="18">
        <f t="shared" ca="1" si="1737"/>
        <v>1644</v>
      </c>
      <c r="J635" s="18">
        <f ca="1">IFERROR(__xludf.DUMMYFUNCTION("IMPORTRANGE(""https://docs.google.com/spreadsheets/d/1YNna43iTSqnwwbMJgTIPHSJEoDO8RGPRFg5pJCoQR_Y/edit"",""24!e42"")"),2335)</f>
        <v>2335</v>
      </c>
      <c r="K635" s="18">
        <f ca="1">IFERROR(__xludf.DUMMYFUNCTION("IMPORTRANGE(""https://docs.google.com/spreadsheets/d/1YNna43iTSqnwwbMJgTIPHSJEoDO8RGPRFg5pJCoQR_Y/edit"",""24!e43"")"),0)</f>
        <v>0</v>
      </c>
      <c r="L635" s="18">
        <f t="shared" ref="L635:L644" ca="1" si="1767">SUM(J635:K635)</f>
        <v>2335</v>
      </c>
      <c r="M635" s="18">
        <f t="shared" ca="1" si="1739"/>
        <v>3979</v>
      </c>
      <c r="N635" s="19">
        <f t="shared" ca="1" si="1740"/>
        <v>193.68983333333298</v>
      </c>
      <c r="O635" s="16">
        <v>4796</v>
      </c>
      <c r="P635" s="20">
        <f t="shared" ca="1" si="1741"/>
        <v>0.8296497080900751</v>
      </c>
      <c r="Q635" s="21">
        <v>1.5</v>
      </c>
      <c r="R635" s="20">
        <f t="shared" ca="1" si="1742"/>
        <v>0.45651452479723531</v>
      </c>
      <c r="S635" s="22">
        <f t="shared" ca="1" si="1743"/>
        <v>0.68477178719585297</v>
      </c>
      <c r="T635" s="21">
        <f ca="1">F635/37.414</f>
        <v>155.30803977120837</v>
      </c>
      <c r="U635" s="21">
        <f t="shared" ca="1" si="1744"/>
        <v>5.1769346590402794</v>
      </c>
      <c r="V635" s="18">
        <f t="shared" ca="1" si="1745"/>
        <v>132.63333333333333</v>
      </c>
      <c r="W635" s="76"/>
      <c r="X635" s="8">
        <v>3</v>
      </c>
      <c r="Y635" s="8" t="s">
        <v>34</v>
      </c>
      <c r="Z635" s="8">
        <f t="shared" ref="Z635:AI635" si="1768">SUM(D631)</f>
        <v>40</v>
      </c>
      <c r="AA635" s="9">
        <f t="shared" ca="1" si="1768"/>
        <v>38</v>
      </c>
      <c r="AB635" s="10">
        <f t="shared" ca="1" si="1768"/>
        <v>7596.9960000000001</v>
      </c>
      <c r="AC635" s="9">
        <f t="shared" ca="1" si="1768"/>
        <v>2915</v>
      </c>
      <c r="AD635" s="9">
        <f t="shared" ca="1" si="1768"/>
        <v>0</v>
      </c>
      <c r="AE635" s="9">
        <f t="shared" ca="1" si="1768"/>
        <v>2915</v>
      </c>
      <c r="AF635" s="9">
        <f t="shared" ca="1" si="1768"/>
        <v>2847</v>
      </c>
      <c r="AG635" s="9">
        <f t="shared" ca="1" si="1768"/>
        <v>99</v>
      </c>
      <c r="AH635" s="9">
        <f t="shared" ca="1" si="1768"/>
        <v>2946</v>
      </c>
      <c r="AI635" s="9">
        <f t="shared" ca="1" si="1768"/>
        <v>5861</v>
      </c>
      <c r="AJ635" s="11">
        <f t="shared" ca="1" si="1757"/>
        <v>199.92094736842105</v>
      </c>
      <c r="AK635" s="8">
        <f>SUM(O631)</f>
        <v>9354</v>
      </c>
      <c r="AL635" s="12">
        <f t="shared" ca="1" si="1759"/>
        <v>0.62657686551208036</v>
      </c>
      <c r="AM635" s="13">
        <f>SUM(Q631)</f>
        <v>1.5</v>
      </c>
      <c r="AN635" s="12">
        <f t="shared" ca="1" si="1761"/>
        <v>0.51432610117648259</v>
      </c>
      <c r="AO635" s="14">
        <f t="shared" ca="1" si="1762"/>
        <v>0.77148915176472388</v>
      </c>
      <c r="AP635" s="13">
        <f t="shared" ref="AP635:AQ635" ca="1" si="1769">SUM(T631)</f>
        <v>247.35441018461236</v>
      </c>
      <c r="AQ635" s="13">
        <f t="shared" ca="1" si="1769"/>
        <v>6.5093265838055885</v>
      </c>
      <c r="AR635" s="9">
        <f t="shared" ca="1" si="1764"/>
        <v>154.23684210526315</v>
      </c>
      <c r="AS635" s="76"/>
      <c r="AT635" s="76"/>
    </row>
    <row r="636" spans="1:46" ht="15.75" customHeight="1" x14ac:dyDescent="0.25">
      <c r="A636" s="70"/>
      <c r="B636" s="16">
        <v>10</v>
      </c>
      <c r="C636" s="16" t="s">
        <v>37</v>
      </c>
      <c r="D636" s="17">
        <v>30</v>
      </c>
      <c r="E636" s="18">
        <f ca="1">IFERROR(__xludf.DUMMYFUNCTION("COUNT(IMPORTRANGE(""https://docs.google.com/spreadsheets/d/1913Df5BsXS_b-nClL8LOK5w0engQYTl1mPOiyngRtO0/edit"",""24!d2:d31""))"),26)</f>
        <v>26</v>
      </c>
      <c r="F636" s="23">
        <f ca="1">IFERROR(__xludf.DUMMYFUNCTION("SUM(IMPORTRANGE(""https://docs.google.com/spreadsheets/d/1913Df5BsXS_b-nClL8LOK5w0engQYTl1mPOiyngRtO0/edit"",""24!Q2:Q31""))"),5239.8)</f>
        <v>5239.8</v>
      </c>
      <c r="G636" s="18">
        <f ca="1">IFERROR(__xludf.DUMMYFUNCTION("(IMPORTRANGE(""https://docs.google.com/spreadsheets/d/1913Df5BsXS_b-nClL8LOK5w0engQYTl1mPOiyngRtO0/edit"",""24!e38""))"),2152)</f>
        <v>2152</v>
      </c>
      <c r="H636" s="18">
        <f ca="1">IFERROR(__xludf.DUMMYFUNCTION("(IMPORTRANGE(""https://docs.google.com/spreadsheets/d/1913Df5BsXS_b-nClL8LOK5w0engQYTl1mPOiyngRtO0/edit"",""24!e39""))"),90)</f>
        <v>90</v>
      </c>
      <c r="I636" s="18">
        <f t="shared" ca="1" si="1737"/>
        <v>2242</v>
      </c>
      <c r="J636" s="18">
        <f ca="1">IFERROR(__xludf.DUMMYFUNCTION("(IMPORTRANGE(""https://docs.google.com/spreadsheets/d/1913Df5BsXS_b-nClL8LOK5w0engQYTl1mPOiyngRtO0/edit"",""24!e42""))"),2841)</f>
        <v>2841</v>
      </c>
      <c r="K636" s="18">
        <f ca="1">IFERROR(__xludf.DUMMYFUNCTION("(IMPORTRANGE(""https://docs.google.com/spreadsheets/d/1913Df5BsXS_b-nClL8LOK5w0engQYTl1mPOiyngRtO0/edit"",""24!e43""))"),0)</f>
        <v>0</v>
      </c>
      <c r="L636" s="18">
        <f t="shared" ca="1" si="1767"/>
        <v>2841</v>
      </c>
      <c r="M636" s="18">
        <f t="shared" ca="1" si="1739"/>
        <v>5083</v>
      </c>
      <c r="N636" s="19">
        <f t="shared" ca="1" si="1740"/>
        <v>201.53076923076924</v>
      </c>
      <c r="O636" s="16">
        <v>5887</v>
      </c>
      <c r="P636" s="20">
        <f t="shared" ca="1" si="1741"/>
        <v>0.86342789196534742</v>
      </c>
      <c r="Q636" s="21">
        <v>1.5</v>
      </c>
      <c r="R636" s="20">
        <f t="shared" ca="1" si="1742"/>
        <v>0.64671679580645569</v>
      </c>
      <c r="S636" s="22">
        <f t="shared" ca="1" si="1743"/>
        <v>0.97007519370968354</v>
      </c>
      <c r="T636" s="21">
        <f ca="1">F636/24.792</f>
        <v>211.35043562439495</v>
      </c>
      <c r="U636" s="21">
        <f t="shared" ca="1" si="1744"/>
        <v>8.128862908630575</v>
      </c>
      <c r="V636" s="18">
        <f t="shared" ca="1" si="1745"/>
        <v>195.5</v>
      </c>
      <c r="W636" s="76"/>
      <c r="X636" s="8">
        <v>4</v>
      </c>
      <c r="Y636" s="8" t="s">
        <v>38</v>
      </c>
      <c r="Z636" s="8">
        <f t="shared" ref="Z636:AI636" si="1770">SUM(D639)</f>
        <v>30</v>
      </c>
      <c r="AA636" s="9">
        <f t="shared" ca="1" si="1770"/>
        <v>30</v>
      </c>
      <c r="AB636" s="10">
        <f t="shared" ca="1" si="1770"/>
        <v>6427.98</v>
      </c>
      <c r="AC636" s="9">
        <f t="shared" ca="1" si="1770"/>
        <v>2017</v>
      </c>
      <c r="AD636" s="9">
        <f t="shared" ca="1" si="1770"/>
        <v>63</v>
      </c>
      <c r="AE636" s="9">
        <f t="shared" ca="1" si="1770"/>
        <v>2080</v>
      </c>
      <c r="AF636" s="9">
        <f t="shared" ca="1" si="1770"/>
        <v>3046</v>
      </c>
      <c r="AG636" s="9">
        <f t="shared" ca="1" si="1770"/>
        <v>64</v>
      </c>
      <c r="AH636" s="9">
        <f t="shared" ca="1" si="1770"/>
        <v>3110</v>
      </c>
      <c r="AI636" s="9">
        <f t="shared" ca="1" si="1770"/>
        <v>5190</v>
      </c>
      <c r="AJ636" s="11">
        <f t="shared" ca="1" si="1757"/>
        <v>214.26599999999999</v>
      </c>
      <c r="AK636" s="8">
        <v>7324</v>
      </c>
      <c r="AL636" s="12">
        <f t="shared" ca="1" si="1759"/>
        <v>0.70862916439104318</v>
      </c>
      <c r="AM636" s="13">
        <f>SUM(Q639)</f>
        <v>1.5</v>
      </c>
      <c r="AN636" s="12">
        <f t="shared" ca="1" si="1761"/>
        <v>0.53827174322259874</v>
      </c>
      <c r="AO636" s="14">
        <f t="shared" ca="1" si="1762"/>
        <v>0.80740761483389811</v>
      </c>
      <c r="AP636" s="13">
        <f t="shared" ref="AP636:AQ636" ca="1" si="1771">SUM(T639)</f>
        <v>156</v>
      </c>
      <c r="AQ636" s="13">
        <f t="shared" ca="1" si="1771"/>
        <v>5.2</v>
      </c>
      <c r="AR636" s="9">
        <f t="shared" ca="1" si="1764"/>
        <v>173</v>
      </c>
      <c r="AS636" s="76"/>
      <c r="AT636" s="76"/>
    </row>
    <row r="637" spans="1:46" ht="15.75" customHeight="1" x14ac:dyDescent="0.25">
      <c r="A637" s="70"/>
      <c r="B637" s="16">
        <v>12</v>
      </c>
      <c r="C637" s="16" t="s">
        <v>39</v>
      </c>
      <c r="D637" s="17">
        <v>28</v>
      </c>
      <c r="E637" s="18">
        <f ca="1">IFERROR(__xludf.DUMMYFUNCTION("COUNT(IMPORTRANGE(""https://docs.google.com/spreadsheets/d/1wMeol_MpSIcocGxt3WZGl46mJ2tc80mANPvP_YzaP18/edit"",""24!d2:d29""))"),27)</f>
        <v>27</v>
      </c>
      <c r="F637" s="23">
        <f ca="1">IFERROR(__xludf.DUMMYFUNCTION("SUM(IMPORTRANGE(""https://docs.google.com/spreadsheets/d/1wMeol_MpSIcocGxt3WZGl46mJ2tc80mANPvP_YzaP18/edit"",""24!Q2:Q29""))"),5566.193)</f>
        <v>5566.1930000000002</v>
      </c>
      <c r="G637" s="18">
        <f ca="1">IFERROR(__xludf.DUMMYFUNCTION("IMPORTRANGE(""https://docs.google.com/spreadsheets/d/1wMeol_MpSIcocGxt3WZGl46mJ2tc80mANPvP_YzaP18/edit"",""24!e36"")"),1205)</f>
        <v>1205</v>
      </c>
      <c r="H637" s="18">
        <f ca="1">IFERROR(__xludf.DUMMYFUNCTION("(IMPORTRANGE(""https://docs.google.com/spreadsheets/d/1wMeol_MpSIcocGxt3WZGl46mJ2tc80mANPvP_YzaP18/edit"",""24!e37""))"),0)</f>
        <v>0</v>
      </c>
      <c r="I637" s="18">
        <f t="shared" ca="1" si="1737"/>
        <v>1205</v>
      </c>
      <c r="J637" s="18">
        <f ca="1">IFERROR(__xludf.DUMMYFUNCTION("IMPORTRANGE(""https://docs.google.com/spreadsheets/d/1wMeol_MpSIcocGxt3WZGl46mJ2tc80mANPvP_YzaP18/edit"",""24!e40"")"),1746)</f>
        <v>1746</v>
      </c>
      <c r="K637" s="18">
        <f ca="1">IFERROR(__xludf.DUMMYFUNCTION("IMPORTRANGE(""https://docs.google.com/spreadsheets/d/1wMeol_MpSIcocGxt3WZGl46mJ2tc80mANPvP_YzaP18/edit"",""24!e41"")"),59)</f>
        <v>59</v>
      </c>
      <c r="L637" s="18">
        <f t="shared" ca="1" si="1767"/>
        <v>1805</v>
      </c>
      <c r="M637" s="18">
        <f t="shared" ca="1" si="1739"/>
        <v>3010</v>
      </c>
      <c r="N637" s="19">
        <f t="shared" ca="1" si="1740"/>
        <v>206.15529629629631</v>
      </c>
      <c r="O637" s="16">
        <v>3569</v>
      </c>
      <c r="P637" s="20">
        <f t="shared" ca="1" si="1741"/>
        <v>0.84337349397590367</v>
      </c>
      <c r="Q637" s="21">
        <v>1.5</v>
      </c>
      <c r="R637" s="20">
        <f t="shared" ca="1" si="1742"/>
        <v>0.36050971762327794</v>
      </c>
      <c r="S637" s="22">
        <f t="shared" ca="1" si="1743"/>
        <v>0.54076457643491693</v>
      </c>
      <c r="T637" s="21">
        <f ca="1">F637/21.463</f>
        <v>259.33900200344777</v>
      </c>
      <c r="U637" s="21">
        <f t="shared" ca="1" si="1744"/>
        <v>9.6051482223499178</v>
      </c>
      <c r="V637" s="18">
        <f t="shared" ca="1" si="1745"/>
        <v>111.48148148148148</v>
      </c>
      <c r="W637" s="76"/>
      <c r="X637" s="8">
        <v>5</v>
      </c>
      <c r="Y637" s="8" t="s">
        <v>40</v>
      </c>
      <c r="Z637" s="8">
        <f t="shared" ref="Z637:AI637" si="1772">SUM(D641)</f>
        <v>30</v>
      </c>
      <c r="AA637" s="9">
        <f t="shared" ca="1" si="1772"/>
        <v>30</v>
      </c>
      <c r="AB637" s="10">
        <f t="shared" ca="1" si="1772"/>
        <v>5830.8149999999896</v>
      </c>
      <c r="AC637" s="9">
        <f t="shared" ca="1" si="1772"/>
        <v>3410</v>
      </c>
      <c r="AD637" s="9">
        <f t="shared" ca="1" si="1772"/>
        <v>9</v>
      </c>
      <c r="AE637" s="9">
        <f t="shared" ca="1" si="1772"/>
        <v>3419</v>
      </c>
      <c r="AF637" s="9">
        <f t="shared" ca="1" si="1772"/>
        <v>4033</v>
      </c>
      <c r="AG637" s="9">
        <f t="shared" ca="1" si="1772"/>
        <v>0</v>
      </c>
      <c r="AH637" s="9">
        <f t="shared" ca="1" si="1772"/>
        <v>4033</v>
      </c>
      <c r="AI637" s="9">
        <f t="shared" ca="1" si="1772"/>
        <v>7452</v>
      </c>
      <c r="AJ637" s="11">
        <f t="shared" ca="1" si="1757"/>
        <v>194.36049999999966</v>
      </c>
      <c r="AK637" s="8">
        <f t="shared" ref="AK637:AK638" si="1773">SUM(O641)</f>
        <v>8239</v>
      </c>
      <c r="AL637" s="12">
        <f t="shared" ca="1" si="1759"/>
        <v>0.90447869887122223</v>
      </c>
      <c r="AM637" s="13">
        <f t="shared" ref="AM637:AM638" si="1774">SUM(Q641)</f>
        <v>1.5</v>
      </c>
      <c r="AN637" s="12">
        <f t="shared" ca="1" si="1761"/>
        <v>0.85202497421029622</v>
      </c>
      <c r="AO637" s="14">
        <f t="shared" ca="1" si="1762"/>
        <v>1.2780374613154444</v>
      </c>
      <c r="AP637" s="13">
        <f t="shared" ref="AP637:AQ637" ca="1" si="1775">SUM(T641)</f>
        <v>204.99999999999963</v>
      </c>
      <c r="AQ637" s="13">
        <f t="shared" ca="1" si="1775"/>
        <v>6.8333333333333206</v>
      </c>
      <c r="AR637" s="9">
        <f t="shared" ca="1" si="1764"/>
        <v>248.4</v>
      </c>
      <c r="AS637" s="76"/>
      <c r="AT637" s="76"/>
    </row>
    <row r="638" spans="1:46" ht="15.75" customHeight="1" x14ac:dyDescent="0.25">
      <c r="A638" s="70"/>
      <c r="B638" s="16">
        <v>12</v>
      </c>
      <c r="C638" s="16" t="s">
        <v>41</v>
      </c>
      <c r="D638" s="17">
        <v>24</v>
      </c>
      <c r="E638" s="18">
        <f ca="1">IFERROR(__xludf.DUMMYFUNCTION("COUNT(IMPORTRANGE(""https://docs.google.com/spreadsheets/d/1sHk6_yuc4kORC_xnhEeazoemV_hVUQVqRpfoNae-PLk/edit"",""24!d2:d25""))"),24)</f>
        <v>24</v>
      </c>
      <c r="F638" s="23">
        <f ca="1">IFERROR(__xludf.DUMMYFUNCTION("SUM(IMPORTRANGE(""https://docs.google.com/spreadsheets/d/1sHk6_yuc4kORC_xnhEeazoemV_hVUQVqRpfoNae-PLk/edit"",""24!Q2:Q25""))"),4717.436)</f>
        <v>4717.4359999999997</v>
      </c>
      <c r="G638" s="18">
        <f ca="1">IFERROR(__xludf.DUMMYFUNCTION("IMPORTRANGE(""https://docs.google.com/spreadsheets/d/1sHk6_yuc4kORC_xnhEeazoemV_hVUQVqRpfoNae-PLk/edit"",""24!e32"")"),1243)</f>
        <v>1243</v>
      </c>
      <c r="H638" s="18">
        <f ca="1">IFERROR(__xludf.DUMMYFUNCTION("IMPORTRANGE(""https://docs.google.com/spreadsheets/d/1sHk6_yuc4kORC_xnhEeazoemV_hVUQVqRpfoNae-PLk/edit"",""24!e33"")"),0)</f>
        <v>0</v>
      </c>
      <c r="I638" s="18">
        <f t="shared" ca="1" si="1737"/>
        <v>1243</v>
      </c>
      <c r="J638" s="18">
        <f ca="1">IFERROR(__xludf.DUMMYFUNCTION("IMPORTRANGE(""https://docs.google.com/spreadsheets/d/1sHk6_yuc4kORC_xnhEeazoemV_hVUQVqRpfoNae-PLk/edit"",""24!e36"")"),1730)</f>
        <v>1730</v>
      </c>
      <c r="K638" s="18">
        <f ca="1">IFERROR(__xludf.DUMMYFUNCTION("IMPORTRANGE(""https://docs.google.com/spreadsheets/d/1sHk6_yuc4kORC_xnhEeazoemV_hVUQVqRpfoNae-PLk/edit"",""24!e37"")"),53)</f>
        <v>53</v>
      </c>
      <c r="L638" s="18">
        <f t="shared" ca="1" si="1767"/>
        <v>1783</v>
      </c>
      <c r="M638" s="18">
        <f t="shared" ca="1" si="1739"/>
        <v>3026</v>
      </c>
      <c r="N638" s="19">
        <f t="shared" ca="1" si="1740"/>
        <v>196.55983333333333</v>
      </c>
      <c r="O638" s="16">
        <v>3801</v>
      </c>
      <c r="P638" s="20">
        <f t="shared" ca="1" si="1741"/>
        <v>0.79610628781899495</v>
      </c>
      <c r="Q638" s="21">
        <v>1.5</v>
      </c>
      <c r="R638" s="20">
        <f t="shared" ca="1" si="1742"/>
        <v>0.42763342911982982</v>
      </c>
      <c r="S638" s="22">
        <f t="shared" ca="1" si="1743"/>
        <v>0.64145014367974473</v>
      </c>
      <c r="T638" s="21">
        <f ca="1">F638/29.628</f>
        <v>159.2222222222222</v>
      </c>
      <c r="U638" s="21">
        <f t="shared" ca="1" si="1744"/>
        <v>6.6342592592592586</v>
      </c>
      <c r="V638" s="18">
        <f t="shared" ca="1" si="1745"/>
        <v>126.08333333333333</v>
      </c>
      <c r="W638" s="76"/>
      <c r="X638" s="8">
        <v>6</v>
      </c>
      <c r="Y638" s="8" t="s">
        <v>42</v>
      </c>
      <c r="Z638" s="8">
        <f t="shared" ref="Z638:AI638" si="1776">SUM(D642)</f>
        <v>33</v>
      </c>
      <c r="AA638" s="9">
        <f t="shared" ca="1" si="1776"/>
        <v>33</v>
      </c>
      <c r="AB638" s="10">
        <f t="shared" ca="1" si="1776"/>
        <v>6437.2059999999901</v>
      </c>
      <c r="AC638" s="9">
        <f t="shared" ca="1" si="1776"/>
        <v>3849</v>
      </c>
      <c r="AD638" s="9">
        <f t="shared" ca="1" si="1776"/>
        <v>0</v>
      </c>
      <c r="AE638" s="9">
        <f t="shared" ca="1" si="1776"/>
        <v>3849</v>
      </c>
      <c r="AF638" s="9">
        <f t="shared" ca="1" si="1776"/>
        <v>3929</v>
      </c>
      <c r="AG638" s="9">
        <f t="shared" ca="1" si="1776"/>
        <v>97</v>
      </c>
      <c r="AH638" s="9">
        <f t="shared" ca="1" si="1776"/>
        <v>4026</v>
      </c>
      <c r="AI638" s="9">
        <f t="shared" ca="1" si="1776"/>
        <v>7875</v>
      </c>
      <c r="AJ638" s="11">
        <f t="shared" ca="1" si="1757"/>
        <v>195.06684848484818</v>
      </c>
      <c r="AK638" s="8">
        <f t="shared" si="1773"/>
        <v>9877</v>
      </c>
      <c r="AL638" s="12">
        <f t="shared" ca="1" si="1759"/>
        <v>0.79730687455705174</v>
      </c>
      <c r="AM638" s="13">
        <f t="shared" si="1774"/>
        <v>1.5</v>
      </c>
      <c r="AN638" s="12">
        <f t="shared" ca="1" si="1761"/>
        <v>0.81557122764131018</v>
      </c>
      <c r="AO638" s="14">
        <f t="shared" ca="1" si="1762"/>
        <v>1.2233568414619653</v>
      </c>
      <c r="AP638" s="13">
        <f t="shared" ref="AP638:AQ638" ca="1" si="1777">SUM(T642)</f>
        <v>246.11760657618007</v>
      </c>
      <c r="AQ638" s="13">
        <f t="shared" ca="1" si="1777"/>
        <v>7.4581092901872745</v>
      </c>
      <c r="AR638" s="9">
        <f t="shared" ca="1" si="1764"/>
        <v>238.63636363636363</v>
      </c>
      <c r="AS638" s="76"/>
      <c r="AT638" s="76"/>
    </row>
    <row r="639" spans="1:46" ht="15.75" customHeight="1" x14ac:dyDescent="0.25">
      <c r="A639" s="70"/>
      <c r="B639" s="16">
        <v>13</v>
      </c>
      <c r="C639" s="16" t="s">
        <v>43</v>
      </c>
      <c r="D639" s="17">
        <v>30</v>
      </c>
      <c r="E639" s="18">
        <f ca="1">IFERROR(__xludf.DUMMYFUNCTION("COUNT(IMPORTRANGE(""https://docs.google.com/spreadsheets/d/1uGXvAN2jA6kmcEHUY4KqOHHewllZsujDdA6KVDfBCoA/edit"",""24!d2:d31""))"),30)</f>
        <v>30</v>
      </c>
      <c r="F639" s="23">
        <f ca="1">IFERROR(__xludf.DUMMYFUNCTION("SUM(IMPORTRANGE(""https://docs.google.com/spreadsheets/d/1uGXvAN2jA6kmcEHUY4KqOHHewllZsujDdA6KVDfBCoA/edit"",""24!Q2:Q31""))"),6427.98)</f>
        <v>6427.98</v>
      </c>
      <c r="G639" s="18">
        <f ca="1">IFERROR(__xludf.DUMMYFUNCTION("IMPORTRANGE(""https://docs.google.com/spreadsheets/d/1uGXvAN2jA6kmcEHUY4KqOHHewllZsujDdA6KVDfBCoA/edit"",""24!e38"")"),2017)</f>
        <v>2017</v>
      </c>
      <c r="H639" s="18">
        <f ca="1">IFERROR(__xludf.DUMMYFUNCTION("IMPORTRANGE(""https://docs.google.com/spreadsheets/d/1uGXvAN2jA6kmcEHUY4KqOHHewllZsujDdA6KVDfBCoA/edit"",""24!e39"")"),63)</f>
        <v>63</v>
      </c>
      <c r="I639" s="18">
        <f t="shared" ca="1" si="1737"/>
        <v>2080</v>
      </c>
      <c r="J639" s="18">
        <f ca="1">IFERROR(__xludf.DUMMYFUNCTION("IMPORTRANGE(""https://docs.google.com/spreadsheets/d/1uGXvAN2jA6kmcEHUY4KqOHHewllZsujDdA6KVDfBCoA/edit"",""24!e42"")"),3046)</f>
        <v>3046</v>
      </c>
      <c r="K639" s="18">
        <f ca="1">IFERROR(__xludf.DUMMYFUNCTION("IMPORTRANGE(""https://docs.google.com/spreadsheets/d/1uGXvAN2jA6kmcEHUY4KqOHHewllZsujDdA6KVDfBCoA/edit"",""24!e43"")"),64)</f>
        <v>64</v>
      </c>
      <c r="L639" s="18">
        <f t="shared" ca="1" si="1767"/>
        <v>3110</v>
      </c>
      <c r="M639" s="18">
        <f t="shared" ca="1" si="1739"/>
        <v>5190</v>
      </c>
      <c r="N639" s="19">
        <f t="shared" ca="1" si="1740"/>
        <v>214.26599999999999</v>
      </c>
      <c r="O639" s="16">
        <v>8345</v>
      </c>
      <c r="P639" s="20">
        <f t="shared" ca="1" si="1741"/>
        <v>0.62192929898142602</v>
      </c>
      <c r="Q639" s="21">
        <v>1.5</v>
      </c>
      <c r="R639" s="20">
        <f t="shared" ca="1" si="1742"/>
        <v>0.53827174322259874</v>
      </c>
      <c r="S639" s="22">
        <f t="shared" ca="1" si="1743"/>
        <v>0.80740761483389811</v>
      </c>
      <c r="T639" s="21">
        <f ca="1">F639/41.205</f>
        <v>156</v>
      </c>
      <c r="U639" s="21">
        <f t="shared" ca="1" si="1744"/>
        <v>5.2</v>
      </c>
      <c r="V639" s="18">
        <f t="shared" ca="1" si="1745"/>
        <v>173</v>
      </c>
      <c r="W639" s="76"/>
      <c r="X639" s="24" t="s">
        <v>33</v>
      </c>
      <c r="Y639" s="24">
        <v>6</v>
      </c>
      <c r="Z639" s="24">
        <f t="shared" ref="Z639:AI639" si="1778">SUM(Z633:Z638)</f>
        <v>226</v>
      </c>
      <c r="AA639" s="25">
        <f t="shared" ca="1" si="1778"/>
        <v>221</v>
      </c>
      <c r="AB639" s="27">
        <f t="shared" ca="1" si="1778"/>
        <v>43923.707999999882</v>
      </c>
      <c r="AC639" s="25">
        <f t="shared" ca="1" si="1778"/>
        <v>18666</v>
      </c>
      <c r="AD639" s="25">
        <f t="shared" ca="1" si="1778"/>
        <v>225</v>
      </c>
      <c r="AE639" s="25">
        <f t="shared" ca="1" si="1778"/>
        <v>18891</v>
      </c>
      <c r="AF639" s="25">
        <f t="shared" ca="1" si="1778"/>
        <v>22302</v>
      </c>
      <c r="AG639" s="25">
        <f t="shared" ca="1" si="1778"/>
        <v>550</v>
      </c>
      <c r="AH639" s="25">
        <f t="shared" ca="1" si="1778"/>
        <v>22852</v>
      </c>
      <c r="AI639" s="25">
        <f t="shared" ca="1" si="1778"/>
        <v>41743</v>
      </c>
      <c r="AJ639" s="27">
        <f t="shared" ca="1" si="1757"/>
        <v>198.74980995475059</v>
      </c>
      <c r="AK639" s="24">
        <f>SUM(AK633:AK638)</f>
        <v>53273</v>
      </c>
      <c r="AL639" s="28">
        <f t="shared" ca="1" si="1759"/>
        <v>0.78356766091641172</v>
      </c>
      <c r="AM639" s="29">
        <v>1.5</v>
      </c>
      <c r="AN639" s="28">
        <f t="shared" ca="1" si="1761"/>
        <v>0.63356824671238454</v>
      </c>
      <c r="AO639" s="30">
        <f t="shared" ca="1" si="1762"/>
        <v>0.95035237006857687</v>
      </c>
      <c r="AP639" s="29">
        <f ca="1">SUM(AP633:AP638)</f>
        <v>1440.8776237873599</v>
      </c>
      <c r="AQ639" s="29">
        <f ca="1">AP639/AA639</f>
        <v>6.5198082524314929</v>
      </c>
      <c r="AR639" s="25">
        <f t="shared" ca="1" si="1764"/>
        <v>188.88235294117646</v>
      </c>
      <c r="AS639" s="76"/>
      <c r="AT639" s="76"/>
    </row>
    <row r="640" spans="1:46" ht="15.75" customHeight="1" x14ac:dyDescent="0.25">
      <c r="A640" s="70"/>
      <c r="B640" s="16">
        <v>14</v>
      </c>
      <c r="C640" s="16" t="s">
        <v>27</v>
      </c>
      <c r="D640" s="17">
        <v>30</v>
      </c>
      <c r="E640" s="18">
        <f ca="1">IFERROR(__xludf.DUMMYFUNCTION("COUNT(IMPORTRANGE(""https://docs.google.com/spreadsheets/d/1iYtf3wkjJIgOL8ej0-L89wY8FLXKi6EiRbi9UqA1Bzw/edit"",""24!d2:d31""))"),30)</f>
        <v>30</v>
      </c>
      <c r="F640" s="23">
        <f ca="1">IFERROR(__xludf.DUMMYFUNCTION("SUM(IMPORTRANGE(""https://docs.google.com/spreadsheets/d/1iYtf3wkjJIgOL8ej0-L89wY8FLXKi6EiRbi9UqA1Bzw/edit"",""24!Q2:Q31""))"),5531.73799999999)</f>
        <v>5531.7379999999903</v>
      </c>
      <c r="G640" s="18">
        <f ca="1">IFERROR(__xludf.DUMMYFUNCTION("IMPORTRANGE(""https://docs.google.com/spreadsheets/d/1iYtf3wkjJIgOL8ej0-L89wY8FLXKi6EiRbi9UqA1Bzw/edit"",""24!e38"")"),2681)</f>
        <v>2681</v>
      </c>
      <c r="H640" s="18">
        <f ca="1">IFERROR(__xludf.DUMMYFUNCTION("IMPORTRANGE(""https://docs.google.com/spreadsheets/d/1iYtf3wkjJIgOL8ej0-L89wY8FLXKi6EiRbi9UqA1Bzw/edit"",""24!e39"")"),0)</f>
        <v>0</v>
      </c>
      <c r="I640" s="18">
        <f t="shared" ca="1" si="1737"/>
        <v>2681</v>
      </c>
      <c r="J640" s="18">
        <f ca="1">IFERROR(__xludf.DUMMYFUNCTION("IMPORTRANGE(""https://docs.google.com/spreadsheets/d/1iYtf3wkjJIgOL8ej0-L89wY8FLXKi6EiRbi9UqA1Bzw/edit"",""24!e42"")"),3331)</f>
        <v>3331</v>
      </c>
      <c r="K640" s="18">
        <f ca="1">IFERROR(__xludf.DUMMYFUNCTION("IMPORTRANGE(""https://docs.google.com/spreadsheets/d/1iYtf3wkjJIgOL8ej0-L89wY8FLXKi6EiRbi9UqA1Bzw/edit"",""24!e43"")"),0)</f>
        <v>0</v>
      </c>
      <c r="L640" s="18">
        <f t="shared" ca="1" si="1767"/>
        <v>3331</v>
      </c>
      <c r="M640" s="18">
        <f t="shared" ca="1" si="1739"/>
        <v>6012</v>
      </c>
      <c r="N640" s="19">
        <f t="shared" ca="1" si="1740"/>
        <v>184.39126666666635</v>
      </c>
      <c r="O640" s="16">
        <v>8101</v>
      </c>
      <c r="P640" s="20">
        <f t="shared" ca="1" si="1741"/>
        <v>0.74213060116035057</v>
      </c>
      <c r="Q640" s="21">
        <v>1.5</v>
      </c>
      <c r="R640" s="20">
        <f t="shared" ca="1" si="1742"/>
        <v>0.72454624568264203</v>
      </c>
      <c r="S640" s="22">
        <f t="shared" ca="1" si="1743"/>
        <v>1.0868193685239631</v>
      </c>
      <c r="T640" s="21">
        <f ca="1">F640/19.985</f>
        <v>276.79449587190345</v>
      </c>
      <c r="U640" s="21">
        <f t="shared" ca="1" si="1744"/>
        <v>9.2264831957301148</v>
      </c>
      <c r="V640" s="18">
        <f t="shared" ca="1" si="1745"/>
        <v>200.4</v>
      </c>
      <c r="W640" s="76"/>
      <c r="X640" s="97" t="s">
        <v>44</v>
      </c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9"/>
      <c r="AS640" s="76"/>
      <c r="AT640" s="76"/>
    </row>
    <row r="641" spans="1:46" ht="15.75" customHeight="1" x14ac:dyDescent="0.25">
      <c r="A641" s="70"/>
      <c r="B641" s="16">
        <v>15</v>
      </c>
      <c r="C641" s="16" t="s">
        <v>40</v>
      </c>
      <c r="D641" s="17">
        <v>30</v>
      </c>
      <c r="E641" s="18">
        <f ca="1">IFERROR(__xludf.DUMMYFUNCTION("COUNT(IMPORTRANGE(""https://docs.google.com/spreadsheets/d/1Wdf8MsoDBzMSsrzOXwaGQzbVjVqOWfKSqYmbncevZgA/edit"",""24!d2:d31""))"),30)</f>
        <v>30</v>
      </c>
      <c r="F641" s="23">
        <f ca="1">IFERROR(__xludf.DUMMYFUNCTION("SUM(IMPORTRANGE(""https://docs.google.com/spreadsheets/d/1Wdf8MsoDBzMSsrzOXwaGQzbVjVqOWfKSqYmbncevZgA/edit"",""24!Q2:Q31""))"),5830.81499999999)</f>
        <v>5830.8149999999896</v>
      </c>
      <c r="G641" s="18">
        <f ca="1">IFERROR(__xludf.DUMMYFUNCTION("IMPORTRANGE(""https://docs.google.com/spreadsheets/d/1Wdf8MsoDBzMSsrzOXwaGQzbVjVqOWfKSqYmbncevZgA/edit"",""24!e38"")"),3410)</f>
        <v>3410</v>
      </c>
      <c r="H641" s="18">
        <f ca="1">IFERROR(__xludf.DUMMYFUNCTION("IMPORTRANGE(""https://docs.google.com/spreadsheets/d/1Wdf8MsoDBzMSsrzOXwaGQzbVjVqOWfKSqYmbncevZgA/edit"",""24!e39"")"),9)</f>
        <v>9</v>
      </c>
      <c r="I641" s="18">
        <f t="shared" ca="1" si="1737"/>
        <v>3419</v>
      </c>
      <c r="J641" s="18">
        <f ca="1">IFERROR(__xludf.DUMMYFUNCTION("IMPORTRANGE(""https://docs.google.com/spreadsheets/d/1Wdf8MsoDBzMSsrzOXwaGQzbVjVqOWfKSqYmbncevZgA/edit"",""24!e42"")"),4033)</f>
        <v>4033</v>
      </c>
      <c r="K641" s="18">
        <f ca="1">IFERROR(__xludf.DUMMYFUNCTION("IMPORTRANGE(""https://docs.google.com/spreadsheets/d/1Wdf8MsoDBzMSsrzOXwaGQzbVjVqOWfKSqYmbncevZgA/edit"",""24!e43"")"),0)</f>
        <v>0</v>
      </c>
      <c r="L641" s="18">
        <f t="shared" ca="1" si="1767"/>
        <v>4033</v>
      </c>
      <c r="M641" s="18">
        <f t="shared" ca="1" si="1739"/>
        <v>7452</v>
      </c>
      <c r="N641" s="19">
        <f t="shared" ca="1" si="1740"/>
        <v>194.36049999999966</v>
      </c>
      <c r="O641" s="16">
        <v>8239</v>
      </c>
      <c r="P641" s="20">
        <f t="shared" ca="1" si="1741"/>
        <v>0.90447869887122223</v>
      </c>
      <c r="Q641" s="21">
        <v>1.5</v>
      </c>
      <c r="R641" s="20">
        <f t="shared" ca="1" si="1742"/>
        <v>0.85202497421029622</v>
      </c>
      <c r="S641" s="22">
        <f t="shared" ca="1" si="1743"/>
        <v>1.2780374613154444</v>
      </c>
      <c r="T641" s="21">
        <f ca="1">F641/28.443</f>
        <v>204.99999999999963</v>
      </c>
      <c r="U641" s="21">
        <f t="shared" ca="1" si="1744"/>
        <v>6.8333333333333206</v>
      </c>
      <c r="V641" s="18">
        <f t="shared" ca="1" si="1745"/>
        <v>248.4</v>
      </c>
      <c r="W641" s="76"/>
      <c r="X641" s="1" t="s">
        <v>2</v>
      </c>
      <c r="Y641" s="1" t="s">
        <v>3</v>
      </c>
      <c r="Z641" s="1" t="s">
        <v>4</v>
      </c>
      <c r="AA641" s="1" t="s">
        <v>5</v>
      </c>
      <c r="AB641" s="2" t="s">
        <v>6</v>
      </c>
      <c r="AC641" s="1" t="s">
        <v>7</v>
      </c>
      <c r="AD641" s="1" t="s">
        <v>8</v>
      </c>
      <c r="AE641" s="1" t="s">
        <v>9</v>
      </c>
      <c r="AF641" s="1" t="s">
        <v>10</v>
      </c>
      <c r="AG641" s="1" t="s">
        <v>11</v>
      </c>
      <c r="AH641" s="1" t="s">
        <v>12</v>
      </c>
      <c r="AI641" s="1" t="s">
        <v>13</v>
      </c>
      <c r="AJ641" s="2" t="s">
        <v>14</v>
      </c>
      <c r="AK641" s="1" t="s">
        <v>15</v>
      </c>
      <c r="AL641" s="1" t="s">
        <v>16</v>
      </c>
      <c r="AM641" s="3" t="s">
        <v>17</v>
      </c>
      <c r="AN641" s="4" t="s">
        <v>18</v>
      </c>
      <c r="AO641" s="5" t="s">
        <v>19</v>
      </c>
      <c r="AP641" s="6" t="s">
        <v>20</v>
      </c>
      <c r="AQ641" s="6" t="s">
        <v>21</v>
      </c>
      <c r="AR641" s="7" t="s">
        <v>22</v>
      </c>
      <c r="AS641" s="76"/>
      <c r="AT641" s="76"/>
    </row>
    <row r="642" spans="1:46" ht="15.75" customHeight="1" x14ac:dyDescent="0.25">
      <c r="A642" s="70"/>
      <c r="B642" s="16">
        <v>16</v>
      </c>
      <c r="C642" s="16" t="s">
        <v>42</v>
      </c>
      <c r="D642" s="17">
        <v>33</v>
      </c>
      <c r="E642" s="18">
        <f ca="1">IFERROR(__xludf.DUMMYFUNCTION("COUNT(IMPORTRANGE(""https://docs.google.com/spreadsheets/d/1Z5uB5HbeAKcHmG4EOw3rf2J8NpyvDiha6RReERAMvA0/edit"",""24!d2:d34""))"),33)</f>
        <v>33</v>
      </c>
      <c r="F642" s="23">
        <f ca="1">IFERROR(__xludf.DUMMYFUNCTION("SUM(IMPORTRANGE(""https://docs.google.com/spreadsheets/d/1Z5uB5HbeAKcHmG4EOw3rf2J8NpyvDiha6RReERAMvA0/edit"",""24!Q2:Q34""))"),6437.20599999999)</f>
        <v>6437.2059999999901</v>
      </c>
      <c r="G642" s="18">
        <f ca="1">IFERROR(__xludf.DUMMYFUNCTION("IMPORTRANGE(""https://docs.google.com/spreadsheets/d/1Z5uB5HbeAKcHmG4EOw3rf2J8NpyvDiha6RReERAMvA0/edit"",""24!e41"")"),3849)</f>
        <v>3849</v>
      </c>
      <c r="H642" s="18">
        <f ca="1">IFERROR(__xludf.DUMMYFUNCTION("IMPORTRANGE(""https://docs.google.com/spreadsheets/d/1Z5uB5HbeAKcHmG4EOw3rf2J8NpyvDiha6RReERAMvA0/edit"",""24!e42"")"),0)</f>
        <v>0</v>
      </c>
      <c r="I642" s="18">
        <f t="shared" ca="1" si="1737"/>
        <v>3849</v>
      </c>
      <c r="J642" s="18">
        <f ca="1">IFERROR(__xludf.DUMMYFUNCTION("IMPORTRANGE(""https://docs.google.com/spreadsheets/d/1Z5uB5HbeAKcHmG4EOw3rf2J8NpyvDiha6RReERAMvA0/edit"",""24!e45"")"),3929)</f>
        <v>3929</v>
      </c>
      <c r="K642" s="18">
        <f ca="1">IFERROR(__xludf.DUMMYFUNCTION("IMPORTRANGE(""https://docs.google.com/spreadsheets/d/1Z5uB5HbeAKcHmG4EOw3rf2J8NpyvDiha6RReERAMvA0/edit"",""24!e46"")"),97)</f>
        <v>97</v>
      </c>
      <c r="L642" s="18">
        <f t="shared" ca="1" si="1767"/>
        <v>4026</v>
      </c>
      <c r="M642" s="18">
        <f t="shared" ca="1" si="1739"/>
        <v>7875</v>
      </c>
      <c r="N642" s="19">
        <f t="shared" ca="1" si="1740"/>
        <v>195.06684848484818</v>
      </c>
      <c r="O642" s="16">
        <v>9877</v>
      </c>
      <c r="P642" s="20">
        <f t="shared" ca="1" si="1741"/>
        <v>0.79730687455705174</v>
      </c>
      <c r="Q642" s="21">
        <v>1.5</v>
      </c>
      <c r="R642" s="20">
        <f t="shared" ca="1" si="1742"/>
        <v>0.81557122764131018</v>
      </c>
      <c r="S642" s="22">
        <f t="shared" ca="1" si="1743"/>
        <v>1.2233568414619653</v>
      </c>
      <c r="T642" s="21">
        <f ca="1">F642/26.155</f>
        <v>246.11760657618007</v>
      </c>
      <c r="U642" s="21">
        <f t="shared" ca="1" si="1744"/>
        <v>7.4581092901872745</v>
      </c>
      <c r="V642" s="18">
        <f t="shared" ca="1" si="1745"/>
        <v>238.63636363636363</v>
      </c>
      <c r="W642" s="76"/>
      <c r="X642" s="8">
        <v>1</v>
      </c>
      <c r="Y642" s="8" t="s">
        <v>26</v>
      </c>
      <c r="Z642" s="8">
        <f t="shared" ref="Z642:AI642" si="1779">SUM(D627)</f>
        <v>20</v>
      </c>
      <c r="AA642" s="9">
        <f t="shared" ca="1" si="1779"/>
        <v>20</v>
      </c>
      <c r="AB642" s="11">
        <f t="shared" ca="1" si="1779"/>
        <v>3921.4920000000002</v>
      </c>
      <c r="AC642" s="9">
        <f t="shared" ca="1" si="1779"/>
        <v>2129</v>
      </c>
      <c r="AD642" s="9">
        <f t="shared" ca="1" si="1779"/>
        <v>65</v>
      </c>
      <c r="AE642" s="9">
        <f t="shared" ca="1" si="1779"/>
        <v>2194</v>
      </c>
      <c r="AF642" s="9">
        <f t="shared" ca="1" si="1779"/>
        <v>2786</v>
      </c>
      <c r="AG642" s="9">
        <f t="shared" ca="1" si="1779"/>
        <v>0</v>
      </c>
      <c r="AH642" s="9">
        <f t="shared" ca="1" si="1779"/>
        <v>2786</v>
      </c>
      <c r="AI642" s="9">
        <f t="shared" ca="1" si="1779"/>
        <v>4980</v>
      </c>
      <c r="AJ642" s="11">
        <f t="shared" ref="AJ642:AJ648" ca="1" si="1780">AB642/AA642</f>
        <v>196.0746</v>
      </c>
      <c r="AK642" s="8">
        <f>SUM(O627)</f>
        <v>5161</v>
      </c>
      <c r="AL642" s="12">
        <f t="shared" ref="AL642:AL648" ca="1" si="1781">AI642/AK642</f>
        <v>0.96492927727184652</v>
      </c>
      <c r="AM642" s="13">
        <f>SUM(Q627)</f>
        <v>1.5</v>
      </c>
      <c r="AN642" s="12">
        <f t="shared" ref="AN642:AN648" ca="1" si="1782">AO642/AM642</f>
        <v>0.84661654288724797</v>
      </c>
      <c r="AO642" s="14">
        <f t="shared" ref="AO642:AO648" ca="1" si="1783">AI642/AB642</f>
        <v>1.2699248143308719</v>
      </c>
      <c r="AP642" s="13">
        <f t="shared" ref="AP642:AQ642" ca="1" si="1784">SUM(T627)</f>
        <v>272.04245577523415</v>
      </c>
      <c r="AQ642" s="13">
        <f t="shared" ca="1" si="1784"/>
        <v>13.602122788761708</v>
      </c>
      <c r="AR642" s="9">
        <f t="shared" ref="AR642:AR648" ca="1" si="1785">AI642/AA642</f>
        <v>249</v>
      </c>
      <c r="AS642" s="76"/>
      <c r="AT642" s="76"/>
    </row>
    <row r="643" spans="1:46" ht="15.75" customHeight="1" x14ac:dyDescent="0.25">
      <c r="A643" s="70"/>
      <c r="B643" s="16">
        <v>17</v>
      </c>
      <c r="C643" s="16" t="s">
        <v>29</v>
      </c>
      <c r="D643" s="17">
        <v>30</v>
      </c>
      <c r="E643" s="18">
        <f ca="1">IFERROR(__xludf.DUMMYFUNCTION("COUNT(IMPORTRANGE(""https://docs.google.com/spreadsheets/d/1wfJqI0e9wVPqEQv3N6b8KgINjqI0OBECEyIFeY9j3i8/edit"",""24!d2:d31""))"),30)</f>
        <v>30</v>
      </c>
      <c r="F643" s="23">
        <f ca="1">IFERROR(__xludf.DUMMYFUNCTION("SUM(IMPORTRANGE(""https://docs.google.com/spreadsheets/d/1wfJqI0e9wVPqEQv3N6b8KgINjqI0OBECEyIFeY9j3i8/edit"",""24!Q2:Q31""))"),6172.40299999999)</f>
        <v>6172.4029999999902</v>
      </c>
      <c r="G643" s="18">
        <f ca="1">IFERROR(__xludf.DUMMYFUNCTION("IMPORTRANGE(""https://docs.google.com/spreadsheets/d/1wfJqI0e9wVPqEQv3N6b8KgINjqI0OBECEyIFeY9j3i8/edit"",""24!e38"")"),2794)</f>
        <v>2794</v>
      </c>
      <c r="H643" s="18">
        <f ca="1">IFERROR(__xludf.DUMMYFUNCTION("IMPORTRANGE(""https://docs.google.com/spreadsheets/d/1wfJqI0e9wVPqEQv3N6b8KgINjqI0OBECEyIFeY9j3i8/edit"",""24!e39"")"),0)</f>
        <v>0</v>
      </c>
      <c r="I643" s="18">
        <f t="shared" ca="1" si="1737"/>
        <v>2794</v>
      </c>
      <c r="J643" s="18">
        <f ca="1">IFERROR(__xludf.DUMMYFUNCTION("IMPORTRANGE(""https://docs.google.com/spreadsheets/d/1wfJqI0e9wVPqEQv3N6b8KgINjqI0OBECEyIFeY9j3i8/edit"",""24!e42"")"),4059)</f>
        <v>4059</v>
      </c>
      <c r="K643" s="18">
        <f ca="1">IFERROR(__xludf.DUMMYFUNCTION("IMPORTRANGE(""https://docs.google.com/spreadsheets/d/1wfJqI0e9wVPqEQv3N6b8KgINjqI0OBECEyIFeY9j3i8/edit"",""24!e43"")"),0)</f>
        <v>0</v>
      </c>
      <c r="L643" s="18">
        <f t="shared" ca="1" si="1767"/>
        <v>4059</v>
      </c>
      <c r="M643" s="18">
        <f t="shared" ca="1" si="1739"/>
        <v>6853</v>
      </c>
      <c r="N643" s="19">
        <f t="shared" ca="1" si="1740"/>
        <v>205.74676666666633</v>
      </c>
      <c r="O643" s="16">
        <v>9201</v>
      </c>
      <c r="P643" s="20">
        <f t="shared" ca="1" si="1741"/>
        <v>0.74481034670144552</v>
      </c>
      <c r="Q643" s="21">
        <v>1.5</v>
      </c>
      <c r="R643" s="20">
        <f t="shared" ca="1" si="1742"/>
        <v>0.74017634082976658</v>
      </c>
      <c r="S643" s="22">
        <f t="shared" ca="1" si="1743"/>
        <v>1.1102645112446499</v>
      </c>
      <c r="T643" s="21">
        <f ca="1">F643/26.491</f>
        <v>232.99999999999963</v>
      </c>
      <c r="U643" s="21">
        <f t="shared" ca="1" si="1744"/>
        <v>7.7666666666666542</v>
      </c>
      <c r="V643" s="18">
        <f t="shared" ca="1" si="1745"/>
        <v>228.43333333333334</v>
      </c>
      <c r="W643" s="76"/>
      <c r="X643" s="8">
        <v>2</v>
      </c>
      <c r="Y643" s="8" t="s">
        <v>32</v>
      </c>
      <c r="Z643" s="8">
        <f t="shared" ref="Z643:AI643" si="1786">SUM(D630)</f>
        <v>42</v>
      </c>
      <c r="AA643" s="9">
        <f t="shared" ca="1" si="1786"/>
        <v>41</v>
      </c>
      <c r="AB643" s="10">
        <f t="shared" ca="1" si="1786"/>
        <v>7880.0949999999903</v>
      </c>
      <c r="AC643" s="8">
        <f t="shared" ca="1" si="1786"/>
        <v>4439</v>
      </c>
      <c r="AD643" s="8">
        <f t="shared" ca="1" si="1786"/>
        <v>0</v>
      </c>
      <c r="AE643" s="9">
        <f t="shared" ca="1" si="1786"/>
        <v>4439</v>
      </c>
      <c r="AF643" s="8">
        <f t="shared" ca="1" si="1786"/>
        <v>5937</v>
      </c>
      <c r="AG643" s="8">
        <f t="shared" ca="1" si="1786"/>
        <v>0</v>
      </c>
      <c r="AH643" s="9">
        <f t="shared" ca="1" si="1786"/>
        <v>5937</v>
      </c>
      <c r="AI643" s="9">
        <f t="shared" ca="1" si="1786"/>
        <v>10376</v>
      </c>
      <c r="AJ643" s="11">
        <f t="shared" ca="1" si="1780"/>
        <v>192.19743902439001</v>
      </c>
      <c r="AK643" s="8">
        <f>SUM(O630)</f>
        <v>13817</v>
      </c>
      <c r="AL643" s="12">
        <f t="shared" ca="1" si="1781"/>
        <v>0.75095896359557068</v>
      </c>
      <c r="AM643" s="13">
        <f>SUM(Q630)</f>
        <v>1.5</v>
      </c>
      <c r="AN643" s="12">
        <f t="shared" ca="1" si="1782"/>
        <v>0.87782359645833485</v>
      </c>
      <c r="AO643" s="14">
        <f t="shared" ca="1" si="1783"/>
        <v>1.3167353946875022</v>
      </c>
      <c r="AP643" s="13">
        <f t="shared" ref="AP643:AQ643" ca="1" si="1787">SUM(T630)</f>
        <v>314.0856550679577</v>
      </c>
      <c r="AQ643" s="13">
        <f t="shared" ca="1" si="1787"/>
        <v>7.6606257333648218</v>
      </c>
      <c r="AR643" s="9">
        <f t="shared" ca="1" si="1785"/>
        <v>253.07317073170731</v>
      </c>
      <c r="AS643" s="76"/>
      <c r="AT643" s="76"/>
    </row>
    <row r="644" spans="1:46" ht="15.75" customHeight="1" x14ac:dyDescent="0.25">
      <c r="A644" s="70"/>
      <c r="B644" s="16">
        <v>18</v>
      </c>
      <c r="C644" s="16" t="s">
        <v>31</v>
      </c>
      <c r="D644" s="17">
        <v>15</v>
      </c>
      <c r="E644" s="18">
        <f ca="1">IFERROR(__xludf.DUMMYFUNCTION("COUNT(IMPORTRANGE(""https://docs.google.com/spreadsheets/d/1-y2KhTAo7d8kowgUuWUDfRQuRMUAFteRYEXorT3_wOs/edit"",""24!d2:d16""))"),15)</f>
        <v>15</v>
      </c>
      <c r="F644" s="19">
        <f ca="1">IFERROR(__xludf.DUMMYFUNCTION("SUM(IMPORTRANGE(""https://docs.google.com/spreadsheets/d/1-y2KhTAo7d8kowgUuWUDfRQuRMUAFteRYEXorT3_wOs/edit"",""24!Q2:Q16""))"),3042.54999999999)</f>
        <v>3042.5499999999902</v>
      </c>
      <c r="G644" s="18">
        <f ca="1">IFERROR(__xludf.DUMMYFUNCTION("IMPORTRANGE(""https://docs.google.com/spreadsheets/d/1-y2KhTAo7d8kowgUuWUDfRQuRMUAFteRYEXorT3_wOs/edit"",""24!e23"")"),898)</f>
        <v>898</v>
      </c>
      <c r="H644" s="18">
        <f ca="1">IFERROR(__xludf.DUMMYFUNCTION("IMPORTRANGE(""https://docs.google.com/spreadsheets/d/1-y2KhTAo7d8kowgUuWUDfRQuRMUAFteRYEXorT3_wOs/edit"",""24!e24"")"),9)</f>
        <v>9</v>
      </c>
      <c r="I644" s="18">
        <f t="shared" ca="1" si="1737"/>
        <v>907</v>
      </c>
      <c r="J644" s="18">
        <f ca="1">IFERROR(__xludf.DUMMYFUNCTION("IMPORTRANGE(""https://docs.google.com/spreadsheets/d/1-y2KhTAo7d8kowgUuWUDfRQuRMUAFteRYEXorT3_wOs/edit"",""24!e27"")"),1147)</f>
        <v>1147</v>
      </c>
      <c r="K644" s="18">
        <f ca="1">IFERROR(__xludf.DUMMYFUNCTION("IMPORTRANGE(""https://docs.google.com/spreadsheets/d/1-y2KhTAo7d8kowgUuWUDfRQuRMUAFteRYEXorT3_wOs/edit"",""24!e28"")"),11)</f>
        <v>11</v>
      </c>
      <c r="L644" s="18">
        <f t="shared" ca="1" si="1767"/>
        <v>1158</v>
      </c>
      <c r="M644" s="18">
        <f t="shared" ca="1" si="1739"/>
        <v>2065</v>
      </c>
      <c r="N644" s="19">
        <f t="shared" ca="1" si="1740"/>
        <v>202.83666666666602</v>
      </c>
      <c r="O644" s="16">
        <v>2717</v>
      </c>
      <c r="P644" s="20">
        <f t="shared" ca="1" si="1741"/>
        <v>0.76002944423997054</v>
      </c>
      <c r="Q644" s="21">
        <v>1.5</v>
      </c>
      <c r="R644" s="20">
        <f t="shared" ca="1" si="1742"/>
        <v>0.45247133709114756</v>
      </c>
      <c r="S644" s="22">
        <f t="shared" ca="1" si="1743"/>
        <v>0.67870700563672137</v>
      </c>
      <c r="T644" s="21">
        <f ca="1">F644/43.465</f>
        <v>69.999999999999773</v>
      </c>
      <c r="U644" s="21">
        <f t="shared" ca="1" si="1744"/>
        <v>4.6666666666666519</v>
      </c>
      <c r="V644" s="18">
        <f t="shared" ca="1" si="1745"/>
        <v>137.66666666666666</v>
      </c>
      <c r="W644" s="76"/>
      <c r="X644" s="8">
        <v>3</v>
      </c>
      <c r="Y644" s="8" t="s">
        <v>36</v>
      </c>
      <c r="Z644" s="8">
        <f t="shared" ref="Z644:AI644" si="1788">SUM(D635)</f>
        <v>30</v>
      </c>
      <c r="AA644" s="9">
        <f t="shared" ca="1" si="1788"/>
        <v>30</v>
      </c>
      <c r="AB644" s="10">
        <f t="shared" ca="1" si="1788"/>
        <v>5810.6949999999897</v>
      </c>
      <c r="AC644" s="9">
        <f t="shared" ca="1" si="1788"/>
        <v>1644</v>
      </c>
      <c r="AD644" s="9">
        <f t="shared" ca="1" si="1788"/>
        <v>0</v>
      </c>
      <c r="AE644" s="9">
        <f t="shared" ca="1" si="1788"/>
        <v>1644</v>
      </c>
      <c r="AF644" s="9">
        <f t="shared" ca="1" si="1788"/>
        <v>2335</v>
      </c>
      <c r="AG644" s="9">
        <f t="shared" ca="1" si="1788"/>
        <v>0</v>
      </c>
      <c r="AH644" s="9">
        <f t="shared" ca="1" si="1788"/>
        <v>2335</v>
      </c>
      <c r="AI644" s="9">
        <f t="shared" ca="1" si="1788"/>
        <v>3979</v>
      </c>
      <c r="AJ644" s="11">
        <f t="shared" ca="1" si="1780"/>
        <v>193.68983333333298</v>
      </c>
      <c r="AK644" s="8">
        <f t="shared" ref="AK644:AK647" si="1789">SUM(O635)</f>
        <v>4796</v>
      </c>
      <c r="AL644" s="12">
        <f t="shared" ca="1" si="1781"/>
        <v>0.8296497080900751</v>
      </c>
      <c r="AM644" s="13">
        <f t="shared" ref="AM644:AM647" si="1790">SUM(Q635)</f>
        <v>1.5</v>
      </c>
      <c r="AN644" s="12">
        <f t="shared" ca="1" si="1782"/>
        <v>0.45651452479723531</v>
      </c>
      <c r="AO644" s="14">
        <f t="shared" ca="1" si="1783"/>
        <v>0.68477178719585297</v>
      </c>
      <c r="AP644" s="13">
        <f t="shared" ref="AP644:AQ644" ca="1" si="1791">SUM(T635)</f>
        <v>155.30803977120837</v>
      </c>
      <c r="AQ644" s="13">
        <f t="shared" ca="1" si="1791"/>
        <v>5.1769346590402794</v>
      </c>
      <c r="AR644" s="9">
        <f t="shared" ca="1" si="1785"/>
        <v>132.63333333333333</v>
      </c>
      <c r="AS644" s="76"/>
      <c r="AT644" s="76"/>
    </row>
    <row r="645" spans="1:46" ht="15.75" customHeight="1" x14ac:dyDescent="0.2">
      <c r="A645" s="70"/>
      <c r="B645" s="98" t="s">
        <v>33</v>
      </c>
      <c r="C645" s="98">
        <v>18</v>
      </c>
      <c r="D645" s="98">
        <f t="shared" ref="D645:M645" si="1792">SUM(D627:D644)</f>
        <v>586</v>
      </c>
      <c r="E645" s="74">
        <f t="shared" ca="1" si="1792"/>
        <v>574</v>
      </c>
      <c r="F645" s="99">
        <f t="shared" ca="1" si="1792"/>
        <v>113562.02199999982</v>
      </c>
      <c r="G645" s="74">
        <f t="shared" ca="1" si="1792"/>
        <v>44209</v>
      </c>
      <c r="H645" s="74">
        <f t="shared" ca="1" si="1792"/>
        <v>758</v>
      </c>
      <c r="I645" s="74">
        <f t="shared" ca="1" si="1792"/>
        <v>44967</v>
      </c>
      <c r="J645" s="74">
        <f t="shared" ca="1" si="1792"/>
        <v>56385</v>
      </c>
      <c r="K645" s="74">
        <f t="shared" ca="1" si="1792"/>
        <v>1227</v>
      </c>
      <c r="L645" s="74">
        <f t="shared" ca="1" si="1792"/>
        <v>57612</v>
      </c>
      <c r="M645" s="74">
        <f t="shared" ca="1" si="1792"/>
        <v>102579</v>
      </c>
      <c r="N645" s="99">
        <f t="shared" ca="1" si="1740"/>
        <v>197.84324390243873</v>
      </c>
      <c r="O645" s="98">
        <f>SUM(O627:O644)</f>
        <v>126399</v>
      </c>
      <c r="P645" s="69">
        <f t="shared" ca="1" si="1741"/>
        <v>0.81154914200270567</v>
      </c>
      <c r="Q645" s="72">
        <v>1.5</v>
      </c>
      <c r="R645" s="69">
        <f t="shared" ca="1" si="1742"/>
        <v>0.60219075704728209</v>
      </c>
      <c r="S645" s="73">
        <f t="shared" ca="1" si="1743"/>
        <v>0.90328613557092319</v>
      </c>
      <c r="T645" s="72">
        <f ca="1">SUM(T627:T644)</f>
        <v>4179.7361530467297</v>
      </c>
      <c r="U645" s="72">
        <f t="shared" ca="1" si="1744"/>
        <v>7.2817703014751389</v>
      </c>
      <c r="V645" s="74">
        <f t="shared" ca="1" si="1745"/>
        <v>178.70905923344947</v>
      </c>
      <c r="W645" s="76"/>
      <c r="X645" s="8">
        <v>4</v>
      </c>
      <c r="Y645" s="8" t="s">
        <v>37</v>
      </c>
      <c r="Z645" s="8">
        <f t="shared" ref="Z645:AI645" si="1793">SUM(D636)</f>
        <v>30</v>
      </c>
      <c r="AA645" s="9">
        <f t="shared" ca="1" si="1793"/>
        <v>26</v>
      </c>
      <c r="AB645" s="10">
        <f t="shared" ca="1" si="1793"/>
        <v>5239.8</v>
      </c>
      <c r="AC645" s="9">
        <f t="shared" ca="1" si="1793"/>
        <v>2152</v>
      </c>
      <c r="AD645" s="9">
        <f t="shared" ca="1" si="1793"/>
        <v>90</v>
      </c>
      <c r="AE645" s="9">
        <f t="shared" ca="1" si="1793"/>
        <v>2242</v>
      </c>
      <c r="AF645" s="9">
        <f t="shared" ca="1" si="1793"/>
        <v>2841</v>
      </c>
      <c r="AG645" s="9">
        <f t="shared" ca="1" si="1793"/>
        <v>0</v>
      </c>
      <c r="AH645" s="9">
        <f t="shared" ca="1" si="1793"/>
        <v>2841</v>
      </c>
      <c r="AI645" s="9">
        <f t="shared" ca="1" si="1793"/>
        <v>5083</v>
      </c>
      <c r="AJ645" s="11">
        <f t="shared" ca="1" si="1780"/>
        <v>201.53076923076924</v>
      </c>
      <c r="AK645" s="8">
        <f t="shared" si="1789"/>
        <v>5887</v>
      </c>
      <c r="AL645" s="12">
        <f t="shared" ca="1" si="1781"/>
        <v>0.86342789196534742</v>
      </c>
      <c r="AM645" s="13">
        <f t="shared" si="1790"/>
        <v>1.5</v>
      </c>
      <c r="AN645" s="12">
        <f t="shared" ca="1" si="1782"/>
        <v>0.64671679580645569</v>
      </c>
      <c r="AO645" s="14">
        <f t="shared" ca="1" si="1783"/>
        <v>0.97007519370968354</v>
      </c>
      <c r="AP645" s="13">
        <f t="shared" ref="AP645:AQ645" ca="1" si="1794">SUM(T636)</f>
        <v>211.35043562439495</v>
      </c>
      <c r="AQ645" s="13">
        <f t="shared" ca="1" si="1794"/>
        <v>8.128862908630575</v>
      </c>
      <c r="AR645" s="9">
        <f t="shared" ca="1" si="1785"/>
        <v>195.5</v>
      </c>
      <c r="AS645" s="76"/>
      <c r="AT645" s="76"/>
    </row>
    <row r="646" spans="1:46" ht="15.75" customHeight="1" x14ac:dyDescent="0.2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6"/>
      <c r="X646" s="8">
        <v>5</v>
      </c>
      <c r="Y646" s="8" t="s">
        <v>39</v>
      </c>
      <c r="Z646" s="8">
        <f t="shared" ref="Z646:AI646" si="1795">SUM(D637)</f>
        <v>28</v>
      </c>
      <c r="AA646" s="9">
        <f t="shared" ca="1" si="1795"/>
        <v>27</v>
      </c>
      <c r="AB646" s="10">
        <f t="shared" ca="1" si="1795"/>
        <v>5566.1930000000002</v>
      </c>
      <c r="AC646" s="9">
        <f t="shared" ca="1" si="1795"/>
        <v>1205</v>
      </c>
      <c r="AD646" s="9">
        <f t="shared" ca="1" si="1795"/>
        <v>0</v>
      </c>
      <c r="AE646" s="9">
        <f t="shared" ca="1" si="1795"/>
        <v>1205</v>
      </c>
      <c r="AF646" s="9">
        <f t="shared" ca="1" si="1795"/>
        <v>1746</v>
      </c>
      <c r="AG646" s="9">
        <f t="shared" ca="1" si="1795"/>
        <v>59</v>
      </c>
      <c r="AH646" s="9">
        <f t="shared" ca="1" si="1795"/>
        <v>1805</v>
      </c>
      <c r="AI646" s="9">
        <f t="shared" ca="1" si="1795"/>
        <v>3010</v>
      </c>
      <c r="AJ646" s="11">
        <f t="shared" ca="1" si="1780"/>
        <v>206.15529629629631</v>
      </c>
      <c r="AK646" s="8">
        <f t="shared" si="1789"/>
        <v>3569</v>
      </c>
      <c r="AL646" s="12">
        <f t="shared" ca="1" si="1781"/>
        <v>0.84337349397590367</v>
      </c>
      <c r="AM646" s="13">
        <f t="shared" si="1790"/>
        <v>1.5</v>
      </c>
      <c r="AN646" s="12">
        <f t="shared" ca="1" si="1782"/>
        <v>0.36050971762327794</v>
      </c>
      <c r="AO646" s="14">
        <f t="shared" ca="1" si="1783"/>
        <v>0.54076457643491693</v>
      </c>
      <c r="AP646" s="13">
        <f t="shared" ref="AP646:AQ646" ca="1" si="1796">SUM(T637)</f>
        <v>259.33900200344777</v>
      </c>
      <c r="AQ646" s="13">
        <f t="shared" ca="1" si="1796"/>
        <v>9.6051482223499178</v>
      </c>
      <c r="AR646" s="9">
        <f t="shared" ca="1" si="1785"/>
        <v>111.48148148148148</v>
      </c>
      <c r="AS646" s="76"/>
      <c r="AT646" s="76"/>
    </row>
    <row r="647" spans="1:46" ht="15.75" customHeight="1" x14ac:dyDescent="0.2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6"/>
      <c r="X647" s="8">
        <v>6</v>
      </c>
      <c r="Y647" s="8" t="s">
        <v>41</v>
      </c>
      <c r="Z647" s="8">
        <f t="shared" ref="Z647:AI647" si="1797">SUM(D638)</f>
        <v>24</v>
      </c>
      <c r="AA647" s="9">
        <f t="shared" ca="1" si="1797"/>
        <v>24</v>
      </c>
      <c r="AB647" s="10">
        <f t="shared" ca="1" si="1797"/>
        <v>4717.4359999999997</v>
      </c>
      <c r="AC647" s="9">
        <f t="shared" ca="1" si="1797"/>
        <v>1243</v>
      </c>
      <c r="AD647" s="9">
        <f t="shared" ca="1" si="1797"/>
        <v>0</v>
      </c>
      <c r="AE647" s="9">
        <f t="shared" ca="1" si="1797"/>
        <v>1243</v>
      </c>
      <c r="AF647" s="9">
        <f t="shared" ca="1" si="1797"/>
        <v>1730</v>
      </c>
      <c r="AG647" s="9">
        <f t="shared" ca="1" si="1797"/>
        <v>53</v>
      </c>
      <c r="AH647" s="9">
        <f t="shared" ca="1" si="1797"/>
        <v>1783</v>
      </c>
      <c r="AI647" s="9">
        <f t="shared" ca="1" si="1797"/>
        <v>3026</v>
      </c>
      <c r="AJ647" s="11">
        <f t="shared" ca="1" si="1780"/>
        <v>196.55983333333333</v>
      </c>
      <c r="AK647" s="8">
        <f t="shared" si="1789"/>
        <v>3801</v>
      </c>
      <c r="AL647" s="12">
        <f t="shared" ca="1" si="1781"/>
        <v>0.79610628781899495</v>
      </c>
      <c r="AM647" s="13">
        <f t="shared" si="1790"/>
        <v>1.5</v>
      </c>
      <c r="AN647" s="12">
        <f t="shared" ca="1" si="1782"/>
        <v>0.42763342911982982</v>
      </c>
      <c r="AO647" s="14">
        <f t="shared" ca="1" si="1783"/>
        <v>0.64145014367974473</v>
      </c>
      <c r="AP647" s="13">
        <f t="shared" ref="AP647:AQ647" ca="1" si="1798">SUM(T638)</f>
        <v>159.2222222222222</v>
      </c>
      <c r="AQ647" s="13">
        <f t="shared" ca="1" si="1798"/>
        <v>6.6342592592592586</v>
      </c>
      <c r="AR647" s="9">
        <f t="shared" ca="1" si="1785"/>
        <v>126.08333333333333</v>
      </c>
      <c r="AS647" s="76"/>
      <c r="AT647" s="76"/>
    </row>
    <row r="648" spans="1:46" ht="15.75" customHeight="1" x14ac:dyDescent="0.25">
      <c r="A648" s="110" t="s">
        <v>45</v>
      </c>
      <c r="B648" s="76"/>
      <c r="C648" s="76"/>
      <c r="D648" s="75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24" t="s">
        <v>33</v>
      </c>
      <c r="Y648" s="24">
        <v>6</v>
      </c>
      <c r="Z648" s="24">
        <f t="shared" ref="Z648:AI648" si="1799">SUM(Z642:Z647)</f>
        <v>174</v>
      </c>
      <c r="AA648" s="25">
        <f t="shared" ca="1" si="1799"/>
        <v>168</v>
      </c>
      <c r="AB648" s="27">
        <f t="shared" ca="1" si="1799"/>
        <v>33135.710999999981</v>
      </c>
      <c r="AC648" s="25">
        <f t="shared" ca="1" si="1799"/>
        <v>12812</v>
      </c>
      <c r="AD648" s="25">
        <f t="shared" ca="1" si="1799"/>
        <v>155</v>
      </c>
      <c r="AE648" s="25">
        <f t="shared" ca="1" si="1799"/>
        <v>12967</v>
      </c>
      <c r="AF648" s="25">
        <f t="shared" ca="1" si="1799"/>
        <v>17375</v>
      </c>
      <c r="AG648" s="25">
        <f t="shared" ca="1" si="1799"/>
        <v>112</v>
      </c>
      <c r="AH648" s="25">
        <f t="shared" ca="1" si="1799"/>
        <v>17487</v>
      </c>
      <c r="AI648" s="25">
        <f t="shared" ca="1" si="1799"/>
        <v>30454</v>
      </c>
      <c r="AJ648" s="27">
        <f t="shared" ca="1" si="1780"/>
        <v>197.2363749999999</v>
      </c>
      <c r="AK648" s="24">
        <f>SUM(AK642:AK647)</f>
        <v>37031</v>
      </c>
      <c r="AL648" s="28">
        <f t="shared" ca="1" si="1781"/>
        <v>0.82239204990413439</v>
      </c>
      <c r="AM648" s="29">
        <v>1.5</v>
      </c>
      <c r="AN648" s="28">
        <f t="shared" ca="1" si="1782"/>
        <v>0.61271257063615381</v>
      </c>
      <c r="AO648" s="30">
        <f t="shared" ca="1" si="1783"/>
        <v>0.91906885595423071</v>
      </c>
      <c r="AP648" s="29">
        <f ca="1">SUM(AP642:AP647)</f>
        <v>1371.3478104644653</v>
      </c>
      <c r="AQ648" s="29">
        <f ca="1">AP648/AA648</f>
        <v>8.1627845860980077</v>
      </c>
      <c r="AR648" s="25">
        <f t="shared" ca="1" si="1785"/>
        <v>181.27380952380952</v>
      </c>
      <c r="AS648" s="76"/>
      <c r="AT648" s="76"/>
    </row>
    <row r="649" spans="1:46" ht="15.75" customHeight="1" x14ac:dyDescent="0.2">
      <c r="A649" s="110" t="s">
        <v>45</v>
      </c>
      <c r="B649" s="76"/>
      <c r="C649" s="76"/>
      <c r="D649" s="75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7" t="s">
        <v>1</v>
      </c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9"/>
      <c r="AS649" s="76"/>
      <c r="AT649" s="76"/>
    </row>
    <row r="650" spans="1:46" ht="15.75" customHeight="1" x14ac:dyDescent="0.2">
      <c r="A650" s="109">
        <v>46290</v>
      </c>
      <c r="B650" s="80" t="s">
        <v>2</v>
      </c>
      <c r="C650" s="80" t="s">
        <v>3</v>
      </c>
      <c r="D650" s="80" t="s">
        <v>4</v>
      </c>
      <c r="E650" s="80" t="s">
        <v>5</v>
      </c>
      <c r="F650" s="81" t="s">
        <v>6</v>
      </c>
      <c r="G650" s="80" t="s">
        <v>7</v>
      </c>
      <c r="H650" s="80" t="s">
        <v>8</v>
      </c>
      <c r="I650" s="80" t="s">
        <v>9</v>
      </c>
      <c r="J650" s="80" t="s">
        <v>10</v>
      </c>
      <c r="K650" s="80" t="s">
        <v>11</v>
      </c>
      <c r="L650" s="80" t="s">
        <v>12</v>
      </c>
      <c r="M650" s="80" t="s">
        <v>13</v>
      </c>
      <c r="N650" s="81" t="s">
        <v>14</v>
      </c>
      <c r="O650" s="80" t="s">
        <v>15</v>
      </c>
      <c r="P650" s="80" t="s">
        <v>16</v>
      </c>
      <c r="Q650" s="80" t="s">
        <v>17</v>
      </c>
      <c r="R650" s="80" t="s">
        <v>18</v>
      </c>
      <c r="S650" s="106" t="s">
        <v>19</v>
      </c>
      <c r="T650" s="107" t="s">
        <v>20</v>
      </c>
      <c r="U650" s="107" t="s">
        <v>21</v>
      </c>
      <c r="V650" s="105" t="s">
        <v>22</v>
      </c>
      <c r="W650" s="76"/>
      <c r="X650" s="1" t="s">
        <v>2</v>
      </c>
      <c r="Y650" s="1" t="s">
        <v>3</v>
      </c>
      <c r="Z650" s="1" t="s">
        <v>4</v>
      </c>
      <c r="AA650" s="1" t="s">
        <v>5</v>
      </c>
      <c r="AB650" s="2" t="s">
        <v>6</v>
      </c>
      <c r="AC650" s="1" t="s">
        <v>7</v>
      </c>
      <c r="AD650" s="1" t="s">
        <v>8</v>
      </c>
      <c r="AE650" s="1" t="s">
        <v>9</v>
      </c>
      <c r="AF650" s="1" t="s">
        <v>10</v>
      </c>
      <c r="AG650" s="1" t="s">
        <v>11</v>
      </c>
      <c r="AH650" s="1" t="s">
        <v>12</v>
      </c>
      <c r="AI650" s="1" t="s">
        <v>13</v>
      </c>
      <c r="AJ650" s="2" t="s">
        <v>14</v>
      </c>
      <c r="AK650" s="1" t="s">
        <v>15</v>
      </c>
      <c r="AL650" s="1" t="s">
        <v>16</v>
      </c>
      <c r="AM650" s="3" t="s">
        <v>17</v>
      </c>
      <c r="AN650" s="4" t="s">
        <v>18</v>
      </c>
      <c r="AO650" s="5" t="s">
        <v>19</v>
      </c>
      <c r="AP650" s="6" t="s">
        <v>20</v>
      </c>
      <c r="AQ650" s="6" t="s">
        <v>21</v>
      </c>
      <c r="AR650" s="7" t="s">
        <v>22</v>
      </c>
      <c r="AS650" s="76"/>
      <c r="AT650" s="76"/>
    </row>
    <row r="651" spans="1:46" ht="15.75" customHeight="1" x14ac:dyDescent="0.2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6"/>
      <c r="X651" s="8">
        <v>1</v>
      </c>
      <c r="Y651" s="8" t="s">
        <v>23</v>
      </c>
      <c r="Z651" s="8">
        <f t="shared" ref="Z651:AI651" si="1800">SUM(D659)</f>
        <v>35</v>
      </c>
      <c r="AA651" s="9">
        <f t="shared" ca="1" si="1800"/>
        <v>34</v>
      </c>
      <c r="AB651" s="10">
        <f t="shared" ca="1" si="1800"/>
        <v>6545.5599999999904</v>
      </c>
      <c r="AC651" s="9">
        <f t="shared" ca="1" si="1800"/>
        <v>2623</v>
      </c>
      <c r="AD651" s="9">
        <f t="shared" ca="1" si="1800"/>
        <v>0</v>
      </c>
      <c r="AE651" s="9">
        <f t="shared" ca="1" si="1800"/>
        <v>2623</v>
      </c>
      <c r="AF651" s="9">
        <f t="shared" ca="1" si="1800"/>
        <v>2174</v>
      </c>
      <c r="AG651" s="9">
        <f t="shared" ca="1" si="1800"/>
        <v>147</v>
      </c>
      <c r="AH651" s="9">
        <f t="shared" ca="1" si="1800"/>
        <v>2321</v>
      </c>
      <c r="AI651" s="9">
        <f t="shared" ca="1" si="1800"/>
        <v>4944</v>
      </c>
      <c r="AJ651" s="11">
        <f t="shared" ref="AJ651:AJ653" ca="1" si="1801">AB651/AA651</f>
        <v>192.51647058823502</v>
      </c>
      <c r="AK651" s="8">
        <f>SUM(O659)</f>
        <v>6853</v>
      </c>
      <c r="AL651" s="12">
        <f t="shared" ref="AL651:AL657" ca="1" si="1802">AI651/AK651</f>
        <v>0.72143586750328326</v>
      </c>
      <c r="AM651" s="13">
        <f t="shared" ref="AM651:AM653" si="1803">SUM(Q659)</f>
        <v>1.5</v>
      </c>
      <c r="AN651" s="12">
        <f t="shared" ref="AN651:AN657" ca="1" si="1804">AO651/AM651</f>
        <v>0.5035474428467549</v>
      </c>
      <c r="AO651" s="14">
        <f t="shared" ref="AO651:AO657" ca="1" si="1805">AI651/AB651</f>
        <v>0.75532116427013229</v>
      </c>
      <c r="AP651" s="13">
        <f t="shared" ref="AP651:AQ651" ca="1" si="1806">SUM(T659)</f>
        <v>193.99999999999972</v>
      </c>
      <c r="AQ651" s="13">
        <f t="shared" ca="1" si="1806"/>
        <v>5.7058823529411677</v>
      </c>
      <c r="AR651" s="9">
        <f t="shared" ref="AR651:AR657" ca="1" si="1807">AI651/AA651</f>
        <v>145.41176470588235</v>
      </c>
      <c r="AS651" s="76"/>
      <c r="AT651" s="76"/>
    </row>
    <row r="652" spans="1:46" ht="15.75" customHeight="1" x14ac:dyDescent="0.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6"/>
      <c r="X652" s="8">
        <v>2</v>
      </c>
      <c r="Y652" s="8" t="s">
        <v>24</v>
      </c>
      <c r="Z652" s="8">
        <f t="shared" ref="Z652:AI652" si="1808">SUM(D660)</f>
        <v>44</v>
      </c>
      <c r="AA652" s="9">
        <f t="shared" ca="1" si="1808"/>
        <v>42</v>
      </c>
      <c r="AB652" s="10">
        <f t="shared" ca="1" si="1808"/>
        <v>8413.4769999999899</v>
      </c>
      <c r="AC652" s="9">
        <f t="shared" ca="1" si="1808"/>
        <v>1128</v>
      </c>
      <c r="AD652" s="9">
        <f t="shared" ca="1" si="1808"/>
        <v>0</v>
      </c>
      <c r="AE652" s="9">
        <f t="shared" ca="1" si="1808"/>
        <v>1128</v>
      </c>
      <c r="AF652" s="9">
        <f t="shared" ca="1" si="1808"/>
        <v>1748</v>
      </c>
      <c r="AG652" s="9">
        <f t="shared" ca="1" si="1808"/>
        <v>19</v>
      </c>
      <c r="AH652" s="9">
        <f t="shared" ca="1" si="1808"/>
        <v>1767</v>
      </c>
      <c r="AI652" s="9">
        <f t="shared" ca="1" si="1808"/>
        <v>2895</v>
      </c>
      <c r="AJ652" s="11">
        <f t="shared" ca="1" si="1801"/>
        <v>200.32088095238072</v>
      </c>
      <c r="AK652" s="8">
        <v>1580</v>
      </c>
      <c r="AL652" s="12">
        <f t="shared" ca="1" si="1802"/>
        <v>1.8322784810126582</v>
      </c>
      <c r="AM652" s="13">
        <f t="shared" si="1803"/>
        <v>1.5</v>
      </c>
      <c r="AN652" s="12">
        <f t="shared" ca="1" si="1804"/>
        <v>0.22939386415390475</v>
      </c>
      <c r="AO652" s="14">
        <f t="shared" ca="1" si="1805"/>
        <v>0.34409079623085714</v>
      </c>
      <c r="AP652" s="13">
        <f t="shared" ref="AP652:AQ652" ca="1" si="1809">SUM(T660)</f>
        <v>313.8771497854874</v>
      </c>
      <c r="AQ652" s="13">
        <f t="shared" ca="1" si="1809"/>
        <v>7.4732654710830335</v>
      </c>
      <c r="AR652" s="9">
        <f t="shared" ca="1" si="1807"/>
        <v>68.928571428571431</v>
      </c>
      <c r="AS652" s="76"/>
      <c r="AT652" s="76"/>
    </row>
    <row r="653" spans="1:46" ht="15.75" customHeight="1" x14ac:dyDescent="0.2">
      <c r="A653" s="70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6"/>
      <c r="X653" s="8">
        <v>3</v>
      </c>
      <c r="Y653" s="8" t="s">
        <v>25</v>
      </c>
      <c r="Z653" s="8">
        <f t="shared" ref="Z653:AI653" si="1810">SUM(D661)</f>
        <v>32</v>
      </c>
      <c r="AA653" s="9">
        <f t="shared" ca="1" si="1810"/>
        <v>32</v>
      </c>
      <c r="AB653" s="10">
        <f t="shared" ca="1" si="1810"/>
        <v>5840.8</v>
      </c>
      <c r="AC653" s="9">
        <f t="shared" ca="1" si="1810"/>
        <v>2485</v>
      </c>
      <c r="AD653" s="9">
        <f t="shared" ca="1" si="1810"/>
        <v>365</v>
      </c>
      <c r="AE653" s="9">
        <f t="shared" ca="1" si="1810"/>
        <v>2850</v>
      </c>
      <c r="AF653" s="9">
        <f t="shared" ca="1" si="1810"/>
        <v>3400</v>
      </c>
      <c r="AG653" s="9">
        <f t="shared" ca="1" si="1810"/>
        <v>460</v>
      </c>
      <c r="AH653" s="9">
        <f t="shared" ca="1" si="1810"/>
        <v>3860</v>
      </c>
      <c r="AI653" s="9">
        <f t="shared" ca="1" si="1810"/>
        <v>6710</v>
      </c>
      <c r="AJ653" s="11">
        <f t="shared" ca="1" si="1801"/>
        <v>182.52500000000001</v>
      </c>
      <c r="AK653" s="8">
        <f>SUM(O661)</f>
        <v>6622</v>
      </c>
      <c r="AL653" s="12">
        <f t="shared" ca="1" si="1802"/>
        <v>1.0132890365448506</v>
      </c>
      <c r="AM653" s="13">
        <f t="shared" si="1803"/>
        <v>1.5</v>
      </c>
      <c r="AN653" s="12">
        <f t="shared" ca="1" si="1804"/>
        <v>0.76587682052686834</v>
      </c>
      <c r="AO653" s="14">
        <f t="shared" ca="1" si="1805"/>
        <v>1.1488152307903026</v>
      </c>
      <c r="AP653" s="13">
        <f t="shared" ref="AP653:AQ653" ca="1" si="1811">SUM(T661)</f>
        <v>245</v>
      </c>
      <c r="AQ653" s="13">
        <f t="shared" ca="1" si="1811"/>
        <v>7.65625</v>
      </c>
      <c r="AR653" s="9">
        <f t="shared" ca="1" si="1807"/>
        <v>209.6875</v>
      </c>
      <c r="AS653" s="76"/>
      <c r="AT653" s="76"/>
    </row>
    <row r="654" spans="1:46" ht="15.75" customHeight="1" x14ac:dyDescent="0.25">
      <c r="A654" s="70"/>
      <c r="B654" s="16">
        <v>1</v>
      </c>
      <c r="C654" s="16" t="s">
        <v>26</v>
      </c>
      <c r="D654" s="17">
        <v>20</v>
      </c>
      <c r="E654" s="18">
        <f ca="1">IFERROR(__xludf.DUMMYFUNCTION("COUNT(IMPORTRANGE(""https://docs.google.com/spreadsheets/d/1F0NpMx7WhcgPgxTWpryY3Z1CGg56FL6aiL4mHs43w4E/edit"",""25!d2:d21""))"),20)</f>
        <v>20</v>
      </c>
      <c r="F654" s="19">
        <f ca="1">IFERROR(__xludf.DUMMYFUNCTION("SUM(IMPORTRANGE(""https://docs.google.com/spreadsheets/d/1F0NpMx7WhcgPgxTWpryY3Z1CGg56FL6aiL4mHs43w4E/edit"",""25!Q2:Q21""))"),3849.57)</f>
        <v>3849.57</v>
      </c>
      <c r="G654" s="18">
        <f ca="1">IFERROR(__xludf.DUMMYFUNCTION("IMPORTRANGE(""https://docs.google.com/spreadsheets/d/1F0NpMx7WhcgPgxTWpryY3Z1CGg56FL6aiL4mHs43w4E/edit"",""25!e28"")"),1995)</f>
        <v>1995</v>
      </c>
      <c r="H654" s="18">
        <f ca="1">IFERROR(__xludf.DUMMYFUNCTION("IMPORTRANGE(""https://docs.google.com/spreadsheets/d/1F0NpMx7WhcgPgxTWpryY3Z1CGg56FL6aiL4mHs43w4E/edit"",""25!e29"")"),0)</f>
        <v>0</v>
      </c>
      <c r="I654" s="18">
        <f t="shared" ref="I654:I671" ca="1" si="1812">SUM(G654:H654)</f>
        <v>1995</v>
      </c>
      <c r="J654" s="18">
        <f ca="1">IFERROR(__xludf.DUMMYFUNCTION("IMPORTRANGE(""https://docs.google.com/spreadsheets/d/1F0NpMx7WhcgPgxTWpryY3Z1CGg56FL6aiL4mHs43w4E/edit"",""25!e32"")"),3171)</f>
        <v>3171</v>
      </c>
      <c r="K654" s="18">
        <f ca="1">IFERROR(__xludf.DUMMYFUNCTION("IMPORTRANGE(""https://docs.google.com/spreadsheets/d/1F0NpMx7WhcgPgxTWpryY3Z1CGg56FL6aiL4mHs43w4E/edit"",""25!e33"")"),0)</f>
        <v>0</v>
      </c>
      <c r="L654" s="18">
        <f t="shared" ref="L654:L660" ca="1" si="1813">SUM(J654:K654)</f>
        <v>3171</v>
      </c>
      <c r="M654" s="18">
        <f t="shared" ref="M654:M671" ca="1" si="1814">SUM(I654+L654)</f>
        <v>5166</v>
      </c>
      <c r="N654" s="19">
        <f t="shared" ref="N654:N672" ca="1" si="1815">F654/E654</f>
        <v>192.4785</v>
      </c>
      <c r="O654" s="16">
        <v>5161</v>
      </c>
      <c r="P654" s="20">
        <f t="shared" ref="P654:P672" ca="1" si="1816">M654/O654</f>
        <v>1.0009688044952529</v>
      </c>
      <c r="Q654" s="21">
        <v>1.5</v>
      </c>
      <c r="R654" s="20">
        <f t="shared" ref="R654:R672" ca="1" si="1817">S654/Q654</f>
        <v>0.89464537597705718</v>
      </c>
      <c r="S654" s="22">
        <f t="shared" ref="S654:S672" ca="1" si="1818">M654/F654</f>
        <v>1.3419680639655858</v>
      </c>
      <c r="T654" s="21">
        <f ca="1">F654/14.415</f>
        <v>267.0530697190427</v>
      </c>
      <c r="U654" s="21">
        <f t="shared" ref="U654:U672" ca="1" si="1819">T654/E654</f>
        <v>13.352653485952136</v>
      </c>
      <c r="V654" s="18">
        <f t="shared" ref="V654:V672" ca="1" si="1820">M654/E654</f>
        <v>258.3</v>
      </c>
      <c r="W654" s="76"/>
      <c r="X654" s="8">
        <v>4</v>
      </c>
      <c r="Y654" s="8" t="s">
        <v>27</v>
      </c>
      <c r="Z654" s="8">
        <f t="shared" ref="Z654:AK654" si="1821">SUM(D667)</f>
        <v>30</v>
      </c>
      <c r="AA654" s="9">
        <f t="shared" ca="1" si="1821"/>
        <v>30</v>
      </c>
      <c r="AB654" s="10">
        <f t="shared" ca="1" si="1821"/>
        <v>5585.67</v>
      </c>
      <c r="AC654" s="9">
        <f t="shared" ca="1" si="1821"/>
        <v>2743</v>
      </c>
      <c r="AD654" s="9">
        <f t="shared" ca="1" si="1821"/>
        <v>0</v>
      </c>
      <c r="AE654" s="9">
        <f t="shared" ca="1" si="1821"/>
        <v>2743</v>
      </c>
      <c r="AF654" s="9">
        <f t="shared" ca="1" si="1821"/>
        <v>3281</v>
      </c>
      <c r="AG654" s="9">
        <f t="shared" ca="1" si="1821"/>
        <v>50</v>
      </c>
      <c r="AH654" s="9">
        <f t="shared" ca="1" si="1821"/>
        <v>3331</v>
      </c>
      <c r="AI654" s="9">
        <f t="shared" ca="1" si="1821"/>
        <v>6074</v>
      </c>
      <c r="AJ654" s="11">
        <f t="shared" ca="1" si="1821"/>
        <v>186.18899999999999</v>
      </c>
      <c r="AK654" s="8">
        <f t="shared" si="1821"/>
        <v>8101</v>
      </c>
      <c r="AL654" s="12">
        <f t="shared" ca="1" si="1802"/>
        <v>0.74978397728675472</v>
      </c>
      <c r="AM654" s="13">
        <f>SUM(Q667)</f>
        <v>1.5</v>
      </c>
      <c r="AN654" s="12">
        <f t="shared" ca="1" si="1804"/>
        <v>0.72495033421833599</v>
      </c>
      <c r="AO654" s="14">
        <f t="shared" ca="1" si="1805"/>
        <v>1.087425501327504</v>
      </c>
      <c r="AP654" s="13">
        <f t="shared" ref="AP654:AQ654" ca="1" si="1822">SUM(T667)</f>
        <v>279.49311983987991</v>
      </c>
      <c r="AQ654" s="13">
        <f t="shared" ca="1" si="1822"/>
        <v>9.3164373279959971</v>
      </c>
      <c r="AR654" s="9">
        <f t="shared" ca="1" si="1807"/>
        <v>202.46666666666667</v>
      </c>
      <c r="AS654" s="76"/>
      <c r="AT654" s="76"/>
    </row>
    <row r="655" spans="1:46" ht="15.75" customHeight="1" x14ac:dyDescent="0.25">
      <c r="A655" s="70"/>
      <c r="B655" s="16">
        <v>2</v>
      </c>
      <c r="C655" s="16" t="s">
        <v>28</v>
      </c>
      <c r="D655" s="17">
        <v>33</v>
      </c>
      <c r="E655" s="18">
        <f ca="1">IFERROR(__xludf.DUMMYFUNCTION("COUNT(IMPORTRANGE(""https://docs.google.com/spreadsheets/d/1H9vAqftAHb0OdeSGXHTnJFzoWUgpoH31sc0sHNN8y1o/edit"",""25!d2:d34""))"),33)</f>
        <v>33</v>
      </c>
      <c r="F655" s="19">
        <f ca="1">IFERROR(__xludf.DUMMYFUNCTION("SUM(IMPORTRANGE(""https://docs.google.com/spreadsheets/d/1H9vAqftAHb0OdeSGXHTnJFzoWUgpoH31sc0sHNN8y1o/edit"",""25!Q2:Q34""))"),6559.73)</f>
        <v>6559.73</v>
      </c>
      <c r="G655" s="18">
        <f ca="1">IFERROR(__xludf.DUMMYFUNCTION("IMPORTRANGE(""https://docs.google.com/spreadsheets/d/1H9vAqftAHb0OdeSGXHTnJFzoWUgpoH31sc0sHNN8y1o/edit"",""25!e41"")"),3032)</f>
        <v>3032</v>
      </c>
      <c r="H655" s="18">
        <f ca="1">IFERROR(__xludf.DUMMYFUNCTION("IMPORTRANGE(""https://docs.google.com/spreadsheets/d/1H9vAqftAHb0OdeSGXHTnJFzoWUgpoH31sc0sHNN8y1o/edit"",""25!e42"")"),104)</f>
        <v>104</v>
      </c>
      <c r="I655" s="18">
        <f t="shared" ca="1" si="1812"/>
        <v>3136</v>
      </c>
      <c r="J655" s="18">
        <f ca="1">IFERROR(__xludf.DUMMYFUNCTION("IMPORTRANGE(""https://docs.google.com/spreadsheets/d/1H9vAqftAHb0OdeSGXHTnJFzoWUgpoH31sc0sHNN8y1o/edit"",""25!e45"")"),2994)</f>
        <v>2994</v>
      </c>
      <c r="K655" s="18">
        <f ca="1">IFERROR(__xludf.DUMMYFUNCTION("IMPORTRANGE(""https://docs.google.com/spreadsheets/d/1H9vAqftAHb0OdeSGXHTnJFzoWUgpoH31sc0sHNN8y1o/edit"",""25!e46"")"),271)</f>
        <v>271</v>
      </c>
      <c r="L655" s="18">
        <f t="shared" ca="1" si="1813"/>
        <v>3265</v>
      </c>
      <c r="M655" s="18">
        <f t="shared" ca="1" si="1814"/>
        <v>6401</v>
      </c>
      <c r="N655" s="19">
        <f t="shared" ca="1" si="1815"/>
        <v>198.77969696969694</v>
      </c>
      <c r="O655" s="16">
        <v>7315</v>
      </c>
      <c r="P655" s="20">
        <f t="shared" ca="1" si="1816"/>
        <v>0.87505126452494875</v>
      </c>
      <c r="Q655" s="21">
        <v>1.5</v>
      </c>
      <c r="R655" s="20">
        <f t="shared" ca="1" si="1817"/>
        <v>0.65053490514599444</v>
      </c>
      <c r="S655" s="22">
        <f t="shared" ca="1" si="1818"/>
        <v>0.9758023577189916</v>
      </c>
      <c r="T655" s="21">
        <f ca="1">F655/30.897</f>
        <v>212.30960934718581</v>
      </c>
      <c r="U655" s="21">
        <f t="shared" ca="1" si="1819"/>
        <v>6.4336245256722977</v>
      </c>
      <c r="V655" s="18">
        <f t="shared" ca="1" si="1820"/>
        <v>193.96969696969697</v>
      </c>
      <c r="W655" s="76"/>
      <c r="X655" s="8">
        <v>5</v>
      </c>
      <c r="Y655" s="8" t="s">
        <v>29</v>
      </c>
      <c r="Z655" s="8">
        <f t="shared" ref="Z655:AI655" si="1823">SUM(D670)</f>
        <v>30</v>
      </c>
      <c r="AA655" s="9">
        <f t="shared" ca="1" si="1823"/>
        <v>30</v>
      </c>
      <c r="AB655" s="10">
        <f t="shared" ca="1" si="1823"/>
        <v>6066.4389999999903</v>
      </c>
      <c r="AC655" s="9">
        <f t="shared" ca="1" si="1823"/>
        <v>3066</v>
      </c>
      <c r="AD655" s="9">
        <f t="shared" ca="1" si="1823"/>
        <v>0</v>
      </c>
      <c r="AE655" s="9">
        <f t="shared" ca="1" si="1823"/>
        <v>3066</v>
      </c>
      <c r="AF655" s="9">
        <f t="shared" ca="1" si="1823"/>
        <v>4198</v>
      </c>
      <c r="AG655" s="9">
        <f t="shared" ca="1" si="1823"/>
        <v>0</v>
      </c>
      <c r="AH655" s="9">
        <f t="shared" ca="1" si="1823"/>
        <v>4198</v>
      </c>
      <c r="AI655" s="9">
        <f t="shared" ca="1" si="1823"/>
        <v>7264</v>
      </c>
      <c r="AJ655" s="11">
        <f t="shared" ref="AJ655:AJ657" ca="1" si="1824">AB655/AA655</f>
        <v>202.21463333333301</v>
      </c>
      <c r="AK655" s="8">
        <f t="shared" ref="AK655:AK656" si="1825">SUM(O670)</f>
        <v>9201</v>
      </c>
      <c r="AL655" s="12">
        <f t="shared" ca="1" si="1802"/>
        <v>0.78947940441256381</v>
      </c>
      <c r="AM655" s="13">
        <f t="shared" ref="AM655:AM656" si="1826">SUM(Q670)</f>
        <v>1.5</v>
      </c>
      <c r="AN655" s="12">
        <f t="shared" ca="1" si="1804"/>
        <v>0.79827171536162711</v>
      </c>
      <c r="AO655" s="14">
        <f t="shared" ca="1" si="1805"/>
        <v>1.1974075730424407</v>
      </c>
      <c r="AP655" s="13">
        <f t="shared" ref="AP655:AQ655" ca="1" si="1827">SUM(T670)</f>
        <v>228.99999999999963</v>
      </c>
      <c r="AQ655" s="13">
        <f t="shared" ca="1" si="1827"/>
        <v>7.6333333333333213</v>
      </c>
      <c r="AR655" s="9">
        <f t="shared" ca="1" si="1807"/>
        <v>242.13333333333333</v>
      </c>
      <c r="AS655" s="76"/>
      <c r="AT655" s="76"/>
    </row>
    <row r="656" spans="1:46" ht="15.75" customHeight="1" x14ac:dyDescent="0.25">
      <c r="A656" s="70"/>
      <c r="B656" s="16">
        <v>3</v>
      </c>
      <c r="C656" s="16" t="s">
        <v>30</v>
      </c>
      <c r="D656" s="17">
        <v>60</v>
      </c>
      <c r="E656" s="18">
        <f ca="1">IFERROR(__xludf.DUMMYFUNCTION("COUNT(IMPORTRANGE(""https://docs.google.com/spreadsheets/d/1EWN6nfpuVxbUE_9opjYCWaI7MTm5xsF6ssjklSbMZnA/edit"",""25!d2:d61""))"),58)</f>
        <v>58</v>
      </c>
      <c r="F656" s="23">
        <f ca="1">IFERROR(__xludf.DUMMYFUNCTION("SUM(IMPORTRANGE(""https://docs.google.com/spreadsheets/d/1EWN6nfpuVxbUE_9opjYCWaI7MTm5xsF6ssjklSbMZnA/edit"",""25!Q2:Q61""))"),10881.1209999999)</f>
        <v>10881.120999999899</v>
      </c>
      <c r="G656" s="18">
        <f ca="1">IFERROR(__xludf.DUMMYFUNCTION("IMPORTRANGE(""https://docs.google.com/spreadsheets/d/1EWN6nfpuVxbUE_9opjYCWaI7MTm5xsF6ssjklSbMZnA/edit"",""25!e68"")"),3147)</f>
        <v>3147</v>
      </c>
      <c r="H656" s="18">
        <f ca="1">IFERROR(__xludf.DUMMYFUNCTION("IMPORTRANGE(""https://docs.google.com/spreadsheets/d/1EWN6nfpuVxbUE_9opjYCWaI7MTm5xsF6ssjklSbMZnA/edit"",""25!e69"")"),0)</f>
        <v>0</v>
      </c>
      <c r="I656" s="18">
        <f t="shared" ca="1" si="1812"/>
        <v>3147</v>
      </c>
      <c r="J656" s="18">
        <f ca="1">IFERROR(__xludf.DUMMYFUNCTION("IMPORTRANGE(""https://docs.google.com/spreadsheets/d/1EWN6nfpuVxbUE_9opjYCWaI7MTm5xsF6ssjklSbMZnA/edit"",""25!e72"")"),4878)</f>
        <v>4878</v>
      </c>
      <c r="K656" s="18">
        <f ca="1">IFERROR(__xludf.DUMMYFUNCTION("IMPORTRANGE(""https://docs.google.com/spreadsheets/d/1EWN6nfpuVxbUE_9opjYCWaI7MTm5xsF6ssjklSbMZnA/edit"",""25!e73"")"),0)</f>
        <v>0</v>
      </c>
      <c r="L656" s="18">
        <f t="shared" ca="1" si="1813"/>
        <v>4878</v>
      </c>
      <c r="M656" s="18">
        <f t="shared" ca="1" si="1814"/>
        <v>8025</v>
      </c>
      <c r="N656" s="19">
        <f t="shared" ca="1" si="1815"/>
        <v>187.60553448275689</v>
      </c>
      <c r="O656" s="16">
        <v>11164</v>
      </c>
      <c r="P656" s="20">
        <f t="shared" ca="1" si="1816"/>
        <v>0.71882837692583301</v>
      </c>
      <c r="Q656" s="21">
        <v>1.5</v>
      </c>
      <c r="R656" s="20">
        <f t="shared" ca="1" si="1817"/>
        <v>0.49167728214768031</v>
      </c>
      <c r="S656" s="22">
        <f t="shared" ca="1" si="1818"/>
        <v>0.73751592322152049</v>
      </c>
      <c r="T656" s="21">
        <f ca="1">F656/29.603</f>
        <v>367.56818565685569</v>
      </c>
      <c r="U656" s="21">
        <f t="shared" ca="1" si="1819"/>
        <v>6.3373825113250977</v>
      </c>
      <c r="V656" s="18">
        <f t="shared" ca="1" si="1820"/>
        <v>138.36206896551724</v>
      </c>
      <c r="W656" s="76"/>
      <c r="X656" s="8">
        <v>6</v>
      </c>
      <c r="Y656" s="8" t="s">
        <v>31</v>
      </c>
      <c r="Z656" s="8">
        <f t="shared" ref="Z656:AI656" si="1828">SUM(D671)</f>
        <v>15</v>
      </c>
      <c r="AA656" s="9">
        <f t="shared" ca="1" si="1828"/>
        <v>15</v>
      </c>
      <c r="AB656" s="11">
        <f t="shared" ca="1" si="1828"/>
        <v>2781.76</v>
      </c>
      <c r="AC656" s="9">
        <f t="shared" ca="1" si="1828"/>
        <v>834</v>
      </c>
      <c r="AD656" s="9">
        <f t="shared" ca="1" si="1828"/>
        <v>0</v>
      </c>
      <c r="AE656" s="9">
        <f t="shared" ca="1" si="1828"/>
        <v>834</v>
      </c>
      <c r="AF656" s="9">
        <f t="shared" ca="1" si="1828"/>
        <v>1160</v>
      </c>
      <c r="AG656" s="9">
        <f t="shared" ca="1" si="1828"/>
        <v>0</v>
      </c>
      <c r="AH656" s="9">
        <f t="shared" ca="1" si="1828"/>
        <v>1160</v>
      </c>
      <c r="AI656" s="9">
        <f t="shared" ca="1" si="1828"/>
        <v>1994</v>
      </c>
      <c r="AJ656" s="11">
        <f t="shared" ca="1" si="1824"/>
        <v>185.45066666666668</v>
      </c>
      <c r="AK656" s="8">
        <f t="shared" si="1825"/>
        <v>2717</v>
      </c>
      <c r="AL656" s="12">
        <f t="shared" ca="1" si="1802"/>
        <v>0.73389768126610233</v>
      </c>
      <c r="AM656" s="13">
        <f t="shared" si="1826"/>
        <v>1.5</v>
      </c>
      <c r="AN656" s="12">
        <f t="shared" ca="1" si="1804"/>
        <v>0.47787491851681424</v>
      </c>
      <c r="AO656" s="14">
        <f t="shared" ca="1" si="1805"/>
        <v>0.71681237777522133</v>
      </c>
      <c r="AP656" s="13">
        <f t="shared" ref="AP656:AQ656" ca="1" si="1829">SUM(T671)</f>
        <v>64</v>
      </c>
      <c r="AQ656" s="13">
        <f t="shared" ca="1" si="1829"/>
        <v>4.2666666666666666</v>
      </c>
      <c r="AR656" s="9">
        <f t="shared" ca="1" si="1807"/>
        <v>132.93333333333334</v>
      </c>
      <c r="AS656" s="76"/>
      <c r="AT656" s="76"/>
    </row>
    <row r="657" spans="1:46" ht="15.75" customHeight="1" x14ac:dyDescent="0.25">
      <c r="A657" s="70"/>
      <c r="B657" s="16">
        <v>4</v>
      </c>
      <c r="C657" s="16" t="s">
        <v>32</v>
      </c>
      <c r="D657" s="17">
        <v>42</v>
      </c>
      <c r="E657" s="18">
        <f ca="1">IFERROR(__xludf.DUMMYFUNCTION("COUNT(IMPORTRANGE(""https://docs.google.com/spreadsheets/d/1Rmar8QqWK4XOJ-eY6xMzkAfDSw0srEXcAw89ilArun8/edit"",""25!d2:d43""))"),42)</f>
        <v>42</v>
      </c>
      <c r="F657" s="23">
        <f ca="1">IFERROR(__xludf.DUMMYFUNCTION("SUM(IMPORTRANGE(""https://docs.google.com/spreadsheets/d/1Rmar8QqWK4XOJ-eY6xMzkAfDSw0srEXcAw89ilArun8/edit"",""25!Q2:Q43""))"),8231.34099999999)</f>
        <v>8231.3409999999894</v>
      </c>
      <c r="G657" s="16">
        <f ca="1">IFERROR(__xludf.DUMMYFUNCTION("IMPORTRANGE(""https://docs.google.com/spreadsheets/d/1Rmar8QqWK4XOJ-eY6xMzkAfDSw0srEXcAw89ilArun8/edit"",""25!e50"")"),4619)</f>
        <v>4619</v>
      </c>
      <c r="H657" s="16">
        <f ca="1">IFERROR(__xludf.DUMMYFUNCTION("IMPORTRANGE(""https://docs.google.com/spreadsheets/d/1Rmar8QqWK4XOJ-eY6xMzkAfDSw0srEXcAw89ilArun8/edit"",""25!e51"")"),0)</f>
        <v>0</v>
      </c>
      <c r="I657" s="18">
        <f t="shared" ca="1" si="1812"/>
        <v>4619</v>
      </c>
      <c r="J657" s="16">
        <f ca="1">IFERROR(__xludf.DUMMYFUNCTION("IMPORTRANGE(""https://docs.google.com/spreadsheets/d/1Rmar8QqWK4XOJ-eY6xMzkAfDSw0srEXcAw89ilArun8/edit"",""25!e54"")"),5882)</f>
        <v>5882</v>
      </c>
      <c r="K657" s="16">
        <f ca="1">IFERROR(__xludf.DUMMYFUNCTION("IMPORTRANGE(""https://docs.google.com/spreadsheets/d/1Rmar8QqWK4XOJ-eY6xMzkAfDSw0srEXcAw89ilArun8/edit"",""25!e55"")"),0)</f>
        <v>0</v>
      </c>
      <c r="L657" s="18">
        <f t="shared" ca="1" si="1813"/>
        <v>5882</v>
      </c>
      <c r="M657" s="18">
        <f t="shared" ca="1" si="1814"/>
        <v>10501</v>
      </c>
      <c r="N657" s="19">
        <f t="shared" ca="1" si="1815"/>
        <v>195.98430952380926</v>
      </c>
      <c r="O657" s="16">
        <v>13817</v>
      </c>
      <c r="P657" s="20">
        <f t="shared" ca="1" si="1816"/>
        <v>0.76000578996887891</v>
      </c>
      <c r="Q657" s="21">
        <v>1.5</v>
      </c>
      <c r="R657" s="20">
        <f t="shared" ca="1" si="1817"/>
        <v>0.85048920542432593</v>
      </c>
      <c r="S657" s="22">
        <f t="shared" ca="1" si="1818"/>
        <v>1.2757338081364888</v>
      </c>
      <c r="T657" s="21">
        <f ca="1">F657/25.089</f>
        <v>328.08565506795765</v>
      </c>
      <c r="U657" s="21">
        <f t="shared" ca="1" si="1819"/>
        <v>7.8115632159037531</v>
      </c>
      <c r="V657" s="18">
        <f t="shared" ca="1" si="1820"/>
        <v>250.02380952380952</v>
      </c>
      <c r="W657" s="76"/>
      <c r="X657" s="24" t="s">
        <v>33</v>
      </c>
      <c r="Y657" s="24">
        <v>6</v>
      </c>
      <c r="Z657" s="24">
        <f t="shared" ref="Z657:AI657" si="1830">SUM(Z651:Z656)</f>
        <v>186</v>
      </c>
      <c r="AA657" s="25">
        <f t="shared" ca="1" si="1830"/>
        <v>183</v>
      </c>
      <c r="AB657" s="26">
        <f t="shared" ca="1" si="1830"/>
        <v>35233.705999999976</v>
      </c>
      <c r="AC657" s="25">
        <f t="shared" ca="1" si="1830"/>
        <v>12879</v>
      </c>
      <c r="AD657" s="25">
        <f t="shared" ca="1" si="1830"/>
        <v>365</v>
      </c>
      <c r="AE657" s="25">
        <f t="shared" ca="1" si="1830"/>
        <v>13244</v>
      </c>
      <c r="AF657" s="25">
        <f t="shared" ca="1" si="1830"/>
        <v>15961</v>
      </c>
      <c r="AG657" s="25">
        <f t="shared" ca="1" si="1830"/>
        <v>676</v>
      </c>
      <c r="AH657" s="25">
        <f t="shared" ca="1" si="1830"/>
        <v>16637</v>
      </c>
      <c r="AI657" s="25">
        <f t="shared" ca="1" si="1830"/>
        <v>29881</v>
      </c>
      <c r="AJ657" s="27">
        <f t="shared" ca="1" si="1824"/>
        <v>192.53391256830588</v>
      </c>
      <c r="AK657" s="24">
        <f>SUM(AK651:AK656)</f>
        <v>35074</v>
      </c>
      <c r="AL657" s="28">
        <f t="shared" ca="1" si="1802"/>
        <v>0.85194160916918515</v>
      </c>
      <c r="AM657" s="29">
        <v>1.5</v>
      </c>
      <c r="AN657" s="28">
        <f t="shared" ca="1" si="1804"/>
        <v>0.56538664047053921</v>
      </c>
      <c r="AO657" s="30">
        <f t="shared" ca="1" si="1805"/>
        <v>0.84807996070580882</v>
      </c>
      <c r="AP657" s="29">
        <f ca="1">SUM(AP651:AP656)</f>
        <v>1325.3702696253665</v>
      </c>
      <c r="AQ657" s="29">
        <f ca="1">AP657/AA657</f>
        <v>7.2424604897561009</v>
      </c>
      <c r="AR657" s="25">
        <f t="shared" ca="1" si="1807"/>
        <v>163.28415300546447</v>
      </c>
      <c r="AS657" s="76"/>
      <c r="AT657" s="76"/>
    </row>
    <row r="658" spans="1:46" ht="15.75" customHeight="1" x14ac:dyDescent="0.25">
      <c r="A658" s="70"/>
      <c r="B658" s="16">
        <v>5</v>
      </c>
      <c r="C658" s="16" t="s">
        <v>34</v>
      </c>
      <c r="D658" s="17">
        <v>40</v>
      </c>
      <c r="E658" s="18">
        <f ca="1">IFERROR(__xludf.DUMMYFUNCTION("COUNT(IMPORTRANGE(""https://docs.google.com/spreadsheets/d/1u99JxAoytGQQ8GcjxXl38CGdyEWy5uIbuJJHnsotyvk/edit"",""25!d2:d41""))"),38)</f>
        <v>38</v>
      </c>
      <c r="F658" s="23">
        <f ca="1">IFERROR(__xludf.DUMMYFUNCTION("SUM(IMPORTRANGE(""https://docs.google.com/spreadsheets/d/1u99JxAoytGQQ8GcjxXl38CGdyEWy5uIbuJJHnsotyvk/edit"",""25!Q2:Q41""))"),7282.365)</f>
        <v>7282.3649999999998</v>
      </c>
      <c r="G658" s="18">
        <f ca="1">IFERROR(__xludf.DUMMYFUNCTION("IMPORTRANGE(""https://docs.google.com/spreadsheets/d/1u99JxAoytGQQ8GcjxXl38CGdyEWy5uIbuJJHnsotyvk/edit"",""25!e48"")"),3151)</f>
        <v>3151</v>
      </c>
      <c r="H658" s="18">
        <f ca="1">IFERROR(__xludf.DUMMYFUNCTION("IMPORTRANGE(""https://docs.google.com/spreadsheets/d/1u99JxAoytGQQ8GcjxXl38CGdyEWy5uIbuJJHnsotyvk/edit"",""25!e49"")"),0)</f>
        <v>0</v>
      </c>
      <c r="I658" s="18">
        <f t="shared" ca="1" si="1812"/>
        <v>3151</v>
      </c>
      <c r="J658" s="18">
        <f ca="1">IFERROR(__xludf.DUMMYFUNCTION("IMPORTRANGE(""https://docs.google.com/spreadsheets/d/1u99JxAoytGQQ8GcjxXl38CGdyEWy5uIbuJJHnsotyvk/edit"",""25!e52"")"),2914)</f>
        <v>2914</v>
      </c>
      <c r="K658" s="18">
        <f ca="1">IFERROR(__xludf.DUMMYFUNCTION("IMPORTRANGE(""https://docs.google.com/spreadsheets/d/1u99JxAoytGQQ8GcjxXl38CGdyEWy5uIbuJJHnsotyvk/edit"",""25!e53"")"),0)</f>
        <v>0</v>
      </c>
      <c r="L658" s="18">
        <f t="shared" ca="1" si="1813"/>
        <v>2914</v>
      </c>
      <c r="M658" s="18">
        <f t="shared" ca="1" si="1814"/>
        <v>6065</v>
      </c>
      <c r="N658" s="19">
        <f t="shared" ca="1" si="1815"/>
        <v>191.64118421052632</v>
      </c>
      <c r="O658" s="16">
        <v>9354</v>
      </c>
      <c r="P658" s="20">
        <f t="shared" ca="1" si="1816"/>
        <v>0.64838571734017536</v>
      </c>
      <c r="Q658" s="21">
        <v>1.5</v>
      </c>
      <c r="R658" s="20">
        <f t="shared" ca="1" si="1817"/>
        <v>0.55522255933798059</v>
      </c>
      <c r="S658" s="22">
        <f t="shared" ca="1" si="1818"/>
        <v>0.83283383900697094</v>
      </c>
      <c r="T658" s="21">
        <f ca="1">F658/30.713</f>
        <v>237.11018135642885</v>
      </c>
      <c r="U658" s="21">
        <f t="shared" ca="1" si="1819"/>
        <v>6.2397416146428641</v>
      </c>
      <c r="V658" s="18">
        <f t="shared" ca="1" si="1820"/>
        <v>159.60526315789474</v>
      </c>
      <c r="W658" s="76"/>
      <c r="X658" s="100" t="s">
        <v>35</v>
      </c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9"/>
      <c r="AS658" s="76"/>
      <c r="AT658" s="76"/>
    </row>
    <row r="659" spans="1:46" ht="15.75" customHeight="1" x14ac:dyDescent="0.25">
      <c r="A659" s="70"/>
      <c r="B659" s="16">
        <v>6</v>
      </c>
      <c r="C659" s="16" t="s">
        <v>23</v>
      </c>
      <c r="D659" s="17">
        <v>35</v>
      </c>
      <c r="E659" s="18">
        <f ca="1">IFERROR(__xludf.DUMMYFUNCTION("COUNT(IMPORTRANGE(""https://docs.google.com/spreadsheets/d/1uVc-vnTn57HE53lwrUYNZP4sGKTXisrqOoZ-6EyvLzY/edit"",""25!d2:d36""))"),34)</f>
        <v>34</v>
      </c>
      <c r="F659" s="23">
        <f ca="1">IFERROR(__xludf.DUMMYFUNCTION("SUM(IMPORTRANGE(""https://docs.google.com/spreadsheets/d/1uVc-vnTn57HE53lwrUYNZP4sGKTXisrqOoZ-6EyvLzY/edit"",""25!Q2:Q36""))"),6545.55999999999)</f>
        <v>6545.5599999999904</v>
      </c>
      <c r="G659" s="18">
        <f ca="1">IFERROR(__xludf.DUMMYFUNCTION("IMPORTRANGE(""https://docs.google.com/spreadsheets/d/1uVc-vnTn57HE53lwrUYNZP4sGKTXisrqOoZ-6EyvLzY/edit"",""25!e43"")"),2623)</f>
        <v>2623</v>
      </c>
      <c r="H659" s="18">
        <f ca="1">IFERROR(__xludf.DUMMYFUNCTION("IMPORTRANGE(""https://docs.google.com/spreadsheets/d/1uVc-vnTn57HE53lwrUYNZP4sGKTXisrqOoZ-6EyvLzY/edit"",""25!e44"")"),0)</f>
        <v>0</v>
      </c>
      <c r="I659" s="18">
        <f t="shared" ca="1" si="1812"/>
        <v>2623</v>
      </c>
      <c r="J659" s="18">
        <f ca="1">IFERROR(__xludf.DUMMYFUNCTION("IMPORTRANGE(""https://docs.google.com/spreadsheets/d/1uVc-vnTn57HE53lwrUYNZP4sGKTXisrqOoZ-6EyvLzY/edit"",""25!e47"")"),2174)</f>
        <v>2174</v>
      </c>
      <c r="K659" s="18">
        <f ca="1">IFERROR(__xludf.DUMMYFUNCTION("IMPORTRANGE(""https://docs.google.com/spreadsheets/d/1uVc-vnTn57HE53lwrUYNZP4sGKTXisrqOoZ-6EyvLzY/edit"",""25!e48"")"),147)</f>
        <v>147</v>
      </c>
      <c r="L659" s="18">
        <f t="shared" ca="1" si="1813"/>
        <v>2321</v>
      </c>
      <c r="M659" s="18">
        <f t="shared" ca="1" si="1814"/>
        <v>4944</v>
      </c>
      <c r="N659" s="19">
        <f t="shared" ca="1" si="1815"/>
        <v>192.51647058823502</v>
      </c>
      <c r="O659" s="16">
        <v>6853</v>
      </c>
      <c r="P659" s="20">
        <f t="shared" ca="1" si="1816"/>
        <v>0.72143586750328326</v>
      </c>
      <c r="Q659" s="21">
        <v>1.5</v>
      </c>
      <c r="R659" s="20">
        <f t="shared" ca="1" si="1817"/>
        <v>0.5035474428467549</v>
      </c>
      <c r="S659" s="22">
        <f t="shared" ca="1" si="1818"/>
        <v>0.75532116427013229</v>
      </c>
      <c r="T659" s="21">
        <f ca="1">F659/33.74</f>
        <v>193.99999999999972</v>
      </c>
      <c r="U659" s="21">
        <f t="shared" ca="1" si="1819"/>
        <v>5.7058823529411677</v>
      </c>
      <c r="V659" s="18">
        <f t="shared" ca="1" si="1820"/>
        <v>145.41176470588235</v>
      </c>
      <c r="W659" s="76"/>
      <c r="X659" s="1" t="s">
        <v>2</v>
      </c>
      <c r="Y659" s="1" t="s">
        <v>3</v>
      </c>
      <c r="Z659" s="1" t="s">
        <v>4</v>
      </c>
      <c r="AA659" s="1" t="s">
        <v>5</v>
      </c>
      <c r="AB659" s="2" t="s">
        <v>6</v>
      </c>
      <c r="AC659" s="1" t="s">
        <v>7</v>
      </c>
      <c r="AD659" s="1" t="s">
        <v>8</v>
      </c>
      <c r="AE659" s="1" t="s">
        <v>9</v>
      </c>
      <c r="AF659" s="1" t="s">
        <v>10</v>
      </c>
      <c r="AG659" s="1" t="s">
        <v>11</v>
      </c>
      <c r="AH659" s="1" t="s">
        <v>12</v>
      </c>
      <c r="AI659" s="1" t="s">
        <v>13</v>
      </c>
      <c r="AJ659" s="2" t="s">
        <v>14</v>
      </c>
      <c r="AK659" s="1" t="s">
        <v>15</v>
      </c>
      <c r="AL659" s="1" t="s">
        <v>16</v>
      </c>
      <c r="AM659" s="3" t="s">
        <v>17</v>
      </c>
      <c r="AN659" s="4" t="s">
        <v>18</v>
      </c>
      <c r="AO659" s="5" t="s">
        <v>19</v>
      </c>
      <c r="AP659" s="6" t="s">
        <v>20</v>
      </c>
      <c r="AQ659" s="6" t="s">
        <v>21</v>
      </c>
      <c r="AR659" s="7" t="s">
        <v>22</v>
      </c>
      <c r="AS659" s="76"/>
      <c r="AT659" s="76"/>
    </row>
    <row r="660" spans="1:46" ht="15.75" customHeight="1" x14ac:dyDescent="0.25">
      <c r="A660" s="70"/>
      <c r="B660" s="16">
        <v>7</v>
      </c>
      <c r="C660" s="16" t="s">
        <v>24</v>
      </c>
      <c r="D660" s="17">
        <v>44</v>
      </c>
      <c r="E660" s="31">
        <f ca="1">IFERROR(__xludf.DUMMYFUNCTION("COUNT(IMPORTRANGE(""https://docs.google.com/spreadsheets/d/1iuPvivSypupo44l6GtmR-2qZ3za7cTk7KzsOVp_kv2c/edit"",""25!d2:d45""))"),42)</f>
        <v>42</v>
      </c>
      <c r="F660" s="32">
        <f ca="1">IFERROR(__xludf.DUMMYFUNCTION("SUM(IMPORTRANGE(""https://docs.google.com/spreadsheets/d/1iuPvivSypupo44l6GtmR-2qZ3za7cTk7KzsOVp_kv2c/edit"",""25!Q2:Q45""))"),8413.47699999999)</f>
        <v>8413.4769999999899</v>
      </c>
      <c r="G660" s="31">
        <f ca="1">IFERROR(__xludf.DUMMYFUNCTION("IMPORTRANGE(""https://docs.google.com/spreadsheets/d/1iuPvivSypupo44l6GtmR-2qZ3za7cTk7KzsOVp_kv2c/edit"",""25!e53"")"),1128)</f>
        <v>1128</v>
      </c>
      <c r="H660" s="31">
        <f ca="1">IFERROR(__xludf.DUMMYFUNCTION("IMPORTRANGE(""https://docs.google.com/spreadsheets/d/1iuPvivSypupo44l6GtmR-2qZ3za7cTk7KzsOVp_kv2c/edit"",""25!e54"")"),0)</f>
        <v>0</v>
      </c>
      <c r="I660" s="31">
        <f t="shared" ca="1" si="1812"/>
        <v>1128</v>
      </c>
      <c r="J660" s="31">
        <f ca="1">IFERROR(__xludf.DUMMYFUNCTION("IMPORTRANGE(""https://docs.google.com/spreadsheets/d/1iuPvivSypupo44l6GtmR-2qZ3za7cTk7KzsOVp_kv2c/edit"",""25!e57"")"),1748)</f>
        <v>1748</v>
      </c>
      <c r="K660" s="31">
        <f ca="1">IFERROR(__xludf.DUMMYFUNCTION("IMPORTRANGE(""https://docs.google.com/spreadsheets/d/1iuPvivSypupo44l6GtmR-2qZ3za7cTk7KzsOVp_kv2c/edit"",""25!e58"")"),19)</f>
        <v>19</v>
      </c>
      <c r="L660" s="18">
        <f t="shared" ca="1" si="1813"/>
        <v>1767</v>
      </c>
      <c r="M660" s="18">
        <f t="shared" ca="1" si="1814"/>
        <v>2895</v>
      </c>
      <c r="N660" s="19">
        <f t="shared" ca="1" si="1815"/>
        <v>200.32088095238072</v>
      </c>
      <c r="O660" s="16">
        <v>1580</v>
      </c>
      <c r="P660" s="20">
        <f t="shared" ca="1" si="1816"/>
        <v>1.8322784810126582</v>
      </c>
      <c r="Q660" s="21">
        <v>1.5</v>
      </c>
      <c r="R660" s="20">
        <f t="shared" ca="1" si="1817"/>
        <v>0.22939386415390475</v>
      </c>
      <c r="S660" s="22">
        <f t="shared" ca="1" si="1818"/>
        <v>0.34409079623085714</v>
      </c>
      <c r="T660" s="21">
        <f ca="1">F660/26.805</f>
        <v>313.8771497854874</v>
      </c>
      <c r="U660" s="21">
        <f t="shared" ca="1" si="1819"/>
        <v>7.4732654710830335</v>
      </c>
      <c r="V660" s="18">
        <f t="shared" ca="1" si="1820"/>
        <v>68.928571428571431</v>
      </c>
      <c r="W660" s="76"/>
      <c r="X660" s="8">
        <v>1</v>
      </c>
      <c r="Y660" s="8" t="s">
        <v>28</v>
      </c>
      <c r="Z660" s="8">
        <f t="shared" ref="Z660:AI660" si="1831">SUM(D655)</f>
        <v>33</v>
      </c>
      <c r="AA660" s="9">
        <f t="shared" ca="1" si="1831"/>
        <v>33</v>
      </c>
      <c r="AB660" s="11">
        <f t="shared" ca="1" si="1831"/>
        <v>6559.73</v>
      </c>
      <c r="AC660" s="9">
        <f t="shared" ca="1" si="1831"/>
        <v>3032</v>
      </c>
      <c r="AD660" s="9">
        <f t="shared" ca="1" si="1831"/>
        <v>104</v>
      </c>
      <c r="AE660" s="9">
        <f t="shared" ca="1" si="1831"/>
        <v>3136</v>
      </c>
      <c r="AF660" s="9">
        <f t="shared" ca="1" si="1831"/>
        <v>2994</v>
      </c>
      <c r="AG660" s="9">
        <f t="shared" ca="1" si="1831"/>
        <v>271</v>
      </c>
      <c r="AH660" s="9">
        <f t="shared" ca="1" si="1831"/>
        <v>3265</v>
      </c>
      <c r="AI660" s="9">
        <f t="shared" ca="1" si="1831"/>
        <v>6401</v>
      </c>
      <c r="AJ660" s="11">
        <f t="shared" ref="AJ660:AJ666" ca="1" si="1832">AB660/AA660</f>
        <v>198.77969696969694</v>
      </c>
      <c r="AK660" s="8">
        <f t="shared" ref="AK660:AK661" si="1833">SUM(O655)</f>
        <v>7315</v>
      </c>
      <c r="AL660" s="12">
        <f t="shared" ref="AL660:AL666" ca="1" si="1834">AI660/AK660</f>
        <v>0.87505126452494875</v>
      </c>
      <c r="AM660" s="13">
        <f t="shared" ref="AM660:AM661" si="1835">SUM(Q655)</f>
        <v>1.5</v>
      </c>
      <c r="AN660" s="12">
        <f t="shared" ref="AN660:AN666" ca="1" si="1836">AO660/AM660</f>
        <v>0.65053490514599444</v>
      </c>
      <c r="AO660" s="14">
        <f t="shared" ref="AO660:AO666" ca="1" si="1837">AI660/AB660</f>
        <v>0.9758023577189916</v>
      </c>
      <c r="AP660" s="13">
        <f t="shared" ref="AP660:AQ660" ca="1" si="1838">SUM(T655)</f>
        <v>212.30960934718581</v>
      </c>
      <c r="AQ660" s="13">
        <f t="shared" ca="1" si="1838"/>
        <v>6.4336245256722977</v>
      </c>
      <c r="AR660" s="9">
        <f t="shared" ref="AR660:AR666" ca="1" si="1839">AI660/AA660</f>
        <v>193.96969696969697</v>
      </c>
      <c r="AS660" s="76"/>
      <c r="AT660" s="76"/>
    </row>
    <row r="661" spans="1:46" ht="15.75" customHeight="1" x14ac:dyDescent="0.25">
      <c r="A661" s="70"/>
      <c r="B661" s="16">
        <v>8</v>
      </c>
      <c r="C661" s="16" t="s">
        <v>25</v>
      </c>
      <c r="D661" s="34">
        <v>32</v>
      </c>
      <c r="E661" s="18">
        <f ca="1">IFERROR(__xludf.DUMMYFUNCTION("COUNT(IMPORTRANGE(""https://docs.google.com/spreadsheets/d/1sqWX7UerdR9KR_duBzDNfjwbPG-3hLgV1LiN2ZVZ6Js/edit"",""25!d2:D33""))"),32)</f>
        <v>32</v>
      </c>
      <c r="F661" s="23">
        <f ca="1">IFERROR(__xludf.DUMMYFUNCTION("SUM(IMPORTRANGE(""https://docs.google.com/spreadsheets/d/1sqWX7UerdR9KR_duBzDNfjwbPG-3hLgV1LiN2ZVZ6Js/edit"",""25!Q2:Q33""))"),5840.8)</f>
        <v>5840.8</v>
      </c>
      <c r="G661" s="18">
        <f ca="1">IFERROR(__xludf.DUMMYFUNCTION("IMPORTRANGE(""https://docs.google.com/spreadsheets/d/1sqWX7UerdR9KR_duBzDNfjwbPG-3hLgV1LiN2ZVZ6Js/edit"",""25!e40"")"),2485)</f>
        <v>2485</v>
      </c>
      <c r="H661" s="18">
        <f ca="1">IFERROR(__xludf.DUMMYFUNCTION("IMPORTRANGE(""https://docs.google.com/spreadsheets/d/1sqWX7UerdR9KR_duBzDNfjwbPG-3hLgV1LiN2ZVZ6Js/edit"",""25!e41"")"),365)</f>
        <v>365</v>
      </c>
      <c r="I661" s="18">
        <f t="shared" ca="1" si="1812"/>
        <v>2850</v>
      </c>
      <c r="J661" s="18">
        <f ca="1">IFERROR(__xludf.DUMMYFUNCTION("IMPORTRANGE(""https://docs.google.com/spreadsheets/d/1sqWX7UerdR9KR_duBzDNfjwbPG-3hLgV1LiN2ZVZ6Js/edit"",""25!e44"")"),3400)</f>
        <v>3400</v>
      </c>
      <c r="K661" s="18">
        <f ca="1">IFERROR(__xludf.DUMMYFUNCTION("IMPORTRANGE(""https://docs.google.com/spreadsheets/d/1sqWX7UerdR9KR_duBzDNfjwbPG-3hLgV1LiN2ZVZ6Js/edit"",""25!e45"")"),460)</f>
        <v>460</v>
      </c>
      <c r="L661" s="18">
        <f ca="1">J661+K661</f>
        <v>3860</v>
      </c>
      <c r="M661" s="18">
        <f t="shared" ca="1" si="1814"/>
        <v>6710</v>
      </c>
      <c r="N661" s="19">
        <f t="shared" ca="1" si="1815"/>
        <v>182.52500000000001</v>
      </c>
      <c r="O661" s="16">
        <v>6622</v>
      </c>
      <c r="P661" s="20">
        <f t="shared" ca="1" si="1816"/>
        <v>1.0132890365448506</v>
      </c>
      <c r="Q661" s="21">
        <v>1.5</v>
      </c>
      <c r="R661" s="20">
        <f t="shared" ca="1" si="1817"/>
        <v>0.76587682052686834</v>
      </c>
      <c r="S661" s="22">
        <f t="shared" ca="1" si="1818"/>
        <v>1.1488152307903026</v>
      </c>
      <c r="T661" s="21">
        <f ca="1">F661/23.84</f>
        <v>245</v>
      </c>
      <c r="U661" s="21">
        <f t="shared" ca="1" si="1819"/>
        <v>7.65625</v>
      </c>
      <c r="V661" s="18">
        <f t="shared" ca="1" si="1820"/>
        <v>209.6875</v>
      </c>
      <c r="W661" s="76"/>
      <c r="X661" s="8">
        <v>2</v>
      </c>
      <c r="Y661" s="8" t="s">
        <v>30</v>
      </c>
      <c r="Z661" s="8">
        <f t="shared" ref="Z661:AI661" si="1840">SUM(D656)</f>
        <v>60</v>
      </c>
      <c r="AA661" s="9">
        <f t="shared" ca="1" si="1840"/>
        <v>58</v>
      </c>
      <c r="AB661" s="10">
        <f t="shared" ca="1" si="1840"/>
        <v>10881.120999999899</v>
      </c>
      <c r="AC661" s="9">
        <f t="shared" ca="1" si="1840"/>
        <v>3147</v>
      </c>
      <c r="AD661" s="9">
        <f t="shared" ca="1" si="1840"/>
        <v>0</v>
      </c>
      <c r="AE661" s="9">
        <f t="shared" ca="1" si="1840"/>
        <v>3147</v>
      </c>
      <c r="AF661" s="9">
        <f t="shared" ca="1" si="1840"/>
        <v>4878</v>
      </c>
      <c r="AG661" s="9">
        <f t="shared" ca="1" si="1840"/>
        <v>0</v>
      </c>
      <c r="AH661" s="9">
        <f t="shared" ca="1" si="1840"/>
        <v>4878</v>
      </c>
      <c r="AI661" s="9">
        <f t="shared" ca="1" si="1840"/>
        <v>8025</v>
      </c>
      <c r="AJ661" s="11">
        <f t="shared" ca="1" si="1832"/>
        <v>187.60553448275689</v>
      </c>
      <c r="AK661" s="8">
        <f t="shared" si="1833"/>
        <v>11164</v>
      </c>
      <c r="AL661" s="12">
        <f t="shared" ca="1" si="1834"/>
        <v>0.71882837692583301</v>
      </c>
      <c r="AM661" s="13">
        <f t="shared" si="1835"/>
        <v>1.5</v>
      </c>
      <c r="AN661" s="12">
        <f t="shared" ca="1" si="1836"/>
        <v>0.49167728214768031</v>
      </c>
      <c r="AO661" s="14">
        <f t="shared" ca="1" si="1837"/>
        <v>0.73751592322152049</v>
      </c>
      <c r="AP661" s="13">
        <f t="shared" ref="AP661:AQ661" ca="1" si="1841">SUM(T656)</f>
        <v>367.56818565685569</v>
      </c>
      <c r="AQ661" s="13">
        <f t="shared" ca="1" si="1841"/>
        <v>6.3373825113250977</v>
      </c>
      <c r="AR661" s="9">
        <f t="shared" ca="1" si="1839"/>
        <v>138.36206896551724</v>
      </c>
      <c r="AS661" s="76"/>
      <c r="AT661" s="76"/>
    </row>
    <row r="662" spans="1:46" ht="15.75" customHeight="1" x14ac:dyDescent="0.25">
      <c r="A662" s="70"/>
      <c r="B662" s="16">
        <v>9</v>
      </c>
      <c r="C662" s="16" t="s">
        <v>36</v>
      </c>
      <c r="D662" s="34">
        <v>30</v>
      </c>
      <c r="E662" s="18">
        <f ca="1">IFERROR(__xludf.DUMMYFUNCTION("COUNT(IMPORTRANGE(""https://docs.google.com/spreadsheets/d/1YNna43iTSqnwwbMJgTIPHSJEoDO8RGPRFg5pJCoQR_Y/edit"",""25!d2:d31""))"),30)</f>
        <v>30</v>
      </c>
      <c r="F662" s="23">
        <f ca="1">IFERROR(__xludf.DUMMYFUNCTION("SUM(IMPORTRANGE(""https://docs.google.com/spreadsheets/d/1YNna43iTSqnwwbMJgTIPHSJEoDO8RGPRFg5pJCoQR_Y/edit"",""25!Q2:Q31""))"),5922.93699999999)</f>
        <v>5922.9369999999899</v>
      </c>
      <c r="G662" s="18">
        <f ca="1">IFERROR(__xludf.DUMMYFUNCTION("IMPORTRANGE(""https://docs.google.com/spreadsheets/d/1YNna43iTSqnwwbMJgTIPHSJEoDO8RGPRFg5pJCoQR_Y/edit"",""25!e38"")"),1679)</f>
        <v>1679</v>
      </c>
      <c r="H662" s="18">
        <f ca="1">IFERROR(__xludf.DUMMYFUNCTION("IMPORTRANGE(""https://docs.google.com/spreadsheets/d/1YNna43iTSqnwwbMJgTIPHSJEoDO8RGPRFg5pJCoQR_Y/edit"",""25!e39"")"),0)</f>
        <v>0</v>
      </c>
      <c r="I662" s="18">
        <f t="shared" ca="1" si="1812"/>
        <v>1679</v>
      </c>
      <c r="J662" s="18">
        <f ca="1">IFERROR(__xludf.DUMMYFUNCTION("IMPORTRANGE(""https://docs.google.com/spreadsheets/d/1YNna43iTSqnwwbMJgTIPHSJEoDO8RGPRFg5pJCoQR_Y/edit"",""25!e42"")"),2380)</f>
        <v>2380</v>
      </c>
      <c r="K662" s="18">
        <f ca="1">IFERROR(__xludf.DUMMYFUNCTION("IMPORTRANGE(""https://docs.google.com/spreadsheets/d/1YNna43iTSqnwwbMJgTIPHSJEoDO8RGPRFg5pJCoQR_Y/edit"",""25!e43"")"),0)</f>
        <v>0</v>
      </c>
      <c r="L662" s="18">
        <f t="shared" ref="L662:L671" ca="1" si="1842">SUM(J662:K662)</f>
        <v>2380</v>
      </c>
      <c r="M662" s="18">
        <f t="shared" ca="1" si="1814"/>
        <v>4059</v>
      </c>
      <c r="N662" s="19">
        <f t="shared" ca="1" si="1815"/>
        <v>197.43123333333298</v>
      </c>
      <c r="O662" s="16">
        <v>4796</v>
      </c>
      <c r="P662" s="20">
        <f t="shared" ca="1" si="1816"/>
        <v>0.84633027522935778</v>
      </c>
      <c r="Q662" s="21">
        <v>1.5</v>
      </c>
      <c r="R662" s="20">
        <f t="shared" ca="1" si="1817"/>
        <v>0.45686793562045391</v>
      </c>
      <c r="S662" s="22">
        <f t="shared" ca="1" si="1818"/>
        <v>0.68530190343068087</v>
      </c>
      <c r="T662" s="21">
        <f ca="1">F662/37.414</f>
        <v>158.30803977120837</v>
      </c>
      <c r="U662" s="21">
        <f t="shared" ca="1" si="1819"/>
        <v>5.276934659040279</v>
      </c>
      <c r="V662" s="18">
        <f t="shared" ca="1" si="1820"/>
        <v>135.30000000000001</v>
      </c>
      <c r="W662" s="76"/>
      <c r="X662" s="8">
        <v>3</v>
      </c>
      <c r="Y662" s="8" t="s">
        <v>34</v>
      </c>
      <c r="Z662" s="8">
        <f t="shared" ref="Z662:AI662" si="1843">SUM(D658)</f>
        <v>40</v>
      </c>
      <c r="AA662" s="9">
        <f t="shared" ca="1" si="1843"/>
        <v>38</v>
      </c>
      <c r="AB662" s="10">
        <f t="shared" ca="1" si="1843"/>
        <v>7282.3649999999998</v>
      </c>
      <c r="AC662" s="9">
        <f t="shared" ca="1" si="1843"/>
        <v>3151</v>
      </c>
      <c r="AD662" s="9">
        <f t="shared" ca="1" si="1843"/>
        <v>0</v>
      </c>
      <c r="AE662" s="9">
        <f t="shared" ca="1" si="1843"/>
        <v>3151</v>
      </c>
      <c r="AF662" s="9">
        <f t="shared" ca="1" si="1843"/>
        <v>2914</v>
      </c>
      <c r="AG662" s="9">
        <f t="shared" ca="1" si="1843"/>
        <v>0</v>
      </c>
      <c r="AH662" s="9">
        <f t="shared" ca="1" si="1843"/>
        <v>2914</v>
      </c>
      <c r="AI662" s="9">
        <f t="shared" ca="1" si="1843"/>
        <v>6065</v>
      </c>
      <c r="AJ662" s="11">
        <f t="shared" ca="1" si="1832"/>
        <v>191.64118421052632</v>
      </c>
      <c r="AK662" s="8">
        <f>SUM(O658)</f>
        <v>9354</v>
      </c>
      <c r="AL662" s="12">
        <f t="shared" ca="1" si="1834"/>
        <v>0.64838571734017536</v>
      </c>
      <c r="AM662" s="13">
        <f>SUM(Q658)</f>
        <v>1.5</v>
      </c>
      <c r="AN662" s="12">
        <f t="shared" ca="1" si="1836"/>
        <v>0.55522255933798059</v>
      </c>
      <c r="AO662" s="14">
        <f t="shared" ca="1" si="1837"/>
        <v>0.83283383900697094</v>
      </c>
      <c r="AP662" s="13">
        <f t="shared" ref="AP662:AQ662" ca="1" si="1844">SUM(T658)</f>
        <v>237.11018135642885</v>
      </c>
      <c r="AQ662" s="13">
        <f t="shared" ca="1" si="1844"/>
        <v>6.2397416146428641</v>
      </c>
      <c r="AR662" s="9">
        <f t="shared" ca="1" si="1839"/>
        <v>159.60526315789474</v>
      </c>
      <c r="AS662" s="76"/>
      <c r="AT662" s="76"/>
    </row>
    <row r="663" spans="1:46" ht="15.75" customHeight="1" x14ac:dyDescent="0.25">
      <c r="A663" s="70"/>
      <c r="B663" s="16">
        <v>10</v>
      </c>
      <c r="C663" s="16" t="s">
        <v>37</v>
      </c>
      <c r="D663" s="17">
        <v>30</v>
      </c>
      <c r="E663" s="18">
        <f ca="1">IFERROR(__xludf.DUMMYFUNCTION("COUNT(IMPORTRANGE(""https://docs.google.com/spreadsheets/d/1913Df5BsXS_b-nClL8LOK5w0engQYTl1mPOiyngRtO0/edit"",""25!d2:d31""))"),27)</f>
        <v>27</v>
      </c>
      <c r="F663" s="23">
        <f ca="1">IFERROR(__xludf.DUMMYFUNCTION("SUM(IMPORTRANGE(""https://docs.google.com/spreadsheets/d/1913Df5BsXS_b-nClL8LOK5w0engQYTl1mPOiyngRtO0/edit"",""25!Q2:Q31""))"),5278.074)</f>
        <v>5278.0739999999996</v>
      </c>
      <c r="G663" s="18">
        <f ca="1">IFERROR(__xludf.DUMMYFUNCTION("(IMPORTRANGE(""https://docs.google.com/spreadsheets/d/1913Df5BsXS_b-nClL8LOK5w0engQYTl1mPOiyngRtO0/edit"",""25!e38""))"),1943)</f>
        <v>1943</v>
      </c>
      <c r="H663" s="18">
        <f ca="1">IFERROR(__xludf.DUMMYFUNCTION("(IMPORTRANGE(""https://docs.google.com/spreadsheets/d/1913Df5BsXS_b-nClL8LOK5w0engQYTl1mPOiyngRtO0/edit"",""25!e39""))"),0)</f>
        <v>0</v>
      </c>
      <c r="I663" s="18">
        <f t="shared" ca="1" si="1812"/>
        <v>1943</v>
      </c>
      <c r="J663" s="18">
        <f ca="1">IFERROR(__xludf.DUMMYFUNCTION("(IMPORTRANGE(""https://docs.google.com/spreadsheets/d/1913Df5BsXS_b-nClL8LOK5w0engQYTl1mPOiyngRtO0/edit"",""25!e42""))"),3054)</f>
        <v>3054</v>
      </c>
      <c r="K663" s="18">
        <f ca="1">IFERROR(__xludf.DUMMYFUNCTION("(IMPORTRANGE(""https://docs.google.com/spreadsheets/d/1913Df5BsXS_b-nClL8LOK5w0engQYTl1mPOiyngRtO0/edit"",""25!e43""))"),0)</f>
        <v>0</v>
      </c>
      <c r="L663" s="18">
        <f t="shared" ca="1" si="1842"/>
        <v>3054</v>
      </c>
      <c r="M663" s="18">
        <f t="shared" ca="1" si="1814"/>
        <v>4997</v>
      </c>
      <c r="N663" s="19">
        <f t="shared" ca="1" si="1815"/>
        <v>195.4842222222222</v>
      </c>
      <c r="O663" s="16">
        <v>5887</v>
      </c>
      <c r="P663" s="20">
        <f t="shared" ca="1" si="1816"/>
        <v>0.84881943264820792</v>
      </c>
      <c r="Q663" s="21">
        <v>1.5</v>
      </c>
      <c r="R663" s="20">
        <f t="shared" ca="1" si="1817"/>
        <v>0.63116457505774526</v>
      </c>
      <c r="S663" s="22">
        <f t="shared" ca="1" si="1818"/>
        <v>0.94674686258661789</v>
      </c>
      <c r="T663" s="21">
        <f ca="1">F663/24.792</f>
        <v>212.89424007744429</v>
      </c>
      <c r="U663" s="21">
        <f t="shared" ca="1" si="1819"/>
        <v>7.8849718547201588</v>
      </c>
      <c r="V663" s="18">
        <f t="shared" ca="1" si="1820"/>
        <v>185.07407407407408</v>
      </c>
      <c r="W663" s="76"/>
      <c r="X663" s="8">
        <v>4</v>
      </c>
      <c r="Y663" s="8" t="s">
        <v>38</v>
      </c>
      <c r="Z663" s="8">
        <f t="shared" ref="Z663:AI663" si="1845">SUM(D666)</f>
        <v>30</v>
      </c>
      <c r="AA663" s="9">
        <f t="shared" ca="1" si="1845"/>
        <v>30</v>
      </c>
      <c r="AB663" s="10">
        <f t="shared" ca="1" si="1845"/>
        <v>6242.0420000000004</v>
      </c>
      <c r="AC663" s="9">
        <f t="shared" ca="1" si="1845"/>
        <v>2034</v>
      </c>
      <c r="AD663" s="9">
        <f t="shared" ca="1" si="1845"/>
        <v>103</v>
      </c>
      <c r="AE663" s="9">
        <f t="shared" ca="1" si="1845"/>
        <v>2137</v>
      </c>
      <c r="AF663" s="9">
        <f t="shared" ca="1" si="1845"/>
        <v>3238</v>
      </c>
      <c r="AG663" s="9">
        <f t="shared" ca="1" si="1845"/>
        <v>0</v>
      </c>
      <c r="AH663" s="9">
        <f t="shared" ca="1" si="1845"/>
        <v>3238</v>
      </c>
      <c r="AI663" s="9">
        <f t="shared" ca="1" si="1845"/>
        <v>5375</v>
      </c>
      <c r="AJ663" s="11">
        <f t="shared" ca="1" si="1832"/>
        <v>208.06806666666668</v>
      </c>
      <c r="AK663" s="8">
        <v>7324</v>
      </c>
      <c r="AL663" s="12">
        <f t="shared" ca="1" si="1834"/>
        <v>0.73388858547241942</v>
      </c>
      <c r="AM663" s="13">
        <f>SUM(Q666)</f>
        <v>1.5</v>
      </c>
      <c r="AN663" s="12">
        <f t="shared" ca="1" si="1836"/>
        <v>0.57406427789709413</v>
      </c>
      <c r="AO663" s="14">
        <f t="shared" ca="1" si="1837"/>
        <v>0.8610964168456412</v>
      </c>
      <c r="AP663" s="13">
        <f t="shared" ref="AP663:AQ663" ca="1" si="1846">SUM(T666)</f>
        <v>151.48748938235653</v>
      </c>
      <c r="AQ663" s="13">
        <f t="shared" ca="1" si="1846"/>
        <v>5.0495829794118841</v>
      </c>
      <c r="AR663" s="9">
        <f t="shared" ca="1" si="1839"/>
        <v>179.16666666666666</v>
      </c>
      <c r="AS663" s="76"/>
      <c r="AT663" s="76"/>
    </row>
    <row r="664" spans="1:46" ht="15.75" customHeight="1" x14ac:dyDescent="0.25">
      <c r="A664" s="70"/>
      <c r="B664" s="16">
        <v>12</v>
      </c>
      <c r="C664" s="16" t="s">
        <v>39</v>
      </c>
      <c r="D664" s="17">
        <v>28</v>
      </c>
      <c r="E664" s="18">
        <f ca="1">IFERROR(__xludf.DUMMYFUNCTION("COUNT(IMPORTRANGE(""https://docs.google.com/spreadsheets/d/1wMeol_MpSIcocGxt3WZGl46mJ2tc80mANPvP_YzaP18/edit"",""25!d2:d29""))"),28)</f>
        <v>28</v>
      </c>
      <c r="F664" s="23">
        <f ca="1">IFERROR(__xludf.DUMMYFUNCTION("SUM(IMPORTRANGE(""https://docs.google.com/spreadsheets/d/1wMeol_MpSIcocGxt3WZGl46mJ2tc80mANPvP_YzaP18/edit"",""25!Q2:Q29""))"),5437.415)</f>
        <v>5437.415</v>
      </c>
      <c r="G664" s="18">
        <f ca="1">IFERROR(__xludf.DUMMYFUNCTION("IMPORTRANGE(""https://docs.google.com/spreadsheets/d/1wMeol_MpSIcocGxt3WZGl46mJ2tc80mANPvP_YzaP18/edit"",""25!e36"")"),1207)</f>
        <v>1207</v>
      </c>
      <c r="H664" s="18">
        <f ca="1">IFERROR(__xludf.DUMMYFUNCTION("(IMPORTRANGE(""https://docs.google.com/spreadsheets/d/1wMeol_MpSIcocGxt3WZGl46mJ2tc80mANPvP_YzaP18/edit"",""25!e37""))"),0)</f>
        <v>0</v>
      </c>
      <c r="I664" s="18">
        <f t="shared" ca="1" si="1812"/>
        <v>1207</v>
      </c>
      <c r="J664" s="18">
        <f ca="1">IFERROR(__xludf.DUMMYFUNCTION("IMPORTRANGE(""https://docs.google.com/spreadsheets/d/1wMeol_MpSIcocGxt3WZGl46mJ2tc80mANPvP_YzaP18/edit"",""25!e40"")"),1900)</f>
        <v>1900</v>
      </c>
      <c r="K664" s="18">
        <f ca="1">IFERROR(__xludf.DUMMYFUNCTION("IMPORTRANGE(""https://docs.google.com/spreadsheets/d/1wMeol_MpSIcocGxt3WZGl46mJ2tc80mANPvP_YzaP18/edit"",""25!e41"")"),180)</f>
        <v>180</v>
      </c>
      <c r="L664" s="18">
        <f t="shared" ca="1" si="1842"/>
        <v>2080</v>
      </c>
      <c r="M664" s="18">
        <f t="shared" ca="1" si="1814"/>
        <v>3287</v>
      </c>
      <c r="N664" s="19">
        <f t="shared" ca="1" si="1815"/>
        <v>194.19339285714287</v>
      </c>
      <c r="O664" s="16">
        <v>3569</v>
      </c>
      <c r="P664" s="20">
        <f t="shared" ca="1" si="1816"/>
        <v>0.92098627066405159</v>
      </c>
      <c r="Q664" s="21">
        <v>1.5</v>
      </c>
      <c r="R664" s="20">
        <f t="shared" ca="1" si="1817"/>
        <v>0.40301013134611452</v>
      </c>
      <c r="S664" s="22">
        <f t="shared" ca="1" si="1818"/>
        <v>0.60451519701917178</v>
      </c>
      <c r="T664" s="21">
        <f ca="1">F664/21.463</f>
        <v>253.33900200344777</v>
      </c>
      <c r="U664" s="21">
        <f t="shared" ca="1" si="1819"/>
        <v>9.0478215001231348</v>
      </c>
      <c r="V664" s="18">
        <f t="shared" ca="1" si="1820"/>
        <v>117.39285714285714</v>
      </c>
      <c r="W664" s="76"/>
      <c r="X664" s="8">
        <v>5</v>
      </c>
      <c r="Y664" s="8" t="s">
        <v>40</v>
      </c>
      <c r="Z664" s="8">
        <f t="shared" ref="Z664:AI664" si="1847">SUM(D668)</f>
        <v>30</v>
      </c>
      <c r="AA664" s="9">
        <f t="shared" ca="1" si="1847"/>
        <v>30</v>
      </c>
      <c r="AB664" s="10">
        <f t="shared" ca="1" si="1847"/>
        <v>5931.0319999999901</v>
      </c>
      <c r="AC664" s="9">
        <f t="shared" ca="1" si="1847"/>
        <v>3819</v>
      </c>
      <c r="AD664" s="9">
        <f t="shared" ca="1" si="1847"/>
        <v>8</v>
      </c>
      <c r="AE664" s="9">
        <f t="shared" ca="1" si="1847"/>
        <v>3827</v>
      </c>
      <c r="AF664" s="9">
        <f t="shared" ca="1" si="1847"/>
        <v>4035</v>
      </c>
      <c r="AG664" s="9">
        <f t="shared" ca="1" si="1847"/>
        <v>0</v>
      </c>
      <c r="AH664" s="9">
        <f t="shared" ca="1" si="1847"/>
        <v>4035</v>
      </c>
      <c r="AI664" s="9">
        <f t="shared" ca="1" si="1847"/>
        <v>7862</v>
      </c>
      <c r="AJ664" s="11">
        <f t="shared" ca="1" si="1832"/>
        <v>197.70106666666635</v>
      </c>
      <c r="AK664" s="8">
        <f t="shared" ref="AK664:AK665" si="1848">SUM(O668)</f>
        <v>8239</v>
      </c>
      <c r="AL664" s="12">
        <f t="shared" ca="1" si="1834"/>
        <v>0.95424201966258038</v>
      </c>
      <c r="AM664" s="13">
        <f t="shared" ref="AM664:AM665" si="1849">SUM(Q668)</f>
        <v>1.5</v>
      </c>
      <c r="AN664" s="12">
        <f t="shared" ca="1" si="1836"/>
        <v>0.88371354822117665</v>
      </c>
      <c r="AO664" s="14">
        <f t="shared" ca="1" si="1837"/>
        <v>1.325570322331765</v>
      </c>
      <c r="AP664" s="13">
        <f t="shared" ref="AP664:AQ664" ca="1" si="1850">SUM(T668)</f>
        <v>208.52343283057306</v>
      </c>
      <c r="AQ664" s="13">
        <f t="shared" ca="1" si="1850"/>
        <v>6.9507810943524353</v>
      </c>
      <c r="AR664" s="9">
        <f t="shared" ca="1" si="1839"/>
        <v>262.06666666666666</v>
      </c>
      <c r="AS664" s="76"/>
      <c r="AT664" s="76"/>
    </row>
    <row r="665" spans="1:46" ht="15.75" customHeight="1" x14ac:dyDescent="0.25">
      <c r="A665" s="70"/>
      <c r="B665" s="16">
        <v>12</v>
      </c>
      <c r="C665" s="16" t="s">
        <v>41</v>
      </c>
      <c r="D665" s="17">
        <v>24</v>
      </c>
      <c r="E665" s="18">
        <f ca="1">IFERROR(__xludf.DUMMYFUNCTION("COUNT(IMPORTRANGE(""https://docs.google.com/spreadsheets/d/1sHk6_yuc4kORC_xnhEeazoemV_hVUQVqRpfoNae-PLk/edit"",""25!d2:d25""))"),24)</f>
        <v>24</v>
      </c>
      <c r="F665" s="23">
        <f ca="1">IFERROR(__xludf.DUMMYFUNCTION("SUM(IMPORTRANGE(""https://docs.google.com/spreadsheets/d/1sHk6_yuc4kORC_xnhEeazoemV_hVUQVqRpfoNae-PLk/edit"",""25!Q2:Q25""))"),4806.32)</f>
        <v>4806.32</v>
      </c>
      <c r="G665" s="18">
        <f ca="1">IFERROR(__xludf.DUMMYFUNCTION("IMPORTRANGE(""https://docs.google.com/spreadsheets/d/1sHk6_yuc4kORC_xnhEeazoemV_hVUQVqRpfoNae-PLk/edit"",""25!e32"")"),1281)</f>
        <v>1281</v>
      </c>
      <c r="H665" s="18">
        <f ca="1">IFERROR(__xludf.DUMMYFUNCTION("IMPORTRANGE(""https://docs.google.com/spreadsheets/d/1sHk6_yuc4kORC_xnhEeazoemV_hVUQVqRpfoNae-PLk/edit"",""25!e33"")"),0)</f>
        <v>0</v>
      </c>
      <c r="I665" s="18">
        <f t="shared" ca="1" si="1812"/>
        <v>1281</v>
      </c>
      <c r="J665" s="18">
        <f ca="1">IFERROR(__xludf.DUMMYFUNCTION("IMPORTRANGE(""https://docs.google.com/spreadsheets/d/1sHk6_yuc4kORC_xnhEeazoemV_hVUQVqRpfoNae-PLk/edit"",""25!e36"")"),1761)</f>
        <v>1761</v>
      </c>
      <c r="K665" s="18">
        <f ca="1">IFERROR(__xludf.DUMMYFUNCTION("IMPORTRANGE(""https://docs.google.com/spreadsheets/d/1sHk6_yuc4kORC_xnhEeazoemV_hVUQVqRpfoNae-PLk/edit"",""25!e37"")"),109)</f>
        <v>109</v>
      </c>
      <c r="L665" s="18">
        <f t="shared" ca="1" si="1842"/>
        <v>1870</v>
      </c>
      <c r="M665" s="18">
        <f t="shared" ca="1" si="1814"/>
        <v>3151</v>
      </c>
      <c r="N665" s="19">
        <f t="shared" ca="1" si="1815"/>
        <v>200.26333333333332</v>
      </c>
      <c r="O665" s="16">
        <v>3801</v>
      </c>
      <c r="P665" s="20">
        <f t="shared" ca="1" si="1816"/>
        <v>0.82899237042883456</v>
      </c>
      <c r="Q665" s="21">
        <v>1.5</v>
      </c>
      <c r="R665" s="20">
        <f t="shared" ca="1" si="1817"/>
        <v>0.4370634220498566</v>
      </c>
      <c r="S665" s="22">
        <f t="shared" ca="1" si="1818"/>
        <v>0.6555951330747849</v>
      </c>
      <c r="T665" s="21">
        <f ca="1">F665/29.628</f>
        <v>162.2222222222222</v>
      </c>
      <c r="U665" s="21">
        <f t="shared" ca="1" si="1819"/>
        <v>6.7592592592592586</v>
      </c>
      <c r="V665" s="18">
        <f t="shared" ca="1" si="1820"/>
        <v>131.29166666666666</v>
      </c>
      <c r="W665" s="76"/>
      <c r="X665" s="8">
        <v>6</v>
      </c>
      <c r="Y665" s="8" t="s">
        <v>42</v>
      </c>
      <c r="Z665" s="8">
        <f t="shared" ref="Z665:AI665" si="1851">SUM(D669)</f>
        <v>33</v>
      </c>
      <c r="AA665" s="9">
        <f t="shared" ca="1" si="1851"/>
        <v>33</v>
      </c>
      <c r="AB665" s="10">
        <f t="shared" ca="1" si="1851"/>
        <v>6154.1179999999904</v>
      </c>
      <c r="AC665" s="9">
        <f t="shared" ca="1" si="1851"/>
        <v>3329</v>
      </c>
      <c r="AD665" s="9">
        <f t="shared" ca="1" si="1851"/>
        <v>0</v>
      </c>
      <c r="AE665" s="9">
        <f t="shared" ca="1" si="1851"/>
        <v>3329</v>
      </c>
      <c r="AF665" s="9">
        <f t="shared" ca="1" si="1851"/>
        <v>4296</v>
      </c>
      <c r="AG665" s="9">
        <f t="shared" ca="1" si="1851"/>
        <v>0</v>
      </c>
      <c r="AH665" s="9">
        <f t="shared" ca="1" si="1851"/>
        <v>4296</v>
      </c>
      <c r="AI665" s="9">
        <f t="shared" ca="1" si="1851"/>
        <v>7625</v>
      </c>
      <c r="AJ665" s="11">
        <f t="shared" ca="1" si="1832"/>
        <v>186.48842424242395</v>
      </c>
      <c r="AK665" s="8">
        <f t="shared" si="1848"/>
        <v>9877</v>
      </c>
      <c r="AL665" s="12">
        <f t="shared" ca="1" si="1834"/>
        <v>0.77199554520603419</v>
      </c>
      <c r="AM665" s="13">
        <f t="shared" si="1849"/>
        <v>1.5</v>
      </c>
      <c r="AN665" s="12">
        <f t="shared" ca="1" si="1836"/>
        <v>0.82600517788793482</v>
      </c>
      <c r="AO665" s="14">
        <f t="shared" ca="1" si="1837"/>
        <v>1.2390077668319022</v>
      </c>
      <c r="AP665" s="13">
        <f t="shared" ref="AP665:AQ665" ca="1" si="1852">SUM(T669)</f>
        <v>235.2941311412728</v>
      </c>
      <c r="AQ665" s="13">
        <f t="shared" ca="1" si="1852"/>
        <v>7.1301251860991757</v>
      </c>
      <c r="AR665" s="9">
        <f t="shared" ca="1" si="1839"/>
        <v>231.06060606060606</v>
      </c>
      <c r="AS665" s="76"/>
      <c r="AT665" s="76"/>
    </row>
    <row r="666" spans="1:46" ht="15.75" customHeight="1" x14ac:dyDescent="0.25">
      <c r="A666" s="70"/>
      <c r="B666" s="16">
        <v>13</v>
      </c>
      <c r="C666" s="16" t="s">
        <v>43</v>
      </c>
      <c r="D666" s="17">
        <v>30</v>
      </c>
      <c r="E666" s="18">
        <f ca="1">IFERROR(__xludf.DUMMYFUNCTION("COUNT(IMPORTRANGE(""https://docs.google.com/spreadsheets/d/1uGXvAN2jA6kmcEHUY4KqOHHewllZsujDdA6KVDfBCoA/edit"",""25!d2:d31""))"),30)</f>
        <v>30</v>
      </c>
      <c r="F666" s="23">
        <f ca="1">IFERROR(__xludf.DUMMYFUNCTION("SUM(IMPORTRANGE(""https://docs.google.com/spreadsheets/d/1uGXvAN2jA6kmcEHUY4KqOHHewllZsujDdA6KVDfBCoA/edit"",""25!Q2:Q31""))"),6242.042)</f>
        <v>6242.0420000000004</v>
      </c>
      <c r="G666" s="18">
        <f ca="1">IFERROR(__xludf.DUMMYFUNCTION("IMPORTRANGE(""https://docs.google.com/spreadsheets/d/1uGXvAN2jA6kmcEHUY4KqOHHewllZsujDdA6KVDfBCoA/edit"",""25!e38"")"),2034)</f>
        <v>2034</v>
      </c>
      <c r="H666" s="18">
        <f ca="1">IFERROR(__xludf.DUMMYFUNCTION("IMPORTRANGE(""https://docs.google.com/spreadsheets/d/1uGXvAN2jA6kmcEHUY4KqOHHewllZsujDdA6KVDfBCoA/edit"",""25!e39"")"),103)</f>
        <v>103</v>
      </c>
      <c r="I666" s="18">
        <f t="shared" ca="1" si="1812"/>
        <v>2137</v>
      </c>
      <c r="J666" s="18">
        <f ca="1">IFERROR(__xludf.DUMMYFUNCTION("IMPORTRANGE(""https://docs.google.com/spreadsheets/d/1uGXvAN2jA6kmcEHUY4KqOHHewllZsujDdA6KVDfBCoA/edit"",""25!e42"")"),3238)</f>
        <v>3238</v>
      </c>
      <c r="K666" s="18">
        <f ca="1">IFERROR(__xludf.DUMMYFUNCTION("IMPORTRANGE(""https://docs.google.com/spreadsheets/d/1uGXvAN2jA6kmcEHUY4KqOHHewllZsujDdA6KVDfBCoA/edit"",""25!e43"")"),0)</f>
        <v>0</v>
      </c>
      <c r="L666" s="18">
        <f t="shared" ca="1" si="1842"/>
        <v>3238</v>
      </c>
      <c r="M666" s="18">
        <f t="shared" ca="1" si="1814"/>
        <v>5375</v>
      </c>
      <c r="N666" s="19">
        <f t="shared" ca="1" si="1815"/>
        <v>208.06806666666668</v>
      </c>
      <c r="O666" s="16">
        <v>8345</v>
      </c>
      <c r="P666" s="20">
        <f t="shared" ca="1" si="1816"/>
        <v>0.64409826243259438</v>
      </c>
      <c r="Q666" s="21">
        <v>1.5</v>
      </c>
      <c r="R666" s="20">
        <f t="shared" ca="1" si="1817"/>
        <v>0.57406427789709413</v>
      </c>
      <c r="S666" s="22">
        <f t="shared" ca="1" si="1818"/>
        <v>0.8610964168456412</v>
      </c>
      <c r="T666" s="21">
        <f ca="1">F666/41.205</f>
        <v>151.48748938235653</v>
      </c>
      <c r="U666" s="21">
        <f t="shared" ca="1" si="1819"/>
        <v>5.0495829794118841</v>
      </c>
      <c r="V666" s="18">
        <f t="shared" ca="1" si="1820"/>
        <v>179.16666666666666</v>
      </c>
      <c r="W666" s="76"/>
      <c r="X666" s="24" t="s">
        <v>33</v>
      </c>
      <c r="Y666" s="24">
        <v>6</v>
      </c>
      <c r="Z666" s="24">
        <f t="shared" ref="Z666:AI666" si="1853">SUM(Z660:Z665)</f>
        <v>226</v>
      </c>
      <c r="AA666" s="25">
        <f t="shared" ca="1" si="1853"/>
        <v>222</v>
      </c>
      <c r="AB666" s="27">
        <f t="shared" ca="1" si="1853"/>
        <v>43050.407999999879</v>
      </c>
      <c r="AC666" s="25">
        <f t="shared" ca="1" si="1853"/>
        <v>18512</v>
      </c>
      <c r="AD666" s="25">
        <f t="shared" ca="1" si="1853"/>
        <v>215</v>
      </c>
      <c r="AE666" s="25">
        <f t="shared" ca="1" si="1853"/>
        <v>18727</v>
      </c>
      <c r="AF666" s="25">
        <f t="shared" ca="1" si="1853"/>
        <v>22355</v>
      </c>
      <c r="AG666" s="25">
        <f t="shared" ca="1" si="1853"/>
        <v>271</v>
      </c>
      <c r="AH666" s="25">
        <f t="shared" ca="1" si="1853"/>
        <v>22626</v>
      </c>
      <c r="AI666" s="25">
        <f t="shared" ca="1" si="1853"/>
        <v>41353</v>
      </c>
      <c r="AJ666" s="27">
        <f t="shared" ca="1" si="1832"/>
        <v>193.92075675675622</v>
      </c>
      <c r="AK666" s="24">
        <f>SUM(AK660:AK665)</f>
        <v>53273</v>
      </c>
      <c r="AL666" s="28">
        <f t="shared" ca="1" si="1834"/>
        <v>0.77624687928218794</v>
      </c>
      <c r="AM666" s="29">
        <v>1.5</v>
      </c>
      <c r="AN666" s="28">
        <f t="shared" ca="1" si="1836"/>
        <v>0.64038107761177876</v>
      </c>
      <c r="AO666" s="30">
        <f t="shared" ca="1" si="1837"/>
        <v>0.96057161641766819</v>
      </c>
      <c r="AP666" s="29">
        <f ca="1">SUM(AP660:AP665)</f>
        <v>1412.2930297146727</v>
      </c>
      <c r="AQ666" s="29">
        <f ca="1">AP666/AA666</f>
        <v>6.3616803140300568</v>
      </c>
      <c r="AR666" s="25">
        <f t="shared" ca="1" si="1839"/>
        <v>186.27477477477478</v>
      </c>
      <c r="AS666" s="76"/>
      <c r="AT666" s="76"/>
    </row>
    <row r="667" spans="1:46" ht="15.75" customHeight="1" x14ac:dyDescent="0.25">
      <c r="A667" s="70"/>
      <c r="B667" s="16">
        <v>14</v>
      </c>
      <c r="C667" s="16" t="s">
        <v>27</v>
      </c>
      <c r="D667" s="17">
        <v>30</v>
      </c>
      <c r="E667" s="18">
        <f ca="1">IFERROR(__xludf.DUMMYFUNCTION("COUNT(IMPORTRANGE(""https://docs.google.com/spreadsheets/d/1iYtf3wkjJIgOL8ej0-L89wY8FLXKi6EiRbi9UqA1Bzw/edit"",""25!d2:d31""))"),30)</f>
        <v>30</v>
      </c>
      <c r="F667" s="23">
        <f ca="1">IFERROR(__xludf.DUMMYFUNCTION("SUM(IMPORTRANGE(""https://docs.google.com/spreadsheets/d/1iYtf3wkjJIgOL8ej0-L89wY8FLXKi6EiRbi9UqA1Bzw/edit"",""25!Q2:Q31""))"),5585.67)</f>
        <v>5585.67</v>
      </c>
      <c r="G667" s="18">
        <f ca="1">IFERROR(__xludf.DUMMYFUNCTION("IMPORTRANGE(""https://docs.google.com/spreadsheets/d/1iYtf3wkjJIgOL8ej0-L89wY8FLXKi6EiRbi9UqA1Bzw/edit"",""25!e38"")"),2743)</f>
        <v>2743</v>
      </c>
      <c r="H667" s="18">
        <f ca="1">IFERROR(__xludf.DUMMYFUNCTION("IMPORTRANGE(""https://docs.google.com/spreadsheets/d/1iYtf3wkjJIgOL8ej0-L89wY8FLXKi6EiRbi9UqA1Bzw/edit"",""25!e39"")"),0)</f>
        <v>0</v>
      </c>
      <c r="I667" s="18">
        <f t="shared" ca="1" si="1812"/>
        <v>2743</v>
      </c>
      <c r="J667" s="18">
        <f ca="1">IFERROR(__xludf.DUMMYFUNCTION("IMPORTRANGE(""https://docs.google.com/spreadsheets/d/1iYtf3wkjJIgOL8ej0-L89wY8FLXKi6EiRbi9UqA1Bzw/edit"",""25!e42"")"),3281)</f>
        <v>3281</v>
      </c>
      <c r="K667" s="18">
        <f ca="1">IFERROR(__xludf.DUMMYFUNCTION("IMPORTRANGE(""https://docs.google.com/spreadsheets/d/1iYtf3wkjJIgOL8ej0-L89wY8FLXKi6EiRbi9UqA1Bzw/edit"",""25!e43"")"),50)</f>
        <v>50</v>
      </c>
      <c r="L667" s="18">
        <f t="shared" ca="1" si="1842"/>
        <v>3331</v>
      </c>
      <c r="M667" s="18">
        <f t="shared" ca="1" si="1814"/>
        <v>6074</v>
      </c>
      <c r="N667" s="19">
        <f t="shared" ca="1" si="1815"/>
        <v>186.18899999999999</v>
      </c>
      <c r="O667" s="16">
        <v>8101</v>
      </c>
      <c r="P667" s="20">
        <f t="shared" ca="1" si="1816"/>
        <v>0.74978397728675472</v>
      </c>
      <c r="Q667" s="21">
        <v>1.5</v>
      </c>
      <c r="R667" s="20">
        <f t="shared" ca="1" si="1817"/>
        <v>0.72495033421833599</v>
      </c>
      <c r="S667" s="22">
        <f t="shared" ca="1" si="1818"/>
        <v>1.087425501327504</v>
      </c>
      <c r="T667" s="21">
        <f ca="1">F667/19.985</f>
        <v>279.49311983987991</v>
      </c>
      <c r="U667" s="21">
        <f t="shared" ca="1" si="1819"/>
        <v>9.3164373279959971</v>
      </c>
      <c r="V667" s="18">
        <f t="shared" ca="1" si="1820"/>
        <v>202.46666666666667</v>
      </c>
      <c r="W667" s="76"/>
      <c r="X667" s="97" t="s">
        <v>44</v>
      </c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9"/>
      <c r="AS667" s="76"/>
      <c r="AT667" s="76"/>
    </row>
    <row r="668" spans="1:46" ht="15.75" customHeight="1" x14ac:dyDescent="0.25">
      <c r="A668" s="70"/>
      <c r="B668" s="16">
        <v>15</v>
      </c>
      <c r="C668" s="16" t="s">
        <v>40</v>
      </c>
      <c r="D668" s="17">
        <v>30</v>
      </c>
      <c r="E668" s="18">
        <f ca="1">IFERROR(__xludf.DUMMYFUNCTION("COUNT(IMPORTRANGE(""https://docs.google.com/spreadsheets/d/1Wdf8MsoDBzMSsrzOXwaGQzbVjVqOWfKSqYmbncevZgA/edit"",""25!d2:d31""))"),30)</f>
        <v>30</v>
      </c>
      <c r="F668" s="23">
        <f ca="1">IFERROR(__xludf.DUMMYFUNCTION("SUM(IMPORTRANGE(""https://docs.google.com/spreadsheets/d/1Wdf8MsoDBzMSsrzOXwaGQzbVjVqOWfKSqYmbncevZgA/edit"",""25!Q2:Q31""))"),5931.03199999999)</f>
        <v>5931.0319999999901</v>
      </c>
      <c r="G668" s="18">
        <f ca="1">IFERROR(__xludf.DUMMYFUNCTION("IMPORTRANGE(""https://docs.google.com/spreadsheets/d/1Wdf8MsoDBzMSsrzOXwaGQzbVjVqOWfKSqYmbncevZgA/edit"",""25!e38"")"),3819)</f>
        <v>3819</v>
      </c>
      <c r="H668" s="18">
        <f ca="1">IFERROR(__xludf.DUMMYFUNCTION("IMPORTRANGE(""https://docs.google.com/spreadsheets/d/1Wdf8MsoDBzMSsrzOXwaGQzbVjVqOWfKSqYmbncevZgA/edit"",""25!e39"")"),8)</f>
        <v>8</v>
      </c>
      <c r="I668" s="18">
        <f t="shared" ca="1" si="1812"/>
        <v>3827</v>
      </c>
      <c r="J668" s="18">
        <f ca="1">IFERROR(__xludf.DUMMYFUNCTION("IMPORTRANGE(""https://docs.google.com/spreadsheets/d/1Wdf8MsoDBzMSsrzOXwaGQzbVjVqOWfKSqYmbncevZgA/edit"",""25!e42"")"),4035)</f>
        <v>4035</v>
      </c>
      <c r="K668" s="18">
        <f ca="1">IFERROR(__xludf.DUMMYFUNCTION("IMPORTRANGE(""https://docs.google.com/spreadsheets/d/1Wdf8MsoDBzMSsrzOXwaGQzbVjVqOWfKSqYmbncevZgA/edit"",""25!e43"")"),0)</f>
        <v>0</v>
      </c>
      <c r="L668" s="18">
        <f t="shared" ca="1" si="1842"/>
        <v>4035</v>
      </c>
      <c r="M668" s="18">
        <f t="shared" ca="1" si="1814"/>
        <v>7862</v>
      </c>
      <c r="N668" s="19">
        <f t="shared" ca="1" si="1815"/>
        <v>197.70106666666635</v>
      </c>
      <c r="O668" s="16">
        <v>8239</v>
      </c>
      <c r="P668" s="20">
        <f t="shared" ca="1" si="1816"/>
        <v>0.95424201966258038</v>
      </c>
      <c r="Q668" s="21">
        <v>1.5</v>
      </c>
      <c r="R668" s="20">
        <f t="shared" ca="1" si="1817"/>
        <v>0.88371354822117665</v>
      </c>
      <c r="S668" s="22">
        <f t="shared" ca="1" si="1818"/>
        <v>1.325570322331765</v>
      </c>
      <c r="T668" s="21">
        <f ca="1">F668/28.443</f>
        <v>208.52343283057306</v>
      </c>
      <c r="U668" s="21">
        <f t="shared" ca="1" si="1819"/>
        <v>6.9507810943524353</v>
      </c>
      <c r="V668" s="18">
        <f t="shared" ca="1" si="1820"/>
        <v>262.06666666666666</v>
      </c>
      <c r="W668" s="76"/>
      <c r="X668" s="1" t="s">
        <v>2</v>
      </c>
      <c r="Y668" s="1" t="s">
        <v>3</v>
      </c>
      <c r="Z668" s="1" t="s">
        <v>4</v>
      </c>
      <c r="AA668" s="1" t="s">
        <v>5</v>
      </c>
      <c r="AB668" s="2" t="s">
        <v>6</v>
      </c>
      <c r="AC668" s="1" t="s">
        <v>7</v>
      </c>
      <c r="AD668" s="1" t="s">
        <v>8</v>
      </c>
      <c r="AE668" s="1" t="s">
        <v>9</v>
      </c>
      <c r="AF668" s="1" t="s">
        <v>10</v>
      </c>
      <c r="AG668" s="1" t="s">
        <v>11</v>
      </c>
      <c r="AH668" s="1" t="s">
        <v>12</v>
      </c>
      <c r="AI668" s="1" t="s">
        <v>13</v>
      </c>
      <c r="AJ668" s="2" t="s">
        <v>14</v>
      </c>
      <c r="AK668" s="1" t="s">
        <v>15</v>
      </c>
      <c r="AL668" s="1" t="s">
        <v>16</v>
      </c>
      <c r="AM668" s="3" t="s">
        <v>17</v>
      </c>
      <c r="AN668" s="4" t="s">
        <v>18</v>
      </c>
      <c r="AO668" s="5" t="s">
        <v>19</v>
      </c>
      <c r="AP668" s="6" t="s">
        <v>20</v>
      </c>
      <c r="AQ668" s="6" t="s">
        <v>21</v>
      </c>
      <c r="AR668" s="7" t="s">
        <v>22</v>
      </c>
      <c r="AS668" s="76"/>
      <c r="AT668" s="76"/>
    </row>
    <row r="669" spans="1:46" ht="15.75" customHeight="1" x14ac:dyDescent="0.25">
      <c r="A669" s="70"/>
      <c r="B669" s="16">
        <v>16</v>
      </c>
      <c r="C669" s="16" t="s">
        <v>42</v>
      </c>
      <c r="D669" s="17">
        <v>33</v>
      </c>
      <c r="E669" s="18">
        <f ca="1">IFERROR(__xludf.DUMMYFUNCTION("COUNT(IMPORTRANGE(""https://docs.google.com/spreadsheets/d/1Z5uB5HbeAKcHmG4EOw3rf2J8NpyvDiha6RReERAMvA0/edit"",""25!d2:d34""))"),33)</f>
        <v>33</v>
      </c>
      <c r="F669" s="23">
        <f ca="1">IFERROR(__xludf.DUMMYFUNCTION("SUM(IMPORTRANGE(""https://docs.google.com/spreadsheets/d/1Z5uB5HbeAKcHmG4EOw3rf2J8NpyvDiha6RReERAMvA0/edit"",""25!Q2:Q34""))"),6154.11799999999)</f>
        <v>6154.1179999999904</v>
      </c>
      <c r="G669" s="18">
        <f ca="1">IFERROR(__xludf.DUMMYFUNCTION("IMPORTRANGE(""https://docs.google.com/spreadsheets/d/1Z5uB5HbeAKcHmG4EOw3rf2J8NpyvDiha6RReERAMvA0/edit"",""25!e41"")"),3329)</f>
        <v>3329</v>
      </c>
      <c r="H669" s="18">
        <f ca="1">IFERROR(__xludf.DUMMYFUNCTION("IMPORTRANGE(""https://docs.google.com/spreadsheets/d/1Z5uB5HbeAKcHmG4EOw3rf2J8NpyvDiha6RReERAMvA0/edit"",""25!e42"")"),0)</f>
        <v>0</v>
      </c>
      <c r="I669" s="18">
        <f t="shared" ca="1" si="1812"/>
        <v>3329</v>
      </c>
      <c r="J669" s="18">
        <f ca="1">IFERROR(__xludf.DUMMYFUNCTION("IMPORTRANGE(""https://docs.google.com/spreadsheets/d/1Z5uB5HbeAKcHmG4EOw3rf2J8NpyvDiha6RReERAMvA0/edit"",""25!e45"")"),4296)</f>
        <v>4296</v>
      </c>
      <c r="K669" s="18">
        <f ca="1">IFERROR(__xludf.DUMMYFUNCTION("IMPORTRANGE(""https://docs.google.com/spreadsheets/d/1Z5uB5HbeAKcHmG4EOw3rf2J8NpyvDiha6RReERAMvA0/edit"",""25!e46"")"),0)</f>
        <v>0</v>
      </c>
      <c r="L669" s="18">
        <f t="shared" ca="1" si="1842"/>
        <v>4296</v>
      </c>
      <c r="M669" s="18">
        <f t="shared" ca="1" si="1814"/>
        <v>7625</v>
      </c>
      <c r="N669" s="19">
        <f t="shared" ca="1" si="1815"/>
        <v>186.48842424242395</v>
      </c>
      <c r="O669" s="16">
        <v>9877</v>
      </c>
      <c r="P669" s="20">
        <f t="shared" ca="1" si="1816"/>
        <v>0.77199554520603419</v>
      </c>
      <c r="Q669" s="21">
        <v>1.5</v>
      </c>
      <c r="R669" s="20">
        <f t="shared" ca="1" si="1817"/>
        <v>0.82600517788793482</v>
      </c>
      <c r="S669" s="22">
        <f t="shared" ca="1" si="1818"/>
        <v>1.2390077668319022</v>
      </c>
      <c r="T669" s="21">
        <f ca="1">F669/26.155</f>
        <v>235.2941311412728</v>
      </c>
      <c r="U669" s="21">
        <f t="shared" ca="1" si="1819"/>
        <v>7.1301251860991757</v>
      </c>
      <c r="V669" s="18">
        <f t="shared" ca="1" si="1820"/>
        <v>231.06060606060606</v>
      </c>
      <c r="W669" s="76"/>
      <c r="X669" s="8">
        <v>1</v>
      </c>
      <c r="Y669" s="8" t="s">
        <v>26</v>
      </c>
      <c r="Z669" s="8">
        <f t="shared" ref="Z669:AI669" si="1854">SUM(D654)</f>
        <v>20</v>
      </c>
      <c r="AA669" s="9">
        <f t="shared" ca="1" si="1854"/>
        <v>20</v>
      </c>
      <c r="AB669" s="11">
        <f t="shared" ca="1" si="1854"/>
        <v>3849.57</v>
      </c>
      <c r="AC669" s="9">
        <f t="shared" ca="1" si="1854"/>
        <v>1995</v>
      </c>
      <c r="AD669" s="9">
        <f t="shared" ca="1" si="1854"/>
        <v>0</v>
      </c>
      <c r="AE669" s="9">
        <f t="shared" ca="1" si="1854"/>
        <v>1995</v>
      </c>
      <c r="AF669" s="9">
        <f t="shared" ca="1" si="1854"/>
        <v>3171</v>
      </c>
      <c r="AG669" s="9">
        <f t="shared" ca="1" si="1854"/>
        <v>0</v>
      </c>
      <c r="AH669" s="9">
        <f t="shared" ca="1" si="1854"/>
        <v>3171</v>
      </c>
      <c r="AI669" s="9">
        <f t="shared" ca="1" si="1854"/>
        <v>5166</v>
      </c>
      <c r="AJ669" s="11">
        <f t="shared" ref="AJ669:AJ675" ca="1" si="1855">AB669/AA669</f>
        <v>192.4785</v>
      </c>
      <c r="AK669" s="8">
        <f>SUM(O654)</f>
        <v>5161</v>
      </c>
      <c r="AL669" s="12">
        <f t="shared" ref="AL669:AL675" ca="1" si="1856">AI669/AK669</f>
        <v>1.0009688044952529</v>
      </c>
      <c r="AM669" s="13">
        <f>SUM(Q654)</f>
        <v>1.5</v>
      </c>
      <c r="AN669" s="12">
        <f t="shared" ref="AN669:AN675" ca="1" si="1857">AO669/AM669</f>
        <v>0.89464537597705718</v>
      </c>
      <c r="AO669" s="14">
        <f t="shared" ref="AO669:AO675" ca="1" si="1858">AI669/AB669</f>
        <v>1.3419680639655858</v>
      </c>
      <c r="AP669" s="13">
        <f t="shared" ref="AP669:AQ669" ca="1" si="1859">SUM(T654)</f>
        <v>267.0530697190427</v>
      </c>
      <c r="AQ669" s="13">
        <f t="shared" ca="1" si="1859"/>
        <v>13.352653485952136</v>
      </c>
      <c r="AR669" s="9">
        <f t="shared" ref="AR669:AR675" ca="1" si="1860">AI669/AA669</f>
        <v>258.3</v>
      </c>
      <c r="AS669" s="76"/>
      <c r="AT669" s="76"/>
    </row>
    <row r="670" spans="1:46" ht="15.75" customHeight="1" x14ac:dyDescent="0.25">
      <c r="A670" s="70"/>
      <c r="B670" s="16">
        <v>17</v>
      </c>
      <c r="C670" s="16" t="s">
        <v>29</v>
      </c>
      <c r="D670" s="17">
        <v>30</v>
      </c>
      <c r="E670" s="18">
        <f ca="1">IFERROR(__xludf.DUMMYFUNCTION("COUNT(IMPORTRANGE(""https://docs.google.com/spreadsheets/d/1wfJqI0e9wVPqEQv3N6b8KgINjqI0OBECEyIFeY9j3i8/edit"",""25!d2:d31""))"),30)</f>
        <v>30</v>
      </c>
      <c r="F670" s="23">
        <f ca="1">IFERROR(__xludf.DUMMYFUNCTION("SUM(IMPORTRANGE(""https://docs.google.com/spreadsheets/d/1wfJqI0e9wVPqEQv3N6b8KgINjqI0OBECEyIFeY9j3i8/edit"",""25!Q2:Q31""))"),6066.43899999999)</f>
        <v>6066.4389999999903</v>
      </c>
      <c r="G670" s="18">
        <f ca="1">IFERROR(__xludf.DUMMYFUNCTION("IMPORTRANGE(""https://docs.google.com/spreadsheets/d/1wfJqI0e9wVPqEQv3N6b8KgINjqI0OBECEyIFeY9j3i8/edit"",""25!e38"")"),3066)</f>
        <v>3066</v>
      </c>
      <c r="H670" s="18">
        <f ca="1">IFERROR(__xludf.DUMMYFUNCTION("IMPORTRANGE(""https://docs.google.com/spreadsheets/d/1wfJqI0e9wVPqEQv3N6b8KgINjqI0OBECEyIFeY9j3i8/edit"",""25!e39"")"),0)</f>
        <v>0</v>
      </c>
      <c r="I670" s="18">
        <f t="shared" ca="1" si="1812"/>
        <v>3066</v>
      </c>
      <c r="J670" s="18">
        <f ca="1">IFERROR(__xludf.DUMMYFUNCTION("IMPORTRANGE(""https://docs.google.com/spreadsheets/d/1wfJqI0e9wVPqEQv3N6b8KgINjqI0OBECEyIFeY9j3i8/edit"",""25!e42"")"),4198)</f>
        <v>4198</v>
      </c>
      <c r="K670" s="18">
        <f ca="1">IFERROR(__xludf.DUMMYFUNCTION("IMPORTRANGE(""https://docs.google.com/spreadsheets/d/1wfJqI0e9wVPqEQv3N6b8KgINjqI0OBECEyIFeY9j3i8/edit"",""25!e43"")"),0)</f>
        <v>0</v>
      </c>
      <c r="L670" s="18">
        <f t="shared" ca="1" si="1842"/>
        <v>4198</v>
      </c>
      <c r="M670" s="18">
        <f t="shared" ca="1" si="1814"/>
        <v>7264</v>
      </c>
      <c r="N670" s="19">
        <f t="shared" ca="1" si="1815"/>
        <v>202.21463333333301</v>
      </c>
      <c r="O670" s="16">
        <v>9201</v>
      </c>
      <c r="P670" s="20">
        <f t="shared" ca="1" si="1816"/>
        <v>0.78947940441256381</v>
      </c>
      <c r="Q670" s="21">
        <v>1.5</v>
      </c>
      <c r="R670" s="20">
        <f t="shared" ca="1" si="1817"/>
        <v>0.79827171536162711</v>
      </c>
      <c r="S670" s="22">
        <f t="shared" ca="1" si="1818"/>
        <v>1.1974075730424407</v>
      </c>
      <c r="T670" s="21">
        <f ca="1">F670/26.491</f>
        <v>228.99999999999963</v>
      </c>
      <c r="U670" s="21">
        <f t="shared" ca="1" si="1819"/>
        <v>7.6333333333333213</v>
      </c>
      <c r="V670" s="18">
        <f t="shared" ca="1" si="1820"/>
        <v>242.13333333333333</v>
      </c>
      <c r="W670" s="76"/>
      <c r="X670" s="8">
        <v>2</v>
      </c>
      <c r="Y670" s="8" t="s">
        <v>32</v>
      </c>
      <c r="Z670" s="8">
        <f t="shared" ref="Z670:AI670" si="1861">SUM(D657)</f>
        <v>42</v>
      </c>
      <c r="AA670" s="9">
        <f t="shared" ca="1" si="1861"/>
        <v>42</v>
      </c>
      <c r="AB670" s="10">
        <f t="shared" ca="1" si="1861"/>
        <v>8231.3409999999894</v>
      </c>
      <c r="AC670" s="8">
        <f t="shared" ca="1" si="1861"/>
        <v>4619</v>
      </c>
      <c r="AD670" s="8">
        <f t="shared" ca="1" si="1861"/>
        <v>0</v>
      </c>
      <c r="AE670" s="9">
        <f t="shared" ca="1" si="1861"/>
        <v>4619</v>
      </c>
      <c r="AF670" s="8">
        <f t="shared" ca="1" si="1861"/>
        <v>5882</v>
      </c>
      <c r="AG670" s="8">
        <f t="shared" ca="1" si="1861"/>
        <v>0</v>
      </c>
      <c r="AH670" s="9">
        <f t="shared" ca="1" si="1861"/>
        <v>5882</v>
      </c>
      <c r="AI670" s="9">
        <f t="shared" ca="1" si="1861"/>
        <v>10501</v>
      </c>
      <c r="AJ670" s="11">
        <f t="shared" ca="1" si="1855"/>
        <v>195.98430952380926</v>
      </c>
      <c r="AK670" s="8">
        <f>SUM(O657)</f>
        <v>13817</v>
      </c>
      <c r="AL670" s="12">
        <f t="shared" ca="1" si="1856"/>
        <v>0.76000578996887891</v>
      </c>
      <c r="AM670" s="13">
        <f>SUM(Q657)</f>
        <v>1.5</v>
      </c>
      <c r="AN670" s="12">
        <f t="shared" ca="1" si="1857"/>
        <v>0.85048920542432593</v>
      </c>
      <c r="AO670" s="14">
        <f t="shared" ca="1" si="1858"/>
        <v>1.2757338081364888</v>
      </c>
      <c r="AP670" s="13">
        <f t="shared" ref="AP670:AQ670" ca="1" si="1862">SUM(T657)</f>
        <v>328.08565506795765</v>
      </c>
      <c r="AQ670" s="13">
        <f t="shared" ca="1" si="1862"/>
        <v>7.8115632159037531</v>
      </c>
      <c r="AR670" s="9">
        <f t="shared" ca="1" si="1860"/>
        <v>250.02380952380952</v>
      </c>
      <c r="AS670" s="76"/>
      <c r="AT670" s="76"/>
    </row>
    <row r="671" spans="1:46" ht="15.75" customHeight="1" x14ac:dyDescent="0.25">
      <c r="A671" s="70"/>
      <c r="B671" s="16">
        <v>18</v>
      </c>
      <c r="C671" s="16" t="s">
        <v>31</v>
      </c>
      <c r="D671" s="17">
        <v>15</v>
      </c>
      <c r="E671" s="18">
        <f ca="1">IFERROR(__xludf.DUMMYFUNCTION("COUNT(IMPORTRANGE(""https://docs.google.com/spreadsheets/d/1-y2KhTAo7d8kowgUuWUDfRQuRMUAFteRYEXorT3_wOs/edit"",""25!d2:d16""))"),15)</f>
        <v>15</v>
      </c>
      <c r="F671" s="19">
        <f ca="1">IFERROR(__xludf.DUMMYFUNCTION("SUM(IMPORTRANGE(""https://docs.google.com/spreadsheets/d/1-y2KhTAo7d8kowgUuWUDfRQuRMUAFteRYEXorT3_wOs/edit"",""25!Q2:Q16""))"),2781.76)</f>
        <v>2781.76</v>
      </c>
      <c r="G671" s="18">
        <f ca="1">IFERROR(__xludf.DUMMYFUNCTION("IMPORTRANGE(""https://docs.google.com/spreadsheets/d/1-y2KhTAo7d8kowgUuWUDfRQuRMUAFteRYEXorT3_wOs/edit"",""25!e23"")"),834)</f>
        <v>834</v>
      </c>
      <c r="H671" s="18">
        <f ca="1">IFERROR(__xludf.DUMMYFUNCTION("IMPORTRANGE(""https://docs.google.com/spreadsheets/d/1-y2KhTAo7d8kowgUuWUDfRQuRMUAFteRYEXorT3_wOs/edit"",""25!e24"")"),0)</f>
        <v>0</v>
      </c>
      <c r="I671" s="18">
        <f t="shared" ca="1" si="1812"/>
        <v>834</v>
      </c>
      <c r="J671" s="18">
        <f ca="1">IFERROR(__xludf.DUMMYFUNCTION("IMPORTRANGE(""https://docs.google.com/spreadsheets/d/1-y2KhTAo7d8kowgUuWUDfRQuRMUAFteRYEXorT3_wOs/edit"",""25!e27"")"),1160)</f>
        <v>1160</v>
      </c>
      <c r="K671" s="18">
        <f ca="1">IFERROR(__xludf.DUMMYFUNCTION("IMPORTRANGE(""https://docs.google.com/spreadsheets/d/1-y2KhTAo7d8kowgUuWUDfRQuRMUAFteRYEXorT3_wOs/edit"",""25!e28"")"),0)</f>
        <v>0</v>
      </c>
      <c r="L671" s="18">
        <f t="shared" ca="1" si="1842"/>
        <v>1160</v>
      </c>
      <c r="M671" s="18">
        <f t="shared" ca="1" si="1814"/>
        <v>1994</v>
      </c>
      <c r="N671" s="19">
        <f t="shared" ca="1" si="1815"/>
        <v>185.45066666666668</v>
      </c>
      <c r="O671" s="16">
        <v>2717</v>
      </c>
      <c r="P671" s="20">
        <f t="shared" ca="1" si="1816"/>
        <v>0.73389768126610233</v>
      </c>
      <c r="Q671" s="21">
        <v>1.5</v>
      </c>
      <c r="R671" s="20">
        <f t="shared" ca="1" si="1817"/>
        <v>0.47787491851681424</v>
      </c>
      <c r="S671" s="22">
        <f t="shared" ca="1" si="1818"/>
        <v>0.71681237777522133</v>
      </c>
      <c r="T671" s="21">
        <f ca="1">F671/43.465</f>
        <v>64</v>
      </c>
      <c r="U671" s="21">
        <f t="shared" ca="1" si="1819"/>
        <v>4.2666666666666666</v>
      </c>
      <c r="V671" s="18">
        <f t="shared" ca="1" si="1820"/>
        <v>132.93333333333334</v>
      </c>
      <c r="W671" s="76"/>
      <c r="X671" s="8">
        <v>3</v>
      </c>
      <c r="Y671" s="8" t="s">
        <v>36</v>
      </c>
      <c r="Z671" s="8">
        <f t="shared" ref="Z671:AI671" si="1863">SUM(D662)</f>
        <v>30</v>
      </c>
      <c r="AA671" s="9">
        <f t="shared" ca="1" si="1863"/>
        <v>30</v>
      </c>
      <c r="AB671" s="10">
        <f t="shared" ca="1" si="1863"/>
        <v>5922.9369999999899</v>
      </c>
      <c r="AC671" s="9">
        <f t="shared" ca="1" si="1863"/>
        <v>1679</v>
      </c>
      <c r="AD671" s="9">
        <f t="shared" ca="1" si="1863"/>
        <v>0</v>
      </c>
      <c r="AE671" s="9">
        <f t="shared" ca="1" si="1863"/>
        <v>1679</v>
      </c>
      <c r="AF671" s="9">
        <f t="shared" ca="1" si="1863"/>
        <v>2380</v>
      </c>
      <c r="AG671" s="9">
        <f t="shared" ca="1" si="1863"/>
        <v>0</v>
      </c>
      <c r="AH671" s="9">
        <f t="shared" ca="1" si="1863"/>
        <v>2380</v>
      </c>
      <c r="AI671" s="9">
        <f t="shared" ca="1" si="1863"/>
        <v>4059</v>
      </c>
      <c r="AJ671" s="11">
        <f t="shared" ca="1" si="1855"/>
        <v>197.43123333333298</v>
      </c>
      <c r="AK671" s="8">
        <f t="shared" ref="AK671:AK674" si="1864">SUM(O662)</f>
        <v>4796</v>
      </c>
      <c r="AL671" s="12">
        <f t="shared" ca="1" si="1856"/>
        <v>0.84633027522935778</v>
      </c>
      <c r="AM671" s="13">
        <f t="shared" ref="AM671:AM674" si="1865">SUM(Q662)</f>
        <v>1.5</v>
      </c>
      <c r="AN671" s="12">
        <f t="shared" ca="1" si="1857"/>
        <v>0.45686793562045391</v>
      </c>
      <c r="AO671" s="14">
        <f t="shared" ca="1" si="1858"/>
        <v>0.68530190343068087</v>
      </c>
      <c r="AP671" s="13">
        <f t="shared" ref="AP671:AQ671" ca="1" si="1866">SUM(T662)</f>
        <v>158.30803977120837</v>
      </c>
      <c r="AQ671" s="13">
        <f t="shared" ca="1" si="1866"/>
        <v>5.276934659040279</v>
      </c>
      <c r="AR671" s="9">
        <f t="shared" ca="1" si="1860"/>
        <v>135.30000000000001</v>
      </c>
      <c r="AS671" s="76"/>
      <c r="AT671" s="76"/>
    </row>
    <row r="672" spans="1:46" ht="15.75" customHeight="1" x14ac:dyDescent="0.2">
      <c r="A672" s="70"/>
      <c r="B672" s="98" t="s">
        <v>33</v>
      </c>
      <c r="C672" s="98">
        <v>18</v>
      </c>
      <c r="D672" s="98">
        <f t="shared" ref="D672:M672" si="1867">SUM(D654:D671)</f>
        <v>586</v>
      </c>
      <c r="E672" s="74">
        <f t="shared" ca="1" si="1867"/>
        <v>576</v>
      </c>
      <c r="F672" s="99">
        <f t="shared" ca="1" si="1867"/>
        <v>111809.7709999998</v>
      </c>
      <c r="G672" s="74">
        <f t="shared" ca="1" si="1867"/>
        <v>44115</v>
      </c>
      <c r="H672" s="74">
        <f t="shared" ca="1" si="1867"/>
        <v>580</v>
      </c>
      <c r="I672" s="74">
        <f t="shared" ca="1" si="1867"/>
        <v>44695</v>
      </c>
      <c r="J672" s="74">
        <f t="shared" ca="1" si="1867"/>
        <v>56464</v>
      </c>
      <c r="K672" s="74">
        <f t="shared" ca="1" si="1867"/>
        <v>1236</v>
      </c>
      <c r="L672" s="74">
        <f t="shared" ca="1" si="1867"/>
        <v>57700</v>
      </c>
      <c r="M672" s="74">
        <f t="shared" ca="1" si="1867"/>
        <v>102395</v>
      </c>
      <c r="N672" s="99">
        <f t="shared" ca="1" si="1815"/>
        <v>194.11418576388854</v>
      </c>
      <c r="O672" s="98">
        <f>SUM(O654:O671)</f>
        <v>126399</v>
      </c>
      <c r="P672" s="69">
        <f t="shared" ca="1" si="1816"/>
        <v>0.81009343428349911</v>
      </c>
      <c r="Q672" s="72">
        <v>1.5</v>
      </c>
      <c r="R672" s="69">
        <f t="shared" ca="1" si="1817"/>
        <v>0.61053101819995192</v>
      </c>
      <c r="S672" s="73">
        <f t="shared" ca="1" si="1818"/>
        <v>0.91579652729992789</v>
      </c>
      <c r="T672" s="72">
        <f ca="1">SUM(T654:T671)</f>
        <v>4119.5655282013631</v>
      </c>
      <c r="U672" s="72">
        <f t="shared" ca="1" si="1819"/>
        <v>7.1520234864607</v>
      </c>
      <c r="V672" s="74">
        <f t="shared" ca="1" si="1820"/>
        <v>177.76909722222223</v>
      </c>
      <c r="W672" s="76"/>
      <c r="X672" s="8">
        <v>4</v>
      </c>
      <c r="Y672" s="8" t="s">
        <v>37</v>
      </c>
      <c r="Z672" s="8">
        <f t="shared" ref="Z672:AI672" si="1868">SUM(D663)</f>
        <v>30</v>
      </c>
      <c r="AA672" s="9">
        <f t="shared" ca="1" si="1868"/>
        <v>27</v>
      </c>
      <c r="AB672" s="10">
        <f t="shared" ca="1" si="1868"/>
        <v>5278.0739999999996</v>
      </c>
      <c r="AC672" s="9">
        <f t="shared" ca="1" si="1868"/>
        <v>1943</v>
      </c>
      <c r="AD672" s="9">
        <f t="shared" ca="1" si="1868"/>
        <v>0</v>
      </c>
      <c r="AE672" s="9">
        <f t="shared" ca="1" si="1868"/>
        <v>1943</v>
      </c>
      <c r="AF672" s="9">
        <f t="shared" ca="1" si="1868"/>
        <v>3054</v>
      </c>
      <c r="AG672" s="9">
        <f t="shared" ca="1" si="1868"/>
        <v>0</v>
      </c>
      <c r="AH672" s="9">
        <f t="shared" ca="1" si="1868"/>
        <v>3054</v>
      </c>
      <c r="AI672" s="9">
        <f t="shared" ca="1" si="1868"/>
        <v>4997</v>
      </c>
      <c r="AJ672" s="11">
        <f t="shared" ca="1" si="1855"/>
        <v>195.4842222222222</v>
      </c>
      <c r="AK672" s="8">
        <f t="shared" si="1864"/>
        <v>5887</v>
      </c>
      <c r="AL672" s="12">
        <f t="shared" ca="1" si="1856"/>
        <v>0.84881943264820792</v>
      </c>
      <c r="AM672" s="13">
        <f t="shared" si="1865"/>
        <v>1.5</v>
      </c>
      <c r="AN672" s="12">
        <f t="shared" ca="1" si="1857"/>
        <v>0.63116457505774526</v>
      </c>
      <c r="AO672" s="14">
        <f t="shared" ca="1" si="1858"/>
        <v>0.94674686258661789</v>
      </c>
      <c r="AP672" s="13">
        <f t="shared" ref="AP672:AQ672" ca="1" si="1869">SUM(T663)</f>
        <v>212.89424007744429</v>
      </c>
      <c r="AQ672" s="13">
        <f t="shared" ca="1" si="1869"/>
        <v>7.8849718547201588</v>
      </c>
      <c r="AR672" s="9">
        <f t="shared" ca="1" si="1860"/>
        <v>185.07407407407408</v>
      </c>
      <c r="AS672" s="76"/>
      <c r="AT672" s="76"/>
    </row>
    <row r="673" spans="1:46" ht="15.75" customHeight="1" x14ac:dyDescent="0.2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6"/>
      <c r="X673" s="8">
        <v>5</v>
      </c>
      <c r="Y673" s="8" t="s">
        <v>39</v>
      </c>
      <c r="Z673" s="8">
        <f t="shared" ref="Z673:AI673" si="1870">SUM(D664)</f>
        <v>28</v>
      </c>
      <c r="AA673" s="9">
        <f t="shared" ca="1" si="1870"/>
        <v>28</v>
      </c>
      <c r="AB673" s="10">
        <f t="shared" ca="1" si="1870"/>
        <v>5437.415</v>
      </c>
      <c r="AC673" s="9">
        <f t="shared" ca="1" si="1870"/>
        <v>1207</v>
      </c>
      <c r="AD673" s="9">
        <f t="shared" ca="1" si="1870"/>
        <v>0</v>
      </c>
      <c r="AE673" s="9">
        <f t="shared" ca="1" si="1870"/>
        <v>1207</v>
      </c>
      <c r="AF673" s="9">
        <f t="shared" ca="1" si="1870"/>
        <v>1900</v>
      </c>
      <c r="AG673" s="9">
        <f t="shared" ca="1" si="1870"/>
        <v>180</v>
      </c>
      <c r="AH673" s="9">
        <f t="shared" ca="1" si="1870"/>
        <v>2080</v>
      </c>
      <c r="AI673" s="9">
        <f t="shared" ca="1" si="1870"/>
        <v>3287</v>
      </c>
      <c r="AJ673" s="11">
        <f t="shared" ca="1" si="1855"/>
        <v>194.19339285714287</v>
      </c>
      <c r="AK673" s="8">
        <f t="shared" si="1864"/>
        <v>3569</v>
      </c>
      <c r="AL673" s="12">
        <f t="shared" ca="1" si="1856"/>
        <v>0.92098627066405159</v>
      </c>
      <c r="AM673" s="13">
        <f t="shared" si="1865"/>
        <v>1.5</v>
      </c>
      <c r="AN673" s="12">
        <f t="shared" ca="1" si="1857"/>
        <v>0.40301013134611452</v>
      </c>
      <c r="AO673" s="14">
        <f t="shared" ca="1" si="1858"/>
        <v>0.60451519701917178</v>
      </c>
      <c r="AP673" s="13">
        <f t="shared" ref="AP673:AQ673" ca="1" si="1871">SUM(T664)</f>
        <v>253.33900200344777</v>
      </c>
      <c r="AQ673" s="13">
        <f t="shared" ca="1" si="1871"/>
        <v>9.0478215001231348</v>
      </c>
      <c r="AR673" s="9">
        <f t="shared" ca="1" si="1860"/>
        <v>117.39285714285714</v>
      </c>
      <c r="AS673" s="76"/>
      <c r="AT673" s="76"/>
    </row>
    <row r="674" spans="1:46" ht="15.75" customHeight="1" x14ac:dyDescent="0.2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6"/>
      <c r="X674" s="8">
        <v>6</v>
      </c>
      <c r="Y674" s="8" t="s">
        <v>41</v>
      </c>
      <c r="Z674" s="8">
        <f t="shared" ref="Z674:AI674" si="1872">SUM(D665)</f>
        <v>24</v>
      </c>
      <c r="AA674" s="9">
        <f t="shared" ca="1" si="1872"/>
        <v>24</v>
      </c>
      <c r="AB674" s="10">
        <f t="shared" ca="1" si="1872"/>
        <v>4806.32</v>
      </c>
      <c r="AC674" s="9">
        <f t="shared" ca="1" si="1872"/>
        <v>1281</v>
      </c>
      <c r="AD674" s="9">
        <f t="shared" ca="1" si="1872"/>
        <v>0</v>
      </c>
      <c r="AE674" s="9">
        <f t="shared" ca="1" si="1872"/>
        <v>1281</v>
      </c>
      <c r="AF674" s="9">
        <f t="shared" ca="1" si="1872"/>
        <v>1761</v>
      </c>
      <c r="AG674" s="9">
        <f t="shared" ca="1" si="1872"/>
        <v>109</v>
      </c>
      <c r="AH674" s="9">
        <f t="shared" ca="1" si="1872"/>
        <v>1870</v>
      </c>
      <c r="AI674" s="9">
        <f t="shared" ca="1" si="1872"/>
        <v>3151</v>
      </c>
      <c r="AJ674" s="11">
        <f t="shared" ca="1" si="1855"/>
        <v>200.26333333333332</v>
      </c>
      <c r="AK674" s="8">
        <f t="shared" si="1864"/>
        <v>3801</v>
      </c>
      <c r="AL674" s="12">
        <f t="shared" ca="1" si="1856"/>
        <v>0.82899237042883456</v>
      </c>
      <c r="AM674" s="13">
        <f t="shared" si="1865"/>
        <v>1.5</v>
      </c>
      <c r="AN674" s="12">
        <f t="shared" ca="1" si="1857"/>
        <v>0.4370634220498566</v>
      </c>
      <c r="AO674" s="14">
        <f t="shared" ca="1" si="1858"/>
        <v>0.6555951330747849</v>
      </c>
      <c r="AP674" s="13">
        <f t="shared" ref="AP674:AQ674" ca="1" si="1873">SUM(T665)</f>
        <v>162.2222222222222</v>
      </c>
      <c r="AQ674" s="13">
        <f t="shared" ca="1" si="1873"/>
        <v>6.7592592592592586</v>
      </c>
      <c r="AR674" s="9">
        <f t="shared" ca="1" si="1860"/>
        <v>131.29166666666666</v>
      </c>
      <c r="AS674" s="76"/>
      <c r="AT674" s="76"/>
    </row>
    <row r="675" spans="1:46" ht="15.75" customHeight="1" x14ac:dyDescent="0.25">
      <c r="A675" s="110" t="s">
        <v>45</v>
      </c>
      <c r="B675" s="76"/>
      <c r="C675" s="76"/>
      <c r="D675" s="75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24" t="s">
        <v>33</v>
      </c>
      <c r="Y675" s="24">
        <v>6</v>
      </c>
      <c r="Z675" s="24">
        <f t="shared" ref="Z675:AI675" si="1874">SUM(Z669:Z674)</f>
        <v>174</v>
      </c>
      <c r="AA675" s="25">
        <f t="shared" ca="1" si="1874"/>
        <v>171</v>
      </c>
      <c r="AB675" s="27">
        <f t="shared" ca="1" si="1874"/>
        <v>33525.656999999977</v>
      </c>
      <c r="AC675" s="25">
        <f t="shared" ca="1" si="1874"/>
        <v>12724</v>
      </c>
      <c r="AD675" s="25">
        <f t="shared" ca="1" si="1874"/>
        <v>0</v>
      </c>
      <c r="AE675" s="25">
        <f t="shared" ca="1" si="1874"/>
        <v>12724</v>
      </c>
      <c r="AF675" s="25">
        <f t="shared" ca="1" si="1874"/>
        <v>18148</v>
      </c>
      <c r="AG675" s="25">
        <f t="shared" ca="1" si="1874"/>
        <v>289</v>
      </c>
      <c r="AH675" s="25">
        <f t="shared" ca="1" si="1874"/>
        <v>18437</v>
      </c>
      <c r="AI675" s="25">
        <f t="shared" ca="1" si="1874"/>
        <v>31161</v>
      </c>
      <c r="AJ675" s="27">
        <f t="shared" ca="1" si="1855"/>
        <v>196.0564736842104</v>
      </c>
      <c r="AK675" s="24">
        <f>SUM(AK669:AK674)</f>
        <v>37031</v>
      </c>
      <c r="AL675" s="28">
        <f t="shared" ca="1" si="1856"/>
        <v>0.8414841619183927</v>
      </c>
      <c r="AM675" s="29">
        <v>1.5</v>
      </c>
      <c r="AN675" s="28">
        <f t="shared" ca="1" si="1857"/>
        <v>0.61964482903347762</v>
      </c>
      <c r="AO675" s="30">
        <f t="shared" ca="1" si="1858"/>
        <v>0.92946724355021648</v>
      </c>
      <c r="AP675" s="29">
        <f ca="1">SUM(AP669:AP674)</f>
        <v>1381.902228861323</v>
      </c>
      <c r="AQ675" s="29">
        <f ca="1">AP675/AA675</f>
        <v>8.0812995839843449</v>
      </c>
      <c r="AR675" s="25">
        <f t="shared" ca="1" si="1860"/>
        <v>182.2280701754386</v>
      </c>
      <c r="AS675" s="76"/>
      <c r="AT675" s="76"/>
    </row>
    <row r="676" spans="1:46" ht="15.75" customHeight="1" x14ac:dyDescent="0.2">
      <c r="A676" s="110" t="s">
        <v>45</v>
      </c>
      <c r="B676" s="76"/>
      <c r="C676" s="76"/>
      <c r="D676" s="75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7" t="s">
        <v>1</v>
      </c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9"/>
      <c r="AS676" s="76"/>
      <c r="AT676" s="76"/>
    </row>
    <row r="677" spans="1:46" ht="15.75" customHeight="1" x14ac:dyDescent="0.2">
      <c r="A677" s="113">
        <v>46291</v>
      </c>
      <c r="B677" s="80" t="s">
        <v>2</v>
      </c>
      <c r="C677" s="80" t="s">
        <v>3</v>
      </c>
      <c r="D677" s="80" t="s">
        <v>4</v>
      </c>
      <c r="E677" s="80" t="s">
        <v>5</v>
      </c>
      <c r="F677" s="81" t="s">
        <v>6</v>
      </c>
      <c r="G677" s="80" t="s">
        <v>7</v>
      </c>
      <c r="H677" s="80" t="s">
        <v>8</v>
      </c>
      <c r="I677" s="80" t="s">
        <v>9</v>
      </c>
      <c r="J677" s="80" t="s">
        <v>10</v>
      </c>
      <c r="K677" s="80" t="s">
        <v>11</v>
      </c>
      <c r="L677" s="80" t="s">
        <v>12</v>
      </c>
      <c r="M677" s="80" t="s">
        <v>13</v>
      </c>
      <c r="N677" s="81" t="s">
        <v>14</v>
      </c>
      <c r="O677" s="80" t="s">
        <v>15</v>
      </c>
      <c r="P677" s="80" t="s">
        <v>16</v>
      </c>
      <c r="Q677" s="80" t="s">
        <v>17</v>
      </c>
      <c r="R677" s="80" t="s">
        <v>18</v>
      </c>
      <c r="S677" s="106" t="s">
        <v>19</v>
      </c>
      <c r="T677" s="107" t="s">
        <v>20</v>
      </c>
      <c r="U677" s="107" t="s">
        <v>21</v>
      </c>
      <c r="V677" s="105" t="s">
        <v>22</v>
      </c>
      <c r="W677" s="76"/>
      <c r="X677" s="1" t="s">
        <v>2</v>
      </c>
      <c r="Y677" s="1" t="s">
        <v>3</v>
      </c>
      <c r="Z677" s="1" t="s">
        <v>4</v>
      </c>
      <c r="AA677" s="1" t="s">
        <v>5</v>
      </c>
      <c r="AB677" s="2" t="s">
        <v>6</v>
      </c>
      <c r="AC677" s="1" t="s">
        <v>7</v>
      </c>
      <c r="AD677" s="1" t="s">
        <v>8</v>
      </c>
      <c r="AE677" s="1" t="s">
        <v>9</v>
      </c>
      <c r="AF677" s="1" t="s">
        <v>10</v>
      </c>
      <c r="AG677" s="1" t="s">
        <v>11</v>
      </c>
      <c r="AH677" s="1" t="s">
        <v>12</v>
      </c>
      <c r="AI677" s="1" t="s">
        <v>13</v>
      </c>
      <c r="AJ677" s="2" t="s">
        <v>14</v>
      </c>
      <c r="AK677" s="1" t="s">
        <v>15</v>
      </c>
      <c r="AL677" s="1" t="s">
        <v>16</v>
      </c>
      <c r="AM677" s="3" t="s">
        <v>17</v>
      </c>
      <c r="AN677" s="4" t="s">
        <v>18</v>
      </c>
      <c r="AO677" s="5" t="s">
        <v>19</v>
      </c>
      <c r="AP677" s="6" t="s">
        <v>20</v>
      </c>
      <c r="AQ677" s="6" t="s">
        <v>21</v>
      </c>
      <c r="AR677" s="7" t="s">
        <v>22</v>
      </c>
      <c r="AS677" s="76"/>
      <c r="AT677" s="76"/>
    </row>
    <row r="678" spans="1:46" ht="15.75" customHeight="1" x14ac:dyDescent="0.2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6"/>
      <c r="X678" s="8">
        <v>1</v>
      </c>
      <c r="Y678" s="8" t="s">
        <v>23</v>
      </c>
      <c r="Z678" s="8">
        <f t="shared" ref="Z678:AI678" si="1875">SUM(D686)</f>
        <v>28</v>
      </c>
      <c r="AA678" s="9">
        <f t="shared" ca="1" si="1875"/>
        <v>34</v>
      </c>
      <c r="AB678" s="10">
        <f t="shared" ca="1" si="1875"/>
        <v>6680.5199999999904</v>
      </c>
      <c r="AC678" s="9">
        <f t="shared" ca="1" si="1875"/>
        <v>2083</v>
      </c>
      <c r="AD678" s="9">
        <f t="shared" ca="1" si="1875"/>
        <v>0</v>
      </c>
      <c r="AE678" s="9">
        <f t="shared" ca="1" si="1875"/>
        <v>2083</v>
      </c>
      <c r="AF678" s="9">
        <f t="shared" ca="1" si="1875"/>
        <v>2916</v>
      </c>
      <c r="AG678" s="9">
        <f t="shared" ca="1" si="1875"/>
        <v>0</v>
      </c>
      <c r="AH678" s="9">
        <f t="shared" ca="1" si="1875"/>
        <v>2916</v>
      </c>
      <c r="AI678" s="9">
        <f t="shared" ca="1" si="1875"/>
        <v>4999</v>
      </c>
      <c r="AJ678" s="11">
        <f t="shared" ref="AJ678:AJ680" ca="1" si="1876">AB678/AA678</f>
        <v>196.48588235294091</v>
      </c>
      <c r="AK678" s="8">
        <f>SUM(O686)</f>
        <v>6853</v>
      </c>
      <c r="AL678" s="12">
        <f t="shared" ref="AL678:AL684" ca="1" si="1877">AI678/AK678</f>
        <v>0.72946154968626875</v>
      </c>
      <c r="AM678" s="13">
        <f t="shared" ref="AM678:AM680" si="1878">SUM(Q686)</f>
        <v>1.5</v>
      </c>
      <c r="AN678" s="12">
        <f t="shared" ref="AN678:AN684" ca="1" si="1879">AO678/AM678</f>
        <v>0.49886336193390207</v>
      </c>
      <c r="AO678" s="14">
        <f t="shared" ref="AO678:AO684" ca="1" si="1880">AI678/AB678</f>
        <v>0.74829504290085314</v>
      </c>
      <c r="AP678" s="13">
        <f t="shared" ref="AP678:AQ678" ca="1" si="1881">SUM(T686)</f>
        <v>197.99999999999972</v>
      </c>
      <c r="AQ678" s="13">
        <f t="shared" ca="1" si="1881"/>
        <v>5.8235294117646976</v>
      </c>
      <c r="AR678" s="9">
        <f t="shared" ref="AR678:AR684" ca="1" si="1882">AI678/AA678</f>
        <v>147.02941176470588</v>
      </c>
      <c r="AS678" s="76"/>
      <c r="AT678" s="76"/>
    </row>
    <row r="679" spans="1:46" ht="15.75" customHeight="1" x14ac:dyDescent="0.2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6"/>
      <c r="X679" s="8">
        <v>2</v>
      </c>
      <c r="Y679" s="8" t="s">
        <v>24</v>
      </c>
      <c r="Z679" s="8">
        <f t="shared" ref="Z679:AI679" si="1883">SUM(D687)</f>
        <v>37</v>
      </c>
      <c r="AA679" s="9">
        <f t="shared" ca="1" si="1883"/>
        <v>44</v>
      </c>
      <c r="AB679" s="10">
        <f t="shared" ca="1" si="1883"/>
        <v>8354.5819999999894</v>
      </c>
      <c r="AC679" s="9">
        <f t="shared" ca="1" si="1883"/>
        <v>1454</v>
      </c>
      <c r="AD679" s="9">
        <f t="shared" ca="1" si="1883"/>
        <v>0</v>
      </c>
      <c r="AE679" s="9">
        <f t="shared" ca="1" si="1883"/>
        <v>1454</v>
      </c>
      <c r="AF679" s="9">
        <f t="shared" ca="1" si="1883"/>
        <v>1288</v>
      </c>
      <c r="AG679" s="9">
        <f t="shared" ca="1" si="1883"/>
        <v>28</v>
      </c>
      <c r="AH679" s="9">
        <f t="shared" ca="1" si="1883"/>
        <v>1316</v>
      </c>
      <c r="AI679" s="9">
        <f t="shared" ca="1" si="1883"/>
        <v>2770</v>
      </c>
      <c r="AJ679" s="11">
        <f t="shared" ca="1" si="1876"/>
        <v>189.8768636363634</v>
      </c>
      <c r="AK679" s="8">
        <v>1580</v>
      </c>
      <c r="AL679" s="15">
        <f t="shared" ca="1" si="1877"/>
        <v>1.7531645569620253</v>
      </c>
      <c r="AM679" s="13">
        <f t="shared" si="1878"/>
        <v>1.5</v>
      </c>
      <c r="AN679" s="12">
        <f t="shared" ca="1" si="1879"/>
        <v>0.22103639256478291</v>
      </c>
      <c r="AO679" s="14">
        <f t="shared" ca="1" si="1880"/>
        <v>0.33155458884717437</v>
      </c>
      <c r="AP679" s="13">
        <f t="shared" ref="AP679:AQ679" ca="1" si="1884">SUM(T687)</f>
        <v>311.67998507741055</v>
      </c>
      <c r="AQ679" s="13">
        <f t="shared" ca="1" si="1884"/>
        <v>7.0836360244866032</v>
      </c>
      <c r="AR679" s="9">
        <f t="shared" ca="1" si="1882"/>
        <v>62.954545454545453</v>
      </c>
      <c r="AS679" s="76"/>
      <c r="AT679" s="76"/>
    </row>
    <row r="680" spans="1:46" ht="15.75" customHeight="1" x14ac:dyDescent="0.2">
      <c r="A680" s="70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6"/>
      <c r="X680" s="8">
        <v>3</v>
      </c>
      <c r="Y680" s="8" t="s">
        <v>25</v>
      </c>
      <c r="Z680" s="8">
        <f t="shared" ref="Z680:AI680" si="1885">SUM(D688)</f>
        <v>27</v>
      </c>
      <c r="AA680" s="9">
        <f t="shared" ca="1" si="1885"/>
        <v>31</v>
      </c>
      <c r="AB680" s="10">
        <f t="shared" ca="1" si="1885"/>
        <v>5925.1239999999998</v>
      </c>
      <c r="AC680" s="9">
        <f t="shared" ca="1" si="1885"/>
        <v>2351</v>
      </c>
      <c r="AD680" s="9">
        <f t="shared" ca="1" si="1885"/>
        <v>438</v>
      </c>
      <c r="AE680" s="9">
        <f t="shared" ca="1" si="1885"/>
        <v>2789</v>
      </c>
      <c r="AF680" s="9">
        <f t="shared" ca="1" si="1885"/>
        <v>3213</v>
      </c>
      <c r="AG680" s="9">
        <f t="shared" ca="1" si="1885"/>
        <v>305</v>
      </c>
      <c r="AH680" s="9">
        <f t="shared" ca="1" si="1885"/>
        <v>3518</v>
      </c>
      <c r="AI680" s="9">
        <f t="shared" ca="1" si="1885"/>
        <v>6307</v>
      </c>
      <c r="AJ680" s="11">
        <f t="shared" ca="1" si="1876"/>
        <v>191.1330322580645</v>
      </c>
      <c r="AK680" s="8">
        <f>SUM(O688)</f>
        <v>6622</v>
      </c>
      <c r="AL680" s="15">
        <f t="shared" ca="1" si="1877"/>
        <v>0.95243128964059198</v>
      </c>
      <c r="AM680" s="13">
        <f t="shared" si="1878"/>
        <v>1.5</v>
      </c>
      <c r="AN680" s="12">
        <f t="shared" ca="1" si="1879"/>
        <v>0.70963353115760386</v>
      </c>
      <c r="AO680" s="14">
        <f t="shared" ca="1" si="1880"/>
        <v>1.0644502967364058</v>
      </c>
      <c r="AP680" s="13">
        <f t="shared" ref="AP680:AQ680" ca="1" si="1886">SUM(T688)</f>
        <v>248.53708053691275</v>
      </c>
      <c r="AQ680" s="13">
        <f t="shared" ca="1" si="1886"/>
        <v>8.0173251786100881</v>
      </c>
      <c r="AR680" s="9">
        <f t="shared" ca="1" si="1882"/>
        <v>203.45161290322579</v>
      </c>
      <c r="AS680" s="76"/>
      <c r="AT680" s="76"/>
    </row>
    <row r="681" spans="1:46" ht="15.75" customHeight="1" x14ac:dyDescent="0.25">
      <c r="A681" s="70"/>
      <c r="B681" s="16">
        <v>1</v>
      </c>
      <c r="C681" s="16" t="s">
        <v>26</v>
      </c>
      <c r="D681" s="17">
        <v>16</v>
      </c>
      <c r="E681" s="18">
        <f ca="1">IFERROR(__xludf.DUMMYFUNCTION("COUNT(IMPORTRANGE(""https://docs.google.com/spreadsheets/d/1F0NpMx7WhcgPgxTWpryY3Z1CGg56FL6aiL4mHs43w4E/edit"",""2!d2:d21""))"),20)</f>
        <v>20</v>
      </c>
      <c r="F681" s="19">
        <f ca="1">IFERROR(__xludf.DUMMYFUNCTION("SUM(IMPORTRANGE(""https://docs.google.com/spreadsheets/d/1F0NpMx7WhcgPgxTWpryY3Z1CGg56FL6aiL4mHs43w4E/edit"",""2!Q2:Q21""))"),3560.964)</f>
        <v>3560.9639999999999</v>
      </c>
      <c r="G681" s="18">
        <f ca="1">IFERROR(__xludf.DUMMYFUNCTION("IMPORTRANGE(""https://docs.google.com/spreadsheets/d/1F0NpMx7WhcgPgxTWpryY3Z1CGg56FL6aiL4mHs43w4E/edit"",""2!e28"")"),1873)</f>
        <v>1873</v>
      </c>
      <c r="H681" s="18">
        <f ca="1">IFERROR(__xludf.DUMMYFUNCTION("IMPORTRANGE(""https://docs.google.com/spreadsheets/d/1F0NpMx7WhcgPgxTWpryY3Z1CGg56FL6aiL4mHs43w4E/edit"",""2!e29"")"),0)</f>
        <v>0</v>
      </c>
      <c r="I681" s="18">
        <f t="shared" ref="I681:I698" ca="1" si="1887">SUM(G681:H681)</f>
        <v>1873</v>
      </c>
      <c r="J681" s="18">
        <f ca="1">IFERROR(__xludf.DUMMYFUNCTION("IMPORTRANGE(""https://docs.google.com/spreadsheets/d/1F0NpMx7WhcgPgxTWpryY3Z1CGg56FL6aiL4mHs43w4E/edit"",""2!e32"")"),3204)</f>
        <v>3204</v>
      </c>
      <c r="K681" s="18">
        <f ca="1">IFERROR(__xludf.DUMMYFUNCTION("IMPORTRANGE(""https://docs.google.com/spreadsheets/d/1F0NpMx7WhcgPgxTWpryY3Z1CGg56FL6aiL4mHs43w4E/edit"",""2!e33"")"),0)</f>
        <v>0</v>
      </c>
      <c r="L681" s="18">
        <f t="shared" ref="L681:L687" ca="1" si="1888">SUM(J681:K681)</f>
        <v>3204</v>
      </c>
      <c r="M681" s="18">
        <f t="shared" ref="M681:M698" ca="1" si="1889">SUM(I681+L681)</f>
        <v>5077</v>
      </c>
      <c r="N681" s="19">
        <f t="shared" ref="N681:N699" ca="1" si="1890">F681/E681</f>
        <v>178.04820000000001</v>
      </c>
      <c r="O681" s="16">
        <v>5161</v>
      </c>
      <c r="P681" s="33">
        <f t="shared" ref="P681:P699" ca="1" si="1891">M681/O681</f>
        <v>0.98372408447975201</v>
      </c>
      <c r="Q681" s="21">
        <v>1.5</v>
      </c>
      <c r="R681" s="33">
        <f t="shared" ref="R681:R699" ca="1" si="1892">S681/Q681</f>
        <v>0.95049168333818213</v>
      </c>
      <c r="S681" s="22">
        <f t="shared" ref="S681:S699" ca="1" si="1893">M681/F681</f>
        <v>1.4257375250072732</v>
      </c>
      <c r="T681" s="21">
        <f ca="1">F681/14.415</f>
        <v>247.0318418314256</v>
      </c>
      <c r="U681" s="21">
        <f t="shared" ref="U681:U699" ca="1" si="1894">T681/E681</f>
        <v>12.35159209157128</v>
      </c>
      <c r="V681" s="18">
        <f t="shared" ref="V681:V699" ca="1" si="1895">M681/E681</f>
        <v>253.85</v>
      </c>
      <c r="W681" s="76"/>
      <c r="X681" s="8">
        <v>4</v>
      </c>
      <c r="Y681" s="8" t="s">
        <v>27</v>
      </c>
      <c r="Z681" s="8">
        <f t="shared" ref="Z681:AK681" si="1896">SUM(D694)</f>
        <v>24</v>
      </c>
      <c r="AA681" s="9">
        <f t="shared" ca="1" si="1896"/>
        <v>28</v>
      </c>
      <c r="AB681" s="10">
        <f t="shared" ca="1" si="1896"/>
        <v>5465.76</v>
      </c>
      <c r="AC681" s="9">
        <f t="shared" ca="1" si="1896"/>
        <v>2368</v>
      </c>
      <c r="AD681" s="9">
        <f t="shared" ca="1" si="1896"/>
        <v>140</v>
      </c>
      <c r="AE681" s="9">
        <f t="shared" ca="1" si="1896"/>
        <v>2508</v>
      </c>
      <c r="AF681" s="9">
        <f t="shared" ca="1" si="1896"/>
        <v>3355</v>
      </c>
      <c r="AG681" s="9">
        <f t="shared" ca="1" si="1896"/>
        <v>107</v>
      </c>
      <c r="AH681" s="9">
        <f t="shared" ca="1" si="1896"/>
        <v>3462</v>
      </c>
      <c r="AI681" s="9">
        <f t="shared" ca="1" si="1896"/>
        <v>5970</v>
      </c>
      <c r="AJ681" s="11">
        <f t="shared" ca="1" si="1896"/>
        <v>195.20571428571429</v>
      </c>
      <c r="AK681" s="8">
        <f t="shared" si="1896"/>
        <v>8101</v>
      </c>
      <c r="AL681" s="12">
        <f t="shared" ca="1" si="1877"/>
        <v>0.73694605604246388</v>
      </c>
      <c r="AM681" s="13">
        <f>SUM(Q694)</f>
        <v>1.5</v>
      </c>
      <c r="AN681" s="12">
        <f t="shared" ca="1" si="1879"/>
        <v>0.72816955007171913</v>
      </c>
      <c r="AO681" s="14">
        <f t="shared" ca="1" si="1880"/>
        <v>1.0922543251075787</v>
      </c>
      <c r="AP681" s="13">
        <f t="shared" ref="AP681:AQ681" ca="1" si="1897">SUM(T694)</f>
        <v>273.49311983987991</v>
      </c>
      <c r="AQ681" s="13">
        <f t="shared" ca="1" si="1897"/>
        <v>9.7676114228528537</v>
      </c>
      <c r="AR681" s="9">
        <f t="shared" ca="1" si="1882"/>
        <v>213.21428571428572</v>
      </c>
      <c r="AS681" s="76"/>
      <c r="AT681" s="76"/>
    </row>
    <row r="682" spans="1:46" ht="15.75" customHeight="1" x14ac:dyDescent="0.25">
      <c r="A682" s="70"/>
      <c r="B682" s="16">
        <v>2</v>
      </c>
      <c r="C682" s="16" t="s">
        <v>28</v>
      </c>
      <c r="D682" s="17">
        <v>26</v>
      </c>
      <c r="E682" s="18">
        <f ca="1">IFERROR(__xludf.DUMMYFUNCTION("COUNT(IMPORTRANGE(""https://docs.google.com/spreadsheets/d/1H9vAqftAHb0OdeSGXHTnJFzoWUgpoH31sc0sHNN8y1o/edit"",""2!d2:d34""))"),33)</f>
        <v>33</v>
      </c>
      <c r="F682" s="19">
        <f ca="1">IFERROR(__xludf.DUMMYFUNCTION("SUM(IMPORTRANGE(""https://docs.google.com/spreadsheets/d/1H9vAqftAHb0OdeSGXHTnJFzoWUgpoH31sc0sHNN8y1o/edit"",""2!Q2:Q34""))"),6528.83299999999)</f>
        <v>6528.8329999999896</v>
      </c>
      <c r="G682" s="18">
        <f ca="1">IFERROR(__xludf.DUMMYFUNCTION("IMPORTRANGE(""https://docs.google.com/spreadsheets/d/1H9vAqftAHb0OdeSGXHTnJFzoWUgpoH31sc0sHNN8y1o/edit"",""2!e41"")"),2700)</f>
        <v>2700</v>
      </c>
      <c r="H682" s="18">
        <f ca="1">IFERROR(__xludf.DUMMYFUNCTION("IMPORTRANGE(""https://docs.google.com/spreadsheets/d/1H9vAqftAHb0OdeSGXHTnJFzoWUgpoH31sc0sHNN8y1o/edit"",""2!e42"")"),104)</f>
        <v>104</v>
      </c>
      <c r="I682" s="18">
        <f t="shared" ca="1" si="1887"/>
        <v>2804</v>
      </c>
      <c r="J682" s="18">
        <f ca="1">IFERROR(__xludf.DUMMYFUNCTION("IMPORTRANGE(""https://docs.google.com/spreadsheets/d/1H9vAqftAHb0OdeSGXHTnJFzoWUgpoH31sc0sHNN8y1o/edit"",""2!e45"")"),3205)</f>
        <v>3205</v>
      </c>
      <c r="K682" s="18">
        <f ca="1">IFERROR(__xludf.DUMMYFUNCTION("IMPORTRANGE(""https://docs.google.com/spreadsheets/d/1H9vAqftAHb0OdeSGXHTnJFzoWUgpoH31sc0sHNN8y1o/edit"",""2!e46"")"),102)</f>
        <v>102</v>
      </c>
      <c r="L682" s="18">
        <f t="shared" ca="1" si="1888"/>
        <v>3307</v>
      </c>
      <c r="M682" s="18">
        <f t="shared" ca="1" si="1889"/>
        <v>6111</v>
      </c>
      <c r="N682" s="19">
        <f t="shared" ca="1" si="1890"/>
        <v>197.84342424242394</v>
      </c>
      <c r="O682" s="16">
        <v>7315</v>
      </c>
      <c r="P682" s="20">
        <f t="shared" ca="1" si="1891"/>
        <v>0.83540669856459326</v>
      </c>
      <c r="Q682" s="21">
        <v>1.5</v>
      </c>
      <c r="R682" s="20">
        <f t="shared" ca="1" si="1892"/>
        <v>0.6240012571925192</v>
      </c>
      <c r="S682" s="22">
        <f t="shared" ca="1" si="1893"/>
        <v>0.93600188578877874</v>
      </c>
      <c r="T682" s="21">
        <f ca="1">F682/30.897</f>
        <v>211.30960934718547</v>
      </c>
      <c r="U682" s="21">
        <f t="shared" ca="1" si="1894"/>
        <v>6.4033214953692568</v>
      </c>
      <c r="V682" s="18">
        <f t="shared" ca="1" si="1895"/>
        <v>185.18181818181819</v>
      </c>
      <c r="W682" s="76"/>
      <c r="X682" s="8">
        <v>5</v>
      </c>
      <c r="Y682" s="8" t="s">
        <v>29</v>
      </c>
      <c r="Z682" s="8">
        <f t="shared" ref="Z682:AI682" si="1898">SUM(D697)</f>
        <v>24</v>
      </c>
      <c r="AA682" s="9">
        <f t="shared" ca="1" si="1898"/>
        <v>29</v>
      </c>
      <c r="AB682" s="10">
        <f t="shared" ca="1" si="1898"/>
        <v>5775.0379999999896</v>
      </c>
      <c r="AC682" s="9">
        <f t="shared" ca="1" si="1898"/>
        <v>2726</v>
      </c>
      <c r="AD682" s="9">
        <f t="shared" ca="1" si="1898"/>
        <v>0</v>
      </c>
      <c r="AE682" s="9">
        <f t="shared" ca="1" si="1898"/>
        <v>2726</v>
      </c>
      <c r="AF682" s="9">
        <f t="shared" ca="1" si="1898"/>
        <v>4235</v>
      </c>
      <c r="AG682" s="9">
        <f t="shared" ca="1" si="1898"/>
        <v>0</v>
      </c>
      <c r="AH682" s="9">
        <f t="shared" ca="1" si="1898"/>
        <v>4235</v>
      </c>
      <c r="AI682" s="9">
        <f t="shared" ca="1" si="1898"/>
        <v>6961</v>
      </c>
      <c r="AJ682" s="11">
        <f t="shared" ref="AJ682:AJ684" ca="1" si="1899">AB682/AA682</f>
        <v>199.13924137930999</v>
      </c>
      <c r="AK682" s="8">
        <f t="shared" ref="AK682:AK683" si="1900">SUM(O697)</f>
        <v>9201</v>
      </c>
      <c r="AL682" s="12">
        <f t="shared" ca="1" si="1877"/>
        <v>0.75654820128246925</v>
      </c>
      <c r="AM682" s="13">
        <f t="shared" ref="AM682:AM683" si="1901">SUM(Q697)</f>
        <v>1.5</v>
      </c>
      <c r="AN682" s="12">
        <f t="shared" ca="1" si="1879"/>
        <v>0.80357335599638902</v>
      </c>
      <c r="AO682" s="14">
        <f t="shared" ca="1" si="1880"/>
        <v>1.2053600339945836</v>
      </c>
      <c r="AP682" s="13">
        <f t="shared" ref="AP682:AQ682" ca="1" si="1902">SUM(T697)</f>
        <v>217.9999999999996</v>
      </c>
      <c r="AQ682" s="13">
        <f t="shared" ca="1" si="1902"/>
        <v>7.517241379310331</v>
      </c>
      <c r="AR682" s="9">
        <f t="shared" ca="1" si="1882"/>
        <v>240.0344827586207</v>
      </c>
      <c r="AS682" s="76"/>
      <c r="AT682" s="76"/>
    </row>
    <row r="683" spans="1:46" ht="15.75" customHeight="1" x14ac:dyDescent="0.25">
      <c r="A683" s="70"/>
      <c r="B683" s="16">
        <v>3</v>
      </c>
      <c r="C683" s="16" t="s">
        <v>30</v>
      </c>
      <c r="D683" s="17">
        <v>48</v>
      </c>
      <c r="E683" s="18">
        <f ca="1">IFERROR(__xludf.DUMMYFUNCTION("COUNT(IMPORTRANGE(""https://docs.google.com/spreadsheets/d/1EWN6nfpuVxbUE_9opjYCWaI7MTm5xsF6ssjklSbMZnA/edit"",""2!d2:d61""))"),58)</f>
        <v>58</v>
      </c>
      <c r="F683" s="23">
        <f ca="1">IFERROR(__xludf.DUMMYFUNCTION("SUM(IMPORTRANGE(""https://docs.google.com/spreadsheets/d/1EWN6nfpuVxbUE_9opjYCWaI7MTm5xsF6ssjklSbMZnA/edit"",""2!Q2:Q61""))"),11253.3449999999)</f>
        <v>11253.344999999899</v>
      </c>
      <c r="G683" s="18">
        <f ca="1">IFERROR(__xludf.DUMMYFUNCTION("IMPORTRANGE(""https://docs.google.com/spreadsheets/d/1EWN6nfpuVxbUE_9opjYCWaI7MTm5xsF6ssjklSbMZnA/edit"",""2!e68"")"),3757)</f>
        <v>3757</v>
      </c>
      <c r="H683" s="18">
        <f ca="1">IFERROR(__xludf.DUMMYFUNCTION("IMPORTRANGE(""https://docs.google.com/spreadsheets/d/1EWN6nfpuVxbUE_9opjYCWaI7MTm5xsF6ssjklSbMZnA/edit"",""2!e69"")"),0)</f>
        <v>0</v>
      </c>
      <c r="I683" s="18">
        <f t="shared" ca="1" si="1887"/>
        <v>3757</v>
      </c>
      <c r="J683" s="18">
        <f ca="1">IFERROR(__xludf.DUMMYFUNCTION("IMPORTRANGE(""https://docs.google.com/spreadsheets/d/1EWN6nfpuVxbUE_9opjYCWaI7MTm5xsF6ssjklSbMZnA/edit"",""2!e72"")"),5596)</f>
        <v>5596</v>
      </c>
      <c r="K683" s="18">
        <f ca="1">IFERROR(__xludf.DUMMYFUNCTION("IMPORTRANGE(""https://docs.google.com/spreadsheets/d/1EWN6nfpuVxbUE_9opjYCWaI7MTm5xsF6ssjklSbMZnA/edit"",""2!e73"")"),0)</f>
        <v>0</v>
      </c>
      <c r="L683" s="18">
        <f t="shared" ca="1" si="1888"/>
        <v>5596</v>
      </c>
      <c r="M683" s="18">
        <f t="shared" ca="1" si="1889"/>
        <v>9353</v>
      </c>
      <c r="N683" s="19">
        <f t="shared" ca="1" si="1890"/>
        <v>194.02318965517068</v>
      </c>
      <c r="O683" s="16">
        <v>11164</v>
      </c>
      <c r="P683" s="20">
        <f t="shared" ca="1" si="1891"/>
        <v>0.83778215693299896</v>
      </c>
      <c r="Q683" s="21">
        <v>1.5</v>
      </c>
      <c r="R683" s="20">
        <f t="shared" ca="1" si="1892"/>
        <v>0.5540871032864797</v>
      </c>
      <c r="S683" s="22">
        <f t="shared" ca="1" si="1893"/>
        <v>0.83113065492971949</v>
      </c>
      <c r="T683" s="21">
        <f ca="1">F683/29.603</f>
        <v>380.14204641421134</v>
      </c>
      <c r="U683" s="21">
        <f t="shared" ca="1" si="1894"/>
        <v>6.5541732140381264</v>
      </c>
      <c r="V683" s="18">
        <f t="shared" ca="1" si="1895"/>
        <v>161.25862068965517</v>
      </c>
      <c r="W683" s="76"/>
      <c r="X683" s="8">
        <v>6</v>
      </c>
      <c r="Y683" s="8" t="s">
        <v>31</v>
      </c>
      <c r="Z683" s="8">
        <f t="shared" ref="Z683:AI683" si="1903">SUM(D698)</f>
        <v>12</v>
      </c>
      <c r="AA683" s="9">
        <f t="shared" ca="1" si="1903"/>
        <v>13</v>
      </c>
      <c r="AB683" s="11">
        <f t="shared" ca="1" si="1903"/>
        <v>2607.9</v>
      </c>
      <c r="AC683" s="9">
        <f t="shared" ca="1" si="1903"/>
        <v>870</v>
      </c>
      <c r="AD683" s="9">
        <f t="shared" ca="1" si="1903"/>
        <v>0</v>
      </c>
      <c r="AE683" s="9">
        <f t="shared" ca="1" si="1903"/>
        <v>870</v>
      </c>
      <c r="AF683" s="9">
        <f t="shared" ca="1" si="1903"/>
        <v>975</v>
      </c>
      <c r="AG683" s="9">
        <f t="shared" ca="1" si="1903"/>
        <v>55</v>
      </c>
      <c r="AH683" s="9">
        <f t="shared" ca="1" si="1903"/>
        <v>1030</v>
      </c>
      <c r="AI683" s="9">
        <f t="shared" ca="1" si="1903"/>
        <v>1900</v>
      </c>
      <c r="AJ683" s="11">
        <f t="shared" ca="1" si="1899"/>
        <v>200.6076923076923</v>
      </c>
      <c r="AK683" s="8">
        <f t="shared" si="1900"/>
        <v>2717</v>
      </c>
      <c r="AL683" s="12">
        <f t="shared" ca="1" si="1877"/>
        <v>0.69930069930069927</v>
      </c>
      <c r="AM683" s="13">
        <f t="shared" si="1901"/>
        <v>1.5</v>
      </c>
      <c r="AN683" s="12">
        <f t="shared" ca="1" si="1879"/>
        <v>0.48570369518258621</v>
      </c>
      <c r="AO683" s="14">
        <f t="shared" ca="1" si="1880"/>
        <v>0.72855554277387935</v>
      </c>
      <c r="AP683" s="13">
        <f t="shared" ref="AP683:AQ683" ca="1" si="1904">SUM(T698)</f>
        <v>60</v>
      </c>
      <c r="AQ683" s="13">
        <f t="shared" ca="1" si="1904"/>
        <v>4.615384615384615</v>
      </c>
      <c r="AR683" s="9">
        <f t="shared" ca="1" si="1882"/>
        <v>146.15384615384616</v>
      </c>
      <c r="AS683" s="76"/>
      <c r="AT683" s="76"/>
    </row>
    <row r="684" spans="1:46" ht="15.75" customHeight="1" x14ac:dyDescent="0.25">
      <c r="A684" s="70"/>
      <c r="B684" s="16">
        <v>4</v>
      </c>
      <c r="C684" s="16" t="s">
        <v>32</v>
      </c>
      <c r="D684" s="17">
        <v>33</v>
      </c>
      <c r="E684" s="18">
        <f ca="1">IFERROR(__xludf.DUMMYFUNCTION("COUNT(IMPORTRANGE(""https://docs.google.com/spreadsheets/d/1Rmar8QqWK4XOJ-eY6xMzkAfDSw0srEXcAw89ilArun8/edit"",""2!d2:d43""))"),42)</f>
        <v>42</v>
      </c>
      <c r="F684" s="23">
        <f ca="1">IFERROR(__xludf.DUMMYFUNCTION("SUM(IMPORTRANGE(""https://docs.google.com/spreadsheets/d/1Rmar8QqWK4XOJ-eY6xMzkAfDSw0srEXcAw89ilArun8/edit"",""2!Q2:Q43""))"),8179.01399999999)</f>
        <v>8179.0139999999901</v>
      </c>
      <c r="G684" s="16">
        <f ca="1">IFERROR(__xludf.DUMMYFUNCTION("IMPORTRANGE(""https://docs.google.com/spreadsheets/d/1Rmar8QqWK4XOJ-eY6xMzkAfDSw0srEXcAw89ilArun8/edit"",""2!e50"")"),4808)</f>
        <v>4808</v>
      </c>
      <c r="H684" s="16">
        <f ca="1">IFERROR(__xludf.DUMMYFUNCTION("IMPORTRANGE(""https://docs.google.com/spreadsheets/d/1Rmar8QqWK4XOJ-eY6xMzkAfDSw0srEXcAw89ilArun8/edit"",""2!e51"")"),0)</f>
        <v>0</v>
      </c>
      <c r="I684" s="18">
        <f t="shared" ca="1" si="1887"/>
        <v>4808</v>
      </c>
      <c r="J684" s="16">
        <f ca="1">IFERROR(__xludf.DUMMYFUNCTION("IMPORTRANGE(""https://docs.google.com/spreadsheets/d/1Rmar8QqWK4XOJ-eY6xMzkAfDSw0srEXcAw89ilArun8/edit"",""2!e54"")"),5449)</f>
        <v>5449</v>
      </c>
      <c r="K684" s="16">
        <f ca="1">IFERROR(__xludf.DUMMYFUNCTION("IMPORTRANGE(""https://docs.google.com/spreadsheets/d/1Rmar8QqWK4XOJ-eY6xMzkAfDSw0srEXcAw89ilArun8/edit"",""2!e55"")"),190)</f>
        <v>190</v>
      </c>
      <c r="L684" s="18">
        <f t="shared" ca="1" si="1888"/>
        <v>5639</v>
      </c>
      <c r="M684" s="18">
        <f t="shared" ca="1" si="1889"/>
        <v>10447</v>
      </c>
      <c r="N684" s="19">
        <f t="shared" ca="1" si="1890"/>
        <v>194.73842857142833</v>
      </c>
      <c r="O684" s="16">
        <v>13817</v>
      </c>
      <c r="P684" s="20">
        <f t="shared" ca="1" si="1891"/>
        <v>0.75609756097560976</v>
      </c>
      <c r="Q684" s="21">
        <v>1.5</v>
      </c>
      <c r="R684" s="20">
        <f t="shared" ca="1" si="1892"/>
        <v>0.85152888437000784</v>
      </c>
      <c r="S684" s="22">
        <f t="shared" ca="1" si="1893"/>
        <v>1.2772933265550117</v>
      </c>
      <c r="T684" s="21">
        <f ca="1">F684/25.089</f>
        <v>325.9999999999996</v>
      </c>
      <c r="U684" s="21">
        <f t="shared" ca="1" si="1894"/>
        <v>7.7619047619047521</v>
      </c>
      <c r="V684" s="18">
        <f t="shared" ca="1" si="1895"/>
        <v>248.73809523809524</v>
      </c>
      <c r="W684" s="76"/>
      <c r="X684" s="24" t="s">
        <v>33</v>
      </c>
      <c r="Y684" s="24">
        <v>6</v>
      </c>
      <c r="Z684" s="24">
        <f t="shared" ref="Z684:AI684" si="1905">SUM(Z678:Z683)</f>
        <v>152</v>
      </c>
      <c r="AA684" s="25">
        <f t="shared" ca="1" si="1905"/>
        <v>179</v>
      </c>
      <c r="AB684" s="26">
        <f t="shared" ca="1" si="1905"/>
        <v>34808.92399999997</v>
      </c>
      <c r="AC684" s="25">
        <f t="shared" ca="1" si="1905"/>
        <v>11852</v>
      </c>
      <c r="AD684" s="25">
        <f t="shared" ca="1" si="1905"/>
        <v>578</v>
      </c>
      <c r="AE684" s="25">
        <f t="shared" ca="1" si="1905"/>
        <v>12430</v>
      </c>
      <c r="AF684" s="25">
        <f t="shared" ca="1" si="1905"/>
        <v>15982</v>
      </c>
      <c r="AG684" s="25">
        <f t="shared" ca="1" si="1905"/>
        <v>495</v>
      </c>
      <c r="AH684" s="25">
        <f t="shared" ca="1" si="1905"/>
        <v>16477</v>
      </c>
      <c r="AI684" s="25">
        <f t="shared" ca="1" si="1905"/>
        <v>28907</v>
      </c>
      <c r="AJ684" s="27">
        <f t="shared" ca="1" si="1899"/>
        <v>194.46326256983224</v>
      </c>
      <c r="AK684" s="24">
        <f>SUM(AK678:AK683)</f>
        <v>35074</v>
      </c>
      <c r="AL684" s="28">
        <f t="shared" ca="1" si="1877"/>
        <v>0.82417175115470154</v>
      </c>
      <c r="AM684" s="29">
        <v>1.5</v>
      </c>
      <c r="AN684" s="28">
        <f t="shared" ca="1" si="1879"/>
        <v>0.5536319747583508</v>
      </c>
      <c r="AO684" s="30">
        <f t="shared" ca="1" si="1880"/>
        <v>0.83044796213752614</v>
      </c>
      <c r="AP684" s="29">
        <f ca="1">SUM(AP678:AP683)</f>
        <v>1309.7101854542025</v>
      </c>
      <c r="AQ684" s="29">
        <f ca="1">AP684/AA684</f>
        <v>7.3168166785150976</v>
      </c>
      <c r="AR684" s="25">
        <f t="shared" ca="1" si="1882"/>
        <v>161.49162011173183</v>
      </c>
      <c r="AS684" s="76"/>
      <c r="AT684" s="76"/>
    </row>
    <row r="685" spans="1:46" ht="15.75" customHeight="1" x14ac:dyDescent="0.25">
      <c r="A685" s="70"/>
      <c r="B685" s="16">
        <v>5</v>
      </c>
      <c r="C685" s="16" t="s">
        <v>34</v>
      </c>
      <c r="D685" s="17">
        <v>32</v>
      </c>
      <c r="E685" s="18">
        <f ca="1">IFERROR(__xludf.DUMMYFUNCTION("COUNT(IMPORTRANGE(""https://docs.google.com/spreadsheets/d/1u99JxAoytGQQ8GcjxXl38CGdyEWy5uIbuJJHnsotyvk/edit"",""2!d2:d41""))"),40)</f>
        <v>40</v>
      </c>
      <c r="F685" s="23">
        <f ca="1">IFERROR(__xludf.DUMMYFUNCTION("SUM(IMPORTRANGE(""https://docs.google.com/spreadsheets/d/1u99JxAoytGQQ8GcjxXl38CGdyEWy5uIbuJJHnsotyvk/edit"",""2!Q2:Q41""))"),7895.343)</f>
        <v>7895.3429999999998</v>
      </c>
      <c r="G685" s="18">
        <f ca="1">IFERROR(__xludf.DUMMYFUNCTION("IMPORTRANGE(""https://docs.google.com/spreadsheets/d/1u99JxAoytGQQ8GcjxXl38CGdyEWy5uIbuJJHnsotyvk/edit"",""2!e48"")"),3069)</f>
        <v>3069</v>
      </c>
      <c r="H685" s="18">
        <f ca="1">IFERROR(__xludf.DUMMYFUNCTION("IMPORTRANGE(""https://docs.google.com/spreadsheets/d/1u99JxAoytGQQ8GcjxXl38CGdyEWy5uIbuJJHnsotyvk/edit"",""2!e49"")"),0)</f>
        <v>0</v>
      </c>
      <c r="I685" s="18">
        <f t="shared" ca="1" si="1887"/>
        <v>3069</v>
      </c>
      <c r="J685" s="18">
        <f ca="1">IFERROR(__xludf.DUMMYFUNCTION("IMPORTRANGE(""https://docs.google.com/spreadsheets/d/1u99JxAoytGQQ8GcjxXl38CGdyEWy5uIbuJJHnsotyvk/edit"",""2!e52"")"),3126)</f>
        <v>3126</v>
      </c>
      <c r="K685" s="18">
        <f ca="1">IFERROR(__xludf.DUMMYFUNCTION("IMPORTRANGE(""https://docs.google.com/spreadsheets/d/1u99JxAoytGQQ8GcjxXl38CGdyEWy5uIbuJJHnsotyvk/edit"",""2!e53"")"),0)</f>
        <v>0</v>
      </c>
      <c r="L685" s="18">
        <f t="shared" ca="1" si="1888"/>
        <v>3126</v>
      </c>
      <c r="M685" s="18">
        <f t="shared" ca="1" si="1889"/>
        <v>6195</v>
      </c>
      <c r="N685" s="19">
        <f t="shared" ca="1" si="1890"/>
        <v>197.38357500000001</v>
      </c>
      <c r="O685" s="16">
        <v>9354</v>
      </c>
      <c r="P685" s="20">
        <f t="shared" ca="1" si="1891"/>
        <v>0.66228351507376526</v>
      </c>
      <c r="Q685" s="21">
        <v>1.5</v>
      </c>
      <c r="R685" s="20">
        <f t="shared" ca="1" si="1892"/>
        <v>0.52309317023972235</v>
      </c>
      <c r="S685" s="22">
        <f t="shared" ca="1" si="1893"/>
        <v>0.78463975535958352</v>
      </c>
      <c r="T685" s="21">
        <f ca="1">F685/30.713</f>
        <v>257.06844007423564</v>
      </c>
      <c r="U685" s="21">
        <f t="shared" ca="1" si="1894"/>
        <v>6.4267110018558906</v>
      </c>
      <c r="V685" s="18">
        <f t="shared" ca="1" si="1895"/>
        <v>154.875</v>
      </c>
      <c r="W685" s="76"/>
      <c r="X685" s="100" t="s">
        <v>35</v>
      </c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9"/>
      <c r="AS685" s="76"/>
      <c r="AT685" s="76"/>
    </row>
    <row r="686" spans="1:46" ht="15.75" customHeight="1" x14ac:dyDescent="0.25">
      <c r="A686" s="70"/>
      <c r="B686" s="16">
        <v>6</v>
      </c>
      <c r="C686" s="16" t="s">
        <v>23</v>
      </c>
      <c r="D686" s="17">
        <v>28</v>
      </c>
      <c r="E686" s="18">
        <f ca="1">IFERROR(__xludf.DUMMYFUNCTION("COUNT(IMPORTRANGE(""https://docs.google.com/spreadsheets/d/1uVc-vnTn57HE53lwrUYNZP4sGKTXisrqOoZ-6EyvLzY/edit"",""2!d2:d36""))"),34)</f>
        <v>34</v>
      </c>
      <c r="F686" s="23">
        <f ca="1">IFERROR(__xludf.DUMMYFUNCTION("SUM(IMPORTRANGE(""https://docs.google.com/spreadsheets/d/1uVc-vnTn57HE53lwrUYNZP4sGKTXisrqOoZ-6EyvLzY/edit"",""2!Q2:Q36""))"),6680.51999999999)</f>
        <v>6680.5199999999904</v>
      </c>
      <c r="G686" s="18">
        <f ca="1">IFERROR(__xludf.DUMMYFUNCTION("IMPORTRANGE(""https://docs.google.com/spreadsheets/d/1uVc-vnTn57HE53lwrUYNZP4sGKTXisrqOoZ-6EyvLzY/edit"",""2!e43"")"),2083)</f>
        <v>2083</v>
      </c>
      <c r="H686" s="18">
        <f ca="1">IFERROR(__xludf.DUMMYFUNCTION("IMPORTRANGE(""https://docs.google.com/spreadsheets/d/1uVc-vnTn57HE53lwrUYNZP4sGKTXisrqOoZ-6EyvLzY/edit"",""2!e44"")"),0)</f>
        <v>0</v>
      </c>
      <c r="I686" s="18">
        <f t="shared" ca="1" si="1887"/>
        <v>2083</v>
      </c>
      <c r="J686" s="18">
        <f ca="1">IFERROR(__xludf.DUMMYFUNCTION("IMPORTRANGE(""https://docs.google.com/spreadsheets/d/1uVc-vnTn57HE53lwrUYNZP4sGKTXisrqOoZ-6EyvLzY/edit"",""2!e47"")"),2916)</f>
        <v>2916</v>
      </c>
      <c r="K686" s="18">
        <f ca="1">IFERROR(__xludf.DUMMYFUNCTION("IMPORTRANGE(""https://docs.google.com/spreadsheets/d/1uVc-vnTn57HE53lwrUYNZP4sGKTXisrqOoZ-6EyvLzY/edit"",""2!e48"")"),0)</f>
        <v>0</v>
      </c>
      <c r="L686" s="18">
        <f t="shared" ca="1" si="1888"/>
        <v>2916</v>
      </c>
      <c r="M686" s="18">
        <f t="shared" ca="1" si="1889"/>
        <v>4999</v>
      </c>
      <c r="N686" s="19">
        <f t="shared" ca="1" si="1890"/>
        <v>196.48588235294091</v>
      </c>
      <c r="O686" s="16">
        <v>6853</v>
      </c>
      <c r="P686" s="20">
        <f t="shared" ca="1" si="1891"/>
        <v>0.72946154968626875</v>
      </c>
      <c r="Q686" s="21">
        <v>1.5</v>
      </c>
      <c r="R686" s="20">
        <f t="shared" ca="1" si="1892"/>
        <v>0.49886336193390207</v>
      </c>
      <c r="S686" s="22">
        <f t="shared" ca="1" si="1893"/>
        <v>0.74829504290085314</v>
      </c>
      <c r="T686" s="21">
        <f ca="1">F686/33.74</f>
        <v>197.99999999999972</v>
      </c>
      <c r="U686" s="21">
        <f t="shared" ca="1" si="1894"/>
        <v>5.8235294117646976</v>
      </c>
      <c r="V686" s="18">
        <f t="shared" ca="1" si="1895"/>
        <v>147.02941176470588</v>
      </c>
      <c r="W686" s="76"/>
      <c r="X686" s="1" t="s">
        <v>2</v>
      </c>
      <c r="Y686" s="1" t="s">
        <v>3</v>
      </c>
      <c r="Z686" s="1" t="s">
        <v>4</v>
      </c>
      <c r="AA686" s="1" t="s">
        <v>5</v>
      </c>
      <c r="AB686" s="2" t="s">
        <v>6</v>
      </c>
      <c r="AC686" s="1" t="s">
        <v>7</v>
      </c>
      <c r="AD686" s="1" t="s">
        <v>8</v>
      </c>
      <c r="AE686" s="1" t="s">
        <v>9</v>
      </c>
      <c r="AF686" s="1" t="s">
        <v>10</v>
      </c>
      <c r="AG686" s="1" t="s">
        <v>11</v>
      </c>
      <c r="AH686" s="1" t="s">
        <v>12</v>
      </c>
      <c r="AI686" s="1" t="s">
        <v>13</v>
      </c>
      <c r="AJ686" s="2" t="s">
        <v>14</v>
      </c>
      <c r="AK686" s="1" t="s">
        <v>15</v>
      </c>
      <c r="AL686" s="1" t="s">
        <v>16</v>
      </c>
      <c r="AM686" s="3" t="s">
        <v>17</v>
      </c>
      <c r="AN686" s="4" t="s">
        <v>18</v>
      </c>
      <c r="AO686" s="5" t="s">
        <v>19</v>
      </c>
      <c r="AP686" s="6" t="s">
        <v>20</v>
      </c>
      <c r="AQ686" s="6" t="s">
        <v>21</v>
      </c>
      <c r="AR686" s="7" t="s">
        <v>22</v>
      </c>
      <c r="AS686" s="76"/>
      <c r="AT686" s="76"/>
    </row>
    <row r="687" spans="1:46" ht="15.75" customHeight="1" x14ac:dyDescent="0.25">
      <c r="A687" s="70"/>
      <c r="B687" s="16">
        <v>7</v>
      </c>
      <c r="C687" s="16" t="s">
        <v>24</v>
      </c>
      <c r="D687" s="17">
        <v>37</v>
      </c>
      <c r="E687" s="31">
        <f ca="1">IFERROR(__xludf.DUMMYFUNCTION("COUNT(IMPORTRANGE(""https://docs.google.com/spreadsheets/d/1iuPvivSypupo44l6GtmR-2qZ3za7cTk7KzsOVp_kv2c/edit"",""2!d2:d45""))"),44)</f>
        <v>44</v>
      </c>
      <c r="F687" s="32">
        <f ca="1">IFERROR(__xludf.DUMMYFUNCTION("SUM(IMPORTRANGE(""https://docs.google.com/spreadsheets/d/1iuPvivSypupo44l6GtmR-2qZ3za7cTk7KzsOVp_kv2c/edit"",""2!Q2:Q45""))"),8354.58199999999)</f>
        <v>8354.5819999999894</v>
      </c>
      <c r="G687" s="31">
        <f ca="1">IFERROR(__xludf.DUMMYFUNCTION("IMPORTRANGE(""https://docs.google.com/spreadsheets/d/1iuPvivSypupo44l6GtmR-2qZ3za7cTk7KzsOVp_kv2c/edit"",""2!e53"")"),1454)</f>
        <v>1454</v>
      </c>
      <c r="H687" s="31">
        <f ca="1">IFERROR(__xludf.DUMMYFUNCTION("IMPORTRANGE(""https://docs.google.com/spreadsheets/d/1iuPvivSypupo44l6GtmR-2qZ3za7cTk7KzsOVp_kv2c/edit"",""2!e54"")"),0)</f>
        <v>0</v>
      </c>
      <c r="I687" s="31">
        <f t="shared" ca="1" si="1887"/>
        <v>1454</v>
      </c>
      <c r="J687" s="31">
        <f ca="1">IFERROR(__xludf.DUMMYFUNCTION("IMPORTRANGE(""https://docs.google.com/spreadsheets/d/1iuPvivSypupo44l6GtmR-2qZ3za7cTk7KzsOVp_kv2c/edit"",""2!e57"")"),1288)</f>
        <v>1288</v>
      </c>
      <c r="K687" s="31">
        <f ca="1">IFERROR(__xludf.DUMMYFUNCTION("IMPORTRANGE(""https://docs.google.com/spreadsheets/d/1iuPvivSypupo44l6GtmR-2qZ3za7cTk7KzsOVp_kv2c/edit"",""2!e58"")"),28)</f>
        <v>28</v>
      </c>
      <c r="L687" s="18">
        <f t="shared" ca="1" si="1888"/>
        <v>1316</v>
      </c>
      <c r="M687" s="18">
        <f t="shared" ca="1" si="1889"/>
        <v>2770</v>
      </c>
      <c r="N687" s="19">
        <f t="shared" ca="1" si="1890"/>
        <v>189.8768636363634</v>
      </c>
      <c r="O687" s="16">
        <v>1580</v>
      </c>
      <c r="P687" s="33">
        <f t="shared" ca="1" si="1891"/>
        <v>1.7531645569620253</v>
      </c>
      <c r="Q687" s="21">
        <v>1.5</v>
      </c>
      <c r="R687" s="20">
        <f t="shared" ca="1" si="1892"/>
        <v>0.22103639256478291</v>
      </c>
      <c r="S687" s="22">
        <f t="shared" ca="1" si="1893"/>
        <v>0.33155458884717437</v>
      </c>
      <c r="T687" s="21">
        <f ca="1">F687/26.805</f>
        <v>311.67998507741055</v>
      </c>
      <c r="U687" s="21">
        <f t="shared" ca="1" si="1894"/>
        <v>7.0836360244866032</v>
      </c>
      <c r="V687" s="18">
        <f t="shared" ca="1" si="1895"/>
        <v>62.954545454545453</v>
      </c>
      <c r="W687" s="76"/>
      <c r="X687" s="8">
        <v>1</v>
      </c>
      <c r="Y687" s="8" t="s">
        <v>28</v>
      </c>
      <c r="Z687" s="8">
        <f t="shared" ref="Z687:AI687" si="1906">SUM(D682)</f>
        <v>26</v>
      </c>
      <c r="AA687" s="9">
        <f t="shared" ca="1" si="1906"/>
        <v>33</v>
      </c>
      <c r="AB687" s="11">
        <f t="shared" ca="1" si="1906"/>
        <v>6528.8329999999896</v>
      </c>
      <c r="AC687" s="9">
        <f t="shared" ca="1" si="1906"/>
        <v>2700</v>
      </c>
      <c r="AD687" s="9">
        <f t="shared" ca="1" si="1906"/>
        <v>104</v>
      </c>
      <c r="AE687" s="9">
        <f t="shared" ca="1" si="1906"/>
        <v>2804</v>
      </c>
      <c r="AF687" s="9">
        <f t="shared" ca="1" si="1906"/>
        <v>3205</v>
      </c>
      <c r="AG687" s="9">
        <f t="shared" ca="1" si="1906"/>
        <v>102</v>
      </c>
      <c r="AH687" s="9">
        <f t="shared" ca="1" si="1906"/>
        <v>3307</v>
      </c>
      <c r="AI687" s="9">
        <f t="shared" ca="1" si="1906"/>
        <v>6111</v>
      </c>
      <c r="AJ687" s="11">
        <f t="shared" ref="AJ687:AJ693" ca="1" si="1907">AB687/AA687</f>
        <v>197.84342424242394</v>
      </c>
      <c r="AK687" s="8">
        <f t="shared" ref="AK687:AK688" si="1908">SUM(O682)</f>
        <v>7315</v>
      </c>
      <c r="AL687" s="12">
        <f t="shared" ref="AL687:AL693" ca="1" si="1909">AI687/AK687</f>
        <v>0.83540669856459326</v>
      </c>
      <c r="AM687" s="13">
        <f t="shared" ref="AM687:AM688" si="1910">SUM(Q682)</f>
        <v>1.5</v>
      </c>
      <c r="AN687" s="12">
        <f t="shared" ref="AN687:AN693" ca="1" si="1911">AO687/AM687</f>
        <v>0.6240012571925192</v>
      </c>
      <c r="AO687" s="14">
        <f t="shared" ref="AO687:AO693" ca="1" si="1912">AI687/AB687</f>
        <v>0.93600188578877874</v>
      </c>
      <c r="AP687" s="13">
        <f t="shared" ref="AP687:AQ687" ca="1" si="1913">SUM(T682)</f>
        <v>211.30960934718547</v>
      </c>
      <c r="AQ687" s="13">
        <f t="shared" ca="1" si="1913"/>
        <v>6.4033214953692568</v>
      </c>
      <c r="AR687" s="9">
        <f t="shared" ref="AR687:AR693" ca="1" si="1914">AI687/AA687</f>
        <v>185.18181818181819</v>
      </c>
      <c r="AS687" s="76"/>
      <c r="AT687" s="76"/>
    </row>
    <row r="688" spans="1:46" ht="15.75" customHeight="1" x14ac:dyDescent="0.25">
      <c r="A688" s="70"/>
      <c r="B688" s="16">
        <v>8</v>
      </c>
      <c r="C688" s="16" t="s">
        <v>25</v>
      </c>
      <c r="D688" s="34">
        <v>27</v>
      </c>
      <c r="E688" s="18">
        <f ca="1">IFERROR(__xludf.DUMMYFUNCTION("COUNT(IMPORTRANGE(""https://docs.google.com/spreadsheets/d/1sqWX7UerdR9KR_duBzDNfjwbPG-3hLgV1LiN2ZVZ6Js/edit"",""2!d2:D33""))"),31)</f>
        <v>31</v>
      </c>
      <c r="F688" s="23">
        <f ca="1">IFERROR(__xludf.DUMMYFUNCTION("SUM(IMPORTRANGE(""https://docs.google.com/spreadsheets/d/1sqWX7UerdR9KR_duBzDNfjwbPG-3hLgV1LiN2ZVZ6Js/edit"",""2!Q2:Q33""))"),5925.124)</f>
        <v>5925.1239999999998</v>
      </c>
      <c r="G688" s="18">
        <f ca="1">IFERROR(__xludf.DUMMYFUNCTION("IMPORTRANGE(""https://docs.google.com/spreadsheets/d/1sqWX7UerdR9KR_duBzDNfjwbPG-3hLgV1LiN2ZVZ6Js/edit"",""2!e40"")"),2351)</f>
        <v>2351</v>
      </c>
      <c r="H688" s="18">
        <f ca="1">IFERROR(__xludf.DUMMYFUNCTION("IMPORTRANGE(""https://docs.google.com/spreadsheets/d/1sqWX7UerdR9KR_duBzDNfjwbPG-3hLgV1LiN2ZVZ6Js/edit"",""2!e41"")"),438)</f>
        <v>438</v>
      </c>
      <c r="I688" s="18">
        <f t="shared" ca="1" si="1887"/>
        <v>2789</v>
      </c>
      <c r="J688" s="18">
        <f ca="1">IFERROR(__xludf.DUMMYFUNCTION("IMPORTRANGE(""https://docs.google.com/spreadsheets/d/1sqWX7UerdR9KR_duBzDNfjwbPG-3hLgV1LiN2ZVZ6Js/edit"",""2!e44"")"),3213)</f>
        <v>3213</v>
      </c>
      <c r="K688" s="18">
        <f ca="1">IFERROR(__xludf.DUMMYFUNCTION("IMPORTRANGE(""https://docs.google.com/spreadsheets/d/1sqWX7UerdR9KR_duBzDNfjwbPG-3hLgV1LiN2ZVZ6Js/edit"",""2!e45"")"),305)</f>
        <v>305</v>
      </c>
      <c r="L688" s="18">
        <f ca="1">J688+K688</f>
        <v>3518</v>
      </c>
      <c r="M688" s="18">
        <f t="shared" ca="1" si="1889"/>
        <v>6307</v>
      </c>
      <c r="N688" s="19">
        <f t="shared" ca="1" si="1890"/>
        <v>191.1330322580645</v>
      </c>
      <c r="O688" s="16">
        <v>6622</v>
      </c>
      <c r="P688" s="33">
        <f t="shared" ca="1" si="1891"/>
        <v>0.95243128964059198</v>
      </c>
      <c r="Q688" s="21">
        <v>1.5</v>
      </c>
      <c r="R688" s="20">
        <f t="shared" ca="1" si="1892"/>
        <v>0.70963353115760386</v>
      </c>
      <c r="S688" s="22">
        <f t="shared" ca="1" si="1893"/>
        <v>1.0644502967364058</v>
      </c>
      <c r="T688" s="21">
        <f ca="1">F688/23.84</f>
        <v>248.53708053691275</v>
      </c>
      <c r="U688" s="21">
        <f t="shared" ca="1" si="1894"/>
        <v>8.0173251786100881</v>
      </c>
      <c r="V688" s="18">
        <f t="shared" ca="1" si="1895"/>
        <v>203.45161290322579</v>
      </c>
      <c r="W688" s="76"/>
      <c r="X688" s="8">
        <v>2</v>
      </c>
      <c r="Y688" s="8" t="s">
        <v>30</v>
      </c>
      <c r="Z688" s="8">
        <f t="shared" ref="Z688:AI688" si="1915">SUM(D683)</f>
        <v>48</v>
      </c>
      <c r="AA688" s="9">
        <f t="shared" ca="1" si="1915"/>
        <v>58</v>
      </c>
      <c r="AB688" s="10">
        <f t="shared" ca="1" si="1915"/>
        <v>11253.344999999899</v>
      </c>
      <c r="AC688" s="9">
        <f t="shared" ca="1" si="1915"/>
        <v>3757</v>
      </c>
      <c r="AD688" s="9">
        <f t="shared" ca="1" si="1915"/>
        <v>0</v>
      </c>
      <c r="AE688" s="9">
        <f t="shared" ca="1" si="1915"/>
        <v>3757</v>
      </c>
      <c r="AF688" s="9">
        <f t="shared" ca="1" si="1915"/>
        <v>5596</v>
      </c>
      <c r="AG688" s="9">
        <f t="shared" ca="1" si="1915"/>
        <v>0</v>
      </c>
      <c r="AH688" s="9">
        <f t="shared" ca="1" si="1915"/>
        <v>5596</v>
      </c>
      <c r="AI688" s="9">
        <f t="shared" ca="1" si="1915"/>
        <v>9353</v>
      </c>
      <c r="AJ688" s="11">
        <f t="shared" ca="1" si="1907"/>
        <v>194.02318965517068</v>
      </c>
      <c r="AK688" s="8">
        <f t="shared" si="1908"/>
        <v>11164</v>
      </c>
      <c r="AL688" s="12">
        <f t="shared" ca="1" si="1909"/>
        <v>0.83778215693299896</v>
      </c>
      <c r="AM688" s="13">
        <f t="shared" si="1910"/>
        <v>1.5</v>
      </c>
      <c r="AN688" s="12">
        <f t="shared" ca="1" si="1911"/>
        <v>0.5540871032864797</v>
      </c>
      <c r="AO688" s="14">
        <f t="shared" ca="1" si="1912"/>
        <v>0.83113065492971949</v>
      </c>
      <c r="AP688" s="13">
        <f t="shared" ref="AP688:AQ688" ca="1" si="1916">SUM(T683)</f>
        <v>380.14204641421134</v>
      </c>
      <c r="AQ688" s="13">
        <f t="shared" ca="1" si="1916"/>
        <v>6.5541732140381264</v>
      </c>
      <c r="AR688" s="9">
        <f t="shared" ca="1" si="1914"/>
        <v>161.25862068965517</v>
      </c>
      <c r="AS688" s="76"/>
      <c r="AT688" s="76"/>
    </row>
    <row r="689" spans="1:46" ht="15.75" customHeight="1" x14ac:dyDescent="0.25">
      <c r="A689" s="70"/>
      <c r="B689" s="16">
        <v>9</v>
      </c>
      <c r="C689" s="16" t="s">
        <v>36</v>
      </c>
      <c r="D689" s="34">
        <v>24</v>
      </c>
      <c r="E689" s="18">
        <f ca="1">IFERROR(__xludf.DUMMYFUNCTION("COUNT(IMPORTRANGE(""https://docs.google.com/spreadsheets/d/1YNna43iTSqnwwbMJgTIPHSJEoDO8RGPRFg5pJCoQR_Y/edit"",""2!d2:d31""))"),29)</f>
        <v>29</v>
      </c>
      <c r="F689" s="23">
        <f ca="1">IFERROR(__xludf.DUMMYFUNCTION("SUM(IMPORTRANGE(""https://docs.google.com/spreadsheets/d/1YNna43iTSqnwwbMJgTIPHSJEoDO8RGPRFg5pJCoQR_Y/edit"",""2!Q2:Q31""))"),5604.12)</f>
        <v>5604.12</v>
      </c>
      <c r="G689" s="18">
        <f ca="1">IFERROR(__xludf.DUMMYFUNCTION("IMPORTRANGE(""https://docs.google.com/spreadsheets/d/1YNna43iTSqnwwbMJgTIPHSJEoDO8RGPRFg5pJCoQR_Y/edit"",""2!e38"")"),1533)</f>
        <v>1533</v>
      </c>
      <c r="H689" s="18">
        <f ca="1">IFERROR(__xludf.DUMMYFUNCTION("IMPORTRANGE(""https://docs.google.com/spreadsheets/d/1YNna43iTSqnwwbMJgTIPHSJEoDO8RGPRFg5pJCoQR_Y/edit"",""2!e39"")"),0)</f>
        <v>0</v>
      </c>
      <c r="I689" s="18">
        <f t="shared" ca="1" si="1887"/>
        <v>1533</v>
      </c>
      <c r="J689" s="18">
        <f ca="1">IFERROR(__xludf.DUMMYFUNCTION("IMPORTRANGE(""https://docs.google.com/spreadsheets/d/1YNna43iTSqnwwbMJgTIPHSJEoDO8RGPRFg5pJCoQR_Y/edit"",""2!e42"")"),2301)</f>
        <v>2301</v>
      </c>
      <c r="K689" s="18">
        <f ca="1">IFERROR(__xludf.DUMMYFUNCTION("IMPORTRANGE(""https://docs.google.com/spreadsheets/d/1YNna43iTSqnwwbMJgTIPHSJEoDO8RGPRFg5pJCoQR_Y/edit"",""2!e43"")"),0)</f>
        <v>0</v>
      </c>
      <c r="L689" s="18">
        <f t="shared" ref="L689:L698" ca="1" si="1917">SUM(J689:K689)</f>
        <v>2301</v>
      </c>
      <c r="M689" s="18">
        <f t="shared" ca="1" si="1889"/>
        <v>3834</v>
      </c>
      <c r="N689" s="19">
        <f t="shared" ca="1" si="1890"/>
        <v>193.2455172413793</v>
      </c>
      <c r="O689" s="16">
        <v>4796</v>
      </c>
      <c r="P689" s="20">
        <f t="shared" ca="1" si="1891"/>
        <v>0.79941618015012506</v>
      </c>
      <c r="Q689" s="21">
        <v>1.5</v>
      </c>
      <c r="R689" s="20">
        <f t="shared" ca="1" si="1892"/>
        <v>0.4560930172801439</v>
      </c>
      <c r="S689" s="22">
        <f t="shared" ca="1" si="1893"/>
        <v>0.68413952592021587</v>
      </c>
      <c r="T689" s="21">
        <f ca="1">F689/37.414</f>
        <v>149.78671085689848</v>
      </c>
      <c r="U689" s="21">
        <f t="shared" ca="1" si="1894"/>
        <v>5.1650589950654648</v>
      </c>
      <c r="V689" s="18">
        <f t="shared" ca="1" si="1895"/>
        <v>132.20689655172413</v>
      </c>
      <c r="W689" s="76"/>
      <c r="X689" s="8">
        <v>3</v>
      </c>
      <c r="Y689" s="8" t="s">
        <v>34</v>
      </c>
      <c r="Z689" s="8">
        <f t="shared" ref="Z689:AI689" si="1918">SUM(D685)</f>
        <v>32</v>
      </c>
      <c r="AA689" s="9">
        <f t="shared" ca="1" si="1918"/>
        <v>40</v>
      </c>
      <c r="AB689" s="10">
        <f t="shared" ca="1" si="1918"/>
        <v>7895.3429999999998</v>
      </c>
      <c r="AC689" s="9">
        <f t="shared" ca="1" si="1918"/>
        <v>3069</v>
      </c>
      <c r="AD689" s="9">
        <f t="shared" ca="1" si="1918"/>
        <v>0</v>
      </c>
      <c r="AE689" s="9">
        <f t="shared" ca="1" si="1918"/>
        <v>3069</v>
      </c>
      <c r="AF689" s="9">
        <f t="shared" ca="1" si="1918"/>
        <v>3126</v>
      </c>
      <c r="AG689" s="9">
        <f t="shared" ca="1" si="1918"/>
        <v>0</v>
      </c>
      <c r="AH689" s="9">
        <f t="shared" ca="1" si="1918"/>
        <v>3126</v>
      </c>
      <c r="AI689" s="9">
        <f t="shared" ca="1" si="1918"/>
        <v>6195</v>
      </c>
      <c r="AJ689" s="11">
        <f t="shared" ca="1" si="1907"/>
        <v>197.38357500000001</v>
      </c>
      <c r="AK689" s="8">
        <f>SUM(O685)</f>
        <v>9354</v>
      </c>
      <c r="AL689" s="12">
        <f t="shared" ca="1" si="1909"/>
        <v>0.66228351507376526</v>
      </c>
      <c r="AM689" s="13">
        <f>SUM(Q685)</f>
        <v>1.5</v>
      </c>
      <c r="AN689" s="12">
        <f t="shared" ca="1" si="1911"/>
        <v>0.52309317023972235</v>
      </c>
      <c r="AO689" s="14">
        <f t="shared" ca="1" si="1912"/>
        <v>0.78463975535958352</v>
      </c>
      <c r="AP689" s="13">
        <f t="shared" ref="AP689:AQ689" ca="1" si="1919">SUM(T685)</f>
        <v>257.06844007423564</v>
      </c>
      <c r="AQ689" s="13">
        <f t="shared" ca="1" si="1919"/>
        <v>6.4267110018558906</v>
      </c>
      <c r="AR689" s="9">
        <f t="shared" ca="1" si="1914"/>
        <v>154.875</v>
      </c>
      <c r="AS689" s="76"/>
      <c r="AT689" s="76"/>
    </row>
    <row r="690" spans="1:46" ht="15.75" customHeight="1" x14ac:dyDescent="0.25">
      <c r="A690" s="70"/>
      <c r="B690" s="16">
        <v>10</v>
      </c>
      <c r="C690" s="16" t="s">
        <v>37</v>
      </c>
      <c r="D690" s="17">
        <v>24</v>
      </c>
      <c r="E690" s="18">
        <f ca="1">IFERROR(__xludf.DUMMYFUNCTION("COUNT(IMPORTRANGE(""https://docs.google.com/spreadsheets/d/1913Df5BsXS_b-nClL8LOK5w0engQYTl1mPOiyngRtO0/edit"",""2!d2:d31""))"),30)</f>
        <v>30</v>
      </c>
      <c r="F690" s="23">
        <f ca="1">IFERROR(__xludf.DUMMYFUNCTION("SUM(IMPORTRANGE(""https://docs.google.com/spreadsheets/d/1913Df5BsXS_b-nClL8LOK5w0engQYTl1mPOiyngRtO0/edit"",""2!Q2:Q31""))"),5812.188)</f>
        <v>5812.1880000000001</v>
      </c>
      <c r="G690" s="18">
        <f ca="1">IFERROR(__xludf.DUMMYFUNCTION("(IMPORTRANGE(""https://docs.google.com/spreadsheets/d/1913Df5BsXS_b-nClL8LOK5w0engQYTl1mPOiyngRtO0/edit"",""2!e38""))"),2138)</f>
        <v>2138</v>
      </c>
      <c r="H690" s="18">
        <f ca="1">IFERROR(__xludf.DUMMYFUNCTION("(IMPORTRANGE(""https://docs.google.com/spreadsheets/d/1913Df5BsXS_b-nClL8LOK5w0engQYTl1mPOiyngRtO0/edit"",""2!e39""))"),0)</f>
        <v>0</v>
      </c>
      <c r="I690" s="18">
        <f t="shared" ca="1" si="1887"/>
        <v>2138</v>
      </c>
      <c r="J690" s="18">
        <f ca="1">IFERROR(__xludf.DUMMYFUNCTION("(IMPORTRANGE(""https://docs.google.com/spreadsheets/d/1913Df5BsXS_b-nClL8LOK5w0engQYTl1mPOiyngRtO0/edit"",""2!e42""))"),3071)</f>
        <v>3071</v>
      </c>
      <c r="K690" s="18">
        <f ca="1">IFERROR(__xludf.DUMMYFUNCTION("(IMPORTRANGE(""https://docs.google.com/spreadsheets/d/1913Df5BsXS_b-nClL8LOK5w0engQYTl1mPOiyngRtO0/edit"",""2!e43""))"),0)</f>
        <v>0</v>
      </c>
      <c r="L690" s="18">
        <f t="shared" ca="1" si="1917"/>
        <v>3071</v>
      </c>
      <c r="M690" s="18">
        <f t="shared" ca="1" si="1889"/>
        <v>5209</v>
      </c>
      <c r="N690" s="19">
        <f t="shared" ca="1" si="1890"/>
        <v>193.7396</v>
      </c>
      <c r="O690" s="16">
        <v>5887</v>
      </c>
      <c r="P690" s="20">
        <f t="shared" ca="1" si="1891"/>
        <v>0.88483098352301681</v>
      </c>
      <c r="Q690" s="21">
        <v>1.5</v>
      </c>
      <c r="R690" s="20">
        <f t="shared" ca="1" si="1892"/>
        <v>0.59748009986371164</v>
      </c>
      <c r="S690" s="22">
        <f t="shared" ca="1" si="1893"/>
        <v>0.89622014979556752</v>
      </c>
      <c r="T690" s="21">
        <f ca="1">F690/24.792</f>
        <v>234.4380445304937</v>
      </c>
      <c r="U690" s="21">
        <f t="shared" ca="1" si="1894"/>
        <v>7.8146014843497902</v>
      </c>
      <c r="V690" s="18">
        <f t="shared" ca="1" si="1895"/>
        <v>173.63333333333333</v>
      </c>
      <c r="W690" s="76"/>
      <c r="X690" s="8">
        <v>4</v>
      </c>
      <c r="Y690" s="8" t="s">
        <v>38</v>
      </c>
      <c r="Z690" s="8">
        <f t="shared" ref="Z690:AI690" si="1920">SUM(D693)</f>
        <v>24</v>
      </c>
      <c r="AA690" s="9">
        <f t="shared" ca="1" si="1920"/>
        <v>30</v>
      </c>
      <c r="AB690" s="10">
        <f t="shared" ca="1" si="1920"/>
        <v>6284.2779999999902</v>
      </c>
      <c r="AC690" s="9">
        <f t="shared" ca="1" si="1920"/>
        <v>2309</v>
      </c>
      <c r="AD690" s="9">
        <f t="shared" ca="1" si="1920"/>
        <v>0</v>
      </c>
      <c r="AE690" s="9">
        <f t="shared" ca="1" si="1920"/>
        <v>2309</v>
      </c>
      <c r="AF690" s="9">
        <f t="shared" ca="1" si="1920"/>
        <v>2749</v>
      </c>
      <c r="AG690" s="9">
        <f t="shared" ca="1" si="1920"/>
        <v>159</v>
      </c>
      <c r="AH690" s="9">
        <f t="shared" ca="1" si="1920"/>
        <v>2908</v>
      </c>
      <c r="AI690" s="9">
        <f t="shared" ca="1" si="1920"/>
        <v>5217</v>
      </c>
      <c r="AJ690" s="11">
        <f t="shared" ca="1" si="1907"/>
        <v>209.47593333333302</v>
      </c>
      <c r="AK690" s="8">
        <v>7324</v>
      </c>
      <c r="AL690" s="12">
        <f t="shared" ca="1" si="1909"/>
        <v>0.71231567449481159</v>
      </c>
      <c r="AM690" s="13">
        <f>SUM(Q693)</f>
        <v>1.5</v>
      </c>
      <c r="AN690" s="12">
        <f t="shared" ca="1" si="1911"/>
        <v>0.55344464391931825</v>
      </c>
      <c r="AO690" s="14">
        <f t="shared" ca="1" si="1912"/>
        <v>0.83016696587897731</v>
      </c>
      <c r="AP690" s="13">
        <f t="shared" ref="AP690:AQ690" ca="1" si="1921">SUM(T693)</f>
        <v>152.51251061764327</v>
      </c>
      <c r="AQ690" s="13">
        <f t="shared" ca="1" si="1921"/>
        <v>5.0837503539214426</v>
      </c>
      <c r="AR690" s="9">
        <f t="shared" ca="1" si="1914"/>
        <v>173.9</v>
      </c>
      <c r="AS690" s="76"/>
      <c r="AT690" s="76"/>
    </row>
    <row r="691" spans="1:46" ht="15.75" customHeight="1" x14ac:dyDescent="0.25">
      <c r="A691" s="70"/>
      <c r="B691" s="16">
        <v>12</v>
      </c>
      <c r="C691" s="16" t="s">
        <v>39</v>
      </c>
      <c r="D691" s="17">
        <v>22</v>
      </c>
      <c r="E691" s="18">
        <f ca="1">IFERROR(__xludf.DUMMYFUNCTION("COUNT(IMPORTRANGE(""https://docs.google.com/spreadsheets/d/1wMeol_MpSIcocGxt3WZGl46mJ2tc80mANPvP_YzaP18/edit"",""2!d2:d29""))"),28)</f>
        <v>28</v>
      </c>
      <c r="F691" s="23">
        <f ca="1">IFERROR(__xludf.DUMMYFUNCTION("SUM(IMPORTRANGE(""https://docs.google.com/spreadsheets/d/1wMeol_MpSIcocGxt3WZGl46mJ2tc80mANPvP_YzaP18/edit"",""2!Q2:Q29""))"),5458.878)</f>
        <v>5458.8779999999997</v>
      </c>
      <c r="G691" s="18">
        <f ca="1">IFERROR(__xludf.DUMMYFUNCTION("IMPORTRANGE(""https://docs.google.com/spreadsheets/d/1wMeol_MpSIcocGxt3WZGl46mJ2tc80mANPvP_YzaP18/edit"",""2!e36"")"),1516)</f>
        <v>1516</v>
      </c>
      <c r="H691" s="18">
        <f ca="1">IFERROR(__xludf.DUMMYFUNCTION("(IMPORTRANGE(""https://docs.google.com/spreadsheets/d/1wMeol_MpSIcocGxt3WZGl46mJ2tc80mANPvP_YzaP18/edit"",""2!e37""))"),43)</f>
        <v>43</v>
      </c>
      <c r="I691" s="18">
        <f t="shared" ca="1" si="1887"/>
        <v>1559</v>
      </c>
      <c r="J691" s="18">
        <f ca="1">IFERROR(__xludf.DUMMYFUNCTION("IMPORTRANGE(""https://docs.google.com/spreadsheets/d/1wMeol_MpSIcocGxt3WZGl46mJ2tc80mANPvP_YzaP18/edit"",""2!e40"")"),1765)</f>
        <v>1765</v>
      </c>
      <c r="K691" s="18">
        <f ca="1">IFERROR(__xludf.DUMMYFUNCTION("IMPORTRANGE(""https://docs.google.com/spreadsheets/d/1wMeol_MpSIcocGxt3WZGl46mJ2tc80mANPvP_YzaP18/edit"",""2!e41"")"),115)</f>
        <v>115</v>
      </c>
      <c r="L691" s="18">
        <f t="shared" ca="1" si="1917"/>
        <v>1880</v>
      </c>
      <c r="M691" s="18">
        <f t="shared" ca="1" si="1889"/>
        <v>3439</v>
      </c>
      <c r="N691" s="19">
        <f t="shared" ca="1" si="1890"/>
        <v>194.95992857142855</v>
      </c>
      <c r="O691" s="16">
        <v>3569</v>
      </c>
      <c r="P691" s="20">
        <f t="shared" ca="1" si="1891"/>
        <v>0.96357523115718691</v>
      </c>
      <c r="Q691" s="21">
        <v>1.5</v>
      </c>
      <c r="R691" s="20">
        <f t="shared" ca="1" si="1892"/>
        <v>0.4199886252571805</v>
      </c>
      <c r="S691" s="22">
        <f t="shared" ca="1" si="1893"/>
        <v>0.62998293788577076</v>
      </c>
      <c r="T691" s="21">
        <f ca="1">F691/21.463</f>
        <v>254.33900200344777</v>
      </c>
      <c r="U691" s="21">
        <f t="shared" ca="1" si="1894"/>
        <v>9.0835357858374213</v>
      </c>
      <c r="V691" s="18">
        <f t="shared" ca="1" si="1895"/>
        <v>122.82142857142857</v>
      </c>
      <c r="W691" s="76"/>
      <c r="X691" s="8">
        <v>5</v>
      </c>
      <c r="Y691" s="8" t="s">
        <v>40</v>
      </c>
      <c r="Z691" s="8">
        <f t="shared" ref="Z691:AI691" si="1922">SUM(D695)</f>
        <v>24</v>
      </c>
      <c r="AA691" s="9">
        <f t="shared" ca="1" si="1922"/>
        <v>30</v>
      </c>
      <c r="AB691" s="10">
        <f t="shared" ca="1" si="1922"/>
        <v>5845.7029999999904</v>
      </c>
      <c r="AC691" s="9">
        <f t="shared" ca="1" si="1922"/>
        <v>3323</v>
      </c>
      <c r="AD691" s="9">
        <f t="shared" ca="1" si="1922"/>
        <v>39</v>
      </c>
      <c r="AE691" s="9">
        <f t="shared" ca="1" si="1922"/>
        <v>3362</v>
      </c>
      <c r="AF691" s="9">
        <f t="shared" ca="1" si="1922"/>
        <v>3928</v>
      </c>
      <c r="AG691" s="9">
        <f t="shared" ca="1" si="1922"/>
        <v>73</v>
      </c>
      <c r="AH691" s="9">
        <f t="shared" ca="1" si="1922"/>
        <v>4001</v>
      </c>
      <c r="AI691" s="9">
        <f t="shared" ca="1" si="1922"/>
        <v>7363</v>
      </c>
      <c r="AJ691" s="11">
        <f t="shared" ca="1" si="1907"/>
        <v>194.85676666666635</v>
      </c>
      <c r="AK691" s="8">
        <f t="shared" ref="AK691:AK692" si="1923">SUM(O695)</f>
        <v>8239</v>
      </c>
      <c r="AL691" s="12">
        <f t="shared" ca="1" si="1909"/>
        <v>0.89367641704090306</v>
      </c>
      <c r="AM691" s="13">
        <f t="shared" ref="AM691:AM692" si="1924">SUM(Q695)</f>
        <v>1.5</v>
      </c>
      <c r="AN691" s="12">
        <f t="shared" ca="1" si="1911"/>
        <v>0.83970510760924311</v>
      </c>
      <c r="AO691" s="14">
        <f t="shared" ca="1" si="1912"/>
        <v>1.2595576614138646</v>
      </c>
      <c r="AP691" s="13">
        <f t="shared" ref="AP691:AQ691" ca="1" si="1925">SUM(T695)</f>
        <v>205.52343283057309</v>
      </c>
      <c r="AQ691" s="13">
        <f t="shared" ca="1" si="1925"/>
        <v>6.8507810943524365</v>
      </c>
      <c r="AR691" s="9">
        <f t="shared" ca="1" si="1914"/>
        <v>245.43333333333334</v>
      </c>
      <c r="AS691" s="76"/>
      <c r="AT691" s="76"/>
    </row>
    <row r="692" spans="1:46" ht="15.75" customHeight="1" x14ac:dyDescent="0.25">
      <c r="A692" s="70"/>
      <c r="B692" s="16">
        <v>12</v>
      </c>
      <c r="C692" s="16" t="s">
        <v>41</v>
      </c>
      <c r="D692" s="17">
        <v>20</v>
      </c>
      <c r="E692" s="18">
        <f ca="1">IFERROR(__xludf.DUMMYFUNCTION("COUNT(IMPORTRANGE(""https://docs.google.com/spreadsheets/d/1sHk6_yuc4kORC_xnhEeazoemV_hVUQVqRpfoNae-PLk/edit"",""2!d2:d25""))"),24)</f>
        <v>24</v>
      </c>
      <c r="F692" s="23">
        <f ca="1">IFERROR(__xludf.DUMMYFUNCTION("SUM(IMPORTRANGE(""https://docs.google.com/spreadsheets/d/1sHk6_yuc4kORC_xnhEeazoemV_hVUQVqRpfoNae-PLk/edit"",""2!Q2:Q25""))"),4806.32)</f>
        <v>4806.32</v>
      </c>
      <c r="G692" s="18">
        <f ca="1">IFERROR(__xludf.DUMMYFUNCTION("IMPORTRANGE(""https://docs.google.com/spreadsheets/d/1sHk6_yuc4kORC_xnhEeazoemV_hVUQVqRpfoNae-PLk/edit"",""2!e32"")"),1468)</f>
        <v>1468</v>
      </c>
      <c r="H692" s="18">
        <f ca="1">IFERROR(__xludf.DUMMYFUNCTION("IMPORTRANGE(""https://docs.google.com/spreadsheets/d/1sHk6_yuc4kORC_xnhEeazoemV_hVUQVqRpfoNae-PLk/edit"",""2!e33"")"),0)</f>
        <v>0</v>
      </c>
      <c r="I692" s="18">
        <f t="shared" ca="1" si="1887"/>
        <v>1468</v>
      </c>
      <c r="J692" s="18">
        <f ca="1">IFERROR(__xludf.DUMMYFUNCTION("IMPORTRANGE(""https://docs.google.com/spreadsheets/d/1sHk6_yuc4kORC_xnhEeazoemV_hVUQVqRpfoNae-PLk/edit"",""2!e36"")"),1656)</f>
        <v>1656</v>
      </c>
      <c r="K692" s="18">
        <f ca="1">IFERROR(__xludf.DUMMYFUNCTION("IMPORTRANGE(""https://docs.google.com/spreadsheets/d/1sHk6_yuc4kORC_xnhEeazoemV_hVUQVqRpfoNae-PLk/edit"",""2!e37"")"),0)</f>
        <v>0</v>
      </c>
      <c r="L692" s="18">
        <f t="shared" ca="1" si="1917"/>
        <v>1656</v>
      </c>
      <c r="M692" s="18">
        <f t="shared" ca="1" si="1889"/>
        <v>3124</v>
      </c>
      <c r="N692" s="19">
        <f t="shared" ca="1" si="1890"/>
        <v>200.26333333333332</v>
      </c>
      <c r="O692" s="16">
        <v>3801</v>
      </c>
      <c r="P692" s="20">
        <f t="shared" ca="1" si="1891"/>
        <v>0.82188897658510918</v>
      </c>
      <c r="Q692" s="21">
        <v>1.5</v>
      </c>
      <c r="R692" s="20">
        <f t="shared" ca="1" si="1892"/>
        <v>0.43331835305736338</v>
      </c>
      <c r="S692" s="22">
        <f t="shared" ca="1" si="1893"/>
        <v>0.64997752958604504</v>
      </c>
      <c r="T692" s="21">
        <f ca="1">F692/29.628</f>
        <v>162.2222222222222</v>
      </c>
      <c r="U692" s="21">
        <f t="shared" ca="1" si="1894"/>
        <v>6.7592592592592586</v>
      </c>
      <c r="V692" s="18">
        <f t="shared" ca="1" si="1895"/>
        <v>130.16666666666666</v>
      </c>
      <c r="W692" s="76"/>
      <c r="X692" s="8">
        <v>6</v>
      </c>
      <c r="Y692" s="8" t="s">
        <v>42</v>
      </c>
      <c r="Z692" s="8">
        <f t="shared" ref="Z692:AI692" si="1926">SUM(D696)</f>
        <v>26</v>
      </c>
      <c r="AA692" s="9">
        <f t="shared" ca="1" si="1926"/>
        <v>33</v>
      </c>
      <c r="AB692" s="10">
        <f t="shared" ca="1" si="1926"/>
        <v>6380.2819999999901</v>
      </c>
      <c r="AC692" s="9">
        <f t="shared" ca="1" si="1926"/>
        <v>3133</v>
      </c>
      <c r="AD692" s="9">
        <f t="shared" ca="1" si="1926"/>
        <v>0</v>
      </c>
      <c r="AE692" s="9">
        <f t="shared" ca="1" si="1926"/>
        <v>3133</v>
      </c>
      <c r="AF692" s="9">
        <f t="shared" ca="1" si="1926"/>
        <v>4360</v>
      </c>
      <c r="AG692" s="9">
        <f t="shared" ca="1" si="1926"/>
        <v>0</v>
      </c>
      <c r="AH692" s="9">
        <f t="shared" ca="1" si="1926"/>
        <v>4360</v>
      </c>
      <c r="AI692" s="9">
        <f t="shared" ca="1" si="1926"/>
        <v>7493</v>
      </c>
      <c r="AJ692" s="11">
        <f t="shared" ca="1" si="1907"/>
        <v>193.3418787878785</v>
      </c>
      <c r="AK692" s="8">
        <f t="shared" si="1923"/>
        <v>9877</v>
      </c>
      <c r="AL692" s="12">
        <f t="shared" ca="1" si="1909"/>
        <v>0.75863116330869695</v>
      </c>
      <c r="AM692" s="13">
        <f t="shared" si="1924"/>
        <v>1.5</v>
      </c>
      <c r="AN692" s="12">
        <f t="shared" ca="1" si="1911"/>
        <v>0.78293300097602903</v>
      </c>
      <c r="AO692" s="14">
        <f t="shared" ca="1" si="1912"/>
        <v>1.1743995014640436</v>
      </c>
      <c r="AP692" s="13">
        <f t="shared" ref="AP692:AQ692" ca="1" si="1927">SUM(T696)</f>
        <v>243.94119671190938</v>
      </c>
      <c r="AQ692" s="13">
        <f t="shared" ca="1" si="1927"/>
        <v>7.3921574761184665</v>
      </c>
      <c r="AR692" s="9">
        <f t="shared" ca="1" si="1914"/>
        <v>227.06060606060606</v>
      </c>
      <c r="AS692" s="76"/>
      <c r="AT692" s="76"/>
    </row>
    <row r="693" spans="1:46" ht="15.75" customHeight="1" x14ac:dyDescent="0.25">
      <c r="A693" s="70"/>
      <c r="B693" s="16">
        <v>13</v>
      </c>
      <c r="C693" s="16" t="s">
        <v>43</v>
      </c>
      <c r="D693" s="17">
        <v>24</v>
      </c>
      <c r="E693" s="18">
        <f ca="1">IFERROR(__xludf.DUMMYFUNCTION("COUNT(IMPORTRANGE(""https://docs.google.com/spreadsheets/d/1uGXvAN2jA6kmcEHUY4KqOHHewllZsujDdA6KVDfBCoA/edit"",""2!d2:d31""))"),30)</f>
        <v>30</v>
      </c>
      <c r="F693" s="23">
        <f ca="1">IFERROR(__xludf.DUMMYFUNCTION("SUM(IMPORTRANGE(""https://docs.google.com/spreadsheets/d/1uGXvAN2jA6kmcEHUY4KqOHHewllZsujDdA6KVDfBCoA/edit"",""2!Q2:Q31""))"),6284.27799999999)</f>
        <v>6284.2779999999902</v>
      </c>
      <c r="G693" s="18">
        <f ca="1">IFERROR(__xludf.DUMMYFUNCTION("IMPORTRANGE(""https://docs.google.com/spreadsheets/d/1uGXvAN2jA6kmcEHUY4KqOHHewllZsujDdA6KVDfBCoA/edit"",""2!e38"")"),2309)</f>
        <v>2309</v>
      </c>
      <c r="H693" s="18">
        <f ca="1">IFERROR(__xludf.DUMMYFUNCTION("IMPORTRANGE(""https://docs.google.com/spreadsheets/d/1uGXvAN2jA6kmcEHUY4KqOHHewllZsujDdA6KVDfBCoA/edit"",""2!e39"")"),0)</f>
        <v>0</v>
      </c>
      <c r="I693" s="18">
        <f t="shared" ca="1" si="1887"/>
        <v>2309</v>
      </c>
      <c r="J693" s="18">
        <f ca="1">IFERROR(__xludf.DUMMYFUNCTION("IMPORTRANGE(""https://docs.google.com/spreadsheets/d/1uGXvAN2jA6kmcEHUY4KqOHHewllZsujDdA6KVDfBCoA/edit"",""2!e42"")"),2749)</f>
        <v>2749</v>
      </c>
      <c r="K693" s="18">
        <f ca="1">IFERROR(__xludf.DUMMYFUNCTION("IMPORTRANGE(""https://docs.google.com/spreadsheets/d/1uGXvAN2jA6kmcEHUY4KqOHHewllZsujDdA6KVDfBCoA/edit"",""2!e43"")"),159)</f>
        <v>159</v>
      </c>
      <c r="L693" s="18">
        <f t="shared" ca="1" si="1917"/>
        <v>2908</v>
      </c>
      <c r="M693" s="18">
        <f t="shared" ca="1" si="1889"/>
        <v>5217</v>
      </c>
      <c r="N693" s="19">
        <f t="shared" ca="1" si="1890"/>
        <v>209.47593333333302</v>
      </c>
      <c r="O693" s="16">
        <v>8345</v>
      </c>
      <c r="P693" s="20">
        <f t="shared" ca="1" si="1891"/>
        <v>0.62516476932294784</v>
      </c>
      <c r="Q693" s="21">
        <v>1.5</v>
      </c>
      <c r="R693" s="20">
        <f t="shared" ca="1" si="1892"/>
        <v>0.55344464391931825</v>
      </c>
      <c r="S693" s="22">
        <f t="shared" ca="1" si="1893"/>
        <v>0.83016696587897731</v>
      </c>
      <c r="T693" s="21">
        <f ca="1">F693/41.205</f>
        <v>152.51251061764327</v>
      </c>
      <c r="U693" s="21">
        <f t="shared" ca="1" si="1894"/>
        <v>5.0837503539214426</v>
      </c>
      <c r="V693" s="18">
        <f t="shared" ca="1" si="1895"/>
        <v>173.9</v>
      </c>
      <c r="W693" s="76"/>
      <c r="X693" s="24" t="s">
        <v>33</v>
      </c>
      <c r="Y693" s="24">
        <v>6</v>
      </c>
      <c r="Z693" s="24">
        <f t="shared" ref="Z693:AI693" si="1928">SUM(Z687:Z692)</f>
        <v>180</v>
      </c>
      <c r="AA693" s="25">
        <f t="shared" ca="1" si="1928"/>
        <v>224</v>
      </c>
      <c r="AB693" s="27">
        <f t="shared" ca="1" si="1928"/>
        <v>44187.783999999869</v>
      </c>
      <c r="AC693" s="25">
        <f t="shared" ca="1" si="1928"/>
        <v>18291</v>
      </c>
      <c r="AD693" s="25">
        <f t="shared" ca="1" si="1928"/>
        <v>143</v>
      </c>
      <c r="AE693" s="25">
        <f t="shared" ca="1" si="1928"/>
        <v>18434</v>
      </c>
      <c r="AF693" s="25">
        <f t="shared" ca="1" si="1928"/>
        <v>22964</v>
      </c>
      <c r="AG693" s="25">
        <f t="shared" ca="1" si="1928"/>
        <v>334</v>
      </c>
      <c r="AH693" s="25">
        <f t="shared" ca="1" si="1928"/>
        <v>23298</v>
      </c>
      <c r="AI693" s="25">
        <f t="shared" ca="1" si="1928"/>
        <v>41732</v>
      </c>
      <c r="AJ693" s="27">
        <f t="shared" ca="1" si="1907"/>
        <v>197.26689285714227</v>
      </c>
      <c r="AK693" s="24">
        <f>SUM(AK687:AK692)</f>
        <v>53273</v>
      </c>
      <c r="AL693" s="28">
        <f t="shared" ca="1" si="1909"/>
        <v>0.78336117733185662</v>
      </c>
      <c r="AM693" s="29">
        <v>1.5</v>
      </c>
      <c r="AN693" s="28">
        <f t="shared" ca="1" si="1911"/>
        <v>0.62961594392996523</v>
      </c>
      <c r="AO693" s="30">
        <f t="shared" ca="1" si="1912"/>
        <v>0.9444239158949479</v>
      </c>
      <c r="AP693" s="29">
        <f ca="1">SUM(AP687:AP692)</f>
        <v>1450.4972359957583</v>
      </c>
      <c r="AQ693" s="29">
        <f ca="1">AP693/AA693</f>
        <v>6.4754340892667779</v>
      </c>
      <c r="AR693" s="25">
        <f t="shared" ca="1" si="1914"/>
        <v>186.30357142857142</v>
      </c>
      <c r="AS693" s="76"/>
      <c r="AT693" s="76"/>
    </row>
    <row r="694" spans="1:46" ht="15.75" customHeight="1" x14ac:dyDescent="0.25">
      <c r="A694" s="70"/>
      <c r="B694" s="16">
        <v>14</v>
      </c>
      <c r="C694" s="16" t="s">
        <v>27</v>
      </c>
      <c r="D694" s="17">
        <v>24</v>
      </c>
      <c r="E694" s="18">
        <f ca="1">IFERROR(__xludf.DUMMYFUNCTION("COUNT(IMPORTRANGE(""https://docs.google.com/spreadsheets/d/1iYtf3wkjJIgOL8ej0-L89wY8FLXKi6EiRbi9UqA1Bzw/edit"",""2!d2:d31""))"),28)</f>
        <v>28</v>
      </c>
      <c r="F694" s="23">
        <f ca="1">IFERROR(__xludf.DUMMYFUNCTION("SUM(IMPORTRANGE(""https://docs.google.com/spreadsheets/d/1iYtf3wkjJIgOL8ej0-L89wY8FLXKi6EiRbi9UqA1Bzw/edit"",""2!Q2:Q31""))"),5465.76)</f>
        <v>5465.76</v>
      </c>
      <c r="G694" s="18">
        <f ca="1">IFERROR(__xludf.DUMMYFUNCTION("IMPORTRANGE(""https://docs.google.com/spreadsheets/d/1iYtf3wkjJIgOL8ej0-L89wY8FLXKi6EiRbi9UqA1Bzw/edit"",""2!e38"")"),2368)</f>
        <v>2368</v>
      </c>
      <c r="H694" s="18">
        <f ca="1">IFERROR(__xludf.DUMMYFUNCTION("IMPORTRANGE(""https://docs.google.com/spreadsheets/d/1iYtf3wkjJIgOL8ej0-L89wY8FLXKi6EiRbi9UqA1Bzw/edit"",""2!e39"")"),140)</f>
        <v>140</v>
      </c>
      <c r="I694" s="18">
        <f t="shared" ca="1" si="1887"/>
        <v>2508</v>
      </c>
      <c r="J694" s="18">
        <f ca="1">IFERROR(__xludf.DUMMYFUNCTION("IMPORTRANGE(""https://docs.google.com/spreadsheets/d/1iYtf3wkjJIgOL8ej0-L89wY8FLXKi6EiRbi9UqA1Bzw/edit"",""2!e42"")"),3355)</f>
        <v>3355</v>
      </c>
      <c r="K694" s="18">
        <f ca="1">IFERROR(__xludf.DUMMYFUNCTION("IMPORTRANGE(""https://docs.google.com/spreadsheets/d/1iYtf3wkjJIgOL8ej0-L89wY8FLXKi6EiRbi9UqA1Bzw/edit"",""2!e43"")"),107)</f>
        <v>107</v>
      </c>
      <c r="L694" s="18">
        <f t="shared" ca="1" si="1917"/>
        <v>3462</v>
      </c>
      <c r="M694" s="18">
        <f t="shared" ca="1" si="1889"/>
        <v>5970</v>
      </c>
      <c r="N694" s="19">
        <f t="shared" ca="1" si="1890"/>
        <v>195.20571428571429</v>
      </c>
      <c r="O694" s="16">
        <v>8101</v>
      </c>
      <c r="P694" s="20">
        <f t="shared" ca="1" si="1891"/>
        <v>0.73694605604246388</v>
      </c>
      <c r="Q694" s="21">
        <v>1.5</v>
      </c>
      <c r="R694" s="20">
        <f t="shared" ca="1" si="1892"/>
        <v>0.72816955007171913</v>
      </c>
      <c r="S694" s="22">
        <f t="shared" ca="1" si="1893"/>
        <v>1.0922543251075787</v>
      </c>
      <c r="T694" s="21">
        <f ca="1">F694/19.985</f>
        <v>273.49311983987991</v>
      </c>
      <c r="U694" s="21">
        <f t="shared" ca="1" si="1894"/>
        <v>9.7676114228528537</v>
      </c>
      <c r="V694" s="18">
        <f t="shared" ca="1" si="1895"/>
        <v>213.21428571428572</v>
      </c>
      <c r="W694" s="76"/>
      <c r="X694" s="97" t="s">
        <v>44</v>
      </c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9"/>
      <c r="AS694" s="76"/>
      <c r="AT694" s="76"/>
    </row>
    <row r="695" spans="1:46" ht="15.75" customHeight="1" x14ac:dyDescent="0.25">
      <c r="A695" s="70"/>
      <c r="B695" s="16">
        <v>15</v>
      </c>
      <c r="C695" s="16" t="s">
        <v>40</v>
      </c>
      <c r="D695" s="17">
        <v>24</v>
      </c>
      <c r="E695" s="18">
        <f ca="1">IFERROR(__xludf.DUMMYFUNCTION("COUNT(IMPORTRANGE(""https://docs.google.com/spreadsheets/d/1Wdf8MsoDBzMSsrzOXwaGQzbVjVqOWfKSqYmbncevZgA/edit"",""2!d2:d31""))"),30)</f>
        <v>30</v>
      </c>
      <c r="F695" s="23">
        <f ca="1">IFERROR(__xludf.DUMMYFUNCTION("SUM(IMPORTRANGE(""https://docs.google.com/spreadsheets/d/1Wdf8MsoDBzMSsrzOXwaGQzbVjVqOWfKSqYmbncevZgA/edit"",""2!Q2:Q31""))"),5845.70299999999)</f>
        <v>5845.7029999999904</v>
      </c>
      <c r="G695" s="18">
        <f ca="1">IFERROR(__xludf.DUMMYFUNCTION("IMPORTRANGE(""https://docs.google.com/spreadsheets/d/1Wdf8MsoDBzMSsrzOXwaGQzbVjVqOWfKSqYmbncevZgA/edit"",""2!e38"")"),3323)</f>
        <v>3323</v>
      </c>
      <c r="H695" s="18">
        <f ca="1">IFERROR(__xludf.DUMMYFUNCTION("IMPORTRANGE(""https://docs.google.com/spreadsheets/d/1Wdf8MsoDBzMSsrzOXwaGQzbVjVqOWfKSqYmbncevZgA/edit"",""2!e39"")"),39)</f>
        <v>39</v>
      </c>
      <c r="I695" s="18">
        <f t="shared" ca="1" si="1887"/>
        <v>3362</v>
      </c>
      <c r="J695" s="18">
        <f ca="1">IFERROR(__xludf.DUMMYFUNCTION("IMPORTRANGE(""https://docs.google.com/spreadsheets/d/1Wdf8MsoDBzMSsrzOXwaGQzbVjVqOWfKSqYmbncevZgA/edit"",""2!e42"")"),3928)</f>
        <v>3928</v>
      </c>
      <c r="K695" s="18">
        <f ca="1">IFERROR(__xludf.DUMMYFUNCTION("IMPORTRANGE(""https://docs.google.com/spreadsheets/d/1Wdf8MsoDBzMSsrzOXwaGQzbVjVqOWfKSqYmbncevZgA/edit"",""2!e43"")"),73)</f>
        <v>73</v>
      </c>
      <c r="L695" s="18">
        <f t="shared" ca="1" si="1917"/>
        <v>4001</v>
      </c>
      <c r="M695" s="18">
        <f t="shared" ca="1" si="1889"/>
        <v>7363</v>
      </c>
      <c r="N695" s="19">
        <f t="shared" ca="1" si="1890"/>
        <v>194.85676666666635</v>
      </c>
      <c r="O695" s="16">
        <v>8239</v>
      </c>
      <c r="P695" s="20">
        <f t="shared" ca="1" si="1891"/>
        <v>0.89367641704090306</v>
      </c>
      <c r="Q695" s="21">
        <v>1.5</v>
      </c>
      <c r="R695" s="20">
        <f t="shared" ca="1" si="1892"/>
        <v>0.83970510760924311</v>
      </c>
      <c r="S695" s="22">
        <f t="shared" ca="1" si="1893"/>
        <v>1.2595576614138646</v>
      </c>
      <c r="T695" s="21">
        <f ca="1">F695/28.443</f>
        <v>205.52343283057309</v>
      </c>
      <c r="U695" s="21">
        <f t="shared" ca="1" si="1894"/>
        <v>6.8507810943524365</v>
      </c>
      <c r="V695" s="18">
        <f t="shared" ca="1" si="1895"/>
        <v>245.43333333333334</v>
      </c>
      <c r="W695" s="76"/>
      <c r="X695" s="1" t="s">
        <v>2</v>
      </c>
      <c r="Y695" s="1" t="s">
        <v>3</v>
      </c>
      <c r="Z695" s="1" t="s">
        <v>4</v>
      </c>
      <c r="AA695" s="1" t="s">
        <v>5</v>
      </c>
      <c r="AB695" s="2" t="s">
        <v>6</v>
      </c>
      <c r="AC695" s="1" t="s">
        <v>7</v>
      </c>
      <c r="AD695" s="1" t="s">
        <v>8</v>
      </c>
      <c r="AE695" s="1" t="s">
        <v>9</v>
      </c>
      <c r="AF695" s="1" t="s">
        <v>10</v>
      </c>
      <c r="AG695" s="1" t="s">
        <v>11</v>
      </c>
      <c r="AH695" s="1" t="s">
        <v>12</v>
      </c>
      <c r="AI695" s="1" t="s">
        <v>13</v>
      </c>
      <c r="AJ695" s="2" t="s">
        <v>14</v>
      </c>
      <c r="AK695" s="1" t="s">
        <v>15</v>
      </c>
      <c r="AL695" s="1" t="s">
        <v>16</v>
      </c>
      <c r="AM695" s="3" t="s">
        <v>17</v>
      </c>
      <c r="AN695" s="4" t="s">
        <v>18</v>
      </c>
      <c r="AO695" s="5" t="s">
        <v>19</v>
      </c>
      <c r="AP695" s="6" t="s">
        <v>20</v>
      </c>
      <c r="AQ695" s="6" t="s">
        <v>21</v>
      </c>
      <c r="AR695" s="7" t="s">
        <v>22</v>
      </c>
      <c r="AS695" s="76"/>
      <c r="AT695" s="76"/>
    </row>
    <row r="696" spans="1:46" ht="15.75" customHeight="1" x14ac:dyDescent="0.25">
      <c r="A696" s="70"/>
      <c r="B696" s="16">
        <v>16</v>
      </c>
      <c r="C696" s="16" t="s">
        <v>42</v>
      </c>
      <c r="D696" s="17">
        <v>26</v>
      </c>
      <c r="E696" s="18">
        <f ca="1">IFERROR(__xludf.DUMMYFUNCTION("COUNT(IMPORTRANGE(""https://docs.google.com/spreadsheets/d/1Z5uB5HbeAKcHmG4EOw3rf2J8NpyvDiha6RReERAMvA0/edit"",""2!d2:d34""))"),33)</f>
        <v>33</v>
      </c>
      <c r="F696" s="23">
        <f ca="1">IFERROR(__xludf.DUMMYFUNCTION("SUM(IMPORTRANGE(""https://docs.google.com/spreadsheets/d/1Z5uB5HbeAKcHmG4EOw3rf2J8NpyvDiha6RReERAMvA0/edit"",""2!Q2:Q34""))"),6380.28199999999)</f>
        <v>6380.2819999999901</v>
      </c>
      <c r="G696" s="18">
        <f ca="1">IFERROR(__xludf.DUMMYFUNCTION("IMPORTRANGE(""https://docs.google.com/spreadsheets/d/1Z5uB5HbeAKcHmG4EOw3rf2J8NpyvDiha6RReERAMvA0/edit"",""2!e41"")"),3133)</f>
        <v>3133</v>
      </c>
      <c r="H696" s="18">
        <f ca="1">IFERROR(__xludf.DUMMYFUNCTION("IMPORTRANGE(""https://docs.google.com/spreadsheets/d/1Z5uB5HbeAKcHmG4EOw3rf2J8NpyvDiha6RReERAMvA0/edit"",""2!e42"")"),0)</f>
        <v>0</v>
      </c>
      <c r="I696" s="18">
        <f t="shared" ca="1" si="1887"/>
        <v>3133</v>
      </c>
      <c r="J696" s="18">
        <f ca="1">IFERROR(__xludf.DUMMYFUNCTION("IMPORTRANGE(""https://docs.google.com/spreadsheets/d/1Z5uB5HbeAKcHmG4EOw3rf2J8NpyvDiha6RReERAMvA0/edit"",""2!e45"")"),4360)</f>
        <v>4360</v>
      </c>
      <c r="K696" s="18">
        <f ca="1">IFERROR(__xludf.DUMMYFUNCTION("IMPORTRANGE(""https://docs.google.com/spreadsheets/d/1Z5uB5HbeAKcHmG4EOw3rf2J8NpyvDiha6RReERAMvA0/edit"",""2!e46"")"),0)</f>
        <v>0</v>
      </c>
      <c r="L696" s="18">
        <f t="shared" ca="1" si="1917"/>
        <v>4360</v>
      </c>
      <c r="M696" s="18">
        <f t="shared" ca="1" si="1889"/>
        <v>7493</v>
      </c>
      <c r="N696" s="19">
        <f t="shared" ca="1" si="1890"/>
        <v>193.3418787878785</v>
      </c>
      <c r="O696" s="16">
        <v>9877</v>
      </c>
      <c r="P696" s="20">
        <f t="shared" ca="1" si="1891"/>
        <v>0.75863116330869695</v>
      </c>
      <c r="Q696" s="21">
        <v>1.5</v>
      </c>
      <c r="R696" s="20">
        <f t="shared" ca="1" si="1892"/>
        <v>0.78293300097602903</v>
      </c>
      <c r="S696" s="22">
        <f t="shared" ca="1" si="1893"/>
        <v>1.1743995014640436</v>
      </c>
      <c r="T696" s="21">
        <f ca="1">F696/26.155</f>
        <v>243.94119671190938</v>
      </c>
      <c r="U696" s="21">
        <f t="shared" ca="1" si="1894"/>
        <v>7.3921574761184665</v>
      </c>
      <c r="V696" s="18">
        <f t="shared" ca="1" si="1895"/>
        <v>227.06060606060606</v>
      </c>
      <c r="W696" s="76"/>
      <c r="X696" s="8">
        <v>1</v>
      </c>
      <c r="Y696" s="8" t="s">
        <v>26</v>
      </c>
      <c r="Z696" s="8">
        <f t="shared" ref="Z696:AI696" si="1929">SUM(D681)</f>
        <v>16</v>
      </c>
      <c r="AA696" s="9">
        <f t="shared" ca="1" si="1929"/>
        <v>20</v>
      </c>
      <c r="AB696" s="11">
        <f t="shared" ca="1" si="1929"/>
        <v>3560.9639999999999</v>
      </c>
      <c r="AC696" s="9">
        <f t="shared" ca="1" si="1929"/>
        <v>1873</v>
      </c>
      <c r="AD696" s="9">
        <f t="shared" ca="1" si="1929"/>
        <v>0</v>
      </c>
      <c r="AE696" s="9">
        <f t="shared" ca="1" si="1929"/>
        <v>1873</v>
      </c>
      <c r="AF696" s="9">
        <f t="shared" ca="1" si="1929"/>
        <v>3204</v>
      </c>
      <c r="AG696" s="9">
        <f t="shared" ca="1" si="1929"/>
        <v>0</v>
      </c>
      <c r="AH696" s="9">
        <f t="shared" ca="1" si="1929"/>
        <v>3204</v>
      </c>
      <c r="AI696" s="9">
        <f t="shared" ca="1" si="1929"/>
        <v>5077</v>
      </c>
      <c r="AJ696" s="11">
        <f t="shared" ref="AJ696:AJ702" ca="1" si="1930">AB696/AA696</f>
        <v>178.04820000000001</v>
      </c>
      <c r="AK696" s="8">
        <f>SUM(O681)</f>
        <v>5161</v>
      </c>
      <c r="AL696" s="15">
        <f t="shared" ref="AL696:AL702" ca="1" si="1931">AI696/AK696</f>
        <v>0.98372408447975201</v>
      </c>
      <c r="AM696" s="13">
        <f>SUM(Q681)</f>
        <v>1.5</v>
      </c>
      <c r="AN696" s="15">
        <f t="shared" ref="AN696:AN702" ca="1" si="1932">AO696/AM696</f>
        <v>0.95049168333818213</v>
      </c>
      <c r="AO696" s="14">
        <f t="shared" ref="AO696:AO702" ca="1" si="1933">AI696/AB696</f>
        <v>1.4257375250072732</v>
      </c>
      <c r="AP696" s="13">
        <f t="shared" ref="AP696:AQ696" ca="1" si="1934">SUM(T681)</f>
        <v>247.0318418314256</v>
      </c>
      <c r="AQ696" s="13">
        <f t="shared" ca="1" si="1934"/>
        <v>12.35159209157128</v>
      </c>
      <c r="AR696" s="9">
        <f t="shared" ref="AR696:AR702" ca="1" si="1935">AI696/AA696</f>
        <v>253.85</v>
      </c>
      <c r="AS696" s="76"/>
      <c r="AT696" s="76"/>
    </row>
    <row r="697" spans="1:46" ht="15.75" customHeight="1" x14ac:dyDescent="0.25">
      <c r="A697" s="70"/>
      <c r="B697" s="16">
        <v>17</v>
      </c>
      <c r="C697" s="16" t="s">
        <v>29</v>
      </c>
      <c r="D697" s="17">
        <v>24</v>
      </c>
      <c r="E697" s="18">
        <f ca="1">IFERROR(__xludf.DUMMYFUNCTION("COUNT(IMPORTRANGE(""https://docs.google.com/spreadsheets/d/1wfJqI0e9wVPqEQv3N6b8KgINjqI0OBECEyIFeY9j3i8/edit"",""2!d2:d31""))"),29)</f>
        <v>29</v>
      </c>
      <c r="F697" s="23">
        <f ca="1">IFERROR(__xludf.DUMMYFUNCTION("SUM(IMPORTRANGE(""https://docs.google.com/spreadsheets/d/1wfJqI0e9wVPqEQv3N6b8KgINjqI0OBECEyIFeY9j3i8/edit"",""2!Q2:Q31""))"),5775.03799999999)</f>
        <v>5775.0379999999896</v>
      </c>
      <c r="G697" s="18">
        <f ca="1">IFERROR(__xludf.DUMMYFUNCTION("IMPORTRANGE(""https://docs.google.com/spreadsheets/d/1wfJqI0e9wVPqEQv3N6b8KgINjqI0OBECEyIFeY9j3i8/edit"",""2!e38"")"),2726)</f>
        <v>2726</v>
      </c>
      <c r="H697" s="18">
        <f ca="1">IFERROR(__xludf.DUMMYFUNCTION("IMPORTRANGE(""https://docs.google.com/spreadsheets/d/1wfJqI0e9wVPqEQv3N6b8KgINjqI0OBECEyIFeY9j3i8/edit"",""2!e39"")"),0)</f>
        <v>0</v>
      </c>
      <c r="I697" s="18">
        <f t="shared" ca="1" si="1887"/>
        <v>2726</v>
      </c>
      <c r="J697" s="18">
        <f ca="1">IFERROR(__xludf.DUMMYFUNCTION("IMPORTRANGE(""https://docs.google.com/spreadsheets/d/1wfJqI0e9wVPqEQv3N6b8KgINjqI0OBECEyIFeY9j3i8/edit"",""2!e42"")"),4235)</f>
        <v>4235</v>
      </c>
      <c r="K697" s="18">
        <f ca="1">IFERROR(__xludf.DUMMYFUNCTION("IMPORTRANGE(""https://docs.google.com/spreadsheets/d/1wfJqI0e9wVPqEQv3N6b8KgINjqI0OBECEyIFeY9j3i8/edit"",""2!e43"")"),0)</f>
        <v>0</v>
      </c>
      <c r="L697" s="18">
        <f t="shared" ca="1" si="1917"/>
        <v>4235</v>
      </c>
      <c r="M697" s="18">
        <f t="shared" ca="1" si="1889"/>
        <v>6961</v>
      </c>
      <c r="N697" s="19">
        <f t="shared" ca="1" si="1890"/>
        <v>199.13924137930999</v>
      </c>
      <c r="O697" s="16">
        <v>9201</v>
      </c>
      <c r="P697" s="20">
        <f t="shared" ca="1" si="1891"/>
        <v>0.75654820128246925</v>
      </c>
      <c r="Q697" s="21">
        <v>1.5</v>
      </c>
      <c r="R697" s="20">
        <f t="shared" ca="1" si="1892"/>
        <v>0.80357335599638902</v>
      </c>
      <c r="S697" s="22">
        <f t="shared" ca="1" si="1893"/>
        <v>1.2053600339945836</v>
      </c>
      <c r="T697" s="21">
        <f ca="1">F697/26.491</f>
        <v>217.9999999999996</v>
      </c>
      <c r="U697" s="21">
        <f t="shared" ca="1" si="1894"/>
        <v>7.517241379310331</v>
      </c>
      <c r="V697" s="18">
        <f t="shared" ca="1" si="1895"/>
        <v>240.0344827586207</v>
      </c>
      <c r="W697" s="76"/>
      <c r="X697" s="8">
        <v>2</v>
      </c>
      <c r="Y697" s="8" t="s">
        <v>32</v>
      </c>
      <c r="Z697" s="8">
        <f t="shared" ref="Z697:AI697" si="1936">SUM(D684)</f>
        <v>33</v>
      </c>
      <c r="AA697" s="9">
        <f t="shared" ca="1" si="1936"/>
        <v>42</v>
      </c>
      <c r="AB697" s="10">
        <f t="shared" ca="1" si="1936"/>
        <v>8179.0139999999901</v>
      </c>
      <c r="AC697" s="8">
        <f t="shared" ca="1" si="1936"/>
        <v>4808</v>
      </c>
      <c r="AD697" s="8">
        <f t="shared" ca="1" si="1936"/>
        <v>0</v>
      </c>
      <c r="AE697" s="9">
        <f t="shared" ca="1" si="1936"/>
        <v>4808</v>
      </c>
      <c r="AF697" s="8">
        <f t="shared" ca="1" si="1936"/>
        <v>5449</v>
      </c>
      <c r="AG697" s="8">
        <f t="shared" ca="1" si="1936"/>
        <v>190</v>
      </c>
      <c r="AH697" s="9">
        <f t="shared" ca="1" si="1936"/>
        <v>5639</v>
      </c>
      <c r="AI697" s="9">
        <f t="shared" ca="1" si="1936"/>
        <v>10447</v>
      </c>
      <c r="AJ697" s="11">
        <f t="shared" ca="1" si="1930"/>
        <v>194.73842857142833</v>
      </c>
      <c r="AK697" s="8">
        <f>SUM(O684)</f>
        <v>13817</v>
      </c>
      <c r="AL697" s="12">
        <f t="shared" ca="1" si="1931"/>
        <v>0.75609756097560976</v>
      </c>
      <c r="AM697" s="13">
        <f>SUM(Q684)</f>
        <v>1.5</v>
      </c>
      <c r="AN697" s="12">
        <f t="shared" ca="1" si="1932"/>
        <v>0.85152888437000784</v>
      </c>
      <c r="AO697" s="14">
        <f t="shared" ca="1" si="1933"/>
        <v>1.2772933265550117</v>
      </c>
      <c r="AP697" s="13">
        <f t="shared" ref="AP697:AQ697" ca="1" si="1937">SUM(T684)</f>
        <v>325.9999999999996</v>
      </c>
      <c r="AQ697" s="13">
        <f t="shared" ca="1" si="1937"/>
        <v>7.7619047619047521</v>
      </c>
      <c r="AR697" s="9">
        <f t="shared" ca="1" si="1935"/>
        <v>248.73809523809524</v>
      </c>
      <c r="AS697" s="76"/>
      <c r="AT697" s="76"/>
    </row>
    <row r="698" spans="1:46" ht="15.75" customHeight="1" x14ac:dyDescent="0.25">
      <c r="A698" s="70"/>
      <c r="B698" s="16">
        <v>18</v>
      </c>
      <c r="C698" s="16" t="s">
        <v>31</v>
      </c>
      <c r="D698" s="17">
        <v>12</v>
      </c>
      <c r="E698" s="18">
        <f ca="1">IFERROR(__xludf.DUMMYFUNCTION("COUNT(IMPORTRANGE(""https://docs.google.com/spreadsheets/d/1-y2KhTAo7d8kowgUuWUDfRQuRMUAFteRYEXorT3_wOs/edit"",""2!d2:d16""))"),13)</f>
        <v>13</v>
      </c>
      <c r="F698" s="19">
        <f ca="1">IFERROR(__xludf.DUMMYFUNCTION("SUM(IMPORTRANGE(""https://docs.google.com/spreadsheets/d/1-y2KhTAo7d8kowgUuWUDfRQuRMUAFteRYEXorT3_wOs/edit"",""2!Q2:Q16""))"),2607.9)</f>
        <v>2607.9</v>
      </c>
      <c r="G698" s="18">
        <f ca="1">IFERROR(__xludf.DUMMYFUNCTION("IMPORTRANGE(""https://docs.google.com/spreadsheets/d/1-y2KhTAo7d8kowgUuWUDfRQuRMUAFteRYEXorT3_wOs/edit"",""2!e23"")"),870)</f>
        <v>870</v>
      </c>
      <c r="H698" s="18">
        <f ca="1">IFERROR(__xludf.DUMMYFUNCTION("IMPORTRANGE(""https://docs.google.com/spreadsheets/d/1-y2KhTAo7d8kowgUuWUDfRQuRMUAFteRYEXorT3_wOs/edit"",""2!e24"")"),0)</f>
        <v>0</v>
      </c>
      <c r="I698" s="18">
        <f t="shared" ca="1" si="1887"/>
        <v>870</v>
      </c>
      <c r="J698" s="18">
        <f ca="1">IFERROR(__xludf.DUMMYFUNCTION("IMPORTRANGE(""https://docs.google.com/spreadsheets/d/1-y2KhTAo7d8kowgUuWUDfRQuRMUAFteRYEXorT3_wOs/edit"",""2!e27"")"),975)</f>
        <v>975</v>
      </c>
      <c r="K698" s="18">
        <f ca="1">IFERROR(__xludf.DUMMYFUNCTION("IMPORTRANGE(""https://docs.google.com/spreadsheets/d/1-y2KhTAo7d8kowgUuWUDfRQuRMUAFteRYEXorT3_wOs/edit"",""2!e28"")"),55)</f>
        <v>55</v>
      </c>
      <c r="L698" s="18">
        <f t="shared" ca="1" si="1917"/>
        <v>1030</v>
      </c>
      <c r="M698" s="18">
        <f t="shared" ca="1" si="1889"/>
        <v>1900</v>
      </c>
      <c r="N698" s="19">
        <f t="shared" ca="1" si="1890"/>
        <v>200.6076923076923</v>
      </c>
      <c r="O698" s="16">
        <v>2717</v>
      </c>
      <c r="P698" s="20">
        <f t="shared" ca="1" si="1891"/>
        <v>0.69930069930069927</v>
      </c>
      <c r="Q698" s="21">
        <v>1.5</v>
      </c>
      <c r="R698" s="20">
        <f t="shared" ca="1" si="1892"/>
        <v>0.48570369518258621</v>
      </c>
      <c r="S698" s="22">
        <f t="shared" ca="1" si="1893"/>
        <v>0.72855554277387935</v>
      </c>
      <c r="T698" s="21">
        <f ca="1">F698/43.465</f>
        <v>60</v>
      </c>
      <c r="U698" s="21">
        <f t="shared" ca="1" si="1894"/>
        <v>4.615384615384615</v>
      </c>
      <c r="V698" s="18">
        <f t="shared" ca="1" si="1895"/>
        <v>146.15384615384616</v>
      </c>
      <c r="W698" s="76"/>
      <c r="X698" s="8">
        <v>3</v>
      </c>
      <c r="Y698" s="8" t="s">
        <v>36</v>
      </c>
      <c r="Z698" s="8">
        <f t="shared" ref="Z698:AI698" si="1938">SUM(D689)</f>
        <v>24</v>
      </c>
      <c r="AA698" s="9">
        <f t="shared" ca="1" si="1938"/>
        <v>29</v>
      </c>
      <c r="AB698" s="10">
        <f t="shared" ca="1" si="1938"/>
        <v>5604.12</v>
      </c>
      <c r="AC698" s="9">
        <f t="shared" ca="1" si="1938"/>
        <v>1533</v>
      </c>
      <c r="AD698" s="9">
        <f t="shared" ca="1" si="1938"/>
        <v>0</v>
      </c>
      <c r="AE698" s="9">
        <f t="shared" ca="1" si="1938"/>
        <v>1533</v>
      </c>
      <c r="AF698" s="9">
        <f t="shared" ca="1" si="1938"/>
        <v>2301</v>
      </c>
      <c r="AG698" s="9">
        <f t="shared" ca="1" si="1938"/>
        <v>0</v>
      </c>
      <c r="AH698" s="9">
        <f t="shared" ca="1" si="1938"/>
        <v>2301</v>
      </c>
      <c r="AI698" s="9">
        <f t="shared" ca="1" si="1938"/>
        <v>3834</v>
      </c>
      <c r="AJ698" s="11">
        <f t="shared" ca="1" si="1930"/>
        <v>193.2455172413793</v>
      </c>
      <c r="AK698" s="8">
        <f t="shared" ref="AK698:AK701" si="1939">SUM(O689)</f>
        <v>4796</v>
      </c>
      <c r="AL698" s="12">
        <f t="shared" ca="1" si="1931"/>
        <v>0.79941618015012506</v>
      </c>
      <c r="AM698" s="13">
        <f t="shared" ref="AM698:AM701" si="1940">SUM(Q689)</f>
        <v>1.5</v>
      </c>
      <c r="AN698" s="12">
        <f t="shared" ca="1" si="1932"/>
        <v>0.4560930172801439</v>
      </c>
      <c r="AO698" s="14">
        <f t="shared" ca="1" si="1933"/>
        <v>0.68413952592021587</v>
      </c>
      <c r="AP698" s="13">
        <f t="shared" ref="AP698:AQ698" ca="1" si="1941">SUM(T689)</f>
        <v>149.78671085689848</v>
      </c>
      <c r="AQ698" s="13">
        <f t="shared" ca="1" si="1941"/>
        <v>5.1650589950654648</v>
      </c>
      <c r="AR698" s="9">
        <f t="shared" ca="1" si="1935"/>
        <v>132.20689655172413</v>
      </c>
      <c r="AS698" s="76"/>
      <c r="AT698" s="76"/>
    </row>
    <row r="699" spans="1:46" ht="15.75" customHeight="1" x14ac:dyDescent="0.2">
      <c r="A699" s="70"/>
      <c r="B699" s="98" t="s">
        <v>33</v>
      </c>
      <c r="C699" s="98">
        <v>18</v>
      </c>
      <c r="D699" s="98">
        <f t="shared" ref="D699:M699" si="1942">SUM(D681:D698)</f>
        <v>471</v>
      </c>
      <c r="E699" s="74">
        <f t="shared" ca="1" si="1942"/>
        <v>576</v>
      </c>
      <c r="F699" s="99">
        <f t="shared" ca="1" si="1942"/>
        <v>112418.19199999981</v>
      </c>
      <c r="G699" s="74">
        <f t="shared" ca="1" si="1942"/>
        <v>43479</v>
      </c>
      <c r="H699" s="74">
        <f t="shared" ca="1" si="1942"/>
        <v>764</v>
      </c>
      <c r="I699" s="74">
        <f t="shared" ca="1" si="1942"/>
        <v>44243</v>
      </c>
      <c r="J699" s="74">
        <f t="shared" ca="1" si="1942"/>
        <v>56392</v>
      </c>
      <c r="K699" s="74">
        <f t="shared" ca="1" si="1942"/>
        <v>1134</v>
      </c>
      <c r="L699" s="74">
        <f t="shared" ca="1" si="1942"/>
        <v>57526</v>
      </c>
      <c r="M699" s="74">
        <f t="shared" ca="1" si="1942"/>
        <v>101769</v>
      </c>
      <c r="N699" s="99">
        <f t="shared" ca="1" si="1890"/>
        <v>195.17047222222189</v>
      </c>
      <c r="O699" s="98">
        <f>SUM(O681:O698)</f>
        <v>126399</v>
      </c>
      <c r="P699" s="69">
        <f t="shared" ca="1" si="1891"/>
        <v>0.80514086345619817</v>
      </c>
      <c r="Q699" s="72">
        <v>1.5</v>
      </c>
      <c r="R699" s="69">
        <f t="shared" ca="1" si="1892"/>
        <v>0.60351442051300841</v>
      </c>
      <c r="S699" s="73">
        <f t="shared" ca="1" si="1893"/>
        <v>0.90527163076951256</v>
      </c>
      <c r="T699" s="72">
        <f ca="1">SUM(T681:T698)</f>
        <v>4134.0252428944477</v>
      </c>
      <c r="U699" s="72">
        <f t="shared" ca="1" si="1894"/>
        <v>7.177127157802861</v>
      </c>
      <c r="V699" s="74">
        <f t="shared" ca="1" si="1895"/>
        <v>176.68229166666666</v>
      </c>
      <c r="W699" s="76"/>
      <c r="X699" s="8">
        <v>4</v>
      </c>
      <c r="Y699" s="8" t="s">
        <v>37</v>
      </c>
      <c r="Z699" s="8">
        <f t="shared" ref="Z699:AI699" si="1943">SUM(D690)</f>
        <v>24</v>
      </c>
      <c r="AA699" s="9">
        <f t="shared" ca="1" si="1943"/>
        <v>30</v>
      </c>
      <c r="AB699" s="10">
        <f t="shared" ca="1" si="1943"/>
        <v>5812.1880000000001</v>
      </c>
      <c r="AC699" s="9">
        <f t="shared" ca="1" si="1943"/>
        <v>2138</v>
      </c>
      <c r="AD699" s="9">
        <f t="shared" ca="1" si="1943"/>
        <v>0</v>
      </c>
      <c r="AE699" s="9">
        <f t="shared" ca="1" si="1943"/>
        <v>2138</v>
      </c>
      <c r="AF699" s="9">
        <f t="shared" ca="1" si="1943"/>
        <v>3071</v>
      </c>
      <c r="AG699" s="9">
        <f t="shared" ca="1" si="1943"/>
        <v>0</v>
      </c>
      <c r="AH699" s="9">
        <f t="shared" ca="1" si="1943"/>
        <v>3071</v>
      </c>
      <c r="AI699" s="9">
        <f t="shared" ca="1" si="1943"/>
        <v>5209</v>
      </c>
      <c r="AJ699" s="11">
        <f t="shared" ca="1" si="1930"/>
        <v>193.7396</v>
      </c>
      <c r="AK699" s="8">
        <f t="shared" si="1939"/>
        <v>5887</v>
      </c>
      <c r="AL699" s="12">
        <f t="shared" ca="1" si="1931"/>
        <v>0.88483098352301681</v>
      </c>
      <c r="AM699" s="13">
        <f t="shared" si="1940"/>
        <v>1.5</v>
      </c>
      <c r="AN699" s="12">
        <f t="shared" ca="1" si="1932"/>
        <v>0.59748009986371164</v>
      </c>
      <c r="AO699" s="14">
        <f t="shared" ca="1" si="1933"/>
        <v>0.89622014979556752</v>
      </c>
      <c r="AP699" s="13">
        <f t="shared" ref="AP699:AQ699" ca="1" si="1944">SUM(T690)</f>
        <v>234.4380445304937</v>
      </c>
      <c r="AQ699" s="13">
        <f t="shared" ca="1" si="1944"/>
        <v>7.8146014843497902</v>
      </c>
      <c r="AR699" s="9">
        <f t="shared" ca="1" si="1935"/>
        <v>173.63333333333333</v>
      </c>
      <c r="AS699" s="76"/>
      <c r="AT699" s="76"/>
    </row>
    <row r="700" spans="1:46" ht="15.75" customHeight="1" x14ac:dyDescent="0.2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6"/>
      <c r="X700" s="8">
        <v>5</v>
      </c>
      <c r="Y700" s="8" t="s">
        <v>39</v>
      </c>
      <c r="Z700" s="8">
        <f t="shared" ref="Z700:AI700" si="1945">SUM(D691)</f>
        <v>22</v>
      </c>
      <c r="AA700" s="9">
        <f t="shared" ca="1" si="1945"/>
        <v>28</v>
      </c>
      <c r="AB700" s="10">
        <f t="shared" ca="1" si="1945"/>
        <v>5458.8779999999997</v>
      </c>
      <c r="AC700" s="9">
        <f t="shared" ca="1" si="1945"/>
        <v>1516</v>
      </c>
      <c r="AD700" s="9">
        <f t="shared" ca="1" si="1945"/>
        <v>43</v>
      </c>
      <c r="AE700" s="9">
        <f t="shared" ca="1" si="1945"/>
        <v>1559</v>
      </c>
      <c r="AF700" s="9">
        <f t="shared" ca="1" si="1945"/>
        <v>1765</v>
      </c>
      <c r="AG700" s="9">
        <f t="shared" ca="1" si="1945"/>
        <v>115</v>
      </c>
      <c r="AH700" s="9">
        <f t="shared" ca="1" si="1945"/>
        <v>1880</v>
      </c>
      <c r="AI700" s="9">
        <f t="shared" ca="1" si="1945"/>
        <v>3439</v>
      </c>
      <c r="AJ700" s="11">
        <f t="shared" ca="1" si="1930"/>
        <v>194.95992857142855</v>
      </c>
      <c r="AK700" s="8">
        <f t="shared" si="1939"/>
        <v>3569</v>
      </c>
      <c r="AL700" s="12">
        <f t="shared" ca="1" si="1931"/>
        <v>0.96357523115718691</v>
      </c>
      <c r="AM700" s="13">
        <f t="shared" si="1940"/>
        <v>1.5</v>
      </c>
      <c r="AN700" s="12">
        <f t="shared" ca="1" si="1932"/>
        <v>0.4199886252571805</v>
      </c>
      <c r="AO700" s="14">
        <f t="shared" ca="1" si="1933"/>
        <v>0.62998293788577076</v>
      </c>
      <c r="AP700" s="13">
        <f t="shared" ref="AP700:AQ700" ca="1" si="1946">SUM(T691)</f>
        <v>254.33900200344777</v>
      </c>
      <c r="AQ700" s="13">
        <f t="shared" ca="1" si="1946"/>
        <v>9.0835357858374213</v>
      </c>
      <c r="AR700" s="9">
        <f t="shared" ca="1" si="1935"/>
        <v>122.82142857142857</v>
      </c>
      <c r="AS700" s="76"/>
      <c r="AT700" s="76"/>
    </row>
    <row r="701" spans="1:46" ht="15.75" customHeight="1" x14ac:dyDescent="0.2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6"/>
      <c r="X701" s="8">
        <v>6</v>
      </c>
      <c r="Y701" s="8" t="s">
        <v>41</v>
      </c>
      <c r="Z701" s="8">
        <f t="shared" ref="Z701:AI701" si="1947">SUM(D692)</f>
        <v>20</v>
      </c>
      <c r="AA701" s="9">
        <f t="shared" ca="1" si="1947"/>
        <v>24</v>
      </c>
      <c r="AB701" s="10">
        <f t="shared" ca="1" si="1947"/>
        <v>4806.32</v>
      </c>
      <c r="AC701" s="9">
        <f t="shared" ca="1" si="1947"/>
        <v>1468</v>
      </c>
      <c r="AD701" s="9">
        <f t="shared" ca="1" si="1947"/>
        <v>0</v>
      </c>
      <c r="AE701" s="9">
        <f t="shared" ca="1" si="1947"/>
        <v>1468</v>
      </c>
      <c r="AF701" s="9">
        <f t="shared" ca="1" si="1947"/>
        <v>1656</v>
      </c>
      <c r="AG701" s="9">
        <f t="shared" ca="1" si="1947"/>
        <v>0</v>
      </c>
      <c r="AH701" s="9">
        <f t="shared" ca="1" si="1947"/>
        <v>1656</v>
      </c>
      <c r="AI701" s="9">
        <f t="shared" ca="1" si="1947"/>
        <v>3124</v>
      </c>
      <c r="AJ701" s="11">
        <f t="shared" ca="1" si="1930"/>
        <v>200.26333333333332</v>
      </c>
      <c r="AK701" s="8">
        <f t="shared" si="1939"/>
        <v>3801</v>
      </c>
      <c r="AL701" s="12">
        <f t="shared" ca="1" si="1931"/>
        <v>0.82188897658510918</v>
      </c>
      <c r="AM701" s="13">
        <f t="shared" si="1940"/>
        <v>1.5</v>
      </c>
      <c r="AN701" s="12">
        <f t="shared" ca="1" si="1932"/>
        <v>0.43331835305736338</v>
      </c>
      <c r="AO701" s="14">
        <f t="shared" ca="1" si="1933"/>
        <v>0.64997752958604504</v>
      </c>
      <c r="AP701" s="13">
        <f t="shared" ref="AP701:AQ701" ca="1" si="1948">SUM(T692)</f>
        <v>162.2222222222222</v>
      </c>
      <c r="AQ701" s="13">
        <f t="shared" ca="1" si="1948"/>
        <v>6.7592592592592586</v>
      </c>
      <c r="AR701" s="9">
        <f t="shared" ca="1" si="1935"/>
        <v>130.16666666666666</v>
      </c>
      <c r="AS701" s="76"/>
      <c r="AT701" s="76"/>
    </row>
    <row r="702" spans="1:46" ht="15.75" customHeight="1" x14ac:dyDescent="0.25">
      <c r="A702" s="110" t="s">
        <v>45</v>
      </c>
      <c r="B702" s="76"/>
      <c r="C702" s="76"/>
      <c r="D702" s="75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24" t="s">
        <v>33</v>
      </c>
      <c r="Y702" s="24">
        <v>6</v>
      </c>
      <c r="Z702" s="24">
        <f t="shared" ref="Z702:AI702" si="1949">SUM(Z696:Z701)</f>
        <v>139</v>
      </c>
      <c r="AA702" s="25">
        <f t="shared" ca="1" si="1949"/>
        <v>173</v>
      </c>
      <c r="AB702" s="27">
        <f t="shared" ca="1" si="1949"/>
        <v>33421.483999999997</v>
      </c>
      <c r="AC702" s="25">
        <f t="shared" ca="1" si="1949"/>
        <v>13336</v>
      </c>
      <c r="AD702" s="25">
        <f t="shared" ca="1" si="1949"/>
        <v>43</v>
      </c>
      <c r="AE702" s="25">
        <f t="shared" ca="1" si="1949"/>
        <v>13379</v>
      </c>
      <c r="AF702" s="25">
        <f t="shared" ca="1" si="1949"/>
        <v>17446</v>
      </c>
      <c r="AG702" s="25">
        <f t="shared" ca="1" si="1949"/>
        <v>305</v>
      </c>
      <c r="AH702" s="25">
        <f t="shared" ca="1" si="1949"/>
        <v>17751</v>
      </c>
      <c r="AI702" s="25">
        <f t="shared" ca="1" si="1949"/>
        <v>31130</v>
      </c>
      <c r="AJ702" s="27">
        <f t="shared" ca="1" si="1930"/>
        <v>193.18776878612715</v>
      </c>
      <c r="AK702" s="24">
        <f>SUM(AK696:AK701)</f>
        <v>37031</v>
      </c>
      <c r="AL702" s="28">
        <f t="shared" ca="1" si="1931"/>
        <v>0.8406470254651508</v>
      </c>
      <c r="AM702" s="29">
        <v>1.5</v>
      </c>
      <c r="AN702" s="28">
        <f t="shared" ca="1" si="1932"/>
        <v>0.62095786450815094</v>
      </c>
      <c r="AO702" s="30">
        <f t="shared" ca="1" si="1933"/>
        <v>0.93143679676222646</v>
      </c>
      <c r="AP702" s="29">
        <f ca="1">SUM(AP696:AP701)</f>
        <v>1373.8178214444874</v>
      </c>
      <c r="AQ702" s="29">
        <f ca="1">AP702/AA702</f>
        <v>7.9411434765577305</v>
      </c>
      <c r="AR702" s="25">
        <f t="shared" ca="1" si="1935"/>
        <v>179.94219653179192</v>
      </c>
      <c r="AS702" s="76"/>
      <c r="AT702" s="76"/>
    </row>
    <row r="703" spans="1:46" ht="15.75" customHeight="1" x14ac:dyDescent="0.2">
      <c r="A703" s="110" t="s">
        <v>45</v>
      </c>
      <c r="B703" s="76"/>
      <c r="C703" s="76"/>
      <c r="D703" s="75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7" t="s">
        <v>1</v>
      </c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9"/>
      <c r="AS703" s="76"/>
      <c r="AT703" s="76"/>
    </row>
    <row r="704" spans="1:46" ht="15.75" customHeight="1" x14ac:dyDescent="0.2">
      <c r="A704" s="113">
        <v>46292</v>
      </c>
      <c r="B704" s="80" t="s">
        <v>2</v>
      </c>
      <c r="C704" s="80" t="s">
        <v>3</v>
      </c>
      <c r="D704" s="80" t="s">
        <v>4</v>
      </c>
      <c r="E704" s="80" t="s">
        <v>5</v>
      </c>
      <c r="F704" s="81" t="s">
        <v>6</v>
      </c>
      <c r="G704" s="80" t="s">
        <v>7</v>
      </c>
      <c r="H704" s="80" t="s">
        <v>8</v>
      </c>
      <c r="I704" s="80" t="s">
        <v>9</v>
      </c>
      <c r="J704" s="80" t="s">
        <v>10</v>
      </c>
      <c r="K704" s="80" t="s">
        <v>11</v>
      </c>
      <c r="L704" s="80" t="s">
        <v>12</v>
      </c>
      <c r="M704" s="80" t="s">
        <v>13</v>
      </c>
      <c r="N704" s="81" t="s">
        <v>14</v>
      </c>
      <c r="O704" s="80" t="s">
        <v>15</v>
      </c>
      <c r="P704" s="80" t="s">
        <v>16</v>
      </c>
      <c r="Q704" s="80" t="s">
        <v>17</v>
      </c>
      <c r="R704" s="80" t="s">
        <v>18</v>
      </c>
      <c r="S704" s="106" t="s">
        <v>19</v>
      </c>
      <c r="T704" s="107" t="s">
        <v>20</v>
      </c>
      <c r="U704" s="107" t="s">
        <v>21</v>
      </c>
      <c r="V704" s="105" t="s">
        <v>22</v>
      </c>
      <c r="W704" s="76"/>
      <c r="X704" s="1" t="s">
        <v>2</v>
      </c>
      <c r="Y704" s="1" t="s">
        <v>3</v>
      </c>
      <c r="Z704" s="1" t="s">
        <v>4</v>
      </c>
      <c r="AA704" s="1" t="s">
        <v>5</v>
      </c>
      <c r="AB704" s="2" t="s">
        <v>6</v>
      </c>
      <c r="AC704" s="1" t="s">
        <v>7</v>
      </c>
      <c r="AD704" s="1" t="s">
        <v>8</v>
      </c>
      <c r="AE704" s="1" t="s">
        <v>9</v>
      </c>
      <c r="AF704" s="1" t="s">
        <v>10</v>
      </c>
      <c r="AG704" s="1" t="s">
        <v>11</v>
      </c>
      <c r="AH704" s="1" t="s">
        <v>12</v>
      </c>
      <c r="AI704" s="1" t="s">
        <v>13</v>
      </c>
      <c r="AJ704" s="2" t="s">
        <v>14</v>
      </c>
      <c r="AK704" s="1" t="s">
        <v>15</v>
      </c>
      <c r="AL704" s="1" t="s">
        <v>16</v>
      </c>
      <c r="AM704" s="3" t="s">
        <v>17</v>
      </c>
      <c r="AN704" s="4" t="s">
        <v>18</v>
      </c>
      <c r="AO704" s="5" t="s">
        <v>19</v>
      </c>
      <c r="AP704" s="6" t="s">
        <v>20</v>
      </c>
      <c r="AQ704" s="6" t="s">
        <v>21</v>
      </c>
      <c r="AR704" s="7" t="s">
        <v>22</v>
      </c>
      <c r="AS704" s="76"/>
      <c r="AT704" s="76"/>
    </row>
    <row r="705" spans="1:46" ht="15.75" customHeight="1" x14ac:dyDescent="0.2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6"/>
      <c r="X705" s="8">
        <v>1</v>
      </c>
      <c r="Y705" s="8" t="s">
        <v>23</v>
      </c>
      <c r="Z705" s="8">
        <f t="shared" ref="Z705:AI705" si="1950">SUM(D713)</f>
        <v>26</v>
      </c>
      <c r="AA705" s="9">
        <f t="shared" ca="1" si="1950"/>
        <v>34</v>
      </c>
      <c r="AB705" s="10">
        <f t="shared" ca="1" si="1950"/>
        <v>6680.5199999999904</v>
      </c>
      <c r="AC705" s="9">
        <f t="shared" ca="1" si="1950"/>
        <v>2083</v>
      </c>
      <c r="AD705" s="9">
        <f t="shared" ca="1" si="1950"/>
        <v>0</v>
      </c>
      <c r="AE705" s="9">
        <f t="shared" ca="1" si="1950"/>
        <v>2083</v>
      </c>
      <c r="AF705" s="9">
        <f t="shared" ca="1" si="1950"/>
        <v>2916</v>
      </c>
      <c r="AG705" s="9">
        <f t="shared" ca="1" si="1950"/>
        <v>0</v>
      </c>
      <c r="AH705" s="9">
        <f t="shared" ca="1" si="1950"/>
        <v>2916</v>
      </c>
      <c r="AI705" s="9">
        <f t="shared" ca="1" si="1950"/>
        <v>4999</v>
      </c>
      <c r="AJ705" s="11">
        <f t="shared" ref="AJ705:AJ707" ca="1" si="1951">AB705/AA705</f>
        <v>196.48588235294091</v>
      </c>
      <c r="AK705" s="8">
        <f>SUM(O713)</f>
        <v>6853</v>
      </c>
      <c r="AL705" s="12">
        <f t="shared" ref="AL705:AL711" ca="1" si="1952">AI705/AK705</f>
        <v>0.72946154968626875</v>
      </c>
      <c r="AM705" s="13">
        <f t="shared" ref="AM705:AM707" si="1953">SUM(Q713)</f>
        <v>1.5</v>
      </c>
      <c r="AN705" s="12">
        <f t="shared" ref="AN705:AN711" ca="1" si="1954">AO705/AM705</f>
        <v>0.49886336193390207</v>
      </c>
      <c r="AO705" s="14">
        <f t="shared" ref="AO705:AO711" ca="1" si="1955">AI705/AB705</f>
        <v>0.74829504290085314</v>
      </c>
      <c r="AP705" s="13">
        <f t="shared" ref="AP705:AQ705" ca="1" si="1956">SUM(T713)</f>
        <v>197.99999999999972</v>
      </c>
      <c r="AQ705" s="13">
        <f t="shared" ca="1" si="1956"/>
        <v>5.8235294117646976</v>
      </c>
      <c r="AR705" s="9">
        <f t="shared" ref="AR705:AR711" ca="1" si="1957">AI705/AA705</f>
        <v>147.02941176470588</v>
      </c>
      <c r="AS705" s="76"/>
      <c r="AT705" s="76"/>
    </row>
    <row r="706" spans="1:46" ht="15.75" customHeight="1" x14ac:dyDescent="0.2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6"/>
      <c r="X706" s="8">
        <v>2</v>
      </c>
      <c r="Y706" s="8" t="s">
        <v>24</v>
      </c>
      <c r="Z706" s="8">
        <f t="shared" ref="Z706:AI706" si="1958">SUM(D714)</f>
        <v>35</v>
      </c>
      <c r="AA706" s="9">
        <f t="shared" ca="1" si="1958"/>
        <v>44</v>
      </c>
      <c r="AB706" s="10">
        <f t="shared" ca="1" si="1958"/>
        <v>8354.5819999999894</v>
      </c>
      <c r="AC706" s="9">
        <f t="shared" ca="1" si="1958"/>
        <v>1454</v>
      </c>
      <c r="AD706" s="9">
        <f t="shared" ca="1" si="1958"/>
        <v>0</v>
      </c>
      <c r="AE706" s="9">
        <f t="shared" ca="1" si="1958"/>
        <v>1454</v>
      </c>
      <c r="AF706" s="9">
        <f t="shared" ca="1" si="1958"/>
        <v>1288</v>
      </c>
      <c r="AG706" s="9">
        <f t="shared" ca="1" si="1958"/>
        <v>28</v>
      </c>
      <c r="AH706" s="9">
        <f t="shared" ca="1" si="1958"/>
        <v>1316</v>
      </c>
      <c r="AI706" s="9">
        <f t="shared" ca="1" si="1958"/>
        <v>2770</v>
      </c>
      <c r="AJ706" s="11">
        <f t="shared" ca="1" si="1951"/>
        <v>189.8768636363634</v>
      </c>
      <c r="AK706" s="8">
        <v>1580</v>
      </c>
      <c r="AL706" s="15">
        <f t="shared" ca="1" si="1952"/>
        <v>1.7531645569620253</v>
      </c>
      <c r="AM706" s="13">
        <f t="shared" si="1953"/>
        <v>1.5</v>
      </c>
      <c r="AN706" s="12">
        <f t="shared" ca="1" si="1954"/>
        <v>0.22103639256478291</v>
      </c>
      <c r="AO706" s="14">
        <f t="shared" ca="1" si="1955"/>
        <v>0.33155458884717437</v>
      </c>
      <c r="AP706" s="13">
        <f t="shared" ref="AP706:AQ706" ca="1" si="1959">SUM(T714)</f>
        <v>311.67998507741055</v>
      </c>
      <c r="AQ706" s="13">
        <f t="shared" ca="1" si="1959"/>
        <v>7.0836360244866032</v>
      </c>
      <c r="AR706" s="9">
        <f t="shared" ca="1" si="1957"/>
        <v>62.954545454545453</v>
      </c>
      <c r="AS706" s="76"/>
      <c r="AT706" s="76"/>
    </row>
    <row r="707" spans="1:46" ht="15.75" customHeight="1" x14ac:dyDescent="0.2">
      <c r="A707" s="70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6"/>
      <c r="X707" s="8">
        <v>3</v>
      </c>
      <c r="Y707" s="8" t="s">
        <v>25</v>
      </c>
      <c r="Z707" s="8">
        <f t="shared" ref="Z707:AI707" si="1960">SUM(D715)</f>
        <v>26</v>
      </c>
      <c r="AA707" s="9">
        <f t="shared" ca="1" si="1960"/>
        <v>31</v>
      </c>
      <c r="AB707" s="10">
        <f t="shared" ca="1" si="1960"/>
        <v>5925.1239999999998</v>
      </c>
      <c r="AC707" s="9">
        <f t="shared" ca="1" si="1960"/>
        <v>2351</v>
      </c>
      <c r="AD707" s="9">
        <f t="shared" ca="1" si="1960"/>
        <v>438</v>
      </c>
      <c r="AE707" s="9">
        <f t="shared" ca="1" si="1960"/>
        <v>2789</v>
      </c>
      <c r="AF707" s="9">
        <f t="shared" ca="1" si="1960"/>
        <v>3213</v>
      </c>
      <c r="AG707" s="9">
        <f t="shared" ca="1" si="1960"/>
        <v>305</v>
      </c>
      <c r="AH707" s="9">
        <f t="shared" ca="1" si="1960"/>
        <v>3518</v>
      </c>
      <c r="AI707" s="9">
        <f t="shared" ca="1" si="1960"/>
        <v>6307</v>
      </c>
      <c r="AJ707" s="11">
        <f t="shared" ca="1" si="1951"/>
        <v>191.1330322580645</v>
      </c>
      <c r="AK707" s="8">
        <f>SUM(O715)</f>
        <v>6622</v>
      </c>
      <c r="AL707" s="12">
        <f t="shared" ca="1" si="1952"/>
        <v>0.95243128964059198</v>
      </c>
      <c r="AM707" s="13">
        <f t="shared" si="1953"/>
        <v>1.5</v>
      </c>
      <c r="AN707" s="12">
        <f t="shared" ca="1" si="1954"/>
        <v>0.70963353115760386</v>
      </c>
      <c r="AO707" s="14">
        <f t="shared" ca="1" si="1955"/>
        <v>1.0644502967364058</v>
      </c>
      <c r="AP707" s="13">
        <f t="shared" ref="AP707:AQ707" ca="1" si="1961">SUM(T715)</f>
        <v>248.53708053691275</v>
      </c>
      <c r="AQ707" s="13">
        <f t="shared" ca="1" si="1961"/>
        <v>8.0173251786100881</v>
      </c>
      <c r="AR707" s="9">
        <f t="shared" ca="1" si="1957"/>
        <v>203.45161290322579</v>
      </c>
      <c r="AS707" s="76"/>
      <c r="AT707" s="76"/>
    </row>
    <row r="708" spans="1:46" ht="15.75" customHeight="1" x14ac:dyDescent="0.25">
      <c r="A708" s="70"/>
      <c r="B708" s="16">
        <v>1</v>
      </c>
      <c r="C708" s="16" t="s">
        <v>26</v>
      </c>
      <c r="D708" s="17">
        <v>15</v>
      </c>
      <c r="E708" s="18">
        <f ca="1">IFERROR(__xludf.DUMMYFUNCTION("COUNT(IMPORTRANGE(""https://docs.google.com/spreadsheets/d/1F0NpMx7WhcgPgxTWpryY3Z1CGg56FL6aiL4mHs43w4E/edit"",""2!d2:d21""))"),20)</f>
        <v>20</v>
      </c>
      <c r="F708" s="19">
        <f ca="1">IFERROR(__xludf.DUMMYFUNCTION("SUM(IMPORTRANGE(""https://docs.google.com/spreadsheets/d/1F0NpMx7WhcgPgxTWpryY3Z1CGg56FL6aiL4mHs43w4E/edit"",""2!Q2:Q21""))"),3560.964)</f>
        <v>3560.9639999999999</v>
      </c>
      <c r="G708" s="18">
        <f ca="1">IFERROR(__xludf.DUMMYFUNCTION("IMPORTRANGE(""https://docs.google.com/spreadsheets/d/1F0NpMx7WhcgPgxTWpryY3Z1CGg56FL6aiL4mHs43w4E/edit"",""2!e28"")"),1873)</f>
        <v>1873</v>
      </c>
      <c r="H708" s="18">
        <f ca="1">IFERROR(__xludf.DUMMYFUNCTION("IMPORTRANGE(""https://docs.google.com/spreadsheets/d/1F0NpMx7WhcgPgxTWpryY3Z1CGg56FL6aiL4mHs43w4E/edit"",""2!e29"")"),0)</f>
        <v>0</v>
      </c>
      <c r="I708" s="18">
        <f t="shared" ref="I708:I725" ca="1" si="1962">SUM(G708:H708)</f>
        <v>1873</v>
      </c>
      <c r="J708" s="18">
        <f ca="1">IFERROR(__xludf.DUMMYFUNCTION("IMPORTRANGE(""https://docs.google.com/spreadsheets/d/1F0NpMx7WhcgPgxTWpryY3Z1CGg56FL6aiL4mHs43w4E/edit"",""2!e32"")"),3204)</f>
        <v>3204</v>
      </c>
      <c r="K708" s="18">
        <f ca="1">IFERROR(__xludf.DUMMYFUNCTION("IMPORTRANGE(""https://docs.google.com/spreadsheets/d/1F0NpMx7WhcgPgxTWpryY3Z1CGg56FL6aiL4mHs43w4E/edit"",""2!e33"")"),0)</f>
        <v>0</v>
      </c>
      <c r="L708" s="18">
        <f t="shared" ref="L708:L714" ca="1" si="1963">SUM(J708:K708)</f>
        <v>3204</v>
      </c>
      <c r="M708" s="18">
        <f t="shared" ref="M708:M725" ca="1" si="1964">SUM(I708+L708)</f>
        <v>5077</v>
      </c>
      <c r="N708" s="19">
        <f t="shared" ref="N708:N726" ca="1" si="1965">F708/E708</f>
        <v>178.04820000000001</v>
      </c>
      <c r="O708" s="16">
        <v>5161</v>
      </c>
      <c r="P708" s="20">
        <f t="shared" ref="P708:P726" ca="1" si="1966">M708/O708</f>
        <v>0.98372408447975201</v>
      </c>
      <c r="Q708" s="21">
        <v>1.5</v>
      </c>
      <c r="R708" s="20">
        <f t="shared" ref="R708:R726" ca="1" si="1967">S708/Q708</f>
        <v>0.95049168333818213</v>
      </c>
      <c r="S708" s="22">
        <f t="shared" ref="S708:S726" ca="1" si="1968">M708/F708</f>
        <v>1.4257375250072732</v>
      </c>
      <c r="T708" s="21">
        <f ca="1">F708/14.415</f>
        <v>247.0318418314256</v>
      </c>
      <c r="U708" s="21">
        <f t="shared" ref="U708:U726" ca="1" si="1969">T708/E708</f>
        <v>12.35159209157128</v>
      </c>
      <c r="V708" s="18">
        <f t="shared" ref="V708:V726" ca="1" si="1970">M708/E708</f>
        <v>253.85</v>
      </c>
      <c r="W708" s="76"/>
      <c r="X708" s="8">
        <v>4</v>
      </c>
      <c r="Y708" s="8" t="s">
        <v>27</v>
      </c>
      <c r="Z708" s="8">
        <f t="shared" ref="Z708:AK708" si="1971">SUM(D721)</f>
        <v>23</v>
      </c>
      <c r="AA708" s="9">
        <f t="shared" ca="1" si="1971"/>
        <v>28</v>
      </c>
      <c r="AB708" s="10">
        <f t="shared" ca="1" si="1971"/>
        <v>5465.76</v>
      </c>
      <c r="AC708" s="9">
        <f t="shared" ca="1" si="1971"/>
        <v>2368</v>
      </c>
      <c r="AD708" s="9">
        <f t="shared" ca="1" si="1971"/>
        <v>140</v>
      </c>
      <c r="AE708" s="9">
        <f t="shared" ca="1" si="1971"/>
        <v>2508</v>
      </c>
      <c r="AF708" s="9">
        <f t="shared" ca="1" si="1971"/>
        <v>3355</v>
      </c>
      <c r="AG708" s="9">
        <f t="shared" ca="1" si="1971"/>
        <v>107</v>
      </c>
      <c r="AH708" s="9">
        <f t="shared" ca="1" si="1971"/>
        <v>3462</v>
      </c>
      <c r="AI708" s="9">
        <f t="shared" ca="1" si="1971"/>
        <v>5970</v>
      </c>
      <c r="AJ708" s="11">
        <f t="shared" ca="1" si="1971"/>
        <v>195.20571428571429</v>
      </c>
      <c r="AK708" s="8">
        <f t="shared" si="1971"/>
        <v>8101</v>
      </c>
      <c r="AL708" s="12">
        <f t="shared" ca="1" si="1952"/>
        <v>0.73694605604246388</v>
      </c>
      <c r="AM708" s="13">
        <f>SUM(Q721)</f>
        <v>1.5</v>
      </c>
      <c r="AN708" s="12">
        <f t="shared" ca="1" si="1954"/>
        <v>0.72816955007171913</v>
      </c>
      <c r="AO708" s="14">
        <f t="shared" ca="1" si="1955"/>
        <v>1.0922543251075787</v>
      </c>
      <c r="AP708" s="13">
        <f t="shared" ref="AP708:AQ708" ca="1" si="1972">SUM(T721)</f>
        <v>273.49311983987991</v>
      </c>
      <c r="AQ708" s="13">
        <f t="shared" ca="1" si="1972"/>
        <v>9.7676114228528537</v>
      </c>
      <c r="AR708" s="9">
        <f t="shared" ca="1" si="1957"/>
        <v>213.21428571428572</v>
      </c>
      <c r="AS708" s="76"/>
      <c r="AT708" s="76"/>
    </row>
    <row r="709" spans="1:46" ht="15.75" customHeight="1" x14ac:dyDescent="0.25">
      <c r="A709" s="70"/>
      <c r="B709" s="16">
        <v>2</v>
      </c>
      <c r="C709" s="16" t="s">
        <v>28</v>
      </c>
      <c r="D709" s="17">
        <v>24</v>
      </c>
      <c r="E709" s="18">
        <f ca="1">IFERROR(__xludf.DUMMYFUNCTION("COUNT(IMPORTRANGE(""https://docs.google.com/spreadsheets/d/1H9vAqftAHb0OdeSGXHTnJFzoWUgpoH31sc0sHNN8y1o/edit"",""2!d2:d34""))"),33)</f>
        <v>33</v>
      </c>
      <c r="F709" s="19">
        <f ca="1">IFERROR(__xludf.DUMMYFUNCTION("SUM(IMPORTRANGE(""https://docs.google.com/spreadsheets/d/1H9vAqftAHb0OdeSGXHTnJFzoWUgpoH31sc0sHNN8y1o/edit"",""2!Q2:Q34""))"),6528.83299999999)</f>
        <v>6528.8329999999896</v>
      </c>
      <c r="G709" s="18">
        <f ca="1">IFERROR(__xludf.DUMMYFUNCTION("IMPORTRANGE(""https://docs.google.com/spreadsheets/d/1H9vAqftAHb0OdeSGXHTnJFzoWUgpoH31sc0sHNN8y1o/edit"",""2!e41"")"),2700)</f>
        <v>2700</v>
      </c>
      <c r="H709" s="18">
        <f ca="1">IFERROR(__xludf.DUMMYFUNCTION("IMPORTRANGE(""https://docs.google.com/spreadsheets/d/1H9vAqftAHb0OdeSGXHTnJFzoWUgpoH31sc0sHNN8y1o/edit"",""2!e42"")"),104)</f>
        <v>104</v>
      </c>
      <c r="I709" s="18">
        <f t="shared" ca="1" si="1962"/>
        <v>2804</v>
      </c>
      <c r="J709" s="18">
        <f ca="1">IFERROR(__xludf.DUMMYFUNCTION("IMPORTRANGE(""https://docs.google.com/spreadsheets/d/1H9vAqftAHb0OdeSGXHTnJFzoWUgpoH31sc0sHNN8y1o/edit"",""2!e45"")"),3205)</f>
        <v>3205</v>
      </c>
      <c r="K709" s="18">
        <f ca="1">IFERROR(__xludf.DUMMYFUNCTION("IMPORTRANGE(""https://docs.google.com/spreadsheets/d/1H9vAqftAHb0OdeSGXHTnJFzoWUgpoH31sc0sHNN8y1o/edit"",""2!e46"")"),102)</f>
        <v>102</v>
      </c>
      <c r="L709" s="18">
        <f t="shared" ca="1" si="1963"/>
        <v>3307</v>
      </c>
      <c r="M709" s="18">
        <f t="shared" ca="1" si="1964"/>
        <v>6111</v>
      </c>
      <c r="N709" s="19">
        <f t="shared" ca="1" si="1965"/>
        <v>197.84342424242394</v>
      </c>
      <c r="O709" s="16">
        <v>7315</v>
      </c>
      <c r="P709" s="20">
        <f t="shared" ca="1" si="1966"/>
        <v>0.83540669856459326</v>
      </c>
      <c r="Q709" s="21">
        <v>1.5</v>
      </c>
      <c r="R709" s="20">
        <f t="shared" ca="1" si="1967"/>
        <v>0.6240012571925192</v>
      </c>
      <c r="S709" s="22">
        <f t="shared" ca="1" si="1968"/>
        <v>0.93600188578877874</v>
      </c>
      <c r="T709" s="21">
        <f ca="1">F709/30.897</f>
        <v>211.30960934718547</v>
      </c>
      <c r="U709" s="21">
        <f t="shared" ca="1" si="1969"/>
        <v>6.4033214953692568</v>
      </c>
      <c r="V709" s="18">
        <f t="shared" ca="1" si="1970"/>
        <v>185.18181818181819</v>
      </c>
      <c r="W709" s="76"/>
      <c r="X709" s="8">
        <v>5</v>
      </c>
      <c r="Y709" s="8" t="s">
        <v>29</v>
      </c>
      <c r="Z709" s="8">
        <f t="shared" ref="Z709:AI709" si="1973">SUM(D724)</f>
        <v>23</v>
      </c>
      <c r="AA709" s="9">
        <f t="shared" ca="1" si="1973"/>
        <v>29</v>
      </c>
      <c r="AB709" s="10">
        <f t="shared" ca="1" si="1973"/>
        <v>5775.0379999999896</v>
      </c>
      <c r="AC709" s="9">
        <f t="shared" ca="1" si="1973"/>
        <v>2726</v>
      </c>
      <c r="AD709" s="9">
        <f t="shared" ca="1" si="1973"/>
        <v>0</v>
      </c>
      <c r="AE709" s="9">
        <f t="shared" ca="1" si="1973"/>
        <v>2726</v>
      </c>
      <c r="AF709" s="9">
        <f t="shared" ca="1" si="1973"/>
        <v>4235</v>
      </c>
      <c r="AG709" s="9">
        <f t="shared" ca="1" si="1973"/>
        <v>0</v>
      </c>
      <c r="AH709" s="9">
        <f t="shared" ca="1" si="1973"/>
        <v>4235</v>
      </c>
      <c r="AI709" s="9">
        <f t="shared" ca="1" si="1973"/>
        <v>6961</v>
      </c>
      <c r="AJ709" s="11">
        <f t="shared" ref="AJ709:AJ711" ca="1" si="1974">AB709/AA709</f>
        <v>199.13924137930999</v>
      </c>
      <c r="AK709" s="8">
        <f t="shared" ref="AK709:AK710" si="1975">SUM(O724)</f>
        <v>9201</v>
      </c>
      <c r="AL709" s="12">
        <f t="shared" ca="1" si="1952"/>
        <v>0.75654820128246925</v>
      </c>
      <c r="AM709" s="13">
        <f t="shared" ref="AM709:AM710" si="1976">SUM(Q724)</f>
        <v>1.5</v>
      </c>
      <c r="AN709" s="12">
        <f t="shared" ca="1" si="1954"/>
        <v>0.80357335599638902</v>
      </c>
      <c r="AO709" s="14">
        <f t="shared" ca="1" si="1955"/>
        <v>1.2053600339945836</v>
      </c>
      <c r="AP709" s="13">
        <f t="shared" ref="AP709:AQ709" ca="1" si="1977">SUM(T724)</f>
        <v>217.9999999999996</v>
      </c>
      <c r="AQ709" s="13">
        <f t="shared" ca="1" si="1977"/>
        <v>7.517241379310331</v>
      </c>
      <c r="AR709" s="9">
        <f t="shared" ca="1" si="1957"/>
        <v>240.0344827586207</v>
      </c>
      <c r="AS709" s="76"/>
      <c r="AT709" s="76"/>
    </row>
    <row r="710" spans="1:46" ht="15.75" customHeight="1" x14ac:dyDescent="0.25">
      <c r="A710" s="70"/>
      <c r="B710" s="16">
        <v>3</v>
      </c>
      <c r="C710" s="16" t="s">
        <v>30</v>
      </c>
      <c r="D710" s="17">
        <v>45</v>
      </c>
      <c r="E710" s="18">
        <f ca="1">IFERROR(__xludf.DUMMYFUNCTION("COUNT(IMPORTRANGE(""https://docs.google.com/spreadsheets/d/1EWN6nfpuVxbUE_9opjYCWaI7MTm5xsF6ssjklSbMZnA/edit"",""2!d2:d61""))"),58)</f>
        <v>58</v>
      </c>
      <c r="F710" s="23">
        <f ca="1">IFERROR(__xludf.DUMMYFUNCTION("SUM(IMPORTRANGE(""https://docs.google.com/spreadsheets/d/1EWN6nfpuVxbUE_9opjYCWaI7MTm5xsF6ssjklSbMZnA/edit"",""2!Q2:Q61""))"),11253.3449999999)</f>
        <v>11253.344999999899</v>
      </c>
      <c r="G710" s="18">
        <f ca="1">IFERROR(__xludf.DUMMYFUNCTION("IMPORTRANGE(""https://docs.google.com/spreadsheets/d/1EWN6nfpuVxbUE_9opjYCWaI7MTm5xsF6ssjklSbMZnA/edit"",""2!e68"")"),3757)</f>
        <v>3757</v>
      </c>
      <c r="H710" s="18">
        <f ca="1">IFERROR(__xludf.DUMMYFUNCTION("IMPORTRANGE(""https://docs.google.com/spreadsheets/d/1EWN6nfpuVxbUE_9opjYCWaI7MTm5xsF6ssjklSbMZnA/edit"",""2!e69"")"),0)</f>
        <v>0</v>
      </c>
      <c r="I710" s="18">
        <f t="shared" ca="1" si="1962"/>
        <v>3757</v>
      </c>
      <c r="J710" s="18">
        <f ca="1">IFERROR(__xludf.DUMMYFUNCTION("IMPORTRANGE(""https://docs.google.com/spreadsheets/d/1EWN6nfpuVxbUE_9opjYCWaI7MTm5xsF6ssjklSbMZnA/edit"",""2!e72"")"),5596)</f>
        <v>5596</v>
      </c>
      <c r="K710" s="18">
        <f ca="1">IFERROR(__xludf.DUMMYFUNCTION("IMPORTRANGE(""https://docs.google.com/spreadsheets/d/1EWN6nfpuVxbUE_9opjYCWaI7MTm5xsF6ssjklSbMZnA/edit"",""2!e73"")"),0)</f>
        <v>0</v>
      </c>
      <c r="L710" s="18">
        <f t="shared" ca="1" si="1963"/>
        <v>5596</v>
      </c>
      <c r="M710" s="18">
        <f t="shared" ca="1" si="1964"/>
        <v>9353</v>
      </c>
      <c r="N710" s="19">
        <f t="shared" ca="1" si="1965"/>
        <v>194.02318965517068</v>
      </c>
      <c r="O710" s="16">
        <v>11164</v>
      </c>
      <c r="P710" s="20">
        <f t="shared" ca="1" si="1966"/>
        <v>0.83778215693299896</v>
      </c>
      <c r="Q710" s="21">
        <v>1.5</v>
      </c>
      <c r="R710" s="20">
        <f t="shared" ca="1" si="1967"/>
        <v>0.5540871032864797</v>
      </c>
      <c r="S710" s="22">
        <f t="shared" ca="1" si="1968"/>
        <v>0.83113065492971949</v>
      </c>
      <c r="T710" s="21">
        <f ca="1">F710/29.603</f>
        <v>380.14204641421134</v>
      </c>
      <c r="U710" s="21">
        <f t="shared" ca="1" si="1969"/>
        <v>6.5541732140381264</v>
      </c>
      <c r="V710" s="18">
        <f t="shared" ca="1" si="1970"/>
        <v>161.25862068965517</v>
      </c>
      <c r="W710" s="76"/>
      <c r="X710" s="8">
        <v>6</v>
      </c>
      <c r="Y710" s="8" t="s">
        <v>31</v>
      </c>
      <c r="Z710" s="8">
        <f t="shared" ref="Z710:AI710" si="1978">SUM(D725)</f>
        <v>11</v>
      </c>
      <c r="AA710" s="9">
        <f t="shared" ca="1" si="1978"/>
        <v>13</v>
      </c>
      <c r="AB710" s="11">
        <f t="shared" ca="1" si="1978"/>
        <v>2607.9</v>
      </c>
      <c r="AC710" s="9">
        <f t="shared" ca="1" si="1978"/>
        <v>870</v>
      </c>
      <c r="AD710" s="9">
        <f t="shared" ca="1" si="1978"/>
        <v>0</v>
      </c>
      <c r="AE710" s="9">
        <f t="shared" ca="1" si="1978"/>
        <v>870</v>
      </c>
      <c r="AF710" s="9">
        <f t="shared" ca="1" si="1978"/>
        <v>975</v>
      </c>
      <c r="AG710" s="9">
        <f t="shared" ca="1" si="1978"/>
        <v>55</v>
      </c>
      <c r="AH710" s="9">
        <f t="shared" ca="1" si="1978"/>
        <v>1030</v>
      </c>
      <c r="AI710" s="9">
        <f t="shared" ca="1" si="1978"/>
        <v>1900</v>
      </c>
      <c r="AJ710" s="11">
        <f t="shared" ca="1" si="1974"/>
        <v>200.6076923076923</v>
      </c>
      <c r="AK710" s="8">
        <f t="shared" si="1975"/>
        <v>2717</v>
      </c>
      <c r="AL710" s="12">
        <f t="shared" ca="1" si="1952"/>
        <v>0.69930069930069927</v>
      </c>
      <c r="AM710" s="13">
        <f t="shared" si="1976"/>
        <v>1.5</v>
      </c>
      <c r="AN710" s="12">
        <f t="shared" ca="1" si="1954"/>
        <v>0.48570369518258621</v>
      </c>
      <c r="AO710" s="14">
        <f t="shared" ca="1" si="1955"/>
        <v>0.72855554277387935</v>
      </c>
      <c r="AP710" s="13">
        <f t="shared" ref="AP710:AQ710" ca="1" si="1979">SUM(T725)</f>
        <v>60</v>
      </c>
      <c r="AQ710" s="13">
        <f t="shared" ca="1" si="1979"/>
        <v>4.615384615384615</v>
      </c>
      <c r="AR710" s="9">
        <f t="shared" ca="1" si="1957"/>
        <v>146.15384615384616</v>
      </c>
      <c r="AS710" s="76"/>
      <c r="AT710" s="76"/>
    </row>
    <row r="711" spans="1:46" ht="15.75" customHeight="1" x14ac:dyDescent="0.25">
      <c r="A711" s="70"/>
      <c r="B711" s="16">
        <v>4</v>
      </c>
      <c r="C711" s="16" t="s">
        <v>32</v>
      </c>
      <c r="D711" s="17">
        <v>32</v>
      </c>
      <c r="E711" s="18">
        <f ca="1">IFERROR(__xludf.DUMMYFUNCTION("COUNT(IMPORTRANGE(""https://docs.google.com/spreadsheets/d/1Rmar8QqWK4XOJ-eY6xMzkAfDSw0srEXcAw89ilArun8/edit"",""2!d2:d43""))"),42)</f>
        <v>42</v>
      </c>
      <c r="F711" s="23">
        <f ca="1">IFERROR(__xludf.DUMMYFUNCTION("SUM(IMPORTRANGE(""https://docs.google.com/spreadsheets/d/1Rmar8QqWK4XOJ-eY6xMzkAfDSw0srEXcAw89ilArun8/edit"",""2!Q2:Q43""))"),8179.01399999999)</f>
        <v>8179.0139999999901</v>
      </c>
      <c r="G711" s="16">
        <f ca="1">IFERROR(__xludf.DUMMYFUNCTION("IMPORTRANGE(""https://docs.google.com/spreadsheets/d/1Rmar8QqWK4XOJ-eY6xMzkAfDSw0srEXcAw89ilArun8/edit"",""2!e50"")"),4808)</f>
        <v>4808</v>
      </c>
      <c r="H711" s="16">
        <f ca="1">IFERROR(__xludf.DUMMYFUNCTION("IMPORTRANGE(""https://docs.google.com/spreadsheets/d/1Rmar8QqWK4XOJ-eY6xMzkAfDSw0srEXcAw89ilArun8/edit"",""2!e51"")"),0)</f>
        <v>0</v>
      </c>
      <c r="I711" s="18">
        <f t="shared" ca="1" si="1962"/>
        <v>4808</v>
      </c>
      <c r="J711" s="16">
        <f ca="1">IFERROR(__xludf.DUMMYFUNCTION("IMPORTRANGE(""https://docs.google.com/spreadsheets/d/1Rmar8QqWK4XOJ-eY6xMzkAfDSw0srEXcAw89ilArun8/edit"",""2!e54"")"),5449)</f>
        <v>5449</v>
      </c>
      <c r="K711" s="16">
        <f ca="1">IFERROR(__xludf.DUMMYFUNCTION("IMPORTRANGE(""https://docs.google.com/spreadsheets/d/1Rmar8QqWK4XOJ-eY6xMzkAfDSw0srEXcAw89ilArun8/edit"",""2!e55"")"),190)</f>
        <v>190</v>
      </c>
      <c r="L711" s="18">
        <f t="shared" ca="1" si="1963"/>
        <v>5639</v>
      </c>
      <c r="M711" s="18">
        <f t="shared" ca="1" si="1964"/>
        <v>10447</v>
      </c>
      <c r="N711" s="19">
        <f t="shared" ca="1" si="1965"/>
        <v>194.73842857142833</v>
      </c>
      <c r="O711" s="16">
        <v>13817</v>
      </c>
      <c r="P711" s="20">
        <f t="shared" ca="1" si="1966"/>
        <v>0.75609756097560976</v>
      </c>
      <c r="Q711" s="21">
        <v>1.5</v>
      </c>
      <c r="R711" s="20">
        <f t="shared" ca="1" si="1967"/>
        <v>0.85152888437000784</v>
      </c>
      <c r="S711" s="22">
        <f t="shared" ca="1" si="1968"/>
        <v>1.2772933265550117</v>
      </c>
      <c r="T711" s="21">
        <f ca="1">F711/25.089</f>
        <v>325.9999999999996</v>
      </c>
      <c r="U711" s="21">
        <f t="shared" ca="1" si="1969"/>
        <v>7.7619047619047521</v>
      </c>
      <c r="V711" s="18">
        <f t="shared" ca="1" si="1970"/>
        <v>248.73809523809524</v>
      </c>
      <c r="W711" s="76"/>
      <c r="X711" s="24" t="s">
        <v>33</v>
      </c>
      <c r="Y711" s="24">
        <v>6</v>
      </c>
      <c r="Z711" s="24">
        <f t="shared" ref="Z711:AI711" si="1980">SUM(Z705:Z710)</f>
        <v>144</v>
      </c>
      <c r="AA711" s="25">
        <f t="shared" ca="1" si="1980"/>
        <v>179</v>
      </c>
      <c r="AB711" s="26">
        <f t="shared" ca="1" si="1980"/>
        <v>34808.92399999997</v>
      </c>
      <c r="AC711" s="25">
        <f t="shared" ca="1" si="1980"/>
        <v>11852</v>
      </c>
      <c r="AD711" s="25">
        <f t="shared" ca="1" si="1980"/>
        <v>578</v>
      </c>
      <c r="AE711" s="25">
        <f t="shared" ca="1" si="1980"/>
        <v>12430</v>
      </c>
      <c r="AF711" s="25">
        <f t="shared" ca="1" si="1980"/>
        <v>15982</v>
      </c>
      <c r="AG711" s="25">
        <f t="shared" ca="1" si="1980"/>
        <v>495</v>
      </c>
      <c r="AH711" s="25">
        <f t="shared" ca="1" si="1980"/>
        <v>16477</v>
      </c>
      <c r="AI711" s="25">
        <f t="shared" ca="1" si="1980"/>
        <v>28907</v>
      </c>
      <c r="AJ711" s="27">
        <f t="shared" ca="1" si="1974"/>
        <v>194.46326256983224</v>
      </c>
      <c r="AK711" s="24">
        <f>SUM(AK705:AK710)</f>
        <v>35074</v>
      </c>
      <c r="AL711" s="28">
        <f t="shared" ca="1" si="1952"/>
        <v>0.82417175115470154</v>
      </c>
      <c r="AM711" s="29">
        <v>1.5</v>
      </c>
      <c r="AN711" s="28">
        <f t="shared" ca="1" si="1954"/>
        <v>0.5536319747583508</v>
      </c>
      <c r="AO711" s="30">
        <f t="shared" ca="1" si="1955"/>
        <v>0.83044796213752614</v>
      </c>
      <c r="AP711" s="29">
        <f ca="1">SUM(AP705:AP710)</f>
        <v>1309.7101854542025</v>
      </c>
      <c r="AQ711" s="29">
        <f ca="1">AP711/AA711</f>
        <v>7.3168166785150976</v>
      </c>
      <c r="AR711" s="25">
        <f t="shared" ca="1" si="1957"/>
        <v>161.49162011173183</v>
      </c>
      <c r="AS711" s="76"/>
      <c r="AT711" s="76"/>
    </row>
    <row r="712" spans="1:46" ht="15.75" customHeight="1" x14ac:dyDescent="0.25">
      <c r="A712" s="70"/>
      <c r="B712" s="16">
        <v>5</v>
      </c>
      <c r="C712" s="16" t="s">
        <v>34</v>
      </c>
      <c r="D712" s="17">
        <v>30</v>
      </c>
      <c r="E712" s="18">
        <f ca="1">IFERROR(__xludf.DUMMYFUNCTION("COUNT(IMPORTRANGE(""https://docs.google.com/spreadsheets/d/1u99JxAoytGQQ8GcjxXl38CGdyEWy5uIbuJJHnsotyvk/edit"",""2!d2:d41""))"),40)</f>
        <v>40</v>
      </c>
      <c r="F712" s="23">
        <f ca="1">IFERROR(__xludf.DUMMYFUNCTION("SUM(IMPORTRANGE(""https://docs.google.com/spreadsheets/d/1u99JxAoytGQQ8GcjxXl38CGdyEWy5uIbuJJHnsotyvk/edit"",""2!Q2:Q41""))"),7895.343)</f>
        <v>7895.3429999999998</v>
      </c>
      <c r="G712" s="18">
        <f ca="1">IFERROR(__xludf.DUMMYFUNCTION("IMPORTRANGE(""https://docs.google.com/spreadsheets/d/1u99JxAoytGQQ8GcjxXl38CGdyEWy5uIbuJJHnsotyvk/edit"",""2!e48"")"),3069)</f>
        <v>3069</v>
      </c>
      <c r="H712" s="18">
        <f ca="1">IFERROR(__xludf.DUMMYFUNCTION("IMPORTRANGE(""https://docs.google.com/spreadsheets/d/1u99JxAoytGQQ8GcjxXl38CGdyEWy5uIbuJJHnsotyvk/edit"",""2!e49"")"),0)</f>
        <v>0</v>
      </c>
      <c r="I712" s="18">
        <f t="shared" ca="1" si="1962"/>
        <v>3069</v>
      </c>
      <c r="J712" s="18">
        <f ca="1">IFERROR(__xludf.DUMMYFUNCTION("IMPORTRANGE(""https://docs.google.com/spreadsheets/d/1u99JxAoytGQQ8GcjxXl38CGdyEWy5uIbuJJHnsotyvk/edit"",""2!e52"")"),3126)</f>
        <v>3126</v>
      </c>
      <c r="K712" s="18">
        <f ca="1">IFERROR(__xludf.DUMMYFUNCTION("IMPORTRANGE(""https://docs.google.com/spreadsheets/d/1u99JxAoytGQQ8GcjxXl38CGdyEWy5uIbuJJHnsotyvk/edit"",""2!e53"")"),0)</f>
        <v>0</v>
      </c>
      <c r="L712" s="18">
        <f t="shared" ca="1" si="1963"/>
        <v>3126</v>
      </c>
      <c r="M712" s="18">
        <f t="shared" ca="1" si="1964"/>
        <v>6195</v>
      </c>
      <c r="N712" s="19">
        <f t="shared" ca="1" si="1965"/>
        <v>197.38357500000001</v>
      </c>
      <c r="O712" s="16">
        <v>9354</v>
      </c>
      <c r="P712" s="20">
        <f t="shared" ca="1" si="1966"/>
        <v>0.66228351507376526</v>
      </c>
      <c r="Q712" s="21">
        <v>1.5</v>
      </c>
      <c r="R712" s="20">
        <f t="shared" ca="1" si="1967"/>
        <v>0.52309317023972235</v>
      </c>
      <c r="S712" s="22">
        <f t="shared" ca="1" si="1968"/>
        <v>0.78463975535958352</v>
      </c>
      <c r="T712" s="21">
        <f ca="1">F712/30.713</f>
        <v>257.06844007423564</v>
      </c>
      <c r="U712" s="21">
        <f t="shared" ca="1" si="1969"/>
        <v>6.4267110018558906</v>
      </c>
      <c r="V712" s="18">
        <f t="shared" ca="1" si="1970"/>
        <v>154.875</v>
      </c>
      <c r="W712" s="76"/>
      <c r="X712" s="100" t="s">
        <v>35</v>
      </c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9"/>
      <c r="AS712" s="76"/>
      <c r="AT712" s="76"/>
    </row>
    <row r="713" spans="1:46" ht="15.75" customHeight="1" x14ac:dyDescent="0.25">
      <c r="A713" s="70"/>
      <c r="B713" s="16">
        <v>6</v>
      </c>
      <c r="C713" s="16" t="s">
        <v>23</v>
      </c>
      <c r="D713" s="17">
        <v>26</v>
      </c>
      <c r="E713" s="18">
        <f ca="1">IFERROR(__xludf.DUMMYFUNCTION("COUNT(IMPORTRANGE(""https://docs.google.com/spreadsheets/d/1uVc-vnTn57HE53lwrUYNZP4sGKTXisrqOoZ-6EyvLzY/edit"",""2!d2:d36""))"),34)</f>
        <v>34</v>
      </c>
      <c r="F713" s="23">
        <f ca="1">IFERROR(__xludf.DUMMYFUNCTION("SUM(IMPORTRANGE(""https://docs.google.com/spreadsheets/d/1uVc-vnTn57HE53lwrUYNZP4sGKTXisrqOoZ-6EyvLzY/edit"",""2!Q2:Q36""))"),6680.51999999999)</f>
        <v>6680.5199999999904</v>
      </c>
      <c r="G713" s="18">
        <f ca="1">IFERROR(__xludf.DUMMYFUNCTION("IMPORTRANGE(""https://docs.google.com/spreadsheets/d/1uVc-vnTn57HE53lwrUYNZP4sGKTXisrqOoZ-6EyvLzY/edit"",""2!e43"")"),2083)</f>
        <v>2083</v>
      </c>
      <c r="H713" s="18">
        <f ca="1">IFERROR(__xludf.DUMMYFUNCTION("IMPORTRANGE(""https://docs.google.com/spreadsheets/d/1uVc-vnTn57HE53lwrUYNZP4sGKTXisrqOoZ-6EyvLzY/edit"",""2!e44"")"),0)</f>
        <v>0</v>
      </c>
      <c r="I713" s="18">
        <f t="shared" ca="1" si="1962"/>
        <v>2083</v>
      </c>
      <c r="J713" s="18">
        <f ca="1">IFERROR(__xludf.DUMMYFUNCTION("IMPORTRANGE(""https://docs.google.com/spreadsheets/d/1uVc-vnTn57HE53lwrUYNZP4sGKTXisrqOoZ-6EyvLzY/edit"",""2!e47"")"),2916)</f>
        <v>2916</v>
      </c>
      <c r="K713" s="18">
        <f ca="1">IFERROR(__xludf.DUMMYFUNCTION("IMPORTRANGE(""https://docs.google.com/spreadsheets/d/1uVc-vnTn57HE53lwrUYNZP4sGKTXisrqOoZ-6EyvLzY/edit"",""2!e48"")"),0)</f>
        <v>0</v>
      </c>
      <c r="L713" s="18">
        <f t="shared" ca="1" si="1963"/>
        <v>2916</v>
      </c>
      <c r="M713" s="18">
        <f t="shared" ca="1" si="1964"/>
        <v>4999</v>
      </c>
      <c r="N713" s="19">
        <f t="shared" ca="1" si="1965"/>
        <v>196.48588235294091</v>
      </c>
      <c r="O713" s="16">
        <v>6853</v>
      </c>
      <c r="P713" s="20">
        <f t="shared" ca="1" si="1966"/>
        <v>0.72946154968626875</v>
      </c>
      <c r="Q713" s="21">
        <v>1.5</v>
      </c>
      <c r="R713" s="20">
        <f t="shared" ca="1" si="1967"/>
        <v>0.49886336193390207</v>
      </c>
      <c r="S713" s="22">
        <f t="shared" ca="1" si="1968"/>
        <v>0.74829504290085314</v>
      </c>
      <c r="T713" s="21">
        <f ca="1">F713/33.74</f>
        <v>197.99999999999972</v>
      </c>
      <c r="U713" s="21">
        <f t="shared" ca="1" si="1969"/>
        <v>5.8235294117646976</v>
      </c>
      <c r="V713" s="18">
        <f t="shared" ca="1" si="1970"/>
        <v>147.02941176470588</v>
      </c>
      <c r="W713" s="76"/>
      <c r="X713" s="1" t="s">
        <v>2</v>
      </c>
      <c r="Y713" s="1" t="s">
        <v>3</v>
      </c>
      <c r="Z713" s="1" t="s">
        <v>4</v>
      </c>
      <c r="AA713" s="1" t="s">
        <v>5</v>
      </c>
      <c r="AB713" s="2" t="s">
        <v>6</v>
      </c>
      <c r="AC713" s="1" t="s">
        <v>7</v>
      </c>
      <c r="AD713" s="1" t="s">
        <v>8</v>
      </c>
      <c r="AE713" s="1" t="s">
        <v>9</v>
      </c>
      <c r="AF713" s="1" t="s">
        <v>10</v>
      </c>
      <c r="AG713" s="1" t="s">
        <v>11</v>
      </c>
      <c r="AH713" s="1" t="s">
        <v>12</v>
      </c>
      <c r="AI713" s="1" t="s">
        <v>13</v>
      </c>
      <c r="AJ713" s="2" t="s">
        <v>14</v>
      </c>
      <c r="AK713" s="1" t="s">
        <v>15</v>
      </c>
      <c r="AL713" s="1" t="s">
        <v>16</v>
      </c>
      <c r="AM713" s="3" t="s">
        <v>17</v>
      </c>
      <c r="AN713" s="4" t="s">
        <v>18</v>
      </c>
      <c r="AO713" s="5" t="s">
        <v>19</v>
      </c>
      <c r="AP713" s="6" t="s">
        <v>20</v>
      </c>
      <c r="AQ713" s="6" t="s">
        <v>21</v>
      </c>
      <c r="AR713" s="7" t="s">
        <v>22</v>
      </c>
      <c r="AS713" s="76"/>
      <c r="AT713" s="76"/>
    </row>
    <row r="714" spans="1:46" ht="15.75" customHeight="1" x14ac:dyDescent="0.25">
      <c r="A714" s="70"/>
      <c r="B714" s="16">
        <v>7</v>
      </c>
      <c r="C714" s="16" t="s">
        <v>24</v>
      </c>
      <c r="D714" s="17">
        <v>35</v>
      </c>
      <c r="E714" s="31">
        <f ca="1">IFERROR(__xludf.DUMMYFUNCTION("COUNT(IMPORTRANGE(""https://docs.google.com/spreadsheets/d/1iuPvivSypupo44l6GtmR-2qZ3za7cTk7KzsOVp_kv2c/edit"",""2!d2:d45""))"),44)</f>
        <v>44</v>
      </c>
      <c r="F714" s="32">
        <f ca="1">IFERROR(__xludf.DUMMYFUNCTION("SUM(IMPORTRANGE(""https://docs.google.com/spreadsheets/d/1iuPvivSypupo44l6GtmR-2qZ3za7cTk7KzsOVp_kv2c/edit"",""2!Q2:Q45""))"),8354.58199999999)</f>
        <v>8354.5819999999894</v>
      </c>
      <c r="G714" s="31">
        <f ca="1">IFERROR(__xludf.DUMMYFUNCTION("IMPORTRANGE(""https://docs.google.com/spreadsheets/d/1iuPvivSypupo44l6GtmR-2qZ3za7cTk7KzsOVp_kv2c/edit"",""2!e53"")"),1454)</f>
        <v>1454</v>
      </c>
      <c r="H714" s="31">
        <f ca="1">IFERROR(__xludf.DUMMYFUNCTION("IMPORTRANGE(""https://docs.google.com/spreadsheets/d/1iuPvivSypupo44l6GtmR-2qZ3za7cTk7KzsOVp_kv2c/edit"",""2!e54"")"),0)</f>
        <v>0</v>
      </c>
      <c r="I714" s="31">
        <f t="shared" ca="1" si="1962"/>
        <v>1454</v>
      </c>
      <c r="J714" s="31">
        <f ca="1">IFERROR(__xludf.DUMMYFUNCTION("IMPORTRANGE(""https://docs.google.com/spreadsheets/d/1iuPvivSypupo44l6GtmR-2qZ3za7cTk7KzsOVp_kv2c/edit"",""2!e57"")"),1288)</f>
        <v>1288</v>
      </c>
      <c r="K714" s="31">
        <f ca="1">IFERROR(__xludf.DUMMYFUNCTION("IMPORTRANGE(""https://docs.google.com/spreadsheets/d/1iuPvivSypupo44l6GtmR-2qZ3za7cTk7KzsOVp_kv2c/edit"",""2!e58"")"),28)</f>
        <v>28</v>
      </c>
      <c r="L714" s="18">
        <f t="shared" ca="1" si="1963"/>
        <v>1316</v>
      </c>
      <c r="M714" s="18">
        <f t="shared" ca="1" si="1964"/>
        <v>2770</v>
      </c>
      <c r="N714" s="19">
        <f t="shared" ca="1" si="1965"/>
        <v>189.8768636363634</v>
      </c>
      <c r="O714" s="16">
        <v>1580</v>
      </c>
      <c r="P714" s="33">
        <f t="shared" ca="1" si="1966"/>
        <v>1.7531645569620253</v>
      </c>
      <c r="Q714" s="21">
        <v>1.5</v>
      </c>
      <c r="R714" s="20">
        <f t="shared" ca="1" si="1967"/>
        <v>0.22103639256478291</v>
      </c>
      <c r="S714" s="22">
        <f t="shared" ca="1" si="1968"/>
        <v>0.33155458884717437</v>
      </c>
      <c r="T714" s="21">
        <f ca="1">F714/26.805</f>
        <v>311.67998507741055</v>
      </c>
      <c r="U714" s="21">
        <f t="shared" ca="1" si="1969"/>
        <v>7.0836360244866032</v>
      </c>
      <c r="V714" s="18">
        <f t="shared" ca="1" si="1970"/>
        <v>62.954545454545453</v>
      </c>
      <c r="W714" s="76"/>
      <c r="X714" s="8">
        <v>1</v>
      </c>
      <c r="Y714" s="8" t="s">
        <v>28</v>
      </c>
      <c r="Z714" s="8">
        <f t="shared" ref="Z714:AI714" si="1981">SUM(D709)</f>
        <v>24</v>
      </c>
      <c r="AA714" s="9">
        <f t="shared" ca="1" si="1981"/>
        <v>33</v>
      </c>
      <c r="AB714" s="11">
        <f t="shared" ca="1" si="1981"/>
        <v>6528.8329999999896</v>
      </c>
      <c r="AC714" s="9">
        <f t="shared" ca="1" si="1981"/>
        <v>2700</v>
      </c>
      <c r="AD714" s="9">
        <f t="shared" ca="1" si="1981"/>
        <v>104</v>
      </c>
      <c r="AE714" s="9">
        <f t="shared" ca="1" si="1981"/>
        <v>2804</v>
      </c>
      <c r="AF714" s="9">
        <f t="shared" ca="1" si="1981"/>
        <v>3205</v>
      </c>
      <c r="AG714" s="9">
        <f t="shared" ca="1" si="1981"/>
        <v>102</v>
      </c>
      <c r="AH714" s="9">
        <f t="shared" ca="1" si="1981"/>
        <v>3307</v>
      </c>
      <c r="AI714" s="9">
        <f t="shared" ca="1" si="1981"/>
        <v>6111</v>
      </c>
      <c r="AJ714" s="11">
        <f t="shared" ref="AJ714:AJ720" ca="1" si="1982">AB714/AA714</f>
        <v>197.84342424242394</v>
      </c>
      <c r="AK714" s="8">
        <f t="shared" ref="AK714:AK715" si="1983">SUM(O709)</f>
        <v>7315</v>
      </c>
      <c r="AL714" s="12">
        <f t="shared" ref="AL714:AL720" ca="1" si="1984">AI714/AK714</f>
        <v>0.83540669856459326</v>
      </c>
      <c r="AM714" s="13">
        <f t="shared" ref="AM714:AM715" si="1985">SUM(Q709)</f>
        <v>1.5</v>
      </c>
      <c r="AN714" s="12">
        <f t="shared" ref="AN714:AN720" ca="1" si="1986">AO714/AM714</f>
        <v>0.6240012571925192</v>
      </c>
      <c r="AO714" s="14">
        <f t="shared" ref="AO714:AO720" ca="1" si="1987">AI714/AB714</f>
        <v>0.93600188578877874</v>
      </c>
      <c r="AP714" s="13">
        <f t="shared" ref="AP714:AQ714" ca="1" si="1988">SUM(T709)</f>
        <v>211.30960934718547</v>
      </c>
      <c r="AQ714" s="13">
        <f t="shared" ca="1" si="1988"/>
        <v>6.4033214953692568</v>
      </c>
      <c r="AR714" s="9">
        <f t="shared" ref="AR714:AR720" ca="1" si="1989">AI714/AA714</f>
        <v>185.18181818181819</v>
      </c>
      <c r="AS714" s="76"/>
      <c r="AT714" s="76"/>
    </row>
    <row r="715" spans="1:46" ht="15.75" customHeight="1" x14ac:dyDescent="0.25">
      <c r="A715" s="70"/>
      <c r="B715" s="16">
        <v>8</v>
      </c>
      <c r="C715" s="16" t="s">
        <v>25</v>
      </c>
      <c r="D715" s="34">
        <v>26</v>
      </c>
      <c r="E715" s="18">
        <f ca="1">IFERROR(__xludf.DUMMYFUNCTION("COUNT(IMPORTRANGE(""https://docs.google.com/spreadsheets/d/1sqWX7UerdR9KR_duBzDNfjwbPG-3hLgV1LiN2ZVZ6Js/edit"",""2!d2:D33""))"),31)</f>
        <v>31</v>
      </c>
      <c r="F715" s="23">
        <f ca="1">IFERROR(__xludf.DUMMYFUNCTION("SUM(IMPORTRANGE(""https://docs.google.com/spreadsheets/d/1sqWX7UerdR9KR_duBzDNfjwbPG-3hLgV1LiN2ZVZ6Js/edit"",""2!Q2:Q33""))"),5925.124)</f>
        <v>5925.1239999999998</v>
      </c>
      <c r="G715" s="18">
        <f ca="1">IFERROR(__xludf.DUMMYFUNCTION("IMPORTRANGE(""https://docs.google.com/spreadsheets/d/1sqWX7UerdR9KR_duBzDNfjwbPG-3hLgV1LiN2ZVZ6Js/edit"",""2!e40"")"),2351)</f>
        <v>2351</v>
      </c>
      <c r="H715" s="18">
        <f ca="1">IFERROR(__xludf.DUMMYFUNCTION("IMPORTRANGE(""https://docs.google.com/spreadsheets/d/1sqWX7UerdR9KR_duBzDNfjwbPG-3hLgV1LiN2ZVZ6Js/edit"",""2!e41"")"),438)</f>
        <v>438</v>
      </c>
      <c r="I715" s="18">
        <f t="shared" ca="1" si="1962"/>
        <v>2789</v>
      </c>
      <c r="J715" s="18">
        <f ca="1">IFERROR(__xludf.DUMMYFUNCTION("IMPORTRANGE(""https://docs.google.com/spreadsheets/d/1sqWX7UerdR9KR_duBzDNfjwbPG-3hLgV1LiN2ZVZ6Js/edit"",""2!e44"")"),3213)</f>
        <v>3213</v>
      </c>
      <c r="K715" s="18">
        <f ca="1">IFERROR(__xludf.DUMMYFUNCTION("IMPORTRANGE(""https://docs.google.com/spreadsheets/d/1sqWX7UerdR9KR_duBzDNfjwbPG-3hLgV1LiN2ZVZ6Js/edit"",""2!e45"")"),305)</f>
        <v>305</v>
      </c>
      <c r="L715" s="18">
        <f ca="1">J715+K715</f>
        <v>3518</v>
      </c>
      <c r="M715" s="18">
        <f t="shared" ca="1" si="1964"/>
        <v>6307</v>
      </c>
      <c r="N715" s="19">
        <f t="shared" ca="1" si="1965"/>
        <v>191.1330322580645</v>
      </c>
      <c r="O715" s="16">
        <v>6622</v>
      </c>
      <c r="P715" s="20">
        <f t="shared" ca="1" si="1966"/>
        <v>0.95243128964059198</v>
      </c>
      <c r="Q715" s="21">
        <v>1.5</v>
      </c>
      <c r="R715" s="20">
        <f t="shared" ca="1" si="1967"/>
        <v>0.70963353115760386</v>
      </c>
      <c r="S715" s="22">
        <f t="shared" ca="1" si="1968"/>
        <v>1.0644502967364058</v>
      </c>
      <c r="T715" s="21">
        <f ca="1">F715/23.84</f>
        <v>248.53708053691275</v>
      </c>
      <c r="U715" s="21">
        <f t="shared" ca="1" si="1969"/>
        <v>8.0173251786100881</v>
      </c>
      <c r="V715" s="18">
        <f t="shared" ca="1" si="1970"/>
        <v>203.45161290322579</v>
      </c>
      <c r="W715" s="76"/>
      <c r="X715" s="8">
        <v>2</v>
      </c>
      <c r="Y715" s="8" t="s">
        <v>30</v>
      </c>
      <c r="Z715" s="8">
        <f t="shared" ref="Z715:AI715" si="1990">SUM(D710)</f>
        <v>45</v>
      </c>
      <c r="AA715" s="9">
        <f t="shared" ca="1" si="1990"/>
        <v>58</v>
      </c>
      <c r="AB715" s="10">
        <f t="shared" ca="1" si="1990"/>
        <v>11253.344999999899</v>
      </c>
      <c r="AC715" s="9">
        <f t="shared" ca="1" si="1990"/>
        <v>3757</v>
      </c>
      <c r="AD715" s="9">
        <f t="shared" ca="1" si="1990"/>
        <v>0</v>
      </c>
      <c r="AE715" s="9">
        <f t="shared" ca="1" si="1990"/>
        <v>3757</v>
      </c>
      <c r="AF715" s="9">
        <f t="shared" ca="1" si="1990"/>
        <v>5596</v>
      </c>
      <c r="AG715" s="9">
        <f t="shared" ca="1" si="1990"/>
        <v>0</v>
      </c>
      <c r="AH715" s="9">
        <f t="shared" ca="1" si="1990"/>
        <v>5596</v>
      </c>
      <c r="AI715" s="9">
        <f t="shared" ca="1" si="1990"/>
        <v>9353</v>
      </c>
      <c r="AJ715" s="11">
        <f t="shared" ca="1" si="1982"/>
        <v>194.02318965517068</v>
      </c>
      <c r="AK715" s="8">
        <f t="shared" si="1983"/>
        <v>11164</v>
      </c>
      <c r="AL715" s="12">
        <f t="shared" ca="1" si="1984"/>
        <v>0.83778215693299896</v>
      </c>
      <c r="AM715" s="13">
        <f t="shared" si="1985"/>
        <v>1.5</v>
      </c>
      <c r="AN715" s="12">
        <f t="shared" ca="1" si="1986"/>
        <v>0.5540871032864797</v>
      </c>
      <c r="AO715" s="14">
        <f t="shared" ca="1" si="1987"/>
        <v>0.83113065492971949</v>
      </c>
      <c r="AP715" s="13">
        <f t="shared" ref="AP715:AQ715" ca="1" si="1991">SUM(T710)</f>
        <v>380.14204641421134</v>
      </c>
      <c r="AQ715" s="13">
        <f t="shared" ca="1" si="1991"/>
        <v>6.5541732140381264</v>
      </c>
      <c r="AR715" s="9">
        <f t="shared" ca="1" si="1989"/>
        <v>161.25862068965517</v>
      </c>
      <c r="AS715" s="76"/>
      <c r="AT715" s="76"/>
    </row>
    <row r="716" spans="1:46" ht="15.75" customHeight="1" x14ac:dyDescent="0.25">
      <c r="A716" s="70"/>
      <c r="B716" s="16">
        <v>9</v>
      </c>
      <c r="C716" s="16" t="s">
        <v>36</v>
      </c>
      <c r="D716" s="34">
        <v>23</v>
      </c>
      <c r="E716" s="18">
        <f ca="1">IFERROR(__xludf.DUMMYFUNCTION("COUNT(IMPORTRANGE(""https://docs.google.com/spreadsheets/d/1YNna43iTSqnwwbMJgTIPHSJEoDO8RGPRFg5pJCoQR_Y/edit"",""2!d2:d31""))"),29)</f>
        <v>29</v>
      </c>
      <c r="F716" s="23">
        <f ca="1">IFERROR(__xludf.DUMMYFUNCTION("SUM(IMPORTRANGE(""https://docs.google.com/spreadsheets/d/1YNna43iTSqnwwbMJgTIPHSJEoDO8RGPRFg5pJCoQR_Y/edit"",""2!Q2:Q31""))"),5604.12)</f>
        <v>5604.12</v>
      </c>
      <c r="G716" s="18">
        <f ca="1">IFERROR(__xludf.DUMMYFUNCTION("IMPORTRANGE(""https://docs.google.com/spreadsheets/d/1YNna43iTSqnwwbMJgTIPHSJEoDO8RGPRFg5pJCoQR_Y/edit"",""2!e38"")"),1533)</f>
        <v>1533</v>
      </c>
      <c r="H716" s="18">
        <f ca="1">IFERROR(__xludf.DUMMYFUNCTION("IMPORTRANGE(""https://docs.google.com/spreadsheets/d/1YNna43iTSqnwwbMJgTIPHSJEoDO8RGPRFg5pJCoQR_Y/edit"",""2!e39"")"),0)</f>
        <v>0</v>
      </c>
      <c r="I716" s="18">
        <f t="shared" ca="1" si="1962"/>
        <v>1533</v>
      </c>
      <c r="J716" s="18">
        <f ca="1">IFERROR(__xludf.DUMMYFUNCTION("IMPORTRANGE(""https://docs.google.com/spreadsheets/d/1YNna43iTSqnwwbMJgTIPHSJEoDO8RGPRFg5pJCoQR_Y/edit"",""2!e42"")"),2301)</f>
        <v>2301</v>
      </c>
      <c r="K716" s="18">
        <f ca="1">IFERROR(__xludf.DUMMYFUNCTION("IMPORTRANGE(""https://docs.google.com/spreadsheets/d/1YNna43iTSqnwwbMJgTIPHSJEoDO8RGPRFg5pJCoQR_Y/edit"",""2!e43"")"),0)</f>
        <v>0</v>
      </c>
      <c r="L716" s="18">
        <f t="shared" ref="L716:L725" ca="1" si="1992">SUM(J716:K716)</f>
        <v>2301</v>
      </c>
      <c r="M716" s="18">
        <f t="shared" ca="1" si="1964"/>
        <v>3834</v>
      </c>
      <c r="N716" s="19">
        <f t="shared" ca="1" si="1965"/>
        <v>193.2455172413793</v>
      </c>
      <c r="O716" s="16">
        <v>4796</v>
      </c>
      <c r="P716" s="20">
        <f t="shared" ca="1" si="1966"/>
        <v>0.79941618015012506</v>
      </c>
      <c r="Q716" s="21">
        <v>1.5</v>
      </c>
      <c r="R716" s="20">
        <f t="shared" ca="1" si="1967"/>
        <v>0.4560930172801439</v>
      </c>
      <c r="S716" s="22">
        <f t="shared" ca="1" si="1968"/>
        <v>0.68413952592021587</v>
      </c>
      <c r="T716" s="21">
        <f ca="1">F716/37.414</f>
        <v>149.78671085689848</v>
      </c>
      <c r="U716" s="21">
        <f t="shared" ca="1" si="1969"/>
        <v>5.1650589950654648</v>
      </c>
      <c r="V716" s="18">
        <f t="shared" ca="1" si="1970"/>
        <v>132.20689655172413</v>
      </c>
      <c r="W716" s="76"/>
      <c r="X716" s="8">
        <v>3</v>
      </c>
      <c r="Y716" s="8" t="s">
        <v>34</v>
      </c>
      <c r="Z716" s="8">
        <f t="shared" ref="Z716:AI716" si="1993">SUM(D712)</f>
        <v>30</v>
      </c>
      <c r="AA716" s="9">
        <f t="shared" ca="1" si="1993"/>
        <v>40</v>
      </c>
      <c r="AB716" s="10">
        <f t="shared" ca="1" si="1993"/>
        <v>7895.3429999999998</v>
      </c>
      <c r="AC716" s="9">
        <f t="shared" ca="1" si="1993"/>
        <v>3069</v>
      </c>
      <c r="AD716" s="9">
        <f t="shared" ca="1" si="1993"/>
        <v>0</v>
      </c>
      <c r="AE716" s="9">
        <f t="shared" ca="1" si="1993"/>
        <v>3069</v>
      </c>
      <c r="AF716" s="9">
        <f t="shared" ca="1" si="1993"/>
        <v>3126</v>
      </c>
      <c r="AG716" s="9">
        <f t="shared" ca="1" si="1993"/>
        <v>0</v>
      </c>
      <c r="AH716" s="9">
        <f t="shared" ca="1" si="1993"/>
        <v>3126</v>
      </c>
      <c r="AI716" s="9">
        <f t="shared" ca="1" si="1993"/>
        <v>6195</v>
      </c>
      <c r="AJ716" s="11">
        <f t="shared" ca="1" si="1982"/>
        <v>197.38357500000001</v>
      </c>
      <c r="AK716" s="8">
        <f>SUM(O712)</f>
        <v>9354</v>
      </c>
      <c r="AL716" s="12">
        <f t="shared" ca="1" si="1984"/>
        <v>0.66228351507376526</v>
      </c>
      <c r="AM716" s="13">
        <f>SUM(Q712)</f>
        <v>1.5</v>
      </c>
      <c r="AN716" s="12">
        <f t="shared" ca="1" si="1986"/>
        <v>0.52309317023972235</v>
      </c>
      <c r="AO716" s="14">
        <f t="shared" ca="1" si="1987"/>
        <v>0.78463975535958352</v>
      </c>
      <c r="AP716" s="13">
        <f t="shared" ref="AP716:AQ716" ca="1" si="1994">SUM(T712)</f>
        <v>257.06844007423564</v>
      </c>
      <c r="AQ716" s="13">
        <f t="shared" ca="1" si="1994"/>
        <v>6.4267110018558906</v>
      </c>
      <c r="AR716" s="9">
        <f t="shared" ca="1" si="1989"/>
        <v>154.875</v>
      </c>
      <c r="AS716" s="76"/>
      <c r="AT716" s="76"/>
    </row>
    <row r="717" spans="1:46" ht="15.75" customHeight="1" x14ac:dyDescent="0.25">
      <c r="A717" s="70"/>
      <c r="B717" s="16">
        <v>10</v>
      </c>
      <c r="C717" s="16" t="s">
        <v>37</v>
      </c>
      <c r="D717" s="17">
        <v>23</v>
      </c>
      <c r="E717" s="18">
        <f ca="1">IFERROR(__xludf.DUMMYFUNCTION("COUNT(IMPORTRANGE(""https://docs.google.com/spreadsheets/d/1913Df5BsXS_b-nClL8LOK5w0engQYTl1mPOiyngRtO0/edit"",""2!d2:d31""))"),30)</f>
        <v>30</v>
      </c>
      <c r="F717" s="23">
        <f ca="1">IFERROR(__xludf.DUMMYFUNCTION("SUM(IMPORTRANGE(""https://docs.google.com/spreadsheets/d/1913Df5BsXS_b-nClL8LOK5w0engQYTl1mPOiyngRtO0/edit"",""2!Q2:Q31""))"),5812.188)</f>
        <v>5812.1880000000001</v>
      </c>
      <c r="G717" s="18">
        <f ca="1">IFERROR(__xludf.DUMMYFUNCTION("(IMPORTRANGE(""https://docs.google.com/spreadsheets/d/1913Df5BsXS_b-nClL8LOK5w0engQYTl1mPOiyngRtO0/edit"",""2!e38""))"),2138)</f>
        <v>2138</v>
      </c>
      <c r="H717" s="18">
        <f ca="1">IFERROR(__xludf.DUMMYFUNCTION("(IMPORTRANGE(""https://docs.google.com/spreadsheets/d/1913Df5BsXS_b-nClL8LOK5w0engQYTl1mPOiyngRtO0/edit"",""2!e39""))"),0)</f>
        <v>0</v>
      </c>
      <c r="I717" s="18">
        <f t="shared" ca="1" si="1962"/>
        <v>2138</v>
      </c>
      <c r="J717" s="18">
        <f ca="1">IFERROR(__xludf.DUMMYFUNCTION("(IMPORTRANGE(""https://docs.google.com/spreadsheets/d/1913Df5BsXS_b-nClL8LOK5w0engQYTl1mPOiyngRtO0/edit"",""2!e42""))"),3071)</f>
        <v>3071</v>
      </c>
      <c r="K717" s="18">
        <f ca="1">IFERROR(__xludf.DUMMYFUNCTION("(IMPORTRANGE(""https://docs.google.com/spreadsheets/d/1913Df5BsXS_b-nClL8LOK5w0engQYTl1mPOiyngRtO0/edit"",""2!e43""))"),0)</f>
        <v>0</v>
      </c>
      <c r="L717" s="18">
        <f t="shared" ca="1" si="1992"/>
        <v>3071</v>
      </c>
      <c r="M717" s="18">
        <f t="shared" ca="1" si="1964"/>
        <v>5209</v>
      </c>
      <c r="N717" s="19">
        <f t="shared" ca="1" si="1965"/>
        <v>193.7396</v>
      </c>
      <c r="O717" s="16">
        <v>5887</v>
      </c>
      <c r="P717" s="20">
        <f t="shared" ca="1" si="1966"/>
        <v>0.88483098352301681</v>
      </c>
      <c r="Q717" s="21">
        <v>1.5</v>
      </c>
      <c r="R717" s="20">
        <f t="shared" ca="1" si="1967"/>
        <v>0.59748009986371164</v>
      </c>
      <c r="S717" s="22">
        <f t="shared" ca="1" si="1968"/>
        <v>0.89622014979556752</v>
      </c>
      <c r="T717" s="21">
        <f ca="1">F717/24.792</f>
        <v>234.4380445304937</v>
      </c>
      <c r="U717" s="21">
        <f t="shared" ca="1" si="1969"/>
        <v>7.8146014843497902</v>
      </c>
      <c r="V717" s="18">
        <f t="shared" ca="1" si="1970"/>
        <v>173.63333333333333</v>
      </c>
      <c r="W717" s="76"/>
      <c r="X717" s="8">
        <v>4</v>
      </c>
      <c r="Y717" s="8" t="s">
        <v>38</v>
      </c>
      <c r="Z717" s="8">
        <f t="shared" ref="Z717:AI717" si="1995">SUM(D720)</f>
        <v>23</v>
      </c>
      <c r="AA717" s="9">
        <f t="shared" ca="1" si="1995"/>
        <v>30</v>
      </c>
      <c r="AB717" s="10">
        <f t="shared" ca="1" si="1995"/>
        <v>6284.2779999999902</v>
      </c>
      <c r="AC717" s="9">
        <f t="shared" ca="1" si="1995"/>
        <v>2309</v>
      </c>
      <c r="AD717" s="9">
        <f t="shared" ca="1" si="1995"/>
        <v>0</v>
      </c>
      <c r="AE717" s="9">
        <f t="shared" ca="1" si="1995"/>
        <v>2309</v>
      </c>
      <c r="AF717" s="9">
        <f t="shared" ca="1" si="1995"/>
        <v>2749</v>
      </c>
      <c r="AG717" s="9">
        <f t="shared" ca="1" si="1995"/>
        <v>159</v>
      </c>
      <c r="AH717" s="9">
        <f t="shared" ca="1" si="1995"/>
        <v>2908</v>
      </c>
      <c r="AI717" s="9">
        <f t="shared" ca="1" si="1995"/>
        <v>5217</v>
      </c>
      <c r="AJ717" s="11">
        <f t="shared" ca="1" si="1982"/>
        <v>209.47593333333302</v>
      </c>
      <c r="AK717" s="8">
        <v>7324</v>
      </c>
      <c r="AL717" s="12">
        <f t="shared" ca="1" si="1984"/>
        <v>0.71231567449481159</v>
      </c>
      <c r="AM717" s="13">
        <f>SUM(Q720)</f>
        <v>1.5</v>
      </c>
      <c r="AN717" s="12">
        <f t="shared" ca="1" si="1986"/>
        <v>0.55344464391931825</v>
      </c>
      <c r="AO717" s="14">
        <f t="shared" ca="1" si="1987"/>
        <v>0.83016696587897731</v>
      </c>
      <c r="AP717" s="13">
        <f t="shared" ref="AP717:AQ717" ca="1" si="1996">SUM(T720)</f>
        <v>152.51251061764327</v>
      </c>
      <c r="AQ717" s="13">
        <f t="shared" ca="1" si="1996"/>
        <v>5.0837503539214426</v>
      </c>
      <c r="AR717" s="9">
        <f t="shared" ca="1" si="1989"/>
        <v>173.9</v>
      </c>
      <c r="AS717" s="76"/>
      <c r="AT717" s="76"/>
    </row>
    <row r="718" spans="1:46" ht="15.75" customHeight="1" x14ac:dyDescent="0.25">
      <c r="A718" s="70"/>
      <c r="B718" s="16">
        <v>12</v>
      </c>
      <c r="C718" s="16" t="s">
        <v>39</v>
      </c>
      <c r="D718" s="17">
        <v>21</v>
      </c>
      <c r="E718" s="18">
        <f ca="1">IFERROR(__xludf.DUMMYFUNCTION("COUNT(IMPORTRANGE(""https://docs.google.com/spreadsheets/d/1wMeol_MpSIcocGxt3WZGl46mJ2tc80mANPvP_YzaP18/edit"",""2!d2:d29""))"),28)</f>
        <v>28</v>
      </c>
      <c r="F718" s="23">
        <f ca="1">IFERROR(__xludf.DUMMYFUNCTION("SUM(IMPORTRANGE(""https://docs.google.com/spreadsheets/d/1wMeol_MpSIcocGxt3WZGl46mJ2tc80mANPvP_YzaP18/edit"",""2!Q2:Q29""))"),5458.878)</f>
        <v>5458.8779999999997</v>
      </c>
      <c r="G718" s="18">
        <f ca="1">IFERROR(__xludf.DUMMYFUNCTION("IMPORTRANGE(""https://docs.google.com/spreadsheets/d/1wMeol_MpSIcocGxt3WZGl46mJ2tc80mANPvP_YzaP18/edit"",""2!e36"")"),1516)</f>
        <v>1516</v>
      </c>
      <c r="H718" s="18">
        <f ca="1">IFERROR(__xludf.DUMMYFUNCTION("(IMPORTRANGE(""https://docs.google.com/spreadsheets/d/1wMeol_MpSIcocGxt3WZGl46mJ2tc80mANPvP_YzaP18/edit"",""2!e37""))"),43)</f>
        <v>43</v>
      </c>
      <c r="I718" s="18">
        <f t="shared" ca="1" si="1962"/>
        <v>1559</v>
      </c>
      <c r="J718" s="18">
        <f ca="1">IFERROR(__xludf.DUMMYFUNCTION("IMPORTRANGE(""https://docs.google.com/spreadsheets/d/1wMeol_MpSIcocGxt3WZGl46mJ2tc80mANPvP_YzaP18/edit"",""2!e40"")"),1765)</f>
        <v>1765</v>
      </c>
      <c r="K718" s="18">
        <f ca="1">IFERROR(__xludf.DUMMYFUNCTION("IMPORTRANGE(""https://docs.google.com/spreadsheets/d/1wMeol_MpSIcocGxt3WZGl46mJ2tc80mANPvP_YzaP18/edit"",""2!e41"")"),115)</f>
        <v>115</v>
      </c>
      <c r="L718" s="18">
        <f t="shared" ca="1" si="1992"/>
        <v>1880</v>
      </c>
      <c r="M718" s="18">
        <f t="shared" ca="1" si="1964"/>
        <v>3439</v>
      </c>
      <c r="N718" s="19">
        <f t="shared" ca="1" si="1965"/>
        <v>194.95992857142855</v>
      </c>
      <c r="O718" s="16">
        <v>3569</v>
      </c>
      <c r="P718" s="20">
        <f t="shared" ca="1" si="1966"/>
        <v>0.96357523115718691</v>
      </c>
      <c r="Q718" s="21">
        <v>1.5</v>
      </c>
      <c r="R718" s="20">
        <f t="shared" ca="1" si="1967"/>
        <v>0.4199886252571805</v>
      </c>
      <c r="S718" s="22">
        <f t="shared" ca="1" si="1968"/>
        <v>0.62998293788577076</v>
      </c>
      <c r="T718" s="21">
        <f ca="1">F718/21.463</f>
        <v>254.33900200344777</v>
      </c>
      <c r="U718" s="21">
        <f t="shared" ca="1" si="1969"/>
        <v>9.0835357858374213</v>
      </c>
      <c r="V718" s="18">
        <f t="shared" ca="1" si="1970"/>
        <v>122.82142857142857</v>
      </c>
      <c r="W718" s="76"/>
      <c r="X718" s="8">
        <v>5</v>
      </c>
      <c r="Y718" s="8" t="s">
        <v>40</v>
      </c>
      <c r="Z718" s="8">
        <f t="shared" ref="Z718:AI718" si="1997">SUM(D722)</f>
        <v>23</v>
      </c>
      <c r="AA718" s="9">
        <f t="shared" ca="1" si="1997"/>
        <v>30</v>
      </c>
      <c r="AB718" s="10">
        <f t="shared" ca="1" si="1997"/>
        <v>5845.7029999999904</v>
      </c>
      <c r="AC718" s="9">
        <f t="shared" ca="1" si="1997"/>
        <v>3323</v>
      </c>
      <c r="AD718" s="9">
        <f t="shared" ca="1" si="1997"/>
        <v>39</v>
      </c>
      <c r="AE718" s="9">
        <f t="shared" ca="1" si="1997"/>
        <v>3362</v>
      </c>
      <c r="AF718" s="9">
        <f t="shared" ca="1" si="1997"/>
        <v>3928</v>
      </c>
      <c r="AG718" s="9">
        <f t="shared" ca="1" si="1997"/>
        <v>73</v>
      </c>
      <c r="AH718" s="9">
        <f t="shared" ca="1" si="1997"/>
        <v>4001</v>
      </c>
      <c r="AI718" s="9">
        <f t="shared" ca="1" si="1997"/>
        <v>7363</v>
      </c>
      <c r="AJ718" s="11">
        <f t="shared" ca="1" si="1982"/>
        <v>194.85676666666635</v>
      </c>
      <c r="AK718" s="8">
        <f t="shared" ref="AK718:AK719" si="1998">SUM(O722)</f>
        <v>8239</v>
      </c>
      <c r="AL718" s="12">
        <f t="shared" ca="1" si="1984"/>
        <v>0.89367641704090306</v>
      </c>
      <c r="AM718" s="13">
        <f t="shared" ref="AM718:AM719" si="1999">SUM(Q722)</f>
        <v>1.5</v>
      </c>
      <c r="AN718" s="12">
        <f t="shared" ca="1" si="1986"/>
        <v>0.83970510760924311</v>
      </c>
      <c r="AO718" s="14">
        <f t="shared" ca="1" si="1987"/>
        <v>1.2595576614138646</v>
      </c>
      <c r="AP718" s="13">
        <f t="shared" ref="AP718:AQ718" ca="1" si="2000">SUM(T722)</f>
        <v>205.52343283057309</v>
      </c>
      <c r="AQ718" s="13">
        <f t="shared" ca="1" si="2000"/>
        <v>6.8507810943524365</v>
      </c>
      <c r="AR718" s="9">
        <f t="shared" ca="1" si="1989"/>
        <v>245.43333333333334</v>
      </c>
      <c r="AS718" s="76"/>
      <c r="AT718" s="76"/>
    </row>
    <row r="719" spans="1:46" ht="15.75" customHeight="1" x14ac:dyDescent="0.25">
      <c r="A719" s="70"/>
      <c r="B719" s="16">
        <v>12</v>
      </c>
      <c r="C719" s="16" t="s">
        <v>41</v>
      </c>
      <c r="D719" s="17">
        <v>19</v>
      </c>
      <c r="E719" s="18">
        <f ca="1">IFERROR(__xludf.DUMMYFUNCTION("COUNT(IMPORTRANGE(""https://docs.google.com/spreadsheets/d/1sHk6_yuc4kORC_xnhEeazoemV_hVUQVqRpfoNae-PLk/edit"",""2!d2:d25""))"),24)</f>
        <v>24</v>
      </c>
      <c r="F719" s="23">
        <f ca="1">IFERROR(__xludf.DUMMYFUNCTION("SUM(IMPORTRANGE(""https://docs.google.com/spreadsheets/d/1sHk6_yuc4kORC_xnhEeazoemV_hVUQVqRpfoNae-PLk/edit"",""2!Q2:Q25""))"),4806.32)</f>
        <v>4806.32</v>
      </c>
      <c r="G719" s="18">
        <f ca="1">IFERROR(__xludf.DUMMYFUNCTION("IMPORTRANGE(""https://docs.google.com/spreadsheets/d/1sHk6_yuc4kORC_xnhEeazoemV_hVUQVqRpfoNae-PLk/edit"",""2!e32"")"),1468)</f>
        <v>1468</v>
      </c>
      <c r="H719" s="18">
        <f ca="1">IFERROR(__xludf.DUMMYFUNCTION("IMPORTRANGE(""https://docs.google.com/spreadsheets/d/1sHk6_yuc4kORC_xnhEeazoemV_hVUQVqRpfoNae-PLk/edit"",""2!e33"")"),0)</f>
        <v>0</v>
      </c>
      <c r="I719" s="18">
        <f t="shared" ca="1" si="1962"/>
        <v>1468</v>
      </c>
      <c r="J719" s="18">
        <f ca="1">IFERROR(__xludf.DUMMYFUNCTION("IMPORTRANGE(""https://docs.google.com/spreadsheets/d/1sHk6_yuc4kORC_xnhEeazoemV_hVUQVqRpfoNae-PLk/edit"",""2!e36"")"),1656)</f>
        <v>1656</v>
      </c>
      <c r="K719" s="18">
        <f ca="1">IFERROR(__xludf.DUMMYFUNCTION("IMPORTRANGE(""https://docs.google.com/spreadsheets/d/1sHk6_yuc4kORC_xnhEeazoemV_hVUQVqRpfoNae-PLk/edit"",""2!e37"")"),0)</f>
        <v>0</v>
      </c>
      <c r="L719" s="18">
        <f t="shared" ca="1" si="1992"/>
        <v>1656</v>
      </c>
      <c r="M719" s="18">
        <f t="shared" ca="1" si="1964"/>
        <v>3124</v>
      </c>
      <c r="N719" s="19">
        <f t="shared" ca="1" si="1965"/>
        <v>200.26333333333332</v>
      </c>
      <c r="O719" s="16">
        <v>3801</v>
      </c>
      <c r="P719" s="20">
        <f t="shared" ca="1" si="1966"/>
        <v>0.82188897658510918</v>
      </c>
      <c r="Q719" s="21">
        <v>1.5</v>
      </c>
      <c r="R719" s="20">
        <f t="shared" ca="1" si="1967"/>
        <v>0.43331835305736338</v>
      </c>
      <c r="S719" s="22">
        <f t="shared" ca="1" si="1968"/>
        <v>0.64997752958604504</v>
      </c>
      <c r="T719" s="21">
        <f ca="1">F719/29.628</f>
        <v>162.2222222222222</v>
      </c>
      <c r="U719" s="21">
        <f t="shared" ca="1" si="1969"/>
        <v>6.7592592592592586</v>
      </c>
      <c r="V719" s="18">
        <f t="shared" ca="1" si="1970"/>
        <v>130.16666666666666</v>
      </c>
      <c r="W719" s="76"/>
      <c r="X719" s="8">
        <v>6</v>
      </c>
      <c r="Y719" s="8" t="s">
        <v>42</v>
      </c>
      <c r="Z719" s="8">
        <f t="shared" ref="Z719:AI719" si="2001">SUM(D723)</f>
        <v>24</v>
      </c>
      <c r="AA719" s="9">
        <f t="shared" ca="1" si="2001"/>
        <v>33</v>
      </c>
      <c r="AB719" s="10">
        <f t="shared" ca="1" si="2001"/>
        <v>6380.2819999999901</v>
      </c>
      <c r="AC719" s="9">
        <f t="shared" ca="1" si="2001"/>
        <v>3133</v>
      </c>
      <c r="AD719" s="9">
        <f t="shared" ca="1" si="2001"/>
        <v>0</v>
      </c>
      <c r="AE719" s="9">
        <f t="shared" ca="1" si="2001"/>
        <v>3133</v>
      </c>
      <c r="AF719" s="9">
        <f t="shared" ca="1" si="2001"/>
        <v>4360</v>
      </c>
      <c r="AG719" s="9">
        <f t="shared" ca="1" si="2001"/>
        <v>0</v>
      </c>
      <c r="AH719" s="9">
        <f t="shared" ca="1" si="2001"/>
        <v>4360</v>
      </c>
      <c r="AI719" s="9">
        <f t="shared" ca="1" si="2001"/>
        <v>7493</v>
      </c>
      <c r="AJ719" s="11">
        <f t="shared" ca="1" si="1982"/>
        <v>193.3418787878785</v>
      </c>
      <c r="AK719" s="8">
        <f t="shared" si="1998"/>
        <v>9877</v>
      </c>
      <c r="AL719" s="12">
        <f t="shared" ca="1" si="1984"/>
        <v>0.75863116330869695</v>
      </c>
      <c r="AM719" s="13">
        <f t="shared" si="1999"/>
        <v>1.5</v>
      </c>
      <c r="AN719" s="12">
        <f t="shared" ca="1" si="1986"/>
        <v>0.78293300097602903</v>
      </c>
      <c r="AO719" s="14">
        <f t="shared" ca="1" si="1987"/>
        <v>1.1743995014640436</v>
      </c>
      <c r="AP719" s="13">
        <f t="shared" ref="AP719:AQ719" ca="1" si="2002">SUM(T723)</f>
        <v>243.94119671190938</v>
      </c>
      <c r="AQ719" s="13">
        <f t="shared" ca="1" si="2002"/>
        <v>7.3921574761184665</v>
      </c>
      <c r="AR719" s="9">
        <f t="shared" ca="1" si="1989"/>
        <v>227.06060606060606</v>
      </c>
      <c r="AS719" s="76"/>
      <c r="AT719" s="76"/>
    </row>
    <row r="720" spans="1:46" ht="15.75" customHeight="1" x14ac:dyDescent="0.25">
      <c r="A720" s="70"/>
      <c r="B720" s="16">
        <v>13</v>
      </c>
      <c r="C720" s="16" t="s">
        <v>43</v>
      </c>
      <c r="D720" s="17">
        <v>23</v>
      </c>
      <c r="E720" s="18">
        <f ca="1">IFERROR(__xludf.DUMMYFUNCTION("COUNT(IMPORTRANGE(""https://docs.google.com/spreadsheets/d/1uGXvAN2jA6kmcEHUY4KqOHHewllZsujDdA6KVDfBCoA/edit"",""2!d2:d31""))"),30)</f>
        <v>30</v>
      </c>
      <c r="F720" s="23">
        <f ca="1">IFERROR(__xludf.DUMMYFUNCTION("SUM(IMPORTRANGE(""https://docs.google.com/spreadsheets/d/1uGXvAN2jA6kmcEHUY4KqOHHewllZsujDdA6KVDfBCoA/edit"",""2!Q2:Q31""))"),6284.27799999999)</f>
        <v>6284.2779999999902</v>
      </c>
      <c r="G720" s="18">
        <f ca="1">IFERROR(__xludf.DUMMYFUNCTION("IMPORTRANGE(""https://docs.google.com/spreadsheets/d/1uGXvAN2jA6kmcEHUY4KqOHHewllZsujDdA6KVDfBCoA/edit"",""2!e38"")"),2309)</f>
        <v>2309</v>
      </c>
      <c r="H720" s="18">
        <f ca="1">IFERROR(__xludf.DUMMYFUNCTION("IMPORTRANGE(""https://docs.google.com/spreadsheets/d/1uGXvAN2jA6kmcEHUY4KqOHHewllZsujDdA6KVDfBCoA/edit"",""2!e39"")"),0)</f>
        <v>0</v>
      </c>
      <c r="I720" s="18">
        <f t="shared" ca="1" si="1962"/>
        <v>2309</v>
      </c>
      <c r="J720" s="18">
        <f ca="1">IFERROR(__xludf.DUMMYFUNCTION("IMPORTRANGE(""https://docs.google.com/spreadsheets/d/1uGXvAN2jA6kmcEHUY4KqOHHewllZsujDdA6KVDfBCoA/edit"",""2!e42"")"),2749)</f>
        <v>2749</v>
      </c>
      <c r="K720" s="18">
        <f ca="1">IFERROR(__xludf.DUMMYFUNCTION("IMPORTRANGE(""https://docs.google.com/spreadsheets/d/1uGXvAN2jA6kmcEHUY4KqOHHewllZsujDdA6KVDfBCoA/edit"",""2!e43"")"),159)</f>
        <v>159</v>
      </c>
      <c r="L720" s="18">
        <f t="shared" ca="1" si="1992"/>
        <v>2908</v>
      </c>
      <c r="M720" s="18">
        <f t="shared" ca="1" si="1964"/>
        <v>5217</v>
      </c>
      <c r="N720" s="19">
        <f t="shared" ca="1" si="1965"/>
        <v>209.47593333333302</v>
      </c>
      <c r="O720" s="16">
        <v>8345</v>
      </c>
      <c r="P720" s="20">
        <f t="shared" ca="1" si="1966"/>
        <v>0.62516476932294784</v>
      </c>
      <c r="Q720" s="21">
        <v>1.5</v>
      </c>
      <c r="R720" s="20">
        <f t="shared" ca="1" si="1967"/>
        <v>0.55344464391931825</v>
      </c>
      <c r="S720" s="22">
        <f t="shared" ca="1" si="1968"/>
        <v>0.83016696587897731</v>
      </c>
      <c r="T720" s="21">
        <f ca="1">F720/41.205</f>
        <v>152.51251061764327</v>
      </c>
      <c r="U720" s="21">
        <f t="shared" ca="1" si="1969"/>
        <v>5.0837503539214426</v>
      </c>
      <c r="V720" s="18">
        <f t="shared" ca="1" si="1970"/>
        <v>173.9</v>
      </c>
      <c r="W720" s="76"/>
      <c r="X720" s="24" t="s">
        <v>33</v>
      </c>
      <c r="Y720" s="24">
        <v>6</v>
      </c>
      <c r="Z720" s="24">
        <f t="shared" ref="Z720:AI720" si="2003">SUM(Z714:Z719)</f>
        <v>169</v>
      </c>
      <c r="AA720" s="25">
        <f t="shared" ca="1" si="2003"/>
        <v>224</v>
      </c>
      <c r="AB720" s="27">
        <f t="shared" ca="1" si="2003"/>
        <v>44187.783999999869</v>
      </c>
      <c r="AC720" s="25">
        <f t="shared" ca="1" si="2003"/>
        <v>18291</v>
      </c>
      <c r="AD720" s="25">
        <f t="shared" ca="1" si="2003"/>
        <v>143</v>
      </c>
      <c r="AE720" s="25">
        <f t="shared" ca="1" si="2003"/>
        <v>18434</v>
      </c>
      <c r="AF720" s="25">
        <f t="shared" ca="1" si="2003"/>
        <v>22964</v>
      </c>
      <c r="AG720" s="25">
        <f t="shared" ca="1" si="2003"/>
        <v>334</v>
      </c>
      <c r="AH720" s="25">
        <f t="shared" ca="1" si="2003"/>
        <v>23298</v>
      </c>
      <c r="AI720" s="25">
        <f t="shared" ca="1" si="2003"/>
        <v>41732</v>
      </c>
      <c r="AJ720" s="27">
        <f t="shared" ca="1" si="1982"/>
        <v>197.26689285714227</v>
      </c>
      <c r="AK720" s="24">
        <f>SUM(AK714:AK719)</f>
        <v>53273</v>
      </c>
      <c r="AL720" s="28">
        <f t="shared" ca="1" si="1984"/>
        <v>0.78336117733185662</v>
      </c>
      <c r="AM720" s="29">
        <v>1.5</v>
      </c>
      <c r="AN720" s="28">
        <f t="shared" ca="1" si="1986"/>
        <v>0.62961594392996523</v>
      </c>
      <c r="AO720" s="30">
        <f t="shared" ca="1" si="1987"/>
        <v>0.9444239158949479</v>
      </c>
      <c r="AP720" s="29">
        <f ca="1">SUM(AP714:AP719)</f>
        <v>1450.4972359957583</v>
      </c>
      <c r="AQ720" s="29">
        <f ca="1">AP720/AA720</f>
        <v>6.4754340892667779</v>
      </c>
      <c r="AR720" s="25">
        <f t="shared" ca="1" si="1989"/>
        <v>186.30357142857142</v>
      </c>
      <c r="AS720" s="76"/>
      <c r="AT720" s="76"/>
    </row>
    <row r="721" spans="1:46" ht="15.75" customHeight="1" x14ac:dyDescent="0.25">
      <c r="A721" s="70"/>
      <c r="B721" s="16">
        <v>14</v>
      </c>
      <c r="C721" s="16" t="s">
        <v>27</v>
      </c>
      <c r="D721" s="17">
        <v>23</v>
      </c>
      <c r="E721" s="18">
        <f ca="1">IFERROR(__xludf.DUMMYFUNCTION("COUNT(IMPORTRANGE(""https://docs.google.com/spreadsheets/d/1iYtf3wkjJIgOL8ej0-L89wY8FLXKi6EiRbi9UqA1Bzw/edit"",""2!d2:d31""))"),28)</f>
        <v>28</v>
      </c>
      <c r="F721" s="23">
        <f ca="1">IFERROR(__xludf.DUMMYFUNCTION("SUM(IMPORTRANGE(""https://docs.google.com/spreadsheets/d/1iYtf3wkjJIgOL8ej0-L89wY8FLXKi6EiRbi9UqA1Bzw/edit"",""2!Q2:Q31""))"),5465.76)</f>
        <v>5465.76</v>
      </c>
      <c r="G721" s="18">
        <f ca="1">IFERROR(__xludf.DUMMYFUNCTION("IMPORTRANGE(""https://docs.google.com/spreadsheets/d/1iYtf3wkjJIgOL8ej0-L89wY8FLXKi6EiRbi9UqA1Bzw/edit"",""2!e38"")"),2368)</f>
        <v>2368</v>
      </c>
      <c r="H721" s="18">
        <f ca="1">IFERROR(__xludf.DUMMYFUNCTION("IMPORTRANGE(""https://docs.google.com/spreadsheets/d/1iYtf3wkjJIgOL8ej0-L89wY8FLXKi6EiRbi9UqA1Bzw/edit"",""2!e39"")"),140)</f>
        <v>140</v>
      </c>
      <c r="I721" s="18">
        <f t="shared" ca="1" si="1962"/>
        <v>2508</v>
      </c>
      <c r="J721" s="18">
        <f ca="1">IFERROR(__xludf.DUMMYFUNCTION("IMPORTRANGE(""https://docs.google.com/spreadsheets/d/1iYtf3wkjJIgOL8ej0-L89wY8FLXKi6EiRbi9UqA1Bzw/edit"",""2!e42"")"),3355)</f>
        <v>3355</v>
      </c>
      <c r="K721" s="18">
        <f ca="1">IFERROR(__xludf.DUMMYFUNCTION("IMPORTRANGE(""https://docs.google.com/spreadsheets/d/1iYtf3wkjJIgOL8ej0-L89wY8FLXKi6EiRbi9UqA1Bzw/edit"",""2!e43"")"),107)</f>
        <v>107</v>
      </c>
      <c r="L721" s="18">
        <f t="shared" ca="1" si="1992"/>
        <v>3462</v>
      </c>
      <c r="M721" s="18">
        <f t="shared" ca="1" si="1964"/>
        <v>5970</v>
      </c>
      <c r="N721" s="19">
        <f t="shared" ca="1" si="1965"/>
        <v>195.20571428571429</v>
      </c>
      <c r="O721" s="16">
        <v>8101</v>
      </c>
      <c r="P721" s="20">
        <f t="shared" ca="1" si="1966"/>
        <v>0.73694605604246388</v>
      </c>
      <c r="Q721" s="21">
        <v>1.5</v>
      </c>
      <c r="R721" s="20">
        <f t="shared" ca="1" si="1967"/>
        <v>0.72816955007171913</v>
      </c>
      <c r="S721" s="22">
        <f t="shared" ca="1" si="1968"/>
        <v>1.0922543251075787</v>
      </c>
      <c r="T721" s="21">
        <f ca="1">F721/19.985</f>
        <v>273.49311983987991</v>
      </c>
      <c r="U721" s="21">
        <f t="shared" ca="1" si="1969"/>
        <v>9.7676114228528537</v>
      </c>
      <c r="V721" s="18">
        <f t="shared" ca="1" si="1970"/>
        <v>213.21428571428572</v>
      </c>
      <c r="W721" s="76"/>
      <c r="X721" s="97" t="s">
        <v>44</v>
      </c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9"/>
      <c r="AS721" s="76"/>
      <c r="AT721" s="76"/>
    </row>
    <row r="722" spans="1:46" ht="15.75" customHeight="1" x14ac:dyDescent="0.25">
      <c r="A722" s="70"/>
      <c r="B722" s="16">
        <v>15</v>
      </c>
      <c r="C722" s="16" t="s">
        <v>40</v>
      </c>
      <c r="D722" s="17">
        <v>23</v>
      </c>
      <c r="E722" s="18">
        <f ca="1">IFERROR(__xludf.DUMMYFUNCTION("COUNT(IMPORTRANGE(""https://docs.google.com/spreadsheets/d/1Wdf8MsoDBzMSsrzOXwaGQzbVjVqOWfKSqYmbncevZgA/edit"",""2!d2:d31""))"),30)</f>
        <v>30</v>
      </c>
      <c r="F722" s="23">
        <f ca="1">IFERROR(__xludf.DUMMYFUNCTION("SUM(IMPORTRANGE(""https://docs.google.com/spreadsheets/d/1Wdf8MsoDBzMSsrzOXwaGQzbVjVqOWfKSqYmbncevZgA/edit"",""2!Q2:Q31""))"),5845.70299999999)</f>
        <v>5845.7029999999904</v>
      </c>
      <c r="G722" s="18">
        <f ca="1">IFERROR(__xludf.DUMMYFUNCTION("IMPORTRANGE(""https://docs.google.com/spreadsheets/d/1Wdf8MsoDBzMSsrzOXwaGQzbVjVqOWfKSqYmbncevZgA/edit"",""2!e38"")"),3323)</f>
        <v>3323</v>
      </c>
      <c r="H722" s="18">
        <f ca="1">IFERROR(__xludf.DUMMYFUNCTION("IMPORTRANGE(""https://docs.google.com/spreadsheets/d/1Wdf8MsoDBzMSsrzOXwaGQzbVjVqOWfKSqYmbncevZgA/edit"",""2!e39"")"),39)</f>
        <v>39</v>
      </c>
      <c r="I722" s="18">
        <f t="shared" ca="1" si="1962"/>
        <v>3362</v>
      </c>
      <c r="J722" s="18">
        <f ca="1">IFERROR(__xludf.DUMMYFUNCTION("IMPORTRANGE(""https://docs.google.com/spreadsheets/d/1Wdf8MsoDBzMSsrzOXwaGQzbVjVqOWfKSqYmbncevZgA/edit"",""2!e42"")"),3928)</f>
        <v>3928</v>
      </c>
      <c r="K722" s="18">
        <f ca="1">IFERROR(__xludf.DUMMYFUNCTION("IMPORTRANGE(""https://docs.google.com/spreadsheets/d/1Wdf8MsoDBzMSsrzOXwaGQzbVjVqOWfKSqYmbncevZgA/edit"",""2!e43"")"),73)</f>
        <v>73</v>
      </c>
      <c r="L722" s="18">
        <f t="shared" ca="1" si="1992"/>
        <v>4001</v>
      </c>
      <c r="M722" s="18">
        <f t="shared" ca="1" si="1964"/>
        <v>7363</v>
      </c>
      <c r="N722" s="19">
        <f t="shared" ca="1" si="1965"/>
        <v>194.85676666666635</v>
      </c>
      <c r="O722" s="16">
        <v>8239</v>
      </c>
      <c r="P722" s="20">
        <f t="shared" ca="1" si="1966"/>
        <v>0.89367641704090306</v>
      </c>
      <c r="Q722" s="21">
        <v>1.5</v>
      </c>
      <c r="R722" s="20">
        <f t="shared" ca="1" si="1967"/>
        <v>0.83970510760924311</v>
      </c>
      <c r="S722" s="22">
        <f t="shared" ca="1" si="1968"/>
        <v>1.2595576614138646</v>
      </c>
      <c r="T722" s="21">
        <f ca="1">F722/28.443</f>
        <v>205.52343283057309</v>
      </c>
      <c r="U722" s="21">
        <f t="shared" ca="1" si="1969"/>
        <v>6.8507810943524365</v>
      </c>
      <c r="V722" s="18">
        <f t="shared" ca="1" si="1970"/>
        <v>245.43333333333334</v>
      </c>
      <c r="W722" s="76"/>
      <c r="X722" s="1" t="s">
        <v>2</v>
      </c>
      <c r="Y722" s="1" t="s">
        <v>3</v>
      </c>
      <c r="Z722" s="1" t="s">
        <v>4</v>
      </c>
      <c r="AA722" s="1" t="s">
        <v>5</v>
      </c>
      <c r="AB722" s="2" t="s">
        <v>6</v>
      </c>
      <c r="AC722" s="1" t="s">
        <v>7</v>
      </c>
      <c r="AD722" s="1" t="s">
        <v>8</v>
      </c>
      <c r="AE722" s="1" t="s">
        <v>9</v>
      </c>
      <c r="AF722" s="1" t="s">
        <v>10</v>
      </c>
      <c r="AG722" s="1" t="s">
        <v>11</v>
      </c>
      <c r="AH722" s="1" t="s">
        <v>12</v>
      </c>
      <c r="AI722" s="1" t="s">
        <v>13</v>
      </c>
      <c r="AJ722" s="2" t="s">
        <v>14</v>
      </c>
      <c r="AK722" s="1" t="s">
        <v>15</v>
      </c>
      <c r="AL722" s="1" t="s">
        <v>16</v>
      </c>
      <c r="AM722" s="3" t="s">
        <v>17</v>
      </c>
      <c r="AN722" s="4" t="s">
        <v>18</v>
      </c>
      <c r="AO722" s="5" t="s">
        <v>19</v>
      </c>
      <c r="AP722" s="6" t="s">
        <v>20</v>
      </c>
      <c r="AQ722" s="6" t="s">
        <v>21</v>
      </c>
      <c r="AR722" s="7" t="s">
        <v>22</v>
      </c>
      <c r="AS722" s="76"/>
      <c r="AT722" s="76"/>
    </row>
    <row r="723" spans="1:46" ht="15.75" customHeight="1" x14ac:dyDescent="0.25">
      <c r="A723" s="70"/>
      <c r="B723" s="16">
        <v>16</v>
      </c>
      <c r="C723" s="16" t="s">
        <v>42</v>
      </c>
      <c r="D723" s="17">
        <v>24</v>
      </c>
      <c r="E723" s="18">
        <f ca="1">IFERROR(__xludf.DUMMYFUNCTION("COUNT(IMPORTRANGE(""https://docs.google.com/spreadsheets/d/1Z5uB5HbeAKcHmG4EOw3rf2J8NpyvDiha6RReERAMvA0/edit"",""2!d2:d34""))"),33)</f>
        <v>33</v>
      </c>
      <c r="F723" s="23">
        <f ca="1">IFERROR(__xludf.DUMMYFUNCTION("SUM(IMPORTRANGE(""https://docs.google.com/spreadsheets/d/1Z5uB5HbeAKcHmG4EOw3rf2J8NpyvDiha6RReERAMvA0/edit"",""2!Q2:Q34""))"),6380.28199999999)</f>
        <v>6380.2819999999901</v>
      </c>
      <c r="G723" s="18">
        <f ca="1">IFERROR(__xludf.DUMMYFUNCTION("IMPORTRANGE(""https://docs.google.com/spreadsheets/d/1Z5uB5HbeAKcHmG4EOw3rf2J8NpyvDiha6RReERAMvA0/edit"",""2!e41"")"),3133)</f>
        <v>3133</v>
      </c>
      <c r="H723" s="18">
        <f ca="1">IFERROR(__xludf.DUMMYFUNCTION("IMPORTRANGE(""https://docs.google.com/spreadsheets/d/1Z5uB5HbeAKcHmG4EOw3rf2J8NpyvDiha6RReERAMvA0/edit"",""2!e42"")"),0)</f>
        <v>0</v>
      </c>
      <c r="I723" s="18">
        <f t="shared" ca="1" si="1962"/>
        <v>3133</v>
      </c>
      <c r="J723" s="18">
        <f ca="1">IFERROR(__xludf.DUMMYFUNCTION("IMPORTRANGE(""https://docs.google.com/spreadsheets/d/1Z5uB5HbeAKcHmG4EOw3rf2J8NpyvDiha6RReERAMvA0/edit"",""2!e45"")"),4360)</f>
        <v>4360</v>
      </c>
      <c r="K723" s="18">
        <f ca="1">IFERROR(__xludf.DUMMYFUNCTION("IMPORTRANGE(""https://docs.google.com/spreadsheets/d/1Z5uB5HbeAKcHmG4EOw3rf2J8NpyvDiha6RReERAMvA0/edit"",""2!e46"")"),0)</f>
        <v>0</v>
      </c>
      <c r="L723" s="18">
        <f t="shared" ca="1" si="1992"/>
        <v>4360</v>
      </c>
      <c r="M723" s="18">
        <f t="shared" ca="1" si="1964"/>
        <v>7493</v>
      </c>
      <c r="N723" s="19">
        <f t="shared" ca="1" si="1965"/>
        <v>193.3418787878785</v>
      </c>
      <c r="O723" s="16">
        <v>9877</v>
      </c>
      <c r="P723" s="20">
        <f t="shared" ca="1" si="1966"/>
        <v>0.75863116330869695</v>
      </c>
      <c r="Q723" s="21">
        <v>1.5</v>
      </c>
      <c r="R723" s="20">
        <f t="shared" ca="1" si="1967"/>
        <v>0.78293300097602903</v>
      </c>
      <c r="S723" s="22">
        <f t="shared" ca="1" si="1968"/>
        <v>1.1743995014640436</v>
      </c>
      <c r="T723" s="21">
        <f ca="1">F723/26.155</f>
        <v>243.94119671190938</v>
      </c>
      <c r="U723" s="21">
        <f t="shared" ca="1" si="1969"/>
        <v>7.3921574761184665</v>
      </c>
      <c r="V723" s="18">
        <f t="shared" ca="1" si="1970"/>
        <v>227.06060606060606</v>
      </c>
      <c r="W723" s="76"/>
      <c r="X723" s="8">
        <v>1</v>
      </c>
      <c r="Y723" s="8" t="s">
        <v>26</v>
      </c>
      <c r="Z723" s="8">
        <f t="shared" ref="Z723:AI723" si="2004">SUM(D708)</f>
        <v>15</v>
      </c>
      <c r="AA723" s="9">
        <f t="shared" ca="1" si="2004"/>
        <v>20</v>
      </c>
      <c r="AB723" s="11">
        <f t="shared" ca="1" si="2004"/>
        <v>3560.9639999999999</v>
      </c>
      <c r="AC723" s="9">
        <f t="shared" ca="1" si="2004"/>
        <v>1873</v>
      </c>
      <c r="AD723" s="9">
        <f t="shared" ca="1" si="2004"/>
        <v>0</v>
      </c>
      <c r="AE723" s="9">
        <f t="shared" ca="1" si="2004"/>
        <v>1873</v>
      </c>
      <c r="AF723" s="9">
        <f t="shared" ca="1" si="2004"/>
        <v>3204</v>
      </c>
      <c r="AG723" s="9">
        <f t="shared" ca="1" si="2004"/>
        <v>0</v>
      </c>
      <c r="AH723" s="9">
        <f t="shared" ca="1" si="2004"/>
        <v>3204</v>
      </c>
      <c r="AI723" s="9">
        <f t="shared" ca="1" si="2004"/>
        <v>5077</v>
      </c>
      <c r="AJ723" s="11">
        <f t="shared" ref="AJ723:AJ729" ca="1" si="2005">AB723/AA723</f>
        <v>178.04820000000001</v>
      </c>
      <c r="AK723" s="8">
        <f>SUM(O708)</f>
        <v>5161</v>
      </c>
      <c r="AL723" s="12">
        <f t="shared" ref="AL723:AL729" ca="1" si="2006">AI723/AK723</f>
        <v>0.98372408447975201</v>
      </c>
      <c r="AM723" s="13">
        <f>SUM(Q708)</f>
        <v>1.5</v>
      </c>
      <c r="AN723" s="12">
        <f t="shared" ref="AN723:AN729" ca="1" si="2007">AO723/AM723</f>
        <v>0.95049168333818213</v>
      </c>
      <c r="AO723" s="14">
        <f t="shared" ref="AO723:AO729" ca="1" si="2008">AI723/AB723</f>
        <v>1.4257375250072732</v>
      </c>
      <c r="AP723" s="13">
        <f t="shared" ref="AP723:AQ723" ca="1" si="2009">SUM(T708)</f>
        <v>247.0318418314256</v>
      </c>
      <c r="AQ723" s="13">
        <f t="shared" ca="1" si="2009"/>
        <v>12.35159209157128</v>
      </c>
      <c r="AR723" s="9">
        <f t="shared" ref="AR723:AR729" ca="1" si="2010">AI723/AA723</f>
        <v>253.85</v>
      </c>
      <c r="AS723" s="76"/>
      <c r="AT723" s="76"/>
    </row>
    <row r="724" spans="1:46" ht="15.75" customHeight="1" x14ac:dyDescent="0.25">
      <c r="A724" s="70"/>
      <c r="B724" s="16">
        <v>17</v>
      </c>
      <c r="C724" s="16" t="s">
        <v>29</v>
      </c>
      <c r="D724" s="17">
        <v>23</v>
      </c>
      <c r="E724" s="18">
        <f ca="1">IFERROR(__xludf.DUMMYFUNCTION("COUNT(IMPORTRANGE(""https://docs.google.com/spreadsheets/d/1wfJqI0e9wVPqEQv3N6b8KgINjqI0OBECEyIFeY9j3i8/edit"",""2!d2:d31""))"),29)</f>
        <v>29</v>
      </c>
      <c r="F724" s="23">
        <f ca="1">IFERROR(__xludf.DUMMYFUNCTION("SUM(IMPORTRANGE(""https://docs.google.com/spreadsheets/d/1wfJqI0e9wVPqEQv3N6b8KgINjqI0OBECEyIFeY9j3i8/edit"",""2!Q2:Q31""))"),5775.03799999999)</f>
        <v>5775.0379999999896</v>
      </c>
      <c r="G724" s="18">
        <f ca="1">IFERROR(__xludf.DUMMYFUNCTION("IMPORTRANGE(""https://docs.google.com/spreadsheets/d/1wfJqI0e9wVPqEQv3N6b8KgINjqI0OBECEyIFeY9j3i8/edit"",""2!e38"")"),2726)</f>
        <v>2726</v>
      </c>
      <c r="H724" s="18">
        <f ca="1">IFERROR(__xludf.DUMMYFUNCTION("IMPORTRANGE(""https://docs.google.com/spreadsheets/d/1wfJqI0e9wVPqEQv3N6b8KgINjqI0OBECEyIFeY9j3i8/edit"",""2!e39"")"),0)</f>
        <v>0</v>
      </c>
      <c r="I724" s="18">
        <f t="shared" ca="1" si="1962"/>
        <v>2726</v>
      </c>
      <c r="J724" s="18">
        <f ca="1">IFERROR(__xludf.DUMMYFUNCTION("IMPORTRANGE(""https://docs.google.com/spreadsheets/d/1wfJqI0e9wVPqEQv3N6b8KgINjqI0OBECEyIFeY9j3i8/edit"",""2!e42"")"),4235)</f>
        <v>4235</v>
      </c>
      <c r="K724" s="18">
        <f ca="1">IFERROR(__xludf.DUMMYFUNCTION("IMPORTRANGE(""https://docs.google.com/spreadsheets/d/1wfJqI0e9wVPqEQv3N6b8KgINjqI0OBECEyIFeY9j3i8/edit"",""2!e43"")"),0)</f>
        <v>0</v>
      </c>
      <c r="L724" s="18">
        <f t="shared" ca="1" si="1992"/>
        <v>4235</v>
      </c>
      <c r="M724" s="18">
        <f t="shared" ca="1" si="1964"/>
        <v>6961</v>
      </c>
      <c r="N724" s="19">
        <f t="shared" ca="1" si="1965"/>
        <v>199.13924137930999</v>
      </c>
      <c r="O724" s="16">
        <v>9201</v>
      </c>
      <c r="P724" s="20">
        <f t="shared" ca="1" si="1966"/>
        <v>0.75654820128246925</v>
      </c>
      <c r="Q724" s="21">
        <v>1.5</v>
      </c>
      <c r="R724" s="20">
        <f t="shared" ca="1" si="1967"/>
        <v>0.80357335599638902</v>
      </c>
      <c r="S724" s="22">
        <f t="shared" ca="1" si="1968"/>
        <v>1.2053600339945836</v>
      </c>
      <c r="T724" s="21">
        <f ca="1">F724/26.491</f>
        <v>217.9999999999996</v>
      </c>
      <c r="U724" s="21">
        <f t="shared" ca="1" si="1969"/>
        <v>7.517241379310331</v>
      </c>
      <c r="V724" s="18">
        <f t="shared" ca="1" si="1970"/>
        <v>240.0344827586207</v>
      </c>
      <c r="W724" s="76"/>
      <c r="X724" s="8">
        <v>2</v>
      </c>
      <c r="Y724" s="8" t="s">
        <v>32</v>
      </c>
      <c r="Z724" s="8">
        <f t="shared" ref="Z724:AI724" si="2011">SUM(D711)</f>
        <v>32</v>
      </c>
      <c r="AA724" s="9">
        <f t="shared" ca="1" si="2011"/>
        <v>42</v>
      </c>
      <c r="AB724" s="10">
        <f t="shared" ca="1" si="2011"/>
        <v>8179.0139999999901</v>
      </c>
      <c r="AC724" s="8">
        <f t="shared" ca="1" si="2011"/>
        <v>4808</v>
      </c>
      <c r="AD724" s="8">
        <f t="shared" ca="1" si="2011"/>
        <v>0</v>
      </c>
      <c r="AE724" s="9">
        <f t="shared" ca="1" si="2011"/>
        <v>4808</v>
      </c>
      <c r="AF724" s="8">
        <f t="shared" ca="1" si="2011"/>
        <v>5449</v>
      </c>
      <c r="AG724" s="8">
        <f t="shared" ca="1" si="2011"/>
        <v>190</v>
      </c>
      <c r="AH724" s="9">
        <f t="shared" ca="1" si="2011"/>
        <v>5639</v>
      </c>
      <c r="AI724" s="9">
        <f t="shared" ca="1" si="2011"/>
        <v>10447</v>
      </c>
      <c r="AJ724" s="11">
        <f t="shared" ca="1" si="2005"/>
        <v>194.73842857142833</v>
      </c>
      <c r="AK724" s="8">
        <f>SUM(O711)</f>
        <v>13817</v>
      </c>
      <c r="AL724" s="12">
        <f t="shared" ca="1" si="2006"/>
        <v>0.75609756097560976</v>
      </c>
      <c r="AM724" s="13">
        <f>SUM(Q711)</f>
        <v>1.5</v>
      </c>
      <c r="AN724" s="12">
        <f t="shared" ca="1" si="2007"/>
        <v>0.85152888437000784</v>
      </c>
      <c r="AO724" s="14">
        <f t="shared" ca="1" si="2008"/>
        <v>1.2772933265550117</v>
      </c>
      <c r="AP724" s="13">
        <f t="shared" ref="AP724:AQ724" ca="1" si="2012">SUM(T711)</f>
        <v>325.9999999999996</v>
      </c>
      <c r="AQ724" s="13">
        <f t="shared" ca="1" si="2012"/>
        <v>7.7619047619047521</v>
      </c>
      <c r="AR724" s="9">
        <f t="shared" ca="1" si="2010"/>
        <v>248.73809523809524</v>
      </c>
      <c r="AS724" s="76"/>
      <c r="AT724" s="76"/>
    </row>
    <row r="725" spans="1:46" ht="15.75" customHeight="1" x14ac:dyDescent="0.25">
      <c r="A725" s="70"/>
      <c r="B725" s="16">
        <v>18</v>
      </c>
      <c r="C725" s="16" t="s">
        <v>31</v>
      </c>
      <c r="D725" s="17">
        <v>11</v>
      </c>
      <c r="E725" s="18">
        <f ca="1">IFERROR(__xludf.DUMMYFUNCTION("COUNT(IMPORTRANGE(""https://docs.google.com/spreadsheets/d/1-y2KhTAo7d8kowgUuWUDfRQuRMUAFteRYEXorT3_wOs/edit"",""2!d2:d16""))"),13)</f>
        <v>13</v>
      </c>
      <c r="F725" s="19">
        <f ca="1">IFERROR(__xludf.DUMMYFUNCTION("SUM(IMPORTRANGE(""https://docs.google.com/spreadsheets/d/1-y2KhTAo7d8kowgUuWUDfRQuRMUAFteRYEXorT3_wOs/edit"",""2!Q2:Q16""))"),2607.9)</f>
        <v>2607.9</v>
      </c>
      <c r="G725" s="18">
        <f ca="1">IFERROR(__xludf.DUMMYFUNCTION("IMPORTRANGE(""https://docs.google.com/spreadsheets/d/1-y2KhTAo7d8kowgUuWUDfRQuRMUAFteRYEXorT3_wOs/edit"",""2!e23"")"),870)</f>
        <v>870</v>
      </c>
      <c r="H725" s="18">
        <f ca="1">IFERROR(__xludf.DUMMYFUNCTION("IMPORTRANGE(""https://docs.google.com/spreadsheets/d/1-y2KhTAo7d8kowgUuWUDfRQuRMUAFteRYEXorT3_wOs/edit"",""2!e24"")"),0)</f>
        <v>0</v>
      </c>
      <c r="I725" s="18">
        <f t="shared" ca="1" si="1962"/>
        <v>870</v>
      </c>
      <c r="J725" s="18">
        <f ca="1">IFERROR(__xludf.DUMMYFUNCTION("IMPORTRANGE(""https://docs.google.com/spreadsheets/d/1-y2KhTAo7d8kowgUuWUDfRQuRMUAFteRYEXorT3_wOs/edit"",""2!e27"")"),975)</f>
        <v>975</v>
      </c>
      <c r="K725" s="18">
        <f ca="1">IFERROR(__xludf.DUMMYFUNCTION("IMPORTRANGE(""https://docs.google.com/spreadsheets/d/1-y2KhTAo7d8kowgUuWUDfRQuRMUAFteRYEXorT3_wOs/edit"",""2!e28"")"),55)</f>
        <v>55</v>
      </c>
      <c r="L725" s="18">
        <f t="shared" ca="1" si="1992"/>
        <v>1030</v>
      </c>
      <c r="M725" s="18">
        <f t="shared" ca="1" si="1964"/>
        <v>1900</v>
      </c>
      <c r="N725" s="19">
        <f t="shared" ca="1" si="1965"/>
        <v>200.6076923076923</v>
      </c>
      <c r="O725" s="16">
        <v>2717</v>
      </c>
      <c r="P725" s="20">
        <f t="shared" ca="1" si="1966"/>
        <v>0.69930069930069927</v>
      </c>
      <c r="Q725" s="21">
        <v>1.5</v>
      </c>
      <c r="R725" s="20">
        <f t="shared" ca="1" si="1967"/>
        <v>0.48570369518258621</v>
      </c>
      <c r="S725" s="22">
        <f t="shared" ca="1" si="1968"/>
        <v>0.72855554277387935</v>
      </c>
      <c r="T725" s="21">
        <f ca="1">F725/43.465</f>
        <v>60</v>
      </c>
      <c r="U725" s="21">
        <f t="shared" ca="1" si="1969"/>
        <v>4.615384615384615</v>
      </c>
      <c r="V725" s="18">
        <f t="shared" ca="1" si="1970"/>
        <v>146.15384615384616</v>
      </c>
      <c r="W725" s="76"/>
      <c r="X725" s="8">
        <v>3</v>
      </c>
      <c r="Y725" s="8" t="s">
        <v>36</v>
      </c>
      <c r="Z725" s="8">
        <f t="shared" ref="Z725:AI725" si="2013">SUM(D716)</f>
        <v>23</v>
      </c>
      <c r="AA725" s="9">
        <f t="shared" ca="1" si="2013"/>
        <v>29</v>
      </c>
      <c r="AB725" s="10">
        <f t="shared" ca="1" si="2013"/>
        <v>5604.12</v>
      </c>
      <c r="AC725" s="9">
        <f t="shared" ca="1" si="2013"/>
        <v>1533</v>
      </c>
      <c r="AD725" s="9">
        <f t="shared" ca="1" si="2013"/>
        <v>0</v>
      </c>
      <c r="AE725" s="9">
        <f t="shared" ca="1" si="2013"/>
        <v>1533</v>
      </c>
      <c r="AF725" s="9">
        <f t="shared" ca="1" si="2013"/>
        <v>2301</v>
      </c>
      <c r="AG725" s="9">
        <f t="shared" ca="1" si="2013"/>
        <v>0</v>
      </c>
      <c r="AH725" s="9">
        <f t="shared" ca="1" si="2013"/>
        <v>2301</v>
      </c>
      <c r="AI725" s="9">
        <f t="shared" ca="1" si="2013"/>
        <v>3834</v>
      </c>
      <c r="AJ725" s="11">
        <f t="shared" ca="1" si="2005"/>
        <v>193.2455172413793</v>
      </c>
      <c r="AK725" s="8">
        <f t="shared" ref="AK725:AK728" si="2014">SUM(O716)</f>
        <v>4796</v>
      </c>
      <c r="AL725" s="12">
        <f t="shared" ca="1" si="2006"/>
        <v>0.79941618015012506</v>
      </c>
      <c r="AM725" s="13">
        <f t="shared" ref="AM725:AM728" si="2015">SUM(Q716)</f>
        <v>1.5</v>
      </c>
      <c r="AN725" s="12">
        <f t="shared" ca="1" si="2007"/>
        <v>0.4560930172801439</v>
      </c>
      <c r="AO725" s="14">
        <f t="shared" ca="1" si="2008"/>
        <v>0.68413952592021587</v>
      </c>
      <c r="AP725" s="13">
        <f t="shared" ref="AP725:AQ725" ca="1" si="2016">SUM(T716)</f>
        <v>149.78671085689848</v>
      </c>
      <c r="AQ725" s="13">
        <f t="shared" ca="1" si="2016"/>
        <v>5.1650589950654648</v>
      </c>
      <c r="AR725" s="9">
        <f t="shared" ca="1" si="2010"/>
        <v>132.20689655172413</v>
      </c>
      <c r="AS725" s="76"/>
      <c r="AT725" s="76"/>
    </row>
    <row r="726" spans="1:46" ht="15.75" customHeight="1" x14ac:dyDescent="0.2">
      <c r="A726" s="70"/>
      <c r="B726" s="98" t="s">
        <v>33</v>
      </c>
      <c r="C726" s="98">
        <v>18</v>
      </c>
      <c r="D726" s="98">
        <f t="shared" ref="D726:M726" si="2017">SUM(D708:D725)</f>
        <v>446</v>
      </c>
      <c r="E726" s="74">
        <f t="shared" ca="1" si="2017"/>
        <v>576</v>
      </c>
      <c r="F726" s="99">
        <f t="shared" ca="1" si="2017"/>
        <v>112418.19199999981</v>
      </c>
      <c r="G726" s="74">
        <f t="shared" ca="1" si="2017"/>
        <v>43479</v>
      </c>
      <c r="H726" s="74">
        <f t="shared" ca="1" si="2017"/>
        <v>764</v>
      </c>
      <c r="I726" s="74">
        <f t="shared" ca="1" si="2017"/>
        <v>44243</v>
      </c>
      <c r="J726" s="74">
        <f t="shared" ca="1" si="2017"/>
        <v>56392</v>
      </c>
      <c r="K726" s="74">
        <f t="shared" ca="1" si="2017"/>
        <v>1134</v>
      </c>
      <c r="L726" s="74">
        <f t="shared" ca="1" si="2017"/>
        <v>57526</v>
      </c>
      <c r="M726" s="74">
        <f t="shared" ca="1" si="2017"/>
        <v>101769</v>
      </c>
      <c r="N726" s="99">
        <f t="shared" ca="1" si="1965"/>
        <v>195.17047222222189</v>
      </c>
      <c r="O726" s="98">
        <f>SUM(O708:O725)</f>
        <v>126399</v>
      </c>
      <c r="P726" s="69">
        <f t="shared" ca="1" si="1966"/>
        <v>0.80514086345619817</v>
      </c>
      <c r="Q726" s="72">
        <v>1.5</v>
      </c>
      <c r="R726" s="69">
        <f t="shared" ca="1" si="1967"/>
        <v>0.60351442051300841</v>
      </c>
      <c r="S726" s="73">
        <f t="shared" ca="1" si="1968"/>
        <v>0.90527163076951256</v>
      </c>
      <c r="T726" s="72">
        <f ca="1">SUM(T708:T725)</f>
        <v>4134.0252428944477</v>
      </c>
      <c r="U726" s="72">
        <f t="shared" ca="1" si="1969"/>
        <v>7.177127157802861</v>
      </c>
      <c r="V726" s="74">
        <f t="shared" ca="1" si="1970"/>
        <v>176.68229166666666</v>
      </c>
      <c r="W726" s="76"/>
      <c r="X726" s="8">
        <v>4</v>
      </c>
      <c r="Y726" s="8" t="s">
        <v>37</v>
      </c>
      <c r="Z726" s="8">
        <f t="shared" ref="Z726:AI726" si="2018">SUM(D717)</f>
        <v>23</v>
      </c>
      <c r="AA726" s="9">
        <f t="shared" ca="1" si="2018"/>
        <v>30</v>
      </c>
      <c r="AB726" s="10">
        <f t="shared" ca="1" si="2018"/>
        <v>5812.1880000000001</v>
      </c>
      <c r="AC726" s="9">
        <f t="shared" ca="1" si="2018"/>
        <v>2138</v>
      </c>
      <c r="AD726" s="9">
        <f t="shared" ca="1" si="2018"/>
        <v>0</v>
      </c>
      <c r="AE726" s="9">
        <f t="shared" ca="1" si="2018"/>
        <v>2138</v>
      </c>
      <c r="AF726" s="9">
        <f t="shared" ca="1" si="2018"/>
        <v>3071</v>
      </c>
      <c r="AG726" s="9">
        <f t="shared" ca="1" si="2018"/>
        <v>0</v>
      </c>
      <c r="AH726" s="9">
        <f t="shared" ca="1" si="2018"/>
        <v>3071</v>
      </c>
      <c r="AI726" s="9">
        <f t="shared" ca="1" si="2018"/>
        <v>5209</v>
      </c>
      <c r="AJ726" s="11">
        <f t="shared" ca="1" si="2005"/>
        <v>193.7396</v>
      </c>
      <c r="AK726" s="8">
        <f t="shared" si="2014"/>
        <v>5887</v>
      </c>
      <c r="AL726" s="12">
        <f t="shared" ca="1" si="2006"/>
        <v>0.88483098352301681</v>
      </c>
      <c r="AM726" s="13">
        <f t="shared" si="2015"/>
        <v>1.5</v>
      </c>
      <c r="AN726" s="12">
        <f t="shared" ca="1" si="2007"/>
        <v>0.59748009986371164</v>
      </c>
      <c r="AO726" s="14">
        <f t="shared" ca="1" si="2008"/>
        <v>0.89622014979556752</v>
      </c>
      <c r="AP726" s="13">
        <f t="shared" ref="AP726:AQ726" ca="1" si="2019">SUM(T717)</f>
        <v>234.4380445304937</v>
      </c>
      <c r="AQ726" s="13">
        <f t="shared" ca="1" si="2019"/>
        <v>7.8146014843497902</v>
      </c>
      <c r="AR726" s="9">
        <f t="shared" ca="1" si="2010"/>
        <v>173.63333333333333</v>
      </c>
      <c r="AS726" s="76"/>
      <c r="AT726" s="76"/>
    </row>
    <row r="727" spans="1:46" ht="15.75" customHeight="1" x14ac:dyDescent="0.2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6"/>
      <c r="X727" s="8">
        <v>5</v>
      </c>
      <c r="Y727" s="8" t="s">
        <v>39</v>
      </c>
      <c r="Z727" s="8">
        <f t="shared" ref="Z727:AI727" si="2020">SUM(D718)</f>
        <v>21</v>
      </c>
      <c r="AA727" s="9">
        <f t="shared" ca="1" si="2020"/>
        <v>28</v>
      </c>
      <c r="AB727" s="10">
        <f t="shared" ca="1" si="2020"/>
        <v>5458.8779999999997</v>
      </c>
      <c r="AC727" s="9">
        <f t="shared" ca="1" si="2020"/>
        <v>1516</v>
      </c>
      <c r="AD727" s="9">
        <f t="shared" ca="1" si="2020"/>
        <v>43</v>
      </c>
      <c r="AE727" s="9">
        <f t="shared" ca="1" si="2020"/>
        <v>1559</v>
      </c>
      <c r="AF727" s="9">
        <f t="shared" ca="1" si="2020"/>
        <v>1765</v>
      </c>
      <c r="AG727" s="9">
        <f t="shared" ca="1" si="2020"/>
        <v>115</v>
      </c>
      <c r="AH727" s="9">
        <f t="shared" ca="1" si="2020"/>
        <v>1880</v>
      </c>
      <c r="AI727" s="9">
        <f t="shared" ca="1" si="2020"/>
        <v>3439</v>
      </c>
      <c r="AJ727" s="11">
        <f t="shared" ca="1" si="2005"/>
        <v>194.95992857142855</v>
      </c>
      <c r="AK727" s="8">
        <f t="shared" si="2014"/>
        <v>3569</v>
      </c>
      <c r="AL727" s="12">
        <f t="shared" ca="1" si="2006"/>
        <v>0.96357523115718691</v>
      </c>
      <c r="AM727" s="13">
        <f t="shared" si="2015"/>
        <v>1.5</v>
      </c>
      <c r="AN727" s="12">
        <f t="shared" ca="1" si="2007"/>
        <v>0.4199886252571805</v>
      </c>
      <c r="AO727" s="14">
        <f t="shared" ca="1" si="2008"/>
        <v>0.62998293788577076</v>
      </c>
      <c r="AP727" s="13">
        <f t="shared" ref="AP727:AQ727" ca="1" si="2021">SUM(T718)</f>
        <v>254.33900200344777</v>
      </c>
      <c r="AQ727" s="13">
        <f t="shared" ca="1" si="2021"/>
        <v>9.0835357858374213</v>
      </c>
      <c r="AR727" s="9">
        <f t="shared" ca="1" si="2010"/>
        <v>122.82142857142857</v>
      </c>
      <c r="AS727" s="76"/>
      <c r="AT727" s="76"/>
    </row>
    <row r="728" spans="1:46" ht="15.75" customHeight="1" x14ac:dyDescent="0.2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6"/>
      <c r="X728" s="8">
        <v>6</v>
      </c>
      <c r="Y728" s="8" t="s">
        <v>41</v>
      </c>
      <c r="Z728" s="8">
        <f t="shared" ref="Z728:AI728" si="2022">SUM(D719)</f>
        <v>19</v>
      </c>
      <c r="AA728" s="9">
        <f t="shared" ca="1" si="2022"/>
        <v>24</v>
      </c>
      <c r="AB728" s="10">
        <f t="shared" ca="1" si="2022"/>
        <v>4806.32</v>
      </c>
      <c r="AC728" s="9">
        <f t="shared" ca="1" si="2022"/>
        <v>1468</v>
      </c>
      <c r="AD728" s="9">
        <f t="shared" ca="1" si="2022"/>
        <v>0</v>
      </c>
      <c r="AE728" s="9">
        <f t="shared" ca="1" si="2022"/>
        <v>1468</v>
      </c>
      <c r="AF728" s="9">
        <f t="shared" ca="1" si="2022"/>
        <v>1656</v>
      </c>
      <c r="AG728" s="9">
        <f t="shared" ca="1" si="2022"/>
        <v>0</v>
      </c>
      <c r="AH728" s="9">
        <f t="shared" ca="1" si="2022"/>
        <v>1656</v>
      </c>
      <c r="AI728" s="9">
        <f t="shared" ca="1" si="2022"/>
        <v>3124</v>
      </c>
      <c r="AJ728" s="11">
        <f t="shared" ca="1" si="2005"/>
        <v>200.26333333333332</v>
      </c>
      <c r="AK728" s="8">
        <f t="shared" si="2014"/>
        <v>3801</v>
      </c>
      <c r="AL728" s="12">
        <f t="shared" ca="1" si="2006"/>
        <v>0.82188897658510918</v>
      </c>
      <c r="AM728" s="13">
        <f t="shared" si="2015"/>
        <v>1.5</v>
      </c>
      <c r="AN728" s="12">
        <f t="shared" ca="1" si="2007"/>
        <v>0.43331835305736338</v>
      </c>
      <c r="AO728" s="14">
        <f t="shared" ca="1" si="2008"/>
        <v>0.64997752958604504</v>
      </c>
      <c r="AP728" s="13">
        <f t="shared" ref="AP728:AQ728" ca="1" si="2023">SUM(T719)</f>
        <v>162.2222222222222</v>
      </c>
      <c r="AQ728" s="13">
        <f t="shared" ca="1" si="2023"/>
        <v>6.7592592592592586</v>
      </c>
      <c r="AR728" s="9">
        <f t="shared" ca="1" si="2010"/>
        <v>130.16666666666666</v>
      </c>
      <c r="AS728" s="76"/>
      <c r="AT728" s="76"/>
    </row>
    <row r="729" spans="1:46" ht="15.75" customHeight="1" x14ac:dyDescent="0.25">
      <c r="A729" s="110" t="s">
        <v>45</v>
      </c>
      <c r="B729" s="76"/>
      <c r="C729" s="76"/>
      <c r="D729" s="75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24" t="s">
        <v>33</v>
      </c>
      <c r="Y729" s="24">
        <v>6</v>
      </c>
      <c r="Z729" s="24">
        <f t="shared" ref="Z729:AI729" si="2024">SUM(Z723:Z728)</f>
        <v>133</v>
      </c>
      <c r="AA729" s="25">
        <f t="shared" ca="1" si="2024"/>
        <v>173</v>
      </c>
      <c r="AB729" s="27">
        <f t="shared" ca="1" si="2024"/>
        <v>33421.483999999997</v>
      </c>
      <c r="AC729" s="25">
        <f t="shared" ca="1" si="2024"/>
        <v>13336</v>
      </c>
      <c r="AD729" s="25">
        <f t="shared" ca="1" si="2024"/>
        <v>43</v>
      </c>
      <c r="AE729" s="25">
        <f t="shared" ca="1" si="2024"/>
        <v>13379</v>
      </c>
      <c r="AF729" s="25">
        <f t="shared" ca="1" si="2024"/>
        <v>17446</v>
      </c>
      <c r="AG729" s="25">
        <f t="shared" ca="1" si="2024"/>
        <v>305</v>
      </c>
      <c r="AH729" s="25">
        <f t="shared" ca="1" si="2024"/>
        <v>17751</v>
      </c>
      <c r="AI729" s="25">
        <f t="shared" ca="1" si="2024"/>
        <v>31130</v>
      </c>
      <c r="AJ729" s="27">
        <f t="shared" ca="1" si="2005"/>
        <v>193.18776878612715</v>
      </c>
      <c r="AK729" s="24">
        <f>SUM(AK723:AK728)</f>
        <v>37031</v>
      </c>
      <c r="AL729" s="28">
        <f t="shared" ca="1" si="2006"/>
        <v>0.8406470254651508</v>
      </c>
      <c r="AM729" s="29">
        <v>1.5</v>
      </c>
      <c r="AN729" s="28">
        <f t="shared" ca="1" si="2007"/>
        <v>0.62095786450815094</v>
      </c>
      <c r="AO729" s="30">
        <f t="shared" ca="1" si="2008"/>
        <v>0.93143679676222646</v>
      </c>
      <c r="AP729" s="29">
        <f ca="1">SUM(AP723:AP728)</f>
        <v>1373.8178214444874</v>
      </c>
      <c r="AQ729" s="29">
        <f ca="1">AP729/AA729</f>
        <v>7.9411434765577305</v>
      </c>
      <c r="AR729" s="25">
        <f t="shared" ca="1" si="2010"/>
        <v>179.94219653179192</v>
      </c>
      <c r="AS729" s="76"/>
      <c r="AT729" s="76"/>
    </row>
    <row r="730" spans="1:46" ht="15.75" customHeight="1" x14ac:dyDescent="0.2">
      <c r="A730" s="110" t="s">
        <v>45</v>
      </c>
      <c r="B730" s="76"/>
      <c r="C730" s="76"/>
      <c r="D730" s="75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7" t="s">
        <v>1</v>
      </c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9"/>
      <c r="AS730" s="76"/>
      <c r="AT730" s="76"/>
    </row>
    <row r="731" spans="1:46" ht="15.75" customHeight="1" x14ac:dyDescent="0.2">
      <c r="A731" s="109">
        <v>46293</v>
      </c>
      <c r="B731" s="80" t="s">
        <v>2</v>
      </c>
      <c r="C731" s="80" t="s">
        <v>3</v>
      </c>
      <c r="D731" s="80" t="s">
        <v>4</v>
      </c>
      <c r="E731" s="80" t="s">
        <v>5</v>
      </c>
      <c r="F731" s="81" t="s">
        <v>6</v>
      </c>
      <c r="G731" s="80" t="s">
        <v>7</v>
      </c>
      <c r="H731" s="80" t="s">
        <v>8</v>
      </c>
      <c r="I731" s="80" t="s">
        <v>9</v>
      </c>
      <c r="J731" s="80" t="s">
        <v>10</v>
      </c>
      <c r="K731" s="80" t="s">
        <v>11</v>
      </c>
      <c r="L731" s="80" t="s">
        <v>12</v>
      </c>
      <c r="M731" s="80" t="s">
        <v>13</v>
      </c>
      <c r="N731" s="81" t="s">
        <v>14</v>
      </c>
      <c r="O731" s="80" t="s">
        <v>15</v>
      </c>
      <c r="P731" s="80" t="s">
        <v>16</v>
      </c>
      <c r="Q731" s="80" t="s">
        <v>17</v>
      </c>
      <c r="R731" s="80" t="s">
        <v>18</v>
      </c>
      <c r="S731" s="106" t="s">
        <v>19</v>
      </c>
      <c r="T731" s="107" t="s">
        <v>20</v>
      </c>
      <c r="U731" s="107" t="s">
        <v>21</v>
      </c>
      <c r="V731" s="105" t="s">
        <v>22</v>
      </c>
      <c r="W731" s="76"/>
      <c r="X731" s="1" t="s">
        <v>2</v>
      </c>
      <c r="Y731" s="1" t="s">
        <v>3</v>
      </c>
      <c r="Z731" s="1" t="s">
        <v>4</v>
      </c>
      <c r="AA731" s="1" t="s">
        <v>5</v>
      </c>
      <c r="AB731" s="2" t="s">
        <v>6</v>
      </c>
      <c r="AC731" s="1" t="s">
        <v>7</v>
      </c>
      <c r="AD731" s="1" t="s">
        <v>8</v>
      </c>
      <c r="AE731" s="1" t="s">
        <v>9</v>
      </c>
      <c r="AF731" s="1" t="s">
        <v>10</v>
      </c>
      <c r="AG731" s="1" t="s">
        <v>11</v>
      </c>
      <c r="AH731" s="1" t="s">
        <v>12</v>
      </c>
      <c r="AI731" s="1" t="s">
        <v>13</v>
      </c>
      <c r="AJ731" s="2" t="s">
        <v>14</v>
      </c>
      <c r="AK731" s="1" t="s">
        <v>15</v>
      </c>
      <c r="AL731" s="1" t="s">
        <v>16</v>
      </c>
      <c r="AM731" s="3" t="s">
        <v>17</v>
      </c>
      <c r="AN731" s="4" t="s">
        <v>18</v>
      </c>
      <c r="AO731" s="5" t="s">
        <v>19</v>
      </c>
      <c r="AP731" s="6" t="s">
        <v>20</v>
      </c>
      <c r="AQ731" s="6" t="s">
        <v>21</v>
      </c>
      <c r="AR731" s="7" t="s">
        <v>22</v>
      </c>
      <c r="AS731" s="76"/>
      <c r="AT731" s="76"/>
    </row>
    <row r="732" spans="1:46" ht="15.75" customHeight="1" x14ac:dyDescent="0.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6"/>
      <c r="X732" s="8">
        <v>1</v>
      </c>
      <c r="Y732" s="8" t="s">
        <v>23</v>
      </c>
      <c r="Z732" s="8">
        <f t="shared" ref="Z732:AI732" si="2025">SUM(D740)</f>
        <v>35</v>
      </c>
      <c r="AA732" s="9">
        <f t="shared" ca="1" si="2025"/>
        <v>34</v>
      </c>
      <c r="AB732" s="10">
        <f t="shared" ca="1" si="2025"/>
        <v>6680.5199999999904</v>
      </c>
      <c r="AC732" s="9">
        <f t="shared" ca="1" si="2025"/>
        <v>2083</v>
      </c>
      <c r="AD732" s="9">
        <f t="shared" ca="1" si="2025"/>
        <v>0</v>
      </c>
      <c r="AE732" s="9">
        <f t="shared" ca="1" si="2025"/>
        <v>2083</v>
      </c>
      <c r="AF732" s="9">
        <f t="shared" ca="1" si="2025"/>
        <v>2916</v>
      </c>
      <c r="AG732" s="9">
        <f t="shared" ca="1" si="2025"/>
        <v>0</v>
      </c>
      <c r="AH732" s="9">
        <f t="shared" ca="1" si="2025"/>
        <v>2916</v>
      </c>
      <c r="AI732" s="9">
        <f t="shared" ca="1" si="2025"/>
        <v>4999</v>
      </c>
      <c r="AJ732" s="11">
        <f t="shared" ref="AJ732:AJ734" ca="1" si="2026">AB732/AA732</f>
        <v>196.48588235294091</v>
      </c>
      <c r="AK732" s="8">
        <f>SUM(O740)</f>
        <v>6853</v>
      </c>
      <c r="AL732" s="12">
        <f t="shared" ref="AL732:AL738" ca="1" si="2027">AI732/AK732</f>
        <v>0.72946154968626875</v>
      </c>
      <c r="AM732" s="13">
        <f t="shared" ref="AM732:AM734" si="2028">SUM(Q740)</f>
        <v>1.5</v>
      </c>
      <c r="AN732" s="12">
        <f t="shared" ref="AN732:AN738" ca="1" si="2029">AO732/AM732</f>
        <v>0.49886336193390207</v>
      </c>
      <c r="AO732" s="14">
        <f t="shared" ref="AO732:AO738" ca="1" si="2030">AI732/AB732</f>
        <v>0.74829504290085314</v>
      </c>
      <c r="AP732" s="13">
        <f t="shared" ref="AP732:AQ732" ca="1" si="2031">SUM(T740)</f>
        <v>197.99999999999972</v>
      </c>
      <c r="AQ732" s="13">
        <f t="shared" ca="1" si="2031"/>
        <v>5.8235294117646976</v>
      </c>
      <c r="AR732" s="9">
        <f t="shared" ref="AR732:AR738" ca="1" si="2032">AI732/AA732</f>
        <v>147.02941176470588</v>
      </c>
      <c r="AS732" s="76"/>
      <c r="AT732" s="76"/>
    </row>
    <row r="733" spans="1:46" ht="15.75" customHeight="1" x14ac:dyDescent="0.2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6"/>
      <c r="X733" s="8">
        <v>2</v>
      </c>
      <c r="Y733" s="8" t="s">
        <v>24</v>
      </c>
      <c r="Z733" s="8">
        <f t="shared" ref="Z733:AI733" si="2033">SUM(D741)</f>
        <v>44</v>
      </c>
      <c r="AA733" s="9">
        <f t="shared" ca="1" si="2033"/>
        <v>44</v>
      </c>
      <c r="AB733" s="10">
        <f t="shared" ca="1" si="2033"/>
        <v>8354.5819999999894</v>
      </c>
      <c r="AC733" s="9">
        <f t="shared" ca="1" si="2033"/>
        <v>1454</v>
      </c>
      <c r="AD733" s="9">
        <f t="shared" ca="1" si="2033"/>
        <v>0</v>
      </c>
      <c r="AE733" s="9">
        <f t="shared" ca="1" si="2033"/>
        <v>1454</v>
      </c>
      <c r="AF733" s="9">
        <f t="shared" ca="1" si="2033"/>
        <v>1288</v>
      </c>
      <c r="AG733" s="9">
        <f t="shared" ca="1" si="2033"/>
        <v>28</v>
      </c>
      <c r="AH733" s="9">
        <f t="shared" ca="1" si="2033"/>
        <v>1316</v>
      </c>
      <c r="AI733" s="9">
        <f t="shared" ca="1" si="2033"/>
        <v>2770</v>
      </c>
      <c r="AJ733" s="11">
        <f t="shared" ca="1" si="2026"/>
        <v>189.8768636363634</v>
      </c>
      <c r="AK733" s="8">
        <v>1580</v>
      </c>
      <c r="AL733" s="15">
        <f t="shared" ca="1" si="2027"/>
        <v>1.7531645569620253</v>
      </c>
      <c r="AM733" s="13">
        <f t="shared" si="2028"/>
        <v>1.5</v>
      </c>
      <c r="AN733" s="12">
        <f t="shared" ca="1" si="2029"/>
        <v>0.22103639256478291</v>
      </c>
      <c r="AO733" s="14">
        <f t="shared" ca="1" si="2030"/>
        <v>0.33155458884717437</v>
      </c>
      <c r="AP733" s="13">
        <f t="shared" ref="AP733:AQ733" ca="1" si="2034">SUM(T741)</f>
        <v>311.67998507741055</v>
      </c>
      <c r="AQ733" s="13">
        <f t="shared" ca="1" si="2034"/>
        <v>7.0836360244866032</v>
      </c>
      <c r="AR733" s="9">
        <f t="shared" ca="1" si="2032"/>
        <v>62.954545454545453</v>
      </c>
      <c r="AS733" s="76"/>
      <c r="AT733" s="76"/>
    </row>
    <row r="734" spans="1:46" ht="15.75" customHeight="1" x14ac:dyDescent="0.2">
      <c r="A734" s="70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6"/>
      <c r="X734" s="8">
        <v>3</v>
      </c>
      <c r="Y734" s="8" t="s">
        <v>25</v>
      </c>
      <c r="Z734" s="8">
        <f t="shared" ref="Z734:AI734" si="2035">SUM(D742)</f>
        <v>32</v>
      </c>
      <c r="AA734" s="9">
        <f t="shared" ca="1" si="2035"/>
        <v>31</v>
      </c>
      <c r="AB734" s="10">
        <f t="shared" ca="1" si="2035"/>
        <v>5925.1239999999998</v>
      </c>
      <c r="AC734" s="9">
        <f t="shared" ca="1" si="2035"/>
        <v>2351</v>
      </c>
      <c r="AD734" s="9">
        <f t="shared" ca="1" si="2035"/>
        <v>438</v>
      </c>
      <c r="AE734" s="9">
        <f t="shared" ca="1" si="2035"/>
        <v>2789</v>
      </c>
      <c r="AF734" s="9">
        <f t="shared" ca="1" si="2035"/>
        <v>3213</v>
      </c>
      <c r="AG734" s="9">
        <f t="shared" ca="1" si="2035"/>
        <v>305</v>
      </c>
      <c r="AH734" s="9">
        <f t="shared" ca="1" si="2035"/>
        <v>3518</v>
      </c>
      <c r="AI734" s="9">
        <f t="shared" ca="1" si="2035"/>
        <v>6307</v>
      </c>
      <c r="AJ734" s="11">
        <f t="shared" ca="1" si="2026"/>
        <v>191.1330322580645</v>
      </c>
      <c r="AK734" s="8">
        <f>SUM(O742)</f>
        <v>6622</v>
      </c>
      <c r="AL734" s="12">
        <f t="shared" ca="1" si="2027"/>
        <v>0.95243128964059198</v>
      </c>
      <c r="AM734" s="13">
        <f t="shared" si="2028"/>
        <v>1.5</v>
      </c>
      <c r="AN734" s="12">
        <f t="shared" ca="1" si="2029"/>
        <v>0.70963353115760386</v>
      </c>
      <c r="AO734" s="14">
        <f t="shared" ca="1" si="2030"/>
        <v>1.0644502967364058</v>
      </c>
      <c r="AP734" s="13">
        <f t="shared" ref="AP734:AQ734" ca="1" si="2036">SUM(T742)</f>
        <v>248.53708053691275</v>
      </c>
      <c r="AQ734" s="13">
        <f t="shared" ca="1" si="2036"/>
        <v>8.0173251786100881</v>
      </c>
      <c r="AR734" s="9">
        <f t="shared" ca="1" si="2032"/>
        <v>203.45161290322579</v>
      </c>
      <c r="AS734" s="76"/>
      <c r="AT734" s="76"/>
    </row>
    <row r="735" spans="1:46" ht="15.75" customHeight="1" x14ac:dyDescent="0.25">
      <c r="A735" s="70"/>
      <c r="B735" s="16">
        <v>1</v>
      </c>
      <c r="C735" s="16" t="s">
        <v>26</v>
      </c>
      <c r="D735" s="17">
        <v>20</v>
      </c>
      <c r="E735" s="18">
        <f ca="1">IFERROR(__xludf.DUMMYFUNCTION("COUNT(IMPORTRANGE(""https://docs.google.com/spreadsheets/d/1F0NpMx7WhcgPgxTWpryY3Z1CGg56FL6aiL4mHs43w4E/edit"",""2!d2:d21""))"),20)</f>
        <v>20</v>
      </c>
      <c r="F735" s="19">
        <f ca="1">IFERROR(__xludf.DUMMYFUNCTION("SUM(IMPORTRANGE(""https://docs.google.com/spreadsheets/d/1F0NpMx7WhcgPgxTWpryY3Z1CGg56FL6aiL4mHs43w4E/edit"",""2!Q2:Q21""))"),3560.964)</f>
        <v>3560.9639999999999</v>
      </c>
      <c r="G735" s="18">
        <f ca="1">IFERROR(__xludf.DUMMYFUNCTION("IMPORTRANGE(""https://docs.google.com/spreadsheets/d/1F0NpMx7WhcgPgxTWpryY3Z1CGg56FL6aiL4mHs43w4E/edit"",""2!e28"")"),1873)</f>
        <v>1873</v>
      </c>
      <c r="H735" s="18">
        <f ca="1">IFERROR(__xludf.DUMMYFUNCTION("IMPORTRANGE(""https://docs.google.com/spreadsheets/d/1F0NpMx7WhcgPgxTWpryY3Z1CGg56FL6aiL4mHs43w4E/edit"",""2!e29"")"),0)</f>
        <v>0</v>
      </c>
      <c r="I735" s="18">
        <f t="shared" ref="I735:I752" ca="1" si="2037">SUM(G735:H735)</f>
        <v>1873</v>
      </c>
      <c r="J735" s="18">
        <f ca="1">IFERROR(__xludf.DUMMYFUNCTION("IMPORTRANGE(""https://docs.google.com/spreadsheets/d/1F0NpMx7WhcgPgxTWpryY3Z1CGg56FL6aiL4mHs43w4E/edit"",""2!e32"")"),3204)</f>
        <v>3204</v>
      </c>
      <c r="K735" s="18">
        <f ca="1">IFERROR(__xludf.DUMMYFUNCTION("IMPORTRANGE(""https://docs.google.com/spreadsheets/d/1F0NpMx7WhcgPgxTWpryY3Z1CGg56FL6aiL4mHs43w4E/edit"",""2!e33"")"),0)</f>
        <v>0</v>
      </c>
      <c r="L735" s="18">
        <f t="shared" ref="L735:L741" ca="1" si="2038">SUM(J735:K735)</f>
        <v>3204</v>
      </c>
      <c r="M735" s="18">
        <f t="shared" ref="M735:M752" ca="1" si="2039">SUM(I735+L735)</f>
        <v>5077</v>
      </c>
      <c r="N735" s="19">
        <f t="shared" ref="N735:N753" ca="1" si="2040">F735/E735</f>
        <v>178.04820000000001</v>
      </c>
      <c r="O735" s="16">
        <v>5161</v>
      </c>
      <c r="P735" s="20">
        <f t="shared" ref="P735:P753" ca="1" si="2041">M735/O735</f>
        <v>0.98372408447975201</v>
      </c>
      <c r="Q735" s="21">
        <v>1.5</v>
      </c>
      <c r="R735" s="20">
        <f t="shared" ref="R735:R753" ca="1" si="2042">S735/Q735</f>
        <v>0.95049168333818213</v>
      </c>
      <c r="S735" s="22">
        <f t="shared" ref="S735:S753" ca="1" si="2043">M735/F735</f>
        <v>1.4257375250072732</v>
      </c>
      <c r="T735" s="21">
        <f ca="1">F735/14.415</f>
        <v>247.0318418314256</v>
      </c>
      <c r="U735" s="21">
        <f t="shared" ref="U735:U753" ca="1" si="2044">T735/E735</f>
        <v>12.35159209157128</v>
      </c>
      <c r="V735" s="18">
        <f t="shared" ref="V735:V753" ca="1" si="2045">M735/E735</f>
        <v>253.85</v>
      </c>
      <c r="W735" s="76"/>
      <c r="X735" s="8">
        <v>4</v>
      </c>
      <c r="Y735" s="8" t="s">
        <v>27</v>
      </c>
      <c r="Z735" s="8">
        <f t="shared" ref="Z735:AK735" si="2046">SUM(D748)</f>
        <v>30</v>
      </c>
      <c r="AA735" s="9">
        <f t="shared" ca="1" si="2046"/>
        <v>28</v>
      </c>
      <c r="AB735" s="10">
        <f t="shared" ca="1" si="2046"/>
        <v>5465.76</v>
      </c>
      <c r="AC735" s="9">
        <f t="shared" ca="1" si="2046"/>
        <v>2368</v>
      </c>
      <c r="AD735" s="9">
        <f t="shared" ca="1" si="2046"/>
        <v>140</v>
      </c>
      <c r="AE735" s="9">
        <f t="shared" ca="1" si="2046"/>
        <v>2508</v>
      </c>
      <c r="AF735" s="9">
        <f t="shared" ca="1" si="2046"/>
        <v>3355</v>
      </c>
      <c r="AG735" s="9">
        <f t="shared" ca="1" si="2046"/>
        <v>107</v>
      </c>
      <c r="AH735" s="9">
        <f t="shared" ca="1" si="2046"/>
        <v>3462</v>
      </c>
      <c r="AI735" s="9">
        <f t="shared" ca="1" si="2046"/>
        <v>5970</v>
      </c>
      <c r="AJ735" s="11">
        <f t="shared" ca="1" si="2046"/>
        <v>195.20571428571429</v>
      </c>
      <c r="AK735" s="8">
        <f t="shared" si="2046"/>
        <v>8101</v>
      </c>
      <c r="AL735" s="12">
        <f t="shared" ca="1" si="2027"/>
        <v>0.73694605604246388</v>
      </c>
      <c r="AM735" s="13">
        <f>SUM(Q748)</f>
        <v>1.5</v>
      </c>
      <c r="AN735" s="12">
        <f t="shared" ca="1" si="2029"/>
        <v>0.72816955007171913</v>
      </c>
      <c r="AO735" s="14">
        <f t="shared" ca="1" si="2030"/>
        <v>1.0922543251075787</v>
      </c>
      <c r="AP735" s="13">
        <f t="shared" ref="AP735:AQ735" ca="1" si="2047">SUM(T748)</f>
        <v>273.49311983987991</v>
      </c>
      <c r="AQ735" s="13">
        <f t="shared" ca="1" si="2047"/>
        <v>9.7676114228528537</v>
      </c>
      <c r="AR735" s="9">
        <f t="shared" ca="1" si="2032"/>
        <v>213.21428571428572</v>
      </c>
      <c r="AS735" s="76"/>
      <c r="AT735" s="76"/>
    </row>
    <row r="736" spans="1:46" ht="15.75" customHeight="1" x14ac:dyDescent="0.25">
      <c r="A736" s="70"/>
      <c r="B736" s="16">
        <v>2</v>
      </c>
      <c r="C736" s="16" t="s">
        <v>28</v>
      </c>
      <c r="D736" s="17">
        <v>33</v>
      </c>
      <c r="E736" s="18">
        <f ca="1">IFERROR(__xludf.DUMMYFUNCTION("COUNT(IMPORTRANGE(""https://docs.google.com/spreadsheets/d/1H9vAqftAHb0OdeSGXHTnJFzoWUgpoH31sc0sHNN8y1o/edit"",""2!d2:d34""))"),33)</f>
        <v>33</v>
      </c>
      <c r="F736" s="19">
        <f ca="1">IFERROR(__xludf.DUMMYFUNCTION("SUM(IMPORTRANGE(""https://docs.google.com/spreadsheets/d/1H9vAqftAHb0OdeSGXHTnJFzoWUgpoH31sc0sHNN8y1o/edit"",""2!Q2:Q34""))"),6528.83299999999)</f>
        <v>6528.8329999999896</v>
      </c>
      <c r="G736" s="18">
        <f ca="1">IFERROR(__xludf.DUMMYFUNCTION("IMPORTRANGE(""https://docs.google.com/spreadsheets/d/1H9vAqftAHb0OdeSGXHTnJFzoWUgpoH31sc0sHNN8y1o/edit"",""2!e41"")"),2700)</f>
        <v>2700</v>
      </c>
      <c r="H736" s="18">
        <f ca="1">IFERROR(__xludf.DUMMYFUNCTION("IMPORTRANGE(""https://docs.google.com/spreadsheets/d/1H9vAqftAHb0OdeSGXHTnJFzoWUgpoH31sc0sHNN8y1o/edit"",""2!e42"")"),104)</f>
        <v>104</v>
      </c>
      <c r="I736" s="18">
        <f t="shared" ca="1" si="2037"/>
        <v>2804</v>
      </c>
      <c r="J736" s="18">
        <f ca="1">IFERROR(__xludf.DUMMYFUNCTION("IMPORTRANGE(""https://docs.google.com/spreadsheets/d/1H9vAqftAHb0OdeSGXHTnJFzoWUgpoH31sc0sHNN8y1o/edit"",""2!e45"")"),3205)</f>
        <v>3205</v>
      </c>
      <c r="K736" s="18">
        <f ca="1">IFERROR(__xludf.DUMMYFUNCTION("IMPORTRANGE(""https://docs.google.com/spreadsheets/d/1H9vAqftAHb0OdeSGXHTnJFzoWUgpoH31sc0sHNN8y1o/edit"",""2!e46"")"),102)</f>
        <v>102</v>
      </c>
      <c r="L736" s="18">
        <f t="shared" ca="1" si="2038"/>
        <v>3307</v>
      </c>
      <c r="M736" s="18">
        <f t="shared" ca="1" si="2039"/>
        <v>6111</v>
      </c>
      <c r="N736" s="19">
        <f t="shared" ca="1" si="2040"/>
        <v>197.84342424242394</v>
      </c>
      <c r="O736" s="16">
        <v>7315</v>
      </c>
      <c r="P736" s="20">
        <f t="shared" ca="1" si="2041"/>
        <v>0.83540669856459326</v>
      </c>
      <c r="Q736" s="21">
        <v>1.5</v>
      </c>
      <c r="R736" s="20">
        <f t="shared" ca="1" si="2042"/>
        <v>0.6240012571925192</v>
      </c>
      <c r="S736" s="22">
        <f t="shared" ca="1" si="2043"/>
        <v>0.93600188578877874</v>
      </c>
      <c r="T736" s="21">
        <f ca="1">F736/30.897</f>
        <v>211.30960934718547</v>
      </c>
      <c r="U736" s="21">
        <f t="shared" ca="1" si="2044"/>
        <v>6.4033214953692568</v>
      </c>
      <c r="V736" s="18">
        <f t="shared" ca="1" si="2045"/>
        <v>185.18181818181819</v>
      </c>
      <c r="W736" s="76"/>
      <c r="X736" s="8">
        <v>5</v>
      </c>
      <c r="Y736" s="8" t="s">
        <v>29</v>
      </c>
      <c r="Z736" s="8">
        <f t="shared" ref="Z736:AI736" si="2048">SUM(D751)</f>
        <v>30</v>
      </c>
      <c r="AA736" s="9">
        <f t="shared" ca="1" si="2048"/>
        <v>29</v>
      </c>
      <c r="AB736" s="10">
        <f t="shared" ca="1" si="2048"/>
        <v>5775.0379999999896</v>
      </c>
      <c r="AC736" s="9">
        <f t="shared" ca="1" si="2048"/>
        <v>2726</v>
      </c>
      <c r="AD736" s="9">
        <f t="shared" ca="1" si="2048"/>
        <v>0</v>
      </c>
      <c r="AE736" s="9">
        <f t="shared" ca="1" si="2048"/>
        <v>2726</v>
      </c>
      <c r="AF736" s="9">
        <f t="shared" ca="1" si="2048"/>
        <v>4235</v>
      </c>
      <c r="AG736" s="9">
        <f t="shared" ca="1" si="2048"/>
        <v>0</v>
      </c>
      <c r="AH736" s="9">
        <f t="shared" ca="1" si="2048"/>
        <v>4235</v>
      </c>
      <c r="AI736" s="9">
        <f t="shared" ca="1" si="2048"/>
        <v>6961</v>
      </c>
      <c r="AJ736" s="11">
        <f t="shared" ref="AJ736:AJ738" ca="1" si="2049">AB736/AA736</f>
        <v>199.13924137930999</v>
      </c>
      <c r="AK736" s="8">
        <f t="shared" ref="AK736:AK737" si="2050">SUM(O751)</f>
        <v>9201</v>
      </c>
      <c r="AL736" s="12">
        <f t="shared" ca="1" si="2027"/>
        <v>0.75654820128246925</v>
      </c>
      <c r="AM736" s="13">
        <f t="shared" ref="AM736:AM737" si="2051">SUM(Q751)</f>
        <v>1.5</v>
      </c>
      <c r="AN736" s="12">
        <f t="shared" ca="1" si="2029"/>
        <v>0.80357335599638902</v>
      </c>
      <c r="AO736" s="14">
        <f t="shared" ca="1" si="2030"/>
        <v>1.2053600339945836</v>
      </c>
      <c r="AP736" s="13">
        <f t="shared" ref="AP736:AQ736" ca="1" si="2052">SUM(T751)</f>
        <v>217.9999999999996</v>
      </c>
      <c r="AQ736" s="13">
        <f t="shared" ca="1" si="2052"/>
        <v>7.517241379310331</v>
      </c>
      <c r="AR736" s="9">
        <f t="shared" ca="1" si="2032"/>
        <v>240.0344827586207</v>
      </c>
      <c r="AS736" s="76"/>
      <c r="AT736" s="76"/>
    </row>
    <row r="737" spans="1:46" ht="15.75" customHeight="1" x14ac:dyDescent="0.25">
      <c r="A737" s="70"/>
      <c r="B737" s="16">
        <v>3</v>
      </c>
      <c r="C737" s="16" t="s">
        <v>30</v>
      </c>
      <c r="D737" s="17">
        <v>60</v>
      </c>
      <c r="E737" s="18">
        <f ca="1">IFERROR(__xludf.DUMMYFUNCTION("COUNT(IMPORTRANGE(""https://docs.google.com/spreadsheets/d/1EWN6nfpuVxbUE_9opjYCWaI7MTm5xsF6ssjklSbMZnA/edit"",""2!d2:d61""))"),58)</f>
        <v>58</v>
      </c>
      <c r="F737" s="23">
        <f ca="1">IFERROR(__xludf.DUMMYFUNCTION("SUM(IMPORTRANGE(""https://docs.google.com/spreadsheets/d/1EWN6nfpuVxbUE_9opjYCWaI7MTm5xsF6ssjklSbMZnA/edit"",""2!Q2:Q61""))"),11253.3449999999)</f>
        <v>11253.344999999899</v>
      </c>
      <c r="G737" s="18">
        <f ca="1">IFERROR(__xludf.DUMMYFUNCTION("IMPORTRANGE(""https://docs.google.com/spreadsheets/d/1EWN6nfpuVxbUE_9opjYCWaI7MTm5xsF6ssjklSbMZnA/edit"",""2!e68"")"),3757)</f>
        <v>3757</v>
      </c>
      <c r="H737" s="18">
        <f ca="1">IFERROR(__xludf.DUMMYFUNCTION("IMPORTRANGE(""https://docs.google.com/spreadsheets/d/1EWN6nfpuVxbUE_9opjYCWaI7MTm5xsF6ssjklSbMZnA/edit"",""2!e69"")"),0)</f>
        <v>0</v>
      </c>
      <c r="I737" s="18">
        <f t="shared" ca="1" si="2037"/>
        <v>3757</v>
      </c>
      <c r="J737" s="18">
        <f ca="1">IFERROR(__xludf.DUMMYFUNCTION("IMPORTRANGE(""https://docs.google.com/spreadsheets/d/1EWN6nfpuVxbUE_9opjYCWaI7MTm5xsF6ssjklSbMZnA/edit"",""2!e72"")"),5596)</f>
        <v>5596</v>
      </c>
      <c r="K737" s="18">
        <f ca="1">IFERROR(__xludf.DUMMYFUNCTION("IMPORTRANGE(""https://docs.google.com/spreadsheets/d/1EWN6nfpuVxbUE_9opjYCWaI7MTm5xsF6ssjklSbMZnA/edit"",""2!e73"")"),0)</f>
        <v>0</v>
      </c>
      <c r="L737" s="18">
        <f t="shared" ca="1" si="2038"/>
        <v>5596</v>
      </c>
      <c r="M737" s="18">
        <f t="shared" ca="1" si="2039"/>
        <v>9353</v>
      </c>
      <c r="N737" s="19">
        <f t="shared" ca="1" si="2040"/>
        <v>194.02318965517068</v>
      </c>
      <c r="O737" s="16">
        <v>11164</v>
      </c>
      <c r="P737" s="20">
        <f t="shared" ca="1" si="2041"/>
        <v>0.83778215693299896</v>
      </c>
      <c r="Q737" s="21">
        <v>1.5</v>
      </c>
      <c r="R737" s="20">
        <f t="shared" ca="1" si="2042"/>
        <v>0.5540871032864797</v>
      </c>
      <c r="S737" s="22">
        <f t="shared" ca="1" si="2043"/>
        <v>0.83113065492971949</v>
      </c>
      <c r="T737" s="21">
        <f ca="1">F737/29.603</f>
        <v>380.14204641421134</v>
      </c>
      <c r="U737" s="21">
        <f t="shared" ca="1" si="2044"/>
        <v>6.5541732140381264</v>
      </c>
      <c r="V737" s="18">
        <f t="shared" ca="1" si="2045"/>
        <v>161.25862068965517</v>
      </c>
      <c r="W737" s="76"/>
      <c r="X737" s="8">
        <v>6</v>
      </c>
      <c r="Y737" s="8" t="s">
        <v>31</v>
      </c>
      <c r="Z737" s="8">
        <f t="shared" ref="Z737:AI737" si="2053">SUM(D752)</f>
        <v>15</v>
      </c>
      <c r="AA737" s="9">
        <f t="shared" ca="1" si="2053"/>
        <v>13</v>
      </c>
      <c r="AB737" s="11">
        <f t="shared" ca="1" si="2053"/>
        <v>2607.9</v>
      </c>
      <c r="AC737" s="9">
        <f t="shared" ca="1" si="2053"/>
        <v>870</v>
      </c>
      <c r="AD737" s="9">
        <f t="shared" ca="1" si="2053"/>
        <v>0</v>
      </c>
      <c r="AE737" s="9">
        <f t="shared" ca="1" si="2053"/>
        <v>870</v>
      </c>
      <c r="AF737" s="9">
        <f t="shared" ca="1" si="2053"/>
        <v>975</v>
      </c>
      <c r="AG737" s="9">
        <f t="shared" ca="1" si="2053"/>
        <v>55</v>
      </c>
      <c r="AH737" s="9">
        <f t="shared" ca="1" si="2053"/>
        <v>1030</v>
      </c>
      <c r="AI737" s="9">
        <f t="shared" ca="1" si="2053"/>
        <v>1900</v>
      </c>
      <c r="AJ737" s="11">
        <f t="shared" ca="1" si="2049"/>
        <v>200.6076923076923</v>
      </c>
      <c r="AK737" s="8">
        <f t="shared" si="2050"/>
        <v>2717</v>
      </c>
      <c r="AL737" s="12">
        <f t="shared" ca="1" si="2027"/>
        <v>0.69930069930069927</v>
      </c>
      <c r="AM737" s="13">
        <f t="shared" si="2051"/>
        <v>1.5</v>
      </c>
      <c r="AN737" s="12">
        <f t="shared" ca="1" si="2029"/>
        <v>0.48570369518258621</v>
      </c>
      <c r="AO737" s="14">
        <f t="shared" ca="1" si="2030"/>
        <v>0.72855554277387935</v>
      </c>
      <c r="AP737" s="13">
        <f t="shared" ref="AP737:AQ737" ca="1" si="2054">SUM(T752)</f>
        <v>60</v>
      </c>
      <c r="AQ737" s="13">
        <f t="shared" ca="1" si="2054"/>
        <v>4.615384615384615</v>
      </c>
      <c r="AR737" s="9">
        <f t="shared" ca="1" si="2032"/>
        <v>146.15384615384616</v>
      </c>
      <c r="AS737" s="76"/>
      <c r="AT737" s="76"/>
    </row>
    <row r="738" spans="1:46" ht="15.75" customHeight="1" x14ac:dyDescent="0.25">
      <c r="A738" s="70"/>
      <c r="B738" s="16">
        <v>4</v>
      </c>
      <c r="C738" s="16" t="s">
        <v>32</v>
      </c>
      <c r="D738" s="17">
        <v>42</v>
      </c>
      <c r="E738" s="18">
        <f ca="1">IFERROR(__xludf.DUMMYFUNCTION("COUNT(IMPORTRANGE(""https://docs.google.com/spreadsheets/d/1Rmar8QqWK4XOJ-eY6xMzkAfDSw0srEXcAw89ilArun8/edit"",""2!d2:d43""))"),42)</f>
        <v>42</v>
      </c>
      <c r="F738" s="23">
        <f ca="1">IFERROR(__xludf.DUMMYFUNCTION("SUM(IMPORTRANGE(""https://docs.google.com/spreadsheets/d/1Rmar8QqWK4XOJ-eY6xMzkAfDSw0srEXcAw89ilArun8/edit"",""2!Q2:Q43""))"),8179.01399999999)</f>
        <v>8179.0139999999901</v>
      </c>
      <c r="G738" s="16">
        <f ca="1">IFERROR(__xludf.DUMMYFUNCTION("IMPORTRANGE(""https://docs.google.com/spreadsheets/d/1Rmar8QqWK4XOJ-eY6xMzkAfDSw0srEXcAw89ilArun8/edit"",""2!e50"")"),4808)</f>
        <v>4808</v>
      </c>
      <c r="H738" s="16">
        <f ca="1">IFERROR(__xludf.DUMMYFUNCTION("IMPORTRANGE(""https://docs.google.com/spreadsheets/d/1Rmar8QqWK4XOJ-eY6xMzkAfDSw0srEXcAw89ilArun8/edit"",""2!e51"")"),0)</f>
        <v>0</v>
      </c>
      <c r="I738" s="18">
        <f t="shared" ca="1" si="2037"/>
        <v>4808</v>
      </c>
      <c r="J738" s="16">
        <f ca="1">IFERROR(__xludf.DUMMYFUNCTION("IMPORTRANGE(""https://docs.google.com/spreadsheets/d/1Rmar8QqWK4XOJ-eY6xMzkAfDSw0srEXcAw89ilArun8/edit"",""2!e54"")"),5449)</f>
        <v>5449</v>
      </c>
      <c r="K738" s="16">
        <f ca="1">IFERROR(__xludf.DUMMYFUNCTION("IMPORTRANGE(""https://docs.google.com/spreadsheets/d/1Rmar8QqWK4XOJ-eY6xMzkAfDSw0srEXcAw89ilArun8/edit"",""2!e55"")"),190)</f>
        <v>190</v>
      </c>
      <c r="L738" s="18">
        <f t="shared" ca="1" si="2038"/>
        <v>5639</v>
      </c>
      <c r="M738" s="18">
        <f t="shared" ca="1" si="2039"/>
        <v>10447</v>
      </c>
      <c r="N738" s="19">
        <f t="shared" ca="1" si="2040"/>
        <v>194.73842857142833</v>
      </c>
      <c r="O738" s="16">
        <v>13817</v>
      </c>
      <c r="P738" s="20">
        <f t="shared" ca="1" si="2041"/>
        <v>0.75609756097560976</v>
      </c>
      <c r="Q738" s="21">
        <v>1.5</v>
      </c>
      <c r="R738" s="20">
        <f t="shared" ca="1" si="2042"/>
        <v>0.85152888437000784</v>
      </c>
      <c r="S738" s="22">
        <f t="shared" ca="1" si="2043"/>
        <v>1.2772933265550117</v>
      </c>
      <c r="T738" s="21">
        <f ca="1">F738/25.089</f>
        <v>325.9999999999996</v>
      </c>
      <c r="U738" s="21">
        <f t="shared" ca="1" si="2044"/>
        <v>7.7619047619047521</v>
      </c>
      <c r="V738" s="18">
        <f t="shared" ca="1" si="2045"/>
        <v>248.73809523809524</v>
      </c>
      <c r="W738" s="76"/>
      <c r="X738" s="24" t="s">
        <v>33</v>
      </c>
      <c r="Y738" s="24">
        <v>6</v>
      </c>
      <c r="Z738" s="24">
        <f t="shared" ref="Z738:AI738" si="2055">SUM(Z732:Z737)</f>
        <v>186</v>
      </c>
      <c r="AA738" s="25">
        <f t="shared" ca="1" si="2055"/>
        <v>179</v>
      </c>
      <c r="AB738" s="26">
        <f t="shared" ca="1" si="2055"/>
        <v>34808.92399999997</v>
      </c>
      <c r="AC738" s="25">
        <f t="shared" ca="1" si="2055"/>
        <v>11852</v>
      </c>
      <c r="AD738" s="25">
        <f t="shared" ca="1" si="2055"/>
        <v>578</v>
      </c>
      <c r="AE738" s="25">
        <f t="shared" ca="1" si="2055"/>
        <v>12430</v>
      </c>
      <c r="AF738" s="25">
        <f t="shared" ca="1" si="2055"/>
        <v>15982</v>
      </c>
      <c r="AG738" s="25">
        <f t="shared" ca="1" si="2055"/>
        <v>495</v>
      </c>
      <c r="AH738" s="25">
        <f t="shared" ca="1" si="2055"/>
        <v>16477</v>
      </c>
      <c r="AI738" s="25">
        <f t="shared" ca="1" si="2055"/>
        <v>28907</v>
      </c>
      <c r="AJ738" s="27">
        <f t="shared" ca="1" si="2049"/>
        <v>194.46326256983224</v>
      </c>
      <c r="AK738" s="24">
        <f>SUM(AK732:AK737)</f>
        <v>35074</v>
      </c>
      <c r="AL738" s="28">
        <f t="shared" ca="1" si="2027"/>
        <v>0.82417175115470154</v>
      </c>
      <c r="AM738" s="29">
        <v>1.5</v>
      </c>
      <c r="AN738" s="28">
        <f t="shared" ca="1" si="2029"/>
        <v>0.5536319747583508</v>
      </c>
      <c r="AO738" s="30">
        <f t="shared" ca="1" si="2030"/>
        <v>0.83044796213752614</v>
      </c>
      <c r="AP738" s="29">
        <f ca="1">SUM(AP732:AP737)</f>
        <v>1309.7101854542025</v>
      </c>
      <c r="AQ738" s="29">
        <f ca="1">AP738/AA738</f>
        <v>7.3168166785150976</v>
      </c>
      <c r="AR738" s="25">
        <f t="shared" ca="1" si="2032"/>
        <v>161.49162011173183</v>
      </c>
      <c r="AS738" s="76"/>
      <c r="AT738" s="76"/>
    </row>
    <row r="739" spans="1:46" ht="15.75" customHeight="1" x14ac:dyDescent="0.25">
      <c r="A739" s="70"/>
      <c r="B739" s="16">
        <v>5</v>
      </c>
      <c r="C739" s="16" t="s">
        <v>34</v>
      </c>
      <c r="D739" s="17">
        <v>40</v>
      </c>
      <c r="E739" s="18">
        <f ca="1">IFERROR(__xludf.DUMMYFUNCTION("COUNT(IMPORTRANGE(""https://docs.google.com/spreadsheets/d/1u99JxAoytGQQ8GcjxXl38CGdyEWy5uIbuJJHnsotyvk/edit"",""2!d2:d41""))"),40)</f>
        <v>40</v>
      </c>
      <c r="F739" s="23">
        <f ca="1">IFERROR(__xludf.DUMMYFUNCTION("SUM(IMPORTRANGE(""https://docs.google.com/spreadsheets/d/1u99JxAoytGQQ8GcjxXl38CGdyEWy5uIbuJJHnsotyvk/edit"",""2!Q2:Q41""))"),7895.343)</f>
        <v>7895.3429999999998</v>
      </c>
      <c r="G739" s="18">
        <f ca="1">IFERROR(__xludf.DUMMYFUNCTION("IMPORTRANGE(""https://docs.google.com/spreadsheets/d/1u99JxAoytGQQ8GcjxXl38CGdyEWy5uIbuJJHnsotyvk/edit"",""2!e48"")"),3069)</f>
        <v>3069</v>
      </c>
      <c r="H739" s="18">
        <f ca="1">IFERROR(__xludf.DUMMYFUNCTION("IMPORTRANGE(""https://docs.google.com/spreadsheets/d/1u99JxAoytGQQ8GcjxXl38CGdyEWy5uIbuJJHnsotyvk/edit"",""2!e49"")"),0)</f>
        <v>0</v>
      </c>
      <c r="I739" s="18">
        <f t="shared" ca="1" si="2037"/>
        <v>3069</v>
      </c>
      <c r="J739" s="18">
        <f ca="1">IFERROR(__xludf.DUMMYFUNCTION("IMPORTRANGE(""https://docs.google.com/spreadsheets/d/1u99JxAoytGQQ8GcjxXl38CGdyEWy5uIbuJJHnsotyvk/edit"",""2!e52"")"),3126)</f>
        <v>3126</v>
      </c>
      <c r="K739" s="18">
        <f ca="1">IFERROR(__xludf.DUMMYFUNCTION("IMPORTRANGE(""https://docs.google.com/spreadsheets/d/1u99JxAoytGQQ8GcjxXl38CGdyEWy5uIbuJJHnsotyvk/edit"",""2!e53"")"),0)</f>
        <v>0</v>
      </c>
      <c r="L739" s="18">
        <f t="shared" ca="1" si="2038"/>
        <v>3126</v>
      </c>
      <c r="M739" s="18">
        <f t="shared" ca="1" si="2039"/>
        <v>6195</v>
      </c>
      <c r="N739" s="19">
        <f t="shared" ca="1" si="2040"/>
        <v>197.38357500000001</v>
      </c>
      <c r="O739" s="16">
        <v>9354</v>
      </c>
      <c r="P739" s="20">
        <f t="shared" ca="1" si="2041"/>
        <v>0.66228351507376526</v>
      </c>
      <c r="Q739" s="21">
        <v>1.5</v>
      </c>
      <c r="R739" s="20">
        <f t="shared" ca="1" si="2042"/>
        <v>0.52309317023972235</v>
      </c>
      <c r="S739" s="22">
        <f t="shared" ca="1" si="2043"/>
        <v>0.78463975535958352</v>
      </c>
      <c r="T739" s="21">
        <f ca="1">F739/30.713</f>
        <v>257.06844007423564</v>
      </c>
      <c r="U739" s="21">
        <f t="shared" ca="1" si="2044"/>
        <v>6.4267110018558906</v>
      </c>
      <c r="V739" s="18">
        <f t="shared" ca="1" si="2045"/>
        <v>154.875</v>
      </c>
      <c r="W739" s="76"/>
      <c r="X739" s="100" t="s">
        <v>35</v>
      </c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9"/>
      <c r="AS739" s="76"/>
      <c r="AT739" s="76"/>
    </row>
    <row r="740" spans="1:46" ht="15.75" customHeight="1" x14ac:dyDescent="0.25">
      <c r="A740" s="70"/>
      <c r="B740" s="16">
        <v>6</v>
      </c>
      <c r="C740" s="16" t="s">
        <v>23</v>
      </c>
      <c r="D740" s="17">
        <v>35</v>
      </c>
      <c r="E740" s="18">
        <f ca="1">IFERROR(__xludf.DUMMYFUNCTION("COUNT(IMPORTRANGE(""https://docs.google.com/spreadsheets/d/1uVc-vnTn57HE53lwrUYNZP4sGKTXisrqOoZ-6EyvLzY/edit"",""2!d2:d36""))"),34)</f>
        <v>34</v>
      </c>
      <c r="F740" s="23">
        <f ca="1">IFERROR(__xludf.DUMMYFUNCTION("SUM(IMPORTRANGE(""https://docs.google.com/spreadsheets/d/1uVc-vnTn57HE53lwrUYNZP4sGKTXisrqOoZ-6EyvLzY/edit"",""2!Q2:Q36""))"),6680.51999999999)</f>
        <v>6680.5199999999904</v>
      </c>
      <c r="G740" s="18">
        <f ca="1">IFERROR(__xludf.DUMMYFUNCTION("IMPORTRANGE(""https://docs.google.com/spreadsheets/d/1uVc-vnTn57HE53lwrUYNZP4sGKTXisrqOoZ-6EyvLzY/edit"",""2!e43"")"),2083)</f>
        <v>2083</v>
      </c>
      <c r="H740" s="18">
        <f ca="1">IFERROR(__xludf.DUMMYFUNCTION("IMPORTRANGE(""https://docs.google.com/spreadsheets/d/1uVc-vnTn57HE53lwrUYNZP4sGKTXisrqOoZ-6EyvLzY/edit"",""2!e44"")"),0)</f>
        <v>0</v>
      </c>
      <c r="I740" s="18">
        <f t="shared" ca="1" si="2037"/>
        <v>2083</v>
      </c>
      <c r="J740" s="18">
        <f ca="1">IFERROR(__xludf.DUMMYFUNCTION("IMPORTRANGE(""https://docs.google.com/spreadsheets/d/1uVc-vnTn57HE53lwrUYNZP4sGKTXisrqOoZ-6EyvLzY/edit"",""2!e47"")"),2916)</f>
        <v>2916</v>
      </c>
      <c r="K740" s="18">
        <f ca="1">IFERROR(__xludf.DUMMYFUNCTION("IMPORTRANGE(""https://docs.google.com/spreadsheets/d/1uVc-vnTn57HE53lwrUYNZP4sGKTXisrqOoZ-6EyvLzY/edit"",""2!e48"")"),0)</f>
        <v>0</v>
      </c>
      <c r="L740" s="18">
        <f t="shared" ca="1" si="2038"/>
        <v>2916</v>
      </c>
      <c r="M740" s="18">
        <f t="shared" ca="1" si="2039"/>
        <v>4999</v>
      </c>
      <c r="N740" s="19">
        <f t="shared" ca="1" si="2040"/>
        <v>196.48588235294091</v>
      </c>
      <c r="O740" s="16">
        <v>6853</v>
      </c>
      <c r="P740" s="20">
        <f t="shared" ca="1" si="2041"/>
        <v>0.72946154968626875</v>
      </c>
      <c r="Q740" s="21">
        <v>1.5</v>
      </c>
      <c r="R740" s="20">
        <f t="shared" ca="1" si="2042"/>
        <v>0.49886336193390207</v>
      </c>
      <c r="S740" s="22">
        <f t="shared" ca="1" si="2043"/>
        <v>0.74829504290085314</v>
      </c>
      <c r="T740" s="21">
        <f ca="1">F740/33.74</f>
        <v>197.99999999999972</v>
      </c>
      <c r="U740" s="21">
        <f t="shared" ca="1" si="2044"/>
        <v>5.8235294117646976</v>
      </c>
      <c r="V740" s="18">
        <f t="shared" ca="1" si="2045"/>
        <v>147.02941176470588</v>
      </c>
      <c r="W740" s="76"/>
      <c r="X740" s="1" t="s">
        <v>2</v>
      </c>
      <c r="Y740" s="1" t="s">
        <v>3</v>
      </c>
      <c r="Z740" s="1" t="s">
        <v>4</v>
      </c>
      <c r="AA740" s="1" t="s">
        <v>5</v>
      </c>
      <c r="AB740" s="2" t="s">
        <v>6</v>
      </c>
      <c r="AC740" s="1" t="s">
        <v>7</v>
      </c>
      <c r="AD740" s="1" t="s">
        <v>8</v>
      </c>
      <c r="AE740" s="1" t="s">
        <v>9</v>
      </c>
      <c r="AF740" s="1" t="s">
        <v>10</v>
      </c>
      <c r="AG740" s="1" t="s">
        <v>11</v>
      </c>
      <c r="AH740" s="1" t="s">
        <v>12</v>
      </c>
      <c r="AI740" s="1" t="s">
        <v>13</v>
      </c>
      <c r="AJ740" s="2" t="s">
        <v>14</v>
      </c>
      <c r="AK740" s="1" t="s">
        <v>15</v>
      </c>
      <c r="AL740" s="1" t="s">
        <v>16</v>
      </c>
      <c r="AM740" s="3" t="s">
        <v>17</v>
      </c>
      <c r="AN740" s="4" t="s">
        <v>18</v>
      </c>
      <c r="AO740" s="5" t="s">
        <v>19</v>
      </c>
      <c r="AP740" s="6" t="s">
        <v>20</v>
      </c>
      <c r="AQ740" s="6" t="s">
        <v>21</v>
      </c>
      <c r="AR740" s="7" t="s">
        <v>22</v>
      </c>
      <c r="AS740" s="76"/>
      <c r="AT740" s="76"/>
    </row>
    <row r="741" spans="1:46" ht="15.75" customHeight="1" x14ac:dyDescent="0.25">
      <c r="A741" s="70"/>
      <c r="B741" s="16">
        <v>7</v>
      </c>
      <c r="C741" s="16" t="s">
        <v>24</v>
      </c>
      <c r="D741" s="17">
        <v>44</v>
      </c>
      <c r="E741" s="31">
        <f ca="1">IFERROR(__xludf.DUMMYFUNCTION("COUNT(IMPORTRANGE(""https://docs.google.com/spreadsheets/d/1iuPvivSypupo44l6GtmR-2qZ3za7cTk7KzsOVp_kv2c/edit"",""2!d2:d45""))"),44)</f>
        <v>44</v>
      </c>
      <c r="F741" s="32">
        <f ca="1">IFERROR(__xludf.DUMMYFUNCTION("SUM(IMPORTRANGE(""https://docs.google.com/spreadsheets/d/1iuPvivSypupo44l6GtmR-2qZ3za7cTk7KzsOVp_kv2c/edit"",""2!Q2:Q45""))"),8354.58199999999)</f>
        <v>8354.5819999999894</v>
      </c>
      <c r="G741" s="31">
        <f ca="1">IFERROR(__xludf.DUMMYFUNCTION("IMPORTRANGE(""https://docs.google.com/spreadsheets/d/1iuPvivSypupo44l6GtmR-2qZ3za7cTk7KzsOVp_kv2c/edit"",""2!e53"")"),1454)</f>
        <v>1454</v>
      </c>
      <c r="H741" s="31">
        <f ca="1">IFERROR(__xludf.DUMMYFUNCTION("IMPORTRANGE(""https://docs.google.com/spreadsheets/d/1iuPvivSypupo44l6GtmR-2qZ3za7cTk7KzsOVp_kv2c/edit"",""2!e54"")"),0)</f>
        <v>0</v>
      </c>
      <c r="I741" s="31">
        <f t="shared" ca="1" si="2037"/>
        <v>1454</v>
      </c>
      <c r="J741" s="31">
        <f ca="1">IFERROR(__xludf.DUMMYFUNCTION("IMPORTRANGE(""https://docs.google.com/spreadsheets/d/1iuPvivSypupo44l6GtmR-2qZ3za7cTk7KzsOVp_kv2c/edit"",""2!e57"")"),1288)</f>
        <v>1288</v>
      </c>
      <c r="K741" s="31">
        <f ca="1">IFERROR(__xludf.DUMMYFUNCTION("IMPORTRANGE(""https://docs.google.com/spreadsheets/d/1iuPvivSypupo44l6GtmR-2qZ3za7cTk7KzsOVp_kv2c/edit"",""2!e58"")"),28)</f>
        <v>28</v>
      </c>
      <c r="L741" s="18">
        <f t="shared" ca="1" si="2038"/>
        <v>1316</v>
      </c>
      <c r="M741" s="18">
        <f t="shared" ca="1" si="2039"/>
        <v>2770</v>
      </c>
      <c r="N741" s="19">
        <f t="shared" ca="1" si="2040"/>
        <v>189.8768636363634</v>
      </c>
      <c r="O741" s="16">
        <v>1580</v>
      </c>
      <c r="P741" s="33">
        <f t="shared" ca="1" si="2041"/>
        <v>1.7531645569620253</v>
      </c>
      <c r="Q741" s="21">
        <v>1.5</v>
      </c>
      <c r="R741" s="20">
        <f t="shared" ca="1" si="2042"/>
        <v>0.22103639256478291</v>
      </c>
      <c r="S741" s="22">
        <f t="shared" ca="1" si="2043"/>
        <v>0.33155458884717437</v>
      </c>
      <c r="T741" s="21">
        <f ca="1">F741/26.805</f>
        <v>311.67998507741055</v>
      </c>
      <c r="U741" s="21">
        <f t="shared" ca="1" si="2044"/>
        <v>7.0836360244866032</v>
      </c>
      <c r="V741" s="18">
        <f t="shared" ca="1" si="2045"/>
        <v>62.954545454545453</v>
      </c>
      <c r="W741" s="76"/>
      <c r="X741" s="8">
        <v>1</v>
      </c>
      <c r="Y741" s="8" t="s">
        <v>28</v>
      </c>
      <c r="Z741" s="8">
        <f t="shared" ref="Z741:AI741" si="2056">SUM(D736)</f>
        <v>33</v>
      </c>
      <c r="AA741" s="9">
        <f t="shared" ca="1" si="2056"/>
        <v>33</v>
      </c>
      <c r="AB741" s="11">
        <f t="shared" ca="1" si="2056"/>
        <v>6528.8329999999896</v>
      </c>
      <c r="AC741" s="9">
        <f t="shared" ca="1" si="2056"/>
        <v>2700</v>
      </c>
      <c r="AD741" s="9">
        <f t="shared" ca="1" si="2056"/>
        <v>104</v>
      </c>
      <c r="AE741" s="9">
        <f t="shared" ca="1" si="2056"/>
        <v>2804</v>
      </c>
      <c r="AF741" s="9">
        <f t="shared" ca="1" si="2056"/>
        <v>3205</v>
      </c>
      <c r="AG741" s="9">
        <f t="shared" ca="1" si="2056"/>
        <v>102</v>
      </c>
      <c r="AH741" s="9">
        <f t="shared" ca="1" si="2056"/>
        <v>3307</v>
      </c>
      <c r="AI741" s="9">
        <f t="shared" ca="1" si="2056"/>
        <v>6111</v>
      </c>
      <c r="AJ741" s="11">
        <f t="shared" ref="AJ741:AJ747" ca="1" si="2057">AB741/AA741</f>
        <v>197.84342424242394</v>
      </c>
      <c r="AK741" s="8">
        <f t="shared" ref="AK741:AK742" si="2058">SUM(O736)</f>
        <v>7315</v>
      </c>
      <c r="AL741" s="12">
        <f t="shared" ref="AL741:AL747" ca="1" si="2059">AI741/AK741</f>
        <v>0.83540669856459326</v>
      </c>
      <c r="AM741" s="13">
        <f t="shared" ref="AM741:AM742" si="2060">SUM(Q736)</f>
        <v>1.5</v>
      </c>
      <c r="AN741" s="12">
        <f t="shared" ref="AN741:AN747" ca="1" si="2061">AO741/AM741</f>
        <v>0.6240012571925192</v>
      </c>
      <c r="AO741" s="14">
        <f t="shared" ref="AO741:AO747" ca="1" si="2062">AI741/AB741</f>
        <v>0.93600188578877874</v>
      </c>
      <c r="AP741" s="13">
        <f t="shared" ref="AP741:AQ741" ca="1" si="2063">SUM(T736)</f>
        <v>211.30960934718547</v>
      </c>
      <c r="AQ741" s="13">
        <f t="shared" ca="1" si="2063"/>
        <v>6.4033214953692568</v>
      </c>
      <c r="AR741" s="9">
        <f t="shared" ref="AR741:AR747" ca="1" si="2064">AI741/AA741</f>
        <v>185.18181818181819</v>
      </c>
      <c r="AS741" s="76"/>
      <c r="AT741" s="76"/>
    </row>
    <row r="742" spans="1:46" ht="15.75" customHeight="1" x14ac:dyDescent="0.25">
      <c r="A742" s="70"/>
      <c r="B742" s="16">
        <v>8</v>
      </c>
      <c r="C742" s="16" t="s">
        <v>25</v>
      </c>
      <c r="D742" s="34">
        <v>32</v>
      </c>
      <c r="E742" s="18">
        <f ca="1">IFERROR(__xludf.DUMMYFUNCTION("COUNT(IMPORTRANGE(""https://docs.google.com/spreadsheets/d/1sqWX7UerdR9KR_duBzDNfjwbPG-3hLgV1LiN2ZVZ6Js/edit"",""2!d2:D33""))"),31)</f>
        <v>31</v>
      </c>
      <c r="F742" s="23">
        <f ca="1">IFERROR(__xludf.DUMMYFUNCTION("SUM(IMPORTRANGE(""https://docs.google.com/spreadsheets/d/1sqWX7UerdR9KR_duBzDNfjwbPG-3hLgV1LiN2ZVZ6Js/edit"",""2!Q2:Q33""))"),5925.124)</f>
        <v>5925.1239999999998</v>
      </c>
      <c r="G742" s="18">
        <f ca="1">IFERROR(__xludf.DUMMYFUNCTION("IMPORTRANGE(""https://docs.google.com/spreadsheets/d/1sqWX7UerdR9KR_duBzDNfjwbPG-3hLgV1LiN2ZVZ6Js/edit"",""2!e40"")"),2351)</f>
        <v>2351</v>
      </c>
      <c r="H742" s="18">
        <f ca="1">IFERROR(__xludf.DUMMYFUNCTION("IMPORTRANGE(""https://docs.google.com/spreadsheets/d/1sqWX7UerdR9KR_duBzDNfjwbPG-3hLgV1LiN2ZVZ6Js/edit"",""2!e41"")"),438)</f>
        <v>438</v>
      </c>
      <c r="I742" s="18">
        <f t="shared" ca="1" si="2037"/>
        <v>2789</v>
      </c>
      <c r="J742" s="18">
        <f ca="1">IFERROR(__xludf.DUMMYFUNCTION("IMPORTRANGE(""https://docs.google.com/spreadsheets/d/1sqWX7UerdR9KR_duBzDNfjwbPG-3hLgV1LiN2ZVZ6Js/edit"",""2!e44"")"),3213)</f>
        <v>3213</v>
      </c>
      <c r="K742" s="18">
        <f ca="1">IFERROR(__xludf.DUMMYFUNCTION("IMPORTRANGE(""https://docs.google.com/spreadsheets/d/1sqWX7UerdR9KR_duBzDNfjwbPG-3hLgV1LiN2ZVZ6Js/edit"",""2!e45"")"),305)</f>
        <v>305</v>
      </c>
      <c r="L742" s="18">
        <f ca="1">J742+K742</f>
        <v>3518</v>
      </c>
      <c r="M742" s="18">
        <f t="shared" ca="1" si="2039"/>
        <v>6307</v>
      </c>
      <c r="N742" s="19">
        <f t="shared" ca="1" si="2040"/>
        <v>191.1330322580645</v>
      </c>
      <c r="O742" s="16">
        <v>6622</v>
      </c>
      <c r="P742" s="20">
        <f t="shared" ca="1" si="2041"/>
        <v>0.95243128964059198</v>
      </c>
      <c r="Q742" s="21">
        <v>1.5</v>
      </c>
      <c r="R742" s="20">
        <f t="shared" ca="1" si="2042"/>
        <v>0.70963353115760386</v>
      </c>
      <c r="S742" s="22">
        <f t="shared" ca="1" si="2043"/>
        <v>1.0644502967364058</v>
      </c>
      <c r="T742" s="21">
        <f ca="1">F742/23.84</f>
        <v>248.53708053691275</v>
      </c>
      <c r="U742" s="21">
        <f t="shared" ca="1" si="2044"/>
        <v>8.0173251786100881</v>
      </c>
      <c r="V742" s="18">
        <f t="shared" ca="1" si="2045"/>
        <v>203.45161290322579</v>
      </c>
      <c r="W742" s="76"/>
      <c r="X742" s="8">
        <v>2</v>
      </c>
      <c r="Y742" s="8" t="s">
        <v>30</v>
      </c>
      <c r="Z742" s="8">
        <f t="shared" ref="Z742:AI742" si="2065">SUM(D737)</f>
        <v>60</v>
      </c>
      <c r="AA742" s="9">
        <f t="shared" ca="1" si="2065"/>
        <v>58</v>
      </c>
      <c r="AB742" s="10">
        <f t="shared" ca="1" si="2065"/>
        <v>11253.344999999899</v>
      </c>
      <c r="AC742" s="9">
        <f t="shared" ca="1" si="2065"/>
        <v>3757</v>
      </c>
      <c r="AD742" s="9">
        <f t="shared" ca="1" si="2065"/>
        <v>0</v>
      </c>
      <c r="AE742" s="9">
        <f t="shared" ca="1" si="2065"/>
        <v>3757</v>
      </c>
      <c r="AF742" s="9">
        <f t="shared" ca="1" si="2065"/>
        <v>5596</v>
      </c>
      <c r="AG742" s="9">
        <f t="shared" ca="1" si="2065"/>
        <v>0</v>
      </c>
      <c r="AH742" s="9">
        <f t="shared" ca="1" si="2065"/>
        <v>5596</v>
      </c>
      <c r="AI742" s="9">
        <f t="shared" ca="1" si="2065"/>
        <v>9353</v>
      </c>
      <c r="AJ742" s="11">
        <f t="shared" ca="1" si="2057"/>
        <v>194.02318965517068</v>
      </c>
      <c r="AK742" s="8">
        <f t="shared" si="2058"/>
        <v>11164</v>
      </c>
      <c r="AL742" s="12">
        <f t="shared" ca="1" si="2059"/>
        <v>0.83778215693299896</v>
      </c>
      <c r="AM742" s="13">
        <f t="shared" si="2060"/>
        <v>1.5</v>
      </c>
      <c r="AN742" s="12">
        <f t="shared" ca="1" si="2061"/>
        <v>0.5540871032864797</v>
      </c>
      <c r="AO742" s="14">
        <f t="shared" ca="1" si="2062"/>
        <v>0.83113065492971949</v>
      </c>
      <c r="AP742" s="13">
        <f t="shared" ref="AP742:AQ742" ca="1" si="2066">SUM(T737)</f>
        <v>380.14204641421134</v>
      </c>
      <c r="AQ742" s="13">
        <f t="shared" ca="1" si="2066"/>
        <v>6.5541732140381264</v>
      </c>
      <c r="AR742" s="9">
        <f t="shared" ca="1" si="2064"/>
        <v>161.25862068965517</v>
      </c>
      <c r="AS742" s="76"/>
      <c r="AT742" s="76"/>
    </row>
    <row r="743" spans="1:46" ht="15.75" customHeight="1" x14ac:dyDescent="0.25">
      <c r="A743" s="70"/>
      <c r="B743" s="16">
        <v>9</v>
      </c>
      <c r="C743" s="16" t="s">
        <v>36</v>
      </c>
      <c r="D743" s="34">
        <v>30</v>
      </c>
      <c r="E743" s="18">
        <f ca="1">IFERROR(__xludf.DUMMYFUNCTION("COUNT(IMPORTRANGE(""https://docs.google.com/spreadsheets/d/1YNna43iTSqnwwbMJgTIPHSJEoDO8RGPRFg5pJCoQR_Y/edit"",""2!d2:d31""))"),29)</f>
        <v>29</v>
      </c>
      <c r="F743" s="23">
        <f ca="1">IFERROR(__xludf.DUMMYFUNCTION("SUM(IMPORTRANGE(""https://docs.google.com/spreadsheets/d/1YNna43iTSqnwwbMJgTIPHSJEoDO8RGPRFg5pJCoQR_Y/edit"",""2!Q2:Q31""))"),5604.12)</f>
        <v>5604.12</v>
      </c>
      <c r="G743" s="18">
        <f ca="1">IFERROR(__xludf.DUMMYFUNCTION("IMPORTRANGE(""https://docs.google.com/spreadsheets/d/1YNna43iTSqnwwbMJgTIPHSJEoDO8RGPRFg5pJCoQR_Y/edit"",""2!e38"")"),1533)</f>
        <v>1533</v>
      </c>
      <c r="H743" s="18">
        <f ca="1">IFERROR(__xludf.DUMMYFUNCTION("IMPORTRANGE(""https://docs.google.com/spreadsheets/d/1YNna43iTSqnwwbMJgTIPHSJEoDO8RGPRFg5pJCoQR_Y/edit"",""2!e39"")"),0)</f>
        <v>0</v>
      </c>
      <c r="I743" s="18">
        <f t="shared" ca="1" si="2037"/>
        <v>1533</v>
      </c>
      <c r="J743" s="18">
        <f ca="1">IFERROR(__xludf.DUMMYFUNCTION("IMPORTRANGE(""https://docs.google.com/spreadsheets/d/1YNna43iTSqnwwbMJgTIPHSJEoDO8RGPRFg5pJCoQR_Y/edit"",""2!e42"")"),2301)</f>
        <v>2301</v>
      </c>
      <c r="K743" s="18">
        <f ca="1">IFERROR(__xludf.DUMMYFUNCTION("IMPORTRANGE(""https://docs.google.com/spreadsheets/d/1YNna43iTSqnwwbMJgTIPHSJEoDO8RGPRFg5pJCoQR_Y/edit"",""2!e43"")"),0)</f>
        <v>0</v>
      </c>
      <c r="L743" s="18">
        <f t="shared" ref="L743:L752" ca="1" si="2067">SUM(J743:K743)</f>
        <v>2301</v>
      </c>
      <c r="M743" s="18">
        <f t="shared" ca="1" si="2039"/>
        <v>3834</v>
      </c>
      <c r="N743" s="19">
        <f t="shared" ca="1" si="2040"/>
        <v>193.2455172413793</v>
      </c>
      <c r="O743" s="16">
        <v>4796</v>
      </c>
      <c r="P743" s="20">
        <f t="shared" ca="1" si="2041"/>
        <v>0.79941618015012506</v>
      </c>
      <c r="Q743" s="21">
        <v>1.5</v>
      </c>
      <c r="R743" s="20">
        <f t="shared" ca="1" si="2042"/>
        <v>0.4560930172801439</v>
      </c>
      <c r="S743" s="22">
        <f t="shared" ca="1" si="2043"/>
        <v>0.68413952592021587</v>
      </c>
      <c r="T743" s="21">
        <f ca="1">F743/37.414</f>
        <v>149.78671085689848</v>
      </c>
      <c r="U743" s="21">
        <f t="shared" ca="1" si="2044"/>
        <v>5.1650589950654648</v>
      </c>
      <c r="V743" s="18">
        <f t="shared" ca="1" si="2045"/>
        <v>132.20689655172413</v>
      </c>
      <c r="W743" s="76"/>
      <c r="X743" s="8">
        <v>3</v>
      </c>
      <c r="Y743" s="8" t="s">
        <v>34</v>
      </c>
      <c r="Z743" s="8">
        <f t="shared" ref="Z743:AI743" si="2068">SUM(D739)</f>
        <v>40</v>
      </c>
      <c r="AA743" s="9">
        <f t="shared" ca="1" si="2068"/>
        <v>40</v>
      </c>
      <c r="AB743" s="10">
        <f t="shared" ca="1" si="2068"/>
        <v>7895.3429999999998</v>
      </c>
      <c r="AC743" s="9">
        <f t="shared" ca="1" si="2068"/>
        <v>3069</v>
      </c>
      <c r="AD743" s="9">
        <f t="shared" ca="1" si="2068"/>
        <v>0</v>
      </c>
      <c r="AE743" s="9">
        <f t="shared" ca="1" si="2068"/>
        <v>3069</v>
      </c>
      <c r="AF743" s="9">
        <f t="shared" ca="1" si="2068"/>
        <v>3126</v>
      </c>
      <c r="AG743" s="9">
        <f t="shared" ca="1" si="2068"/>
        <v>0</v>
      </c>
      <c r="AH743" s="9">
        <f t="shared" ca="1" si="2068"/>
        <v>3126</v>
      </c>
      <c r="AI743" s="9">
        <f t="shared" ca="1" si="2068"/>
        <v>6195</v>
      </c>
      <c r="AJ743" s="11">
        <f t="shared" ca="1" si="2057"/>
        <v>197.38357500000001</v>
      </c>
      <c r="AK743" s="8">
        <f>SUM(O739)</f>
        <v>9354</v>
      </c>
      <c r="AL743" s="12">
        <f t="shared" ca="1" si="2059"/>
        <v>0.66228351507376526</v>
      </c>
      <c r="AM743" s="13">
        <f>SUM(Q739)</f>
        <v>1.5</v>
      </c>
      <c r="AN743" s="12">
        <f t="shared" ca="1" si="2061"/>
        <v>0.52309317023972235</v>
      </c>
      <c r="AO743" s="14">
        <f t="shared" ca="1" si="2062"/>
        <v>0.78463975535958352</v>
      </c>
      <c r="AP743" s="13">
        <f t="shared" ref="AP743:AQ743" ca="1" si="2069">SUM(T739)</f>
        <v>257.06844007423564</v>
      </c>
      <c r="AQ743" s="13">
        <f t="shared" ca="1" si="2069"/>
        <v>6.4267110018558906</v>
      </c>
      <c r="AR743" s="9">
        <f t="shared" ca="1" si="2064"/>
        <v>154.875</v>
      </c>
      <c r="AS743" s="76"/>
      <c r="AT743" s="76"/>
    </row>
    <row r="744" spans="1:46" ht="15.75" customHeight="1" x14ac:dyDescent="0.25">
      <c r="A744" s="70"/>
      <c r="B744" s="16">
        <v>10</v>
      </c>
      <c r="C744" s="16" t="s">
        <v>37</v>
      </c>
      <c r="D744" s="17">
        <v>30</v>
      </c>
      <c r="E744" s="18">
        <f ca="1">IFERROR(__xludf.DUMMYFUNCTION("COUNT(IMPORTRANGE(""https://docs.google.com/spreadsheets/d/1913Df5BsXS_b-nClL8LOK5w0engQYTl1mPOiyngRtO0/edit"",""2!d2:d31""))"),30)</f>
        <v>30</v>
      </c>
      <c r="F744" s="23">
        <f ca="1">IFERROR(__xludf.DUMMYFUNCTION("SUM(IMPORTRANGE(""https://docs.google.com/spreadsheets/d/1913Df5BsXS_b-nClL8LOK5w0engQYTl1mPOiyngRtO0/edit"",""2!Q2:Q31""))"),5812.188)</f>
        <v>5812.1880000000001</v>
      </c>
      <c r="G744" s="18">
        <f ca="1">IFERROR(__xludf.DUMMYFUNCTION("(IMPORTRANGE(""https://docs.google.com/spreadsheets/d/1913Df5BsXS_b-nClL8LOK5w0engQYTl1mPOiyngRtO0/edit"",""2!e38""))"),2138)</f>
        <v>2138</v>
      </c>
      <c r="H744" s="18">
        <f ca="1">IFERROR(__xludf.DUMMYFUNCTION("(IMPORTRANGE(""https://docs.google.com/spreadsheets/d/1913Df5BsXS_b-nClL8LOK5w0engQYTl1mPOiyngRtO0/edit"",""2!e39""))"),0)</f>
        <v>0</v>
      </c>
      <c r="I744" s="18">
        <f t="shared" ca="1" si="2037"/>
        <v>2138</v>
      </c>
      <c r="J744" s="18">
        <f ca="1">IFERROR(__xludf.DUMMYFUNCTION("(IMPORTRANGE(""https://docs.google.com/spreadsheets/d/1913Df5BsXS_b-nClL8LOK5w0engQYTl1mPOiyngRtO0/edit"",""2!e42""))"),3071)</f>
        <v>3071</v>
      </c>
      <c r="K744" s="18">
        <f ca="1">IFERROR(__xludf.DUMMYFUNCTION("(IMPORTRANGE(""https://docs.google.com/spreadsheets/d/1913Df5BsXS_b-nClL8LOK5w0engQYTl1mPOiyngRtO0/edit"",""2!e43""))"),0)</f>
        <v>0</v>
      </c>
      <c r="L744" s="18">
        <f t="shared" ca="1" si="2067"/>
        <v>3071</v>
      </c>
      <c r="M744" s="18">
        <f t="shared" ca="1" si="2039"/>
        <v>5209</v>
      </c>
      <c r="N744" s="19">
        <f t="shared" ca="1" si="2040"/>
        <v>193.7396</v>
      </c>
      <c r="O744" s="16">
        <v>5887</v>
      </c>
      <c r="P744" s="20">
        <f t="shared" ca="1" si="2041"/>
        <v>0.88483098352301681</v>
      </c>
      <c r="Q744" s="21">
        <v>1.5</v>
      </c>
      <c r="R744" s="20">
        <f t="shared" ca="1" si="2042"/>
        <v>0.59748009986371164</v>
      </c>
      <c r="S744" s="22">
        <f t="shared" ca="1" si="2043"/>
        <v>0.89622014979556752</v>
      </c>
      <c r="T744" s="21">
        <f ca="1">F744/24.792</f>
        <v>234.4380445304937</v>
      </c>
      <c r="U744" s="21">
        <f t="shared" ca="1" si="2044"/>
        <v>7.8146014843497902</v>
      </c>
      <c r="V744" s="18">
        <f t="shared" ca="1" si="2045"/>
        <v>173.63333333333333</v>
      </c>
      <c r="W744" s="76"/>
      <c r="X744" s="8">
        <v>4</v>
      </c>
      <c r="Y744" s="8" t="s">
        <v>38</v>
      </c>
      <c r="Z744" s="8">
        <f t="shared" ref="Z744:AI744" si="2070">SUM(D747)</f>
        <v>30</v>
      </c>
      <c r="AA744" s="9">
        <f t="shared" ca="1" si="2070"/>
        <v>30</v>
      </c>
      <c r="AB744" s="10">
        <f t="shared" ca="1" si="2070"/>
        <v>6284.2779999999902</v>
      </c>
      <c r="AC744" s="9">
        <f t="shared" ca="1" si="2070"/>
        <v>2309</v>
      </c>
      <c r="AD744" s="9">
        <f t="shared" ca="1" si="2070"/>
        <v>0</v>
      </c>
      <c r="AE744" s="9">
        <f t="shared" ca="1" si="2070"/>
        <v>2309</v>
      </c>
      <c r="AF744" s="9">
        <f t="shared" ca="1" si="2070"/>
        <v>2749</v>
      </c>
      <c r="AG744" s="9">
        <f t="shared" ca="1" si="2070"/>
        <v>159</v>
      </c>
      <c r="AH744" s="9">
        <f t="shared" ca="1" si="2070"/>
        <v>2908</v>
      </c>
      <c r="AI744" s="9">
        <f t="shared" ca="1" si="2070"/>
        <v>5217</v>
      </c>
      <c r="AJ744" s="11">
        <f t="shared" ca="1" si="2057"/>
        <v>209.47593333333302</v>
      </c>
      <c r="AK744" s="8">
        <v>7324</v>
      </c>
      <c r="AL744" s="12">
        <f t="shared" ca="1" si="2059"/>
        <v>0.71231567449481159</v>
      </c>
      <c r="AM744" s="13">
        <f>SUM(Q747)</f>
        <v>1.5</v>
      </c>
      <c r="AN744" s="12">
        <f t="shared" ca="1" si="2061"/>
        <v>0.55344464391931825</v>
      </c>
      <c r="AO744" s="14">
        <f t="shared" ca="1" si="2062"/>
        <v>0.83016696587897731</v>
      </c>
      <c r="AP744" s="13">
        <f t="shared" ref="AP744:AQ744" ca="1" si="2071">SUM(T747)</f>
        <v>152.51251061764327</v>
      </c>
      <c r="AQ744" s="13">
        <f t="shared" ca="1" si="2071"/>
        <v>5.0837503539214426</v>
      </c>
      <c r="AR744" s="9">
        <f t="shared" ca="1" si="2064"/>
        <v>173.9</v>
      </c>
      <c r="AS744" s="76"/>
      <c r="AT744" s="76"/>
    </row>
    <row r="745" spans="1:46" ht="15.75" customHeight="1" x14ac:dyDescent="0.25">
      <c r="A745" s="70"/>
      <c r="B745" s="16">
        <v>12</v>
      </c>
      <c r="C745" s="16" t="s">
        <v>39</v>
      </c>
      <c r="D745" s="17">
        <v>28</v>
      </c>
      <c r="E745" s="18">
        <f ca="1">IFERROR(__xludf.DUMMYFUNCTION("COUNT(IMPORTRANGE(""https://docs.google.com/spreadsheets/d/1wMeol_MpSIcocGxt3WZGl46mJ2tc80mANPvP_YzaP18/edit"",""2!d2:d29""))"),28)</f>
        <v>28</v>
      </c>
      <c r="F745" s="23">
        <f ca="1">IFERROR(__xludf.DUMMYFUNCTION("SUM(IMPORTRANGE(""https://docs.google.com/spreadsheets/d/1wMeol_MpSIcocGxt3WZGl46mJ2tc80mANPvP_YzaP18/edit"",""2!Q2:Q29""))"),5458.878)</f>
        <v>5458.8779999999997</v>
      </c>
      <c r="G745" s="18">
        <f ca="1">IFERROR(__xludf.DUMMYFUNCTION("IMPORTRANGE(""https://docs.google.com/spreadsheets/d/1wMeol_MpSIcocGxt3WZGl46mJ2tc80mANPvP_YzaP18/edit"",""2!e36"")"),1516)</f>
        <v>1516</v>
      </c>
      <c r="H745" s="18">
        <f ca="1">IFERROR(__xludf.DUMMYFUNCTION("(IMPORTRANGE(""https://docs.google.com/spreadsheets/d/1wMeol_MpSIcocGxt3WZGl46mJ2tc80mANPvP_YzaP18/edit"",""2!e37""))"),43)</f>
        <v>43</v>
      </c>
      <c r="I745" s="18">
        <f t="shared" ca="1" si="2037"/>
        <v>1559</v>
      </c>
      <c r="J745" s="18">
        <f ca="1">IFERROR(__xludf.DUMMYFUNCTION("IMPORTRANGE(""https://docs.google.com/spreadsheets/d/1wMeol_MpSIcocGxt3WZGl46mJ2tc80mANPvP_YzaP18/edit"",""2!e40"")"),1765)</f>
        <v>1765</v>
      </c>
      <c r="K745" s="18">
        <f ca="1">IFERROR(__xludf.DUMMYFUNCTION("IMPORTRANGE(""https://docs.google.com/spreadsheets/d/1wMeol_MpSIcocGxt3WZGl46mJ2tc80mANPvP_YzaP18/edit"",""2!e41"")"),115)</f>
        <v>115</v>
      </c>
      <c r="L745" s="18">
        <f t="shared" ca="1" si="2067"/>
        <v>1880</v>
      </c>
      <c r="M745" s="18">
        <f t="shared" ca="1" si="2039"/>
        <v>3439</v>
      </c>
      <c r="N745" s="19">
        <f t="shared" ca="1" si="2040"/>
        <v>194.95992857142855</v>
      </c>
      <c r="O745" s="16">
        <v>3569</v>
      </c>
      <c r="P745" s="20">
        <f t="shared" ca="1" si="2041"/>
        <v>0.96357523115718691</v>
      </c>
      <c r="Q745" s="21">
        <v>1.5</v>
      </c>
      <c r="R745" s="20">
        <f t="shared" ca="1" si="2042"/>
        <v>0.4199886252571805</v>
      </c>
      <c r="S745" s="22">
        <f t="shared" ca="1" si="2043"/>
        <v>0.62998293788577076</v>
      </c>
      <c r="T745" s="21">
        <f ca="1">F745/21.463</f>
        <v>254.33900200344777</v>
      </c>
      <c r="U745" s="21">
        <f t="shared" ca="1" si="2044"/>
        <v>9.0835357858374213</v>
      </c>
      <c r="V745" s="18">
        <f t="shared" ca="1" si="2045"/>
        <v>122.82142857142857</v>
      </c>
      <c r="W745" s="76"/>
      <c r="X745" s="8">
        <v>5</v>
      </c>
      <c r="Y745" s="8" t="s">
        <v>40</v>
      </c>
      <c r="Z745" s="8">
        <f t="shared" ref="Z745:AI745" si="2072">SUM(D749)</f>
        <v>30</v>
      </c>
      <c r="AA745" s="9">
        <f t="shared" ca="1" si="2072"/>
        <v>30</v>
      </c>
      <c r="AB745" s="10">
        <f t="shared" ca="1" si="2072"/>
        <v>5845.7029999999904</v>
      </c>
      <c r="AC745" s="9">
        <f t="shared" ca="1" si="2072"/>
        <v>3323</v>
      </c>
      <c r="AD745" s="9">
        <f t="shared" ca="1" si="2072"/>
        <v>39</v>
      </c>
      <c r="AE745" s="9">
        <f t="shared" ca="1" si="2072"/>
        <v>3362</v>
      </c>
      <c r="AF745" s="9">
        <f t="shared" ca="1" si="2072"/>
        <v>3928</v>
      </c>
      <c r="AG745" s="9">
        <f t="shared" ca="1" si="2072"/>
        <v>73</v>
      </c>
      <c r="AH745" s="9">
        <f t="shared" ca="1" si="2072"/>
        <v>4001</v>
      </c>
      <c r="AI745" s="9">
        <f t="shared" ca="1" si="2072"/>
        <v>7363</v>
      </c>
      <c r="AJ745" s="11">
        <f t="shared" ca="1" si="2057"/>
        <v>194.85676666666635</v>
      </c>
      <c r="AK745" s="8">
        <f t="shared" ref="AK745:AK746" si="2073">SUM(O749)</f>
        <v>8239</v>
      </c>
      <c r="AL745" s="12">
        <f t="shared" ca="1" si="2059"/>
        <v>0.89367641704090306</v>
      </c>
      <c r="AM745" s="13">
        <f t="shared" ref="AM745:AM746" si="2074">SUM(Q749)</f>
        <v>1.5</v>
      </c>
      <c r="AN745" s="12">
        <f t="shared" ca="1" si="2061"/>
        <v>0.83970510760924311</v>
      </c>
      <c r="AO745" s="14">
        <f t="shared" ca="1" si="2062"/>
        <v>1.2595576614138646</v>
      </c>
      <c r="AP745" s="13">
        <f t="shared" ref="AP745:AQ745" ca="1" si="2075">SUM(T749)</f>
        <v>205.52343283057309</v>
      </c>
      <c r="AQ745" s="13">
        <f t="shared" ca="1" si="2075"/>
        <v>6.8507810943524365</v>
      </c>
      <c r="AR745" s="9">
        <f t="shared" ca="1" si="2064"/>
        <v>245.43333333333334</v>
      </c>
      <c r="AS745" s="76"/>
      <c r="AT745" s="76"/>
    </row>
    <row r="746" spans="1:46" ht="15.75" customHeight="1" x14ac:dyDescent="0.25">
      <c r="A746" s="70"/>
      <c r="B746" s="16">
        <v>12</v>
      </c>
      <c r="C746" s="16" t="s">
        <v>41</v>
      </c>
      <c r="D746" s="17">
        <v>24</v>
      </c>
      <c r="E746" s="18">
        <f ca="1">IFERROR(__xludf.DUMMYFUNCTION("COUNT(IMPORTRANGE(""https://docs.google.com/spreadsheets/d/1sHk6_yuc4kORC_xnhEeazoemV_hVUQVqRpfoNae-PLk/edit"",""2!d2:d25""))"),24)</f>
        <v>24</v>
      </c>
      <c r="F746" s="23">
        <f ca="1">IFERROR(__xludf.DUMMYFUNCTION("SUM(IMPORTRANGE(""https://docs.google.com/spreadsheets/d/1sHk6_yuc4kORC_xnhEeazoemV_hVUQVqRpfoNae-PLk/edit"",""2!Q2:Q25""))"),4806.32)</f>
        <v>4806.32</v>
      </c>
      <c r="G746" s="18">
        <f ca="1">IFERROR(__xludf.DUMMYFUNCTION("IMPORTRANGE(""https://docs.google.com/spreadsheets/d/1sHk6_yuc4kORC_xnhEeazoemV_hVUQVqRpfoNae-PLk/edit"",""2!e32"")"),1468)</f>
        <v>1468</v>
      </c>
      <c r="H746" s="18">
        <f ca="1">IFERROR(__xludf.DUMMYFUNCTION("IMPORTRANGE(""https://docs.google.com/spreadsheets/d/1sHk6_yuc4kORC_xnhEeazoemV_hVUQVqRpfoNae-PLk/edit"",""2!e33"")"),0)</f>
        <v>0</v>
      </c>
      <c r="I746" s="18">
        <f t="shared" ca="1" si="2037"/>
        <v>1468</v>
      </c>
      <c r="J746" s="18">
        <f ca="1">IFERROR(__xludf.DUMMYFUNCTION("IMPORTRANGE(""https://docs.google.com/spreadsheets/d/1sHk6_yuc4kORC_xnhEeazoemV_hVUQVqRpfoNae-PLk/edit"",""2!e36"")"),1656)</f>
        <v>1656</v>
      </c>
      <c r="K746" s="18">
        <f ca="1">IFERROR(__xludf.DUMMYFUNCTION("IMPORTRANGE(""https://docs.google.com/spreadsheets/d/1sHk6_yuc4kORC_xnhEeazoemV_hVUQVqRpfoNae-PLk/edit"",""2!e37"")"),0)</f>
        <v>0</v>
      </c>
      <c r="L746" s="18">
        <f t="shared" ca="1" si="2067"/>
        <v>1656</v>
      </c>
      <c r="M746" s="18">
        <f t="shared" ca="1" si="2039"/>
        <v>3124</v>
      </c>
      <c r="N746" s="19">
        <f t="shared" ca="1" si="2040"/>
        <v>200.26333333333332</v>
      </c>
      <c r="O746" s="16">
        <v>3801</v>
      </c>
      <c r="P746" s="20">
        <f t="shared" ca="1" si="2041"/>
        <v>0.82188897658510918</v>
      </c>
      <c r="Q746" s="21">
        <v>1.5</v>
      </c>
      <c r="R746" s="20">
        <f t="shared" ca="1" si="2042"/>
        <v>0.43331835305736338</v>
      </c>
      <c r="S746" s="22">
        <f t="shared" ca="1" si="2043"/>
        <v>0.64997752958604504</v>
      </c>
      <c r="T746" s="21">
        <f ca="1">F746/29.628</f>
        <v>162.2222222222222</v>
      </c>
      <c r="U746" s="21">
        <f t="shared" ca="1" si="2044"/>
        <v>6.7592592592592586</v>
      </c>
      <c r="V746" s="18">
        <f t="shared" ca="1" si="2045"/>
        <v>130.16666666666666</v>
      </c>
      <c r="W746" s="76"/>
      <c r="X746" s="8">
        <v>6</v>
      </c>
      <c r="Y746" s="8" t="s">
        <v>42</v>
      </c>
      <c r="Z746" s="8">
        <f t="shared" ref="Z746:AI746" si="2076">SUM(D750)</f>
        <v>33</v>
      </c>
      <c r="AA746" s="9">
        <f t="shared" ca="1" si="2076"/>
        <v>33</v>
      </c>
      <c r="AB746" s="10">
        <f t="shared" ca="1" si="2076"/>
        <v>6380.2819999999901</v>
      </c>
      <c r="AC746" s="9">
        <f t="shared" ca="1" si="2076"/>
        <v>3133</v>
      </c>
      <c r="AD746" s="9">
        <f t="shared" ca="1" si="2076"/>
        <v>0</v>
      </c>
      <c r="AE746" s="9">
        <f t="shared" ca="1" si="2076"/>
        <v>3133</v>
      </c>
      <c r="AF746" s="9">
        <f t="shared" ca="1" si="2076"/>
        <v>4360</v>
      </c>
      <c r="AG746" s="9">
        <f t="shared" ca="1" si="2076"/>
        <v>0</v>
      </c>
      <c r="AH746" s="9">
        <f t="shared" ca="1" si="2076"/>
        <v>4360</v>
      </c>
      <c r="AI746" s="9">
        <f t="shared" ca="1" si="2076"/>
        <v>7493</v>
      </c>
      <c r="AJ746" s="11">
        <f t="shared" ca="1" si="2057"/>
        <v>193.3418787878785</v>
      </c>
      <c r="AK746" s="8">
        <f t="shared" si="2073"/>
        <v>9877</v>
      </c>
      <c r="AL746" s="12">
        <f t="shared" ca="1" si="2059"/>
        <v>0.75863116330869695</v>
      </c>
      <c r="AM746" s="13">
        <f t="shared" si="2074"/>
        <v>1.5</v>
      </c>
      <c r="AN746" s="12">
        <f t="shared" ca="1" si="2061"/>
        <v>0.78293300097602903</v>
      </c>
      <c r="AO746" s="14">
        <f t="shared" ca="1" si="2062"/>
        <v>1.1743995014640436</v>
      </c>
      <c r="AP746" s="13">
        <f t="shared" ref="AP746:AQ746" ca="1" si="2077">SUM(T750)</f>
        <v>243.94119671190938</v>
      </c>
      <c r="AQ746" s="13">
        <f t="shared" ca="1" si="2077"/>
        <v>7.3921574761184665</v>
      </c>
      <c r="AR746" s="9">
        <f t="shared" ca="1" si="2064"/>
        <v>227.06060606060606</v>
      </c>
      <c r="AS746" s="76"/>
      <c r="AT746" s="76"/>
    </row>
    <row r="747" spans="1:46" ht="15.75" customHeight="1" x14ac:dyDescent="0.25">
      <c r="A747" s="70"/>
      <c r="B747" s="16">
        <v>13</v>
      </c>
      <c r="C747" s="16" t="s">
        <v>43</v>
      </c>
      <c r="D747" s="17">
        <v>30</v>
      </c>
      <c r="E747" s="18">
        <f ca="1">IFERROR(__xludf.DUMMYFUNCTION("COUNT(IMPORTRANGE(""https://docs.google.com/spreadsheets/d/1uGXvAN2jA6kmcEHUY4KqOHHewllZsujDdA6KVDfBCoA/edit"",""2!d2:d31""))"),30)</f>
        <v>30</v>
      </c>
      <c r="F747" s="23">
        <f ca="1">IFERROR(__xludf.DUMMYFUNCTION("SUM(IMPORTRANGE(""https://docs.google.com/spreadsheets/d/1uGXvAN2jA6kmcEHUY4KqOHHewllZsujDdA6KVDfBCoA/edit"",""2!Q2:Q31""))"),6284.27799999999)</f>
        <v>6284.2779999999902</v>
      </c>
      <c r="G747" s="18">
        <f ca="1">IFERROR(__xludf.DUMMYFUNCTION("IMPORTRANGE(""https://docs.google.com/spreadsheets/d/1uGXvAN2jA6kmcEHUY4KqOHHewllZsujDdA6KVDfBCoA/edit"",""2!e38"")"),2309)</f>
        <v>2309</v>
      </c>
      <c r="H747" s="18">
        <f ca="1">IFERROR(__xludf.DUMMYFUNCTION("IMPORTRANGE(""https://docs.google.com/spreadsheets/d/1uGXvAN2jA6kmcEHUY4KqOHHewllZsujDdA6KVDfBCoA/edit"",""2!e39"")"),0)</f>
        <v>0</v>
      </c>
      <c r="I747" s="18">
        <f t="shared" ca="1" si="2037"/>
        <v>2309</v>
      </c>
      <c r="J747" s="18">
        <f ca="1">IFERROR(__xludf.DUMMYFUNCTION("IMPORTRANGE(""https://docs.google.com/spreadsheets/d/1uGXvAN2jA6kmcEHUY4KqOHHewllZsujDdA6KVDfBCoA/edit"",""2!e42"")"),2749)</f>
        <v>2749</v>
      </c>
      <c r="K747" s="18">
        <f ca="1">IFERROR(__xludf.DUMMYFUNCTION("IMPORTRANGE(""https://docs.google.com/spreadsheets/d/1uGXvAN2jA6kmcEHUY4KqOHHewllZsujDdA6KVDfBCoA/edit"",""2!e43"")"),159)</f>
        <v>159</v>
      </c>
      <c r="L747" s="18">
        <f t="shared" ca="1" si="2067"/>
        <v>2908</v>
      </c>
      <c r="M747" s="18">
        <f t="shared" ca="1" si="2039"/>
        <v>5217</v>
      </c>
      <c r="N747" s="19">
        <f t="shared" ca="1" si="2040"/>
        <v>209.47593333333302</v>
      </c>
      <c r="O747" s="16">
        <v>8345</v>
      </c>
      <c r="P747" s="20">
        <f t="shared" ca="1" si="2041"/>
        <v>0.62516476932294784</v>
      </c>
      <c r="Q747" s="21">
        <v>1.5</v>
      </c>
      <c r="R747" s="20">
        <f t="shared" ca="1" si="2042"/>
        <v>0.55344464391931825</v>
      </c>
      <c r="S747" s="22">
        <f t="shared" ca="1" si="2043"/>
        <v>0.83016696587897731</v>
      </c>
      <c r="T747" s="21">
        <f ca="1">F747/41.205</f>
        <v>152.51251061764327</v>
      </c>
      <c r="U747" s="21">
        <f t="shared" ca="1" si="2044"/>
        <v>5.0837503539214426</v>
      </c>
      <c r="V747" s="18">
        <f t="shared" ca="1" si="2045"/>
        <v>173.9</v>
      </c>
      <c r="W747" s="76"/>
      <c r="X747" s="24" t="s">
        <v>33</v>
      </c>
      <c r="Y747" s="24">
        <v>6</v>
      </c>
      <c r="Z747" s="24">
        <f t="shared" ref="Z747:AI747" si="2078">SUM(Z741:Z746)</f>
        <v>226</v>
      </c>
      <c r="AA747" s="25">
        <f t="shared" ca="1" si="2078"/>
        <v>224</v>
      </c>
      <c r="AB747" s="27">
        <f t="shared" ca="1" si="2078"/>
        <v>44187.783999999869</v>
      </c>
      <c r="AC747" s="25">
        <f t="shared" ca="1" si="2078"/>
        <v>18291</v>
      </c>
      <c r="AD747" s="25">
        <f t="shared" ca="1" si="2078"/>
        <v>143</v>
      </c>
      <c r="AE747" s="25">
        <f t="shared" ca="1" si="2078"/>
        <v>18434</v>
      </c>
      <c r="AF747" s="25">
        <f t="shared" ca="1" si="2078"/>
        <v>22964</v>
      </c>
      <c r="AG747" s="25">
        <f t="shared" ca="1" si="2078"/>
        <v>334</v>
      </c>
      <c r="AH747" s="25">
        <f t="shared" ca="1" si="2078"/>
        <v>23298</v>
      </c>
      <c r="AI747" s="25">
        <f t="shared" ca="1" si="2078"/>
        <v>41732</v>
      </c>
      <c r="AJ747" s="27">
        <f t="shared" ca="1" si="2057"/>
        <v>197.26689285714227</v>
      </c>
      <c r="AK747" s="24">
        <f>SUM(AK741:AK746)</f>
        <v>53273</v>
      </c>
      <c r="AL747" s="28">
        <f t="shared" ca="1" si="2059"/>
        <v>0.78336117733185662</v>
      </c>
      <c r="AM747" s="29">
        <v>1.5</v>
      </c>
      <c r="AN747" s="28">
        <f t="shared" ca="1" si="2061"/>
        <v>0.62961594392996523</v>
      </c>
      <c r="AO747" s="30">
        <f t="shared" ca="1" si="2062"/>
        <v>0.9444239158949479</v>
      </c>
      <c r="AP747" s="29">
        <f ca="1">SUM(AP741:AP746)</f>
        <v>1450.4972359957583</v>
      </c>
      <c r="AQ747" s="29">
        <f ca="1">AP747/AA747</f>
        <v>6.4754340892667779</v>
      </c>
      <c r="AR747" s="25">
        <f t="shared" ca="1" si="2064"/>
        <v>186.30357142857142</v>
      </c>
      <c r="AS747" s="76"/>
      <c r="AT747" s="76"/>
    </row>
    <row r="748" spans="1:46" ht="15.75" customHeight="1" x14ac:dyDescent="0.25">
      <c r="A748" s="70"/>
      <c r="B748" s="16">
        <v>14</v>
      </c>
      <c r="C748" s="16" t="s">
        <v>27</v>
      </c>
      <c r="D748" s="17">
        <v>30</v>
      </c>
      <c r="E748" s="18">
        <f ca="1">IFERROR(__xludf.DUMMYFUNCTION("COUNT(IMPORTRANGE(""https://docs.google.com/spreadsheets/d/1iYtf3wkjJIgOL8ej0-L89wY8FLXKi6EiRbi9UqA1Bzw/edit"",""2!d2:d31""))"),28)</f>
        <v>28</v>
      </c>
      <c r="F748" s="23">
        <f ca="1">IFERROR(__xludf.DUMMYFUNCTION("SUM(IMPORTRANGE(""https://docs.google.com/spreadsheets/d/1iYtf3wkjJIgOL8ej0-L89wY8FLXKi6EiRbi9UqA1Bzw/edit"",""2!Q2:Q31""))"),5465.76)</f>
        <v>5465.76</v>
      </c>
      <c r="G748" s="18">
        <f ca="1">IFERROR(__xludf.DUMMYFUNCTION("IMPORTRANGE(""https://docs.google.com/spreadsheets/d/1iYtf3wkjJIgOL8ej0-L89wY8FLXKi6EiRbi9UqA1Bzw/edit"",""2!e38"")"),2368)</f>
        <v>2368</v>
      </c>
      <c r="H748" s="18">
        <f ca="1">IFERROR(__xludf.DUMMYFUNCTION("IMPORTRANGE(""https://docs.google.com/spreadsheets/d/1iYtf3wkjJIgOL8ej0-L89wY8FLXKi6EiRbi9UqA1Bzw/edit"",""2!e39"")"),140)</f>
        <v>140</v>
      </c>
      <c r="I748" s="18">
        <f t="shared" ca="1" si="2037"/>
        <v>2508</v>
      </c>
      <c r="J748" s="18">
        <f ca="1">IFERROR(__xludf.DUMMYFUNCTION("IMPORTRANGE(""https://docs.google.com/spreadsheets/d/1iYtf3wkjJIgOL8ej0-L89wY8FLXKi6EiRbi9UqA1Bzw/edit"",""2!e42"")"),3355)</f>
        <v>3355</v>
      </c>
      <c r="K748" s="18">
        <f ca="1">IFERROR(__xludf.DUMMYFUNCTION("IMPORTRANGE(""https://docs.google.com/spreadsheets/d/1iYtf3wkjJIgOL8ej0-L89wY8FLXKi6EiRbi9UqA1Bzw/edit"",""2!e43"")"),107)</f>
        <v>107</v>
      </c>
      <c r="L748" s="18">
        <f t="shared" ca="1" si="2067"/>
        <v>3462</v>
      </c>
      <c r="M748" s="18">
        <f t="shared" ca="1" si="2039"/>
        <v>5970</v>
      </c>
      <c r="N748" s="19">
        <f t="shared" ca="1" si="2040"/>
        <v>195.20571428571429</v>
      </c>
      <c r="O748" s="16">
        <v>8101</v>
      </c>
      <c r="P748" s="20">
        <f t="shared" ca="1" si="2041"/>
        <v>0.73694605604246388</v>
      </c>
      <c r="Q748" s="21">
        <v>1.5</v>
      </c>
      <c r="R748" s="20">
        <f t="shared" ca="1" si="2042"/>
        <v>0.72816955007171913</v>
      </c>
      <c r="S748" s="22">
        <f t="shared" ca="1" si="2043"/>
        <v>1.0922543251075787</v>
      </c>
      <c r="T748" s="21">
        <f ca="1">F748/19.985</f>
        <v>273.49311983987991</v>
      </c>
      <c r="U748" s="21">
        <f t="shared" ca="1" si="2044"/>
        <v>9.7676114228528537</v>
      </c>
      <c r="V748" s="18">
        <f t="shared" ca="1" si="2045"/>
        <v>213.21428571428572</v>
      </c>
      <c r="W748" s="76"/>
      <c r="X748" s="97" t="s">
        <v>44</v>
      </c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9"/>
      <c r="AS748" s="76"/>
      <c r="AT748" s="76"/>
    </row>
    <row r="749" spans="1:46" ht="15.75" customHeight="1" x14ac:dyDescent="0.25">
      <c r="A749" s="70"/>
      <c r="B749" s="16">
        <v>15</v>
      </c>
      <c r="C749" s="16" t="s">
        <v>40</v>
      </c>
      <c r="D749" s="17">
        <v>30</v>
      </c>
      <c r="E749" s="18">
        <f ca="1">IFERROR(__xludf.DUMMYFUNCTION("COUNT(IMPORTRANGE(""https://docs.google.com/spreadsheets/d/1Wdf8MsoDBzMSsrzOXwaGQzbVjVqOWfKSqYmbncevZgA/edit"",""2!d2:d31""))"),30)</f>
        <v>30</v>
      </c>
      <c r="F749" s="23">
        <f ca="1">IFERROR(__xludf.DUMMYFUNCTION("SUM(IMPORTRANGE(""https://docs.google.com/spreadsheets/d/1Wdf8MsoDBzMSsrzOXwaGQzbVjVqOWfKSqYmbncevZgA/edit"",""2!Q2:Q31""))"),5845.70299999999)</f>
        <v>5845.7029999999904</v>
      </c>
      <c r="G749" s="18">
        <f ca="1">IFERROR(__xludf.DUMMYFUNCTION("IMPORTRANGE(""https://docs.google.com/spreadsheets/d/1Wdf8MsoDBzMSsrzOXwaGQzbVjVqOWfKSqYmbncevZgA/edit"",""2!e38"")"),3323)</f>
        <v>3323</v>
      </c>
      <c r="H749" s="18">
        <f ca="1">IFERROR(__xludf.DUMMYFUNCTION("IMPORTRANGE(""https://docs.google.com/spreadsheets/d/1Wdf8MsoDBzMSsrzOXwaGQzbVjVqOWfKSqYmbncevZgA/edit"",""2!e39"")"),39)</f>
        <v>39</v>
      </c>
      <c r="I749" s="18">
        <f t="shared" ca="1" si="2037"/>
        <v>3362</v>
      </c>
      <c r="J749" s="18">
        <f ca="1">IFERROR(__xludf.DUMMYFUNCTION("IMPORTRANGE(""https://docs.google.com/spreadsheets/d/1Wdf8MsoDBzMSsrzOXwaGQzbVjVqOWfKSqYmbncevZgA/edit"",""2!e42"")"),3928)</f>
        <v>3928</v>
      </c>
      <c r="K749" s="18">
        <f ca="1">IFERROR(__xludf.DUMMYFUNCTION("IMPORTRANGE(""https://docs.google.com/spreadsheets/d/1Wdf8MsoDBzMSsrzOXwaGQzbVjVqOWfKSqYmbncevZgA/edit"",""2!e43"")"),73)</f>
        <v>73</v>
      </c>
      <c r="L749" s="18">
        <f t="shared" ca="1" si="2067"/>
        <v>4001</v>
      </c>
      <c r="M749" s="18">
        <f t="shared" ca="1" si="2039"/>
        <v>7363</v>
      </c>
      <c r="N749" s="19">
        <f t="shared" ca="1" si="2040"/>
        <v>194.85676666666635</v>
      </c>
      <c r="O749" s="16">
        <v>8239</v>
      </c>
      <c r="P749" s="20">
        <f t="shared" ca="1" si="2041"/>
        <v>0.89367641704090306</v>
      </c>
      <c r="Q749" s="21">
        <v>1.5</v>
      </c>
      <c r="R749" s="20">
        <f t="shared" ca="1" si="2042"/>
        <v>0.83970510760924311</v>
      </c>
      <c r="S749" s="22">
        <f t="shared" ca="1" si="2043"/>
        <v>1.2595576614138646</v>
      </c>
      <c r="T749" s="21">
        <f ca="1">F749/28.443</f>
        <v>205.52343283057309</v>
      </c>
      <c r="U749" s="21">
        <f t="shared" ca="1" si="2044"/>
        <v>6.8507810943524365</v>
      </c>
      <c r="V749" s="18">
        <f t="shared" ca="1" si="2045"/>
        <v>245.43333333333334</v>
      </c>
      <c r="W749" s="76"/>
      <c r="X749" s="1" t="s">
        <v>2</v>
      </c>
      <c r="Y749" s="1" t="s">
        <v>3</v>
      </c>
      <c r="Z749" s="1" t="s">
        <v>4</v>
      </c>
      <c r="AA749" s="1" t="s">
        <v>5</v>
      </c>
      <c r="AB749" s="2" t="s">
        <v>6</v>
      </c>
      <c r="AC749" s="1" t="s">
        <v>7</v>
      </c>
      <c r="AD749" s="1" t="s">
        <v>8</v>
      </c>
      <c r="AE749" s="1" t="s">
        <v>9</v>
      </c>
      <c r="AF749" s="1" t="s">
        <v>10</v>
      </c>
      <c r="AG749" s="1" t="s">
        <v>11</v>
      </c>
      <c r="AH749" s="1" t="s">
        <v>12</v>
      </c>
      <c r="AI749" s="1" t="s">
        <v>13</v>
      </c>
      <c r="AJ749" s="2" t="s">
        <v>14</v>
      </c>
      <c r="AK749" s="1" t="s">
        <v>15</v>
      </c>
      <c r="AL749" s="1" t="s">
        <v>16</v>
      </c>
      <c r="AM749" s="3" t="s">
        <v>17</v>
      </c>
      <c r="AN749" s="4" t="s">
        <v>18</v>
      </c>
      <c r="AO749" s="5" t="s">
        <v>19</v>
      </c>
      <c r="AP749" s="6" t="s">
        <v>20</v>
      </c>
      <c r="AQ749" s="6" t="s">
        <v>21</v>
      </c>
      <c r="AR749" s="7" t="s">
        <v>22</v>
      </c>
      <c r="AS749" s="76"/>
      <c r="AT749" s="76"/>
    </row>
    <row r="750" spans="1:46" ht="15.75" customHeight="1" x14ac:dyDescent="0.25">
      <c r="A750" s="70"/>
      <c r="B750" s="16">
        <v>16</v>
      </c>
      <c r="C750" s="16" t="s">
        <v>42</v>
      </c>
      <c r="D750" s="17">
        <v>33</v>
      </c>
      <c r="E750" s="18">
        <f ca="1">IFERROR(__xludf.DUMMYFUNCTION("COUNT(IMPORTRANGE(""https://docs.google.com/spreadsheets/d/1Z5uB5HbeAKcHmG4EOw3rf2J8NpyvDiha6RReERAMvA0/edit"",""2!d2:d34""))"),33)</f>
        <v>33</v>
      </c>
      <c r="F750" s="23">
        <f ca="1">IFERROR(__xludf.DUMMYFUNCTION("SUM(IMPORTRANGE(""https://docs.google.com/spreadsheets/d/1Z5uB5HbeAKcHmG4EOw3rf2J8NpyvDiha6RReERAMvA0/edit"",""2!Q2:Q34""))"),6380.28199999999)</f>
        <v>6380.2819999999901</v>
      </c>
      <c r="G750" s="18">
        <f ca="1">IFERROR(__xludf.DUMMYFUNCTION("IMPORTRANGE(""https://docs.google.com/spreadsheets/d/1Z5uB5HbeAKcHmG4EOw3rf2J8NpyvDiha6RReERAMvA0/edit"",""2!e41"")"),3133)</f>
        <v>3133</v>
      </c>
      <c r="H750" s="18">
        <f ca="1">IFERROR(__xludf.DUMMYFUNCTION("IMPORTRANGE(""https://docs.google.com/spreadsheets/d/1Z5uB5HbeAKcHmG4EOw3rf2J8NpyvDiha6RReERAMvA0/edit"",""2!e42"")"),0)</f>
        <v>0</v>
      </c>
      <c r="I750" s="18">
        <f t="shared" ca="1" si="2037"/>
        <v>3133</v>
      </c>
      <c r="J750" s="18">
        <f ca="1">IFERROR(__xludf.DUMMYFUNCTION("IMPORTRANGE(""https://docs.google.com/spreadsheets/d/1Z5uB5HbeAKcHmG4EOw3rf2J8NpyvDiha6RReERAMvA0/edit"",""2!e45"")"),4360)</f>
        <v>4360</v>
      </c>
      <c r="K750" s="18">
        <f ca="1">IFERROR(__xludf.DUMMYFUNCTION("IMPORTRANGE(""https://docs.google.com/spreadsheets/d/1Z5uB5HbeAKcHmG4EOw3rf2J8NpyvDiha6RReERAMvA0/edit"",""2!e46"")"),0)</f>
        <v>0</v>
      </c>
      <c r="L750" s="18">
        <f t="shared" ca="1" si="2067"/>
        <v>4360</v>
      </c>
      <c r="M750" s="18">
        <f t="shared" ca="1" si="2039"/>
        <v>7493</v>
      </c>
      <c r="N750" s="19">
        <f t="shared" ca="1" si="2040"/>
        <v>193.3418787878785</v>
      </c>
      <c r="O750" s="16">
        <v>9877</v>
      </c>
      <c r="P750" s="20">
        <f t="shared" ca="1" si="2041"/>
        <v>0.75863116330869695</v>
      </c>
      <c r="Q750" s="21">
        <v>1.5</v>
      </c>
      <c r="R750" s="20">
        <f t="shared" ca="1" si="2042"/>
        <v>0.78293300097602903</v>
      </c>
      <c r="S750" s="22">
        <f t="shared" ca="1" si="2043"/>
        <v>1.1743995014640436</v>
      </c>
      <c r="T750" s="21">
        <f ca="1">F750/26.155</f>
        <v>243.94119671190938</v>
      </c>
      <c r="U750" s="21">
        <f t="shared" ca="1" si="2044"/>
        <v>7.3921574761184665</v>
      </c>
      <c r="V750" s="18">
        <f t="shared" ca="1" si="2045"/>
        <v>227.06060606060606</v>
      </c>
      <c r="W750" s="76"/>
      <c r="X750" s="8">
        <v>1</v>
      </c>
      <c r="Y750" s="8" t="s">
        <v>26</v>
      </c>
      <c r="Z750" s="8">
        <f t="shared" ref="Z750:AI750" si="2079">SUM(D735)</f>
        <v>20</v>
      </c>
      <c r="AA750" s="9">
        <f t="shared" ca="1" si="2079"/>
        <v>20</v>
      </c>
      <c r="AB750" s="11">
        <f t="shared" ca="1" si="2079"/>
        <v>3560.9639999999999</v>
      </c>
      <c r="AC750" s="9">
        <f t="shared" ca="1" si="2079"/>
        <v>1873</v>
      </c>
      <c r="AD750" s="9">
        <f t="shared" ca="1" si="2079"/>
        <v>0</v>
      </c>
      <c r="AE750" s="9">
        <f t="shared" ca="1" si="2079"/>
        <v>1873</v>
      </c>
      <c r="AF750" s="9">
        <f t="shared" ca="1" si="2079"/>
        <v>3204</v>
      </c>
      <c r="AG750" s="9">
        <f t="shared" ca="1" si="2079"/>
        <v>0</v>
      </c>
      <c r="AH750" s="9">
        <f t="shared" ca="1" si="2079"/>
        <v>3204</v>
      </c>
      <c r="AI750" s="9">
        <f t="shared" ca="1" si="2079"/>
        <v>5077</v>
      </c>
      <c r="AJ750" s="11">
        <f t="shared" ref="AJ750:AJ756" ca="1" si="2080">AB750/AA750</f>
        <v>178.04820000000001</v>
      </c>
      <c r="AK750" s="8">
        <f>SUM(O735)</f>
        <v>5161</v>
      </c>
      <c r="AL750" s="12">
        <f t="shared" ref="AL750:AL756" ca="1" si="2081">AI750/AK750</f>
        <v>0.98372408447975201</v>
      </c>
      <c r="AM750" s="13">
        <f>SUM(Q735)</f>
        <v>1.5</v>
      </c>
      <c r="AN750" s="12">
        <f t="shared" ref="AN750:AN756" ca="1" si="2082">AO750/AM750</f>
        <v>0.95049168333818213</v>
      </c>
      <c r="AO750" s="14">
        <f t="shared" ref="AO750:AO756" ca="1" si="2083">AI750/AB750</f>
        <v>1.4257375250072732</v>
      </c>
      <c r="AP750" s="13">
        <f t="shared" ref="AP750:AQ750" ca="1" si="2084">SUM(T735)</f>
        <v>247.0318418314256</v>
      </c>
      <c r="AQ750" s="13">
        <f t="shared" ca="1" si="2084"/>
        <v>12.35159209157128</v>
      </c>
      <c r="AR750" s="9">
        <f t="shared" ref="AR750:AR756" ca="1" si="2085">AI750/AA750</f>
        <v>253.85</v>
      </c>
      <c r="AS750" s="76"/>
      <c r="AT750" s="76"/>
    </row>
    <row r="751" spans="1:46" ht="15.75" customHeight="1" x14ac:dyDescent="0.25">
      <c r="A751" s="70"/>
      <c r="B751" s="16">
        <v>17</v>
      </c>
      <c r="C751" s="16" t="s">
        <v>29</v>
      </c>
      <c r="D751" s="17">
        <v>30</v>
      </c>
      <c r="E751" s="18">
        <f ca="1">IFERROR(__xludf.DUMMYFUNCTION("COUNT(IMPORTRANGE(""https://docs.google.com/spreadsheets/d/1wfJqI0e9wVPqEQv3N6b8KgINjqI0OBECEyIFeY9j3i8/edit"",""2!d2:d31""))"),29)</f>
        <v>29</v>
      </c>
      <c r="F751" s="23">
        <f ca="1">IFERROR(__xludf.DUMMYFUNCTION("SUM(IMPORTRANGE(""https://docs.google.com/spreadsheets/d/1wfJqI0e9wVPqEQv3N6b8KgINjqI0OBECEyIFeY9j3i8/edit"",""2!Q2:Q31""))"),5775.03799999999)</f>
        <v>5775.0379999999896</v>
      </c>
      <c r="G751" s="18">
        <f ca="1">IFERROR(__xludf.DUMMYFUNCTION("IMPORTRANGE(""https://docs.google.com/spreadsheets/d/1wfJqI0e9wVPqEQv3N6b8KgINjqI0OBECEyIFeY9j3i8/edit"",""2!e38"")"),2726)</f>
        <v>2726</v>
      </c>
      <c r="H751" s="18">
        <f ca="1">IFERROR(__xludf.DUMMYFUNCTION("IMPORTRANGE(""https://docs.google.com/spreadsheets/d/1wfJqI0e9wVPqEQv3N6b8KgINjqI0OBECEyIFeY9j3i8/edit"",""2!e39"")"),0)</f>
        <v>0</v>
      </c>
      <c r="I751" s="18">
        <f t="shared" ca="1" si="2037"/>
        <v>2726</v>
      </c>
      <c r="J751" s="18">
        <f ca="1">IFERROR(__xludf.DUMMYFUNCTION("IMPORTRANGE(""https://docs.google.com/spreadsheets/d/1wfJqI0e9wVPqEQv3N6b8KgINjqI0OBECEyIFeY9j3i8/edit"",""2!e42"")"),4235)</f>
        <v>4235</v>
      </c>
      <c r="K751" s="18">
        <f ca="1">IFERROR(__xludf.DUMMYFUNCTION("IMPORTRANGE(""https://docs.google.com/spreadsheets/d/1wfJqI0e9wVPqEQv3N6b8KgINjqI0OBECEyIFeY9j3i8/edit"",""2!e43"")"),0)</f>
        <v>0</v>
      </c>
      <c r="L751" s="18">
        <f t="shared" ca="1" si="2067"/>
        <v>4235</v>
      </c>
      <c r="M751" s="18">
        <f t="shared" ca="1" si="2039"/>
        <v>6961</v>
      </c>
      <c r="N751" s="19">
        <f t="shared" ca="1" si="2040"/>
        <v>199.13924137930999</v>
      </c>
      <c r="O751" s="16">
        <v>9201</v>
      </c>
      <c r="P751" s="20">
        <f t="shared" ca="1" si="2041"/>
        <v>0.75654820128246925</v>
      </c>
      <c r="Q751" s="21">
        <v>1.5</v>
      </c>
      <c r="R751" s="20">
        <f t="shared" ca="1" si="2042"/>
        <v>0.80357335599638902</v>
      </c>
      <c r="S751" s="22">
        <f t="shared" ca="1" si="2043"/>
        <v>1.2053600339945836</v>
      </c>
      <c r="T751" s="21">
        <f ca="1">F751/26.491</f>
        <v>217.9999999999996</v>
      </c>
      <c r="U751" s="21">
        <f t="shared" ca="1" si="2044"/>
        <v>7.517241379310331</v>
      </c>
      <c r="V751" s="18">
        <f t="shared" ca="1" si="2045"/>
        <v>240.0344827586207</v>
      </c>
      <c r="W751" s="76"/>
      <c r="X751" s="8">
        <v>2</v>
      </c>
      <c r="Y751" s="8" t="s">
        <v>32</v>
      </c>
      <c r="Z751" s="8">
        <f t="shared" ref="Z751:AI751" si="2086">SUM(D738)</f>
        <v>42</v>
      </c>
      <c r="AA751" s="9">
        <f t="shared" ca="1" si="2086"/>
        <v>42</v>
      </c>
      <c r="AB751" s="10">
        <f t="shared" ca="1" si="2086"/>
        <v>8179.0139999999901</v>
      </c>
      <c r="AC751" s="8">
        <f t="shared" ca="1" si="2086"/>
        <v>4808</v>
      </c>
      <c r="AD751" s="8">
        <f t="shared" ca="1" si="2086"/>
        <v>0</v>
      </c>
      <c r="AE751" s="9">
        <f t="shared" ca="1" si="2086"/>
        <v>4808</v>
      </c>
      <c r="AF751" s="8">
        <f t="shared" ca="1" si="2086"/>
        <v>5449</v>
      </c>
      <c r="AG751" s="8">
        <f t="shared" ca="1" si="2086"/>
        <v>190</v>
      </c>
      <c r="AH751" s="9">
        <f t="shared" ca="1" si="2086"/>
        <v>5639</v>
      </c>
      <c r="AI751" s="9">
        <f t="shared" ca="1" si="2086"/>
        <v>10447</v>
      </c>
      <c r="AJ751" s="11">
        <f t="shared" ca="1" si="2080"/>
        <v>194.73842857142833</v>
      </c>
      <c r="AK751" s="8">
        <f>SUM(O738)</f>
        <v>13817</v>
      </c>
      <c r="AL751" s="12">
        <f t="shared" ca="1" si="2081"/>
        <v>0.75609756097560976</v>
      </c>
      <c r="AM751" s="13">
        <f>SUM(Q738)</f>
        <v>1.5</v>
      </c>
      <c r="AN751" s="12">
        <f t="shared" ca="1" si="2082"/>
        <v>0.85152888437000784</v>
      </c>
      <c r="AO751" s="14">
        <f t="shared" ca="1" si="2083"/>
        <v>1.2772933265550117</v>
      </c>
      <c r="AP751" s="13">
        <f t="shared" ref="AP751:AQ751" ca="1" si="2087">SUM(T738)</f>
        <v>325.9999999999996</v>
      </c>
      <c r="AQ751" s="13">
        <f t="shared" ca="1" si="2087"/>
        <v>7.7619047619047521</v>
      </c>
      <c r="AR751" s="9">
        <f t="shared" ca="1" si="2085"/>
        <v>248.73809523809524</v>
      </c>
      <c r="AS751" s="76"/>
      <c r="AT751" s="76"/>
    </row>
    <row r="752" spans="1:46" ht="15.75" customHeight="1" x14ac:dyDescent="0.25">
      <c r="A752" s="70"/>
      <c r="B752" s="16">
        <v>18</v>
      </c>
      <c r="C752" s="16" t="s">
        <v>31</v>
      </c>
      <c r="D752" s="17">
        <v>15</v>
      </c>
      <c r="E752" s="18">
        <f ca="1">IFERROR(__xludf.DUMMYFUNCTION("COUNT(IMPORTRANGE(""https://docs.google.com/spreadsheets/d/1-y2KhTAo7d8kowgUuWUDfRQuRMUAFteRYEXorT3_wOs/edit"",""2!d2:d16""))"),13)</f>
        <v>13</v>
      </c>
      <c r="F752" s="19">
        <f ca="1">IFERROR(__xludf.DUMMYFUNCTION("SUM(IMPORTRANGE(""https://docs.google.com/spreadsheets/d/1-y2KhTAo7d8kowgUuWUDfRQuRMUAFteRYEXorT3_wOs/edit"",""2!Q2:Q16""))"),2607.9)</f>
        <v>2607.9</v>
      </c>
      <c r="G752" s="18">
        <f ca="1">IFERROR(__xludf.DUMMYFUNCTION("IMPORTRANGE(""https://docs.google.com/spreadsheets/d/1-y2KhTAo7d8kowgUuWUDfRQuRMUAFteRYEXorT3_wOs/edit"",""2!e23"")"),870)</f>
        <v>870</v>
      </c>
      <c r="H752" s="18">
        <f ca="1">IFERROR(__xludf.DUMMYFUNCTION("IMPORTRANGE(""https://docs.google.com/spreadsheets/d/1-y2KhTAo7d8kowgUuWUDfRQuRMUAFteRYEXorT3_wOs/edit"",""2!e24"")"),0)</f>
        <v>0</v>
      </c>
      <c r="I752" s="18">
        <f t="shared" ca="1" si="2037"/>
        <v>870</v>
      </c>
      <c r="J752" s="18">
        <f ca="1">IFERROR(__xludf.DUMMYFUNCTION("IMPORTRANGE(""https://docs.google.com/spreadsheets/d/1-y2KhTAo7d8kowgUuWUDfRQuRMUAFteRYEXorT3_wOs/edit"",""2!e27"")"),975)</f>
        <v>975</v>
      </c>
      <c r="K752" s="18">
        <f ca="1">IFERROR(__xludf.DUMMYFUNCTION("IMPORTRANGE(""https://docs.google.com/spreadsheets/d/1-y2KhTAo7d8kowgUuWUDfRQuRMUAFteRYEXorT3_wOs/edit"",""2!e28"")"),55)</f>
        <v>55</v>
      </c>
      <c r="L752" s="18">
        <f t="shared" ca="1" si="2067"/>
        <v>1030</v>
      </c>
      <c r="M752" s="18">
        <f t="shared" ca="1" si="2039"/>
        <v>1900</v>
      </c>
      <c r="N752" s="19">
        <f t="shared" ca="1" si="2040"/>
        <v>200.6076923076923</v>
      </c>
      <c r="O752" s="16">
        <v>2717</v>
      </c>
      <c r="P752" s="20">
        <f t="shared" ca="1" si="2041"/>
        <v>0.69930069930069927</v>
      </c>
      <c r="Q752" s="21">
        <v>1.5</v>
      </c>
      <c r="R752" s="20">
        <f t="shared" ca="1" si="2042"/>
        <v>0.48570369518258621</v>
      </c>
      <c r="S752" s="22">
        <f t="shared" ca="1" si="2043"/>
        <v>0.72855554277387935</v>
      </c>
      <c r="T752" s="21">
        <f ca="1">F752/43.465</f>
        <v>60</v>
      </c>
      <c r="U752" s="21">
        <f t="shared" ca="1" si="2044"/>
        <v>4.615384615384615</v>
      </c>
      <c r="V752" s="18">
        <f t="shared" ca="1" si="2045"/>
        <v>146.15384615384616</v>
      </c>
      <c r="W752" s="76"/>
      <c r="X752" s="8">
        <v>3</v>
      </c>
      <c r="Y752" s="8" t="s">
        <v>36</v>
      </c>
      <c r="Z752" s="8">
        <f t="shared" ref="Z752:AI752" si="2088">SUM(D743)</f>
        <v>30</v>
      </c>
      <c r="AA752" s="9">
        <f t="shared" ca="1" si="2088"/>
        <v>29</v>
      </c>
      <c r="AB752" s="10">
        <f t="shared" ca="1" si="2088"/>
        <v>5604.12</v>
      </c>
      <c r="AC752" s="9">
        <f t="shared" ca="1" si="2088"/>
        <v>1533</v>
      </c>
      <c r="AD752" s="9">
        <f t="shared" ca="1" si="2088"/>
        <v>0</v>
      </c>
      <c r="AE752" s="9">
        <f t="shared" ca="1" si="2088"/>
        <v>1533</v>
      </c>
      <c r="AF752" s="9">
        <f t="shared" ca="1" si="2088"/>
        <v>2301</v>
      </c>
      <c r="AG752" s="9">
        <f t="shared" ca="1" si="2088"/>
        <v>0</v>
      </c>
      <c r="AH752" s="9">
        <f t="shared" ca="1" si="2088"/>
        <v>2301</v>
      </c>
      <c r="AI752" s="9">
        <f t="shared" ca="1" si="2088"/>
        <v>3834</v>
      </c>
      <c r="AJ752" s="11">
        <f t="shared" ca="1" si="2080"/>
        <v>193.2455172413793</v>
      </c>
      <c r="AK752" s="8">
        <f t="shared" ref="AK752:AK755" si="2089">SUM(O743)</f>
        <v>4796</v>
      </c>
      <c r="AL752" s="12">
        <f t="shared" ca="1" si="2081"/>
        <v>0.79941618015012506</v>
      </c>
      <c r="AM752" s="13">
        <f t="shared" ref="AM752:AM755" si="2090">SUM(Q743)</f>
        <v>1.5</v>
      </c>
      <c r="AN752" s="12">
        <f t="shared" ca="1" si="2082"/>
        <v>0.4560930172801439</v>
      </c>
      <c r="AO752" s="14">
        <f t="shared" ca="1" si="2083"/>
        <v>0.68413952592021587</v>
      </c>
      <c r="AP752" s="13">
        <f t="shared" ref="AP752:AQ752" ca="1" si="2091">SUM(T743)</f>
        <v>149.78671085689848</v>
      </c>
      <c r="AQ752" s="13">
        <f t="shared" ca="1" si="2091"/>
        <v>5.1650589950654648</v>
      </c>
      <c r="AR752" s="9">
        <f t="shared" ca="1" si="2085"/>
        <v>132.20689655172413</v>
      </c>
      <c r="AS752" s="76"/>
      <c r="AT752" s="76"/>
    </row>
    <row r="753" spans="1:46" ht="15.75" customHeight="1" x14ac:dyDescent="0.2">
      <c r="A753" s="70"/>
      <c r="B753" s="98" t="s">
        <v>33</v>
      </c>
      <c r="C753" s="98">
        <v>18</v>
      </c>
      <c r="D753" s="98">
        <f t="shared" ref="D753:M753" si="2092">SUM(D735:D752)</f>
        <v>586</v>
      </c>
      <c r="E753" s="74">
        <f t="shared" ca="1" si="2092"/>
        <v>576</v>
      </c>
      <c r="F753" s="99">
        <f t="shared" ca="1" si="2092"/>
        <v>112418.19199999981</v>
      </c>
      <c r="G753" s="74">
        <f t="shared" ca="1" si="2092"/>
        <v>43479</v>
      </c>
      <c r="H753" s="74">
        <f t="shared" ca="1" si="2092"/>
        <v>764</v>
      </c>
      <c r="I753" s="74">
        <f t="shared" ca="1" si="2092"/>
        <v>44243</v>
      </c>
      <c r="J753" s="74">
        <f t="shared" ca="1" si="2092"/>
        <v>56392</v>
      </c>
      <c r="K753" s="74">
        <f t="shared" ca="1" si="2092"/>
        <v>1134</v>
      </c>
      <c r="L753" s="74">
        <f t="shared" ca="1" si="2092"/>
        <v>57526</v>
      </c>
      <c r="M753" s="74">
        <f t="shared" ca="1" si="2092"/>
        <v>101769</v>
      </c>
      <c r="N753" s="99">
        <f t="shared" ca="1" si="2040"/>
        <v>195.17047222222189</v>
      </c>
      <c r="O753" s="98">
        <f>SUM(O735:O752)</f>
        <v>126399</v>
      </c>
      <c r="P753" s="69">
        <f t="shared" ca="1" si="2041"/>
        <v>0.80514086345619817</v>
      </c>
      <c r="Q753" s="72">
        <v>1.5</v>
      </c>
      <c r="R753" s="69">
        <f t="shared" ca="1" si="2042"/>
        <v>0.60351442051300841</v>
      </c>
      <c r="S753" s="73">
        <f t="shared" ca="1" si="2043"/>
        <v>0.90527163076951256</v>
      </c>
      <c r="T753" s="72">
        <f ca="1">SUM(T735:T752)</f>
        <v>4134.0252428944477</v>
      </c>
      <c r="U753" s="72">
        <f t="shared" ca="1" si="2044"/>
        <v>7.177127157802861</v>
      </c>
      <c r="V753" s="74">
        <f t="shared" ca="1" si="2045"/>
        <v>176.68229166666666</v>
      </c>
      <c r="W753" s="76"/>
      <c r="X753" s="8">
        <v>4</v>
      </c>
      <c r="Y753" s="8" t="s">
        <v>37</v>
      </c>
      <c r="Z753" s="8">
        <f t="shared" ref="Z753:AI753" si="2093">SUM(D744)</f>
        <v>30</v>
      </c>
      <c r="AA753" s="9">
        <f t="shared" ca="1" si="2093"/>
        <v>30</v>
      </c>
      <c r="AB753" s="10">
        <f t="shared" ca="1" si="2093"/>
        <v>5812.1880000000001</v>
      </c>
      <c r="AC753" s="9">
        <f t="shared" ca="1" si="2093"/>
        <v>2138</v>
      </c>
      <c r="AD753" s="9">
        <f t="shared" ca="1" si="2093"/>
        <v>0</v>
      </c>
      <c r="AE753" s="9">
        <f t="shared" ca="1" si="2093"/>
        <v>2138</v>
      </c>
      <c r="AF753" s="9">
        <f t="shared" ca="1" si="2093"/>
        <v>3071</v>
      </c>
      <c r="AG753" s="9">
        <f t="shared" ca="1" si="2093"/>
        <v>0</v>
      </c>
      <c r="AH753" s="9">
        <f t="shared" ca="1" si="2093"/>
        <v>3071</v>
      </c>
      <c r="AI753" s="9">
        <f t="shared" ca="1" si="2093"/>
        <v>5209</v>
      </c>
      <c r="AJ753" s="11">
        <f t="shared" ca="1" si="2080"/>
        <v>193.7396</v>
      </c>
      <c r="AK753" s="8">
        <f t="shared" si="2089"/>
        <v>5887</v>
      </c>
      <c r="AL753" s="12">
        <f t="shared" ca="1" si="2081"/>
        <v>0.88483098352301681</v>
      </c>
      <c r="AM753" s="13">
        <f t="shared" si="2090"/>
        <v>1.5</v>
      </c>
      <c r="AN753" s="12">
        <f t="shared" ca="1" si="2082"/>
        <v>0.59748009986371164</v>
      </c>
      <c r="AO753" s="14">
        <f t="shared" ca="1" si="2083"/>
        <v>0.89622014979556752</v>
      </c>
      <c r="AP753" s="13">
        <f t="shared" ref="AP753:AQ753" ca="1" si="2094">SUM(T744)</f>
        <v>234.4380445304937</v>
      </c>
      <c r="AQ753" s="13">
        <f t="shared" ca="1" si="2094"/>
        <v>7.8146014843497902</v>
      </c>
      <c r="AR753" s="9">
        <f t="shared" ca="1" si="2085"/>
        <v>173.63333333333333</v>
      </c>
      <c r="AS753" s="76"/>
      <c r="AT753" s="76"/>
    </row>
    <row r="754" spans="1:46" ht="15.75" customHeight="1" x14ac:dyDescent="0.2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6"/>
      <c r="X754" s="8">
        <v>5</v>
      </c>
      <c r="Y754" s="8" t="s">
        <v>39</v>
      </c>
      <c r="Z754" s="8">
        <f t="shared" ref="Z754:AI754" si="2095">SUM(D745)</f>
        <v>28</v>
      </c>
      <c r="AA754" s="9">
        <f t="shared" ca="1" si="2095"/>
        <v>28</v>
      </c>
      <c r="AB754" s="10">
        <f t="shared" ca="1" si="2095"/>
        <v>5458.8779999999997</v>
      </c>
      <c r="AC754" s="9">
        <f t="shared" ca="1" si="2095"/>
        <v>1516</v>
      </c>
      <c r="AD754" s="9">
        <f t="shared" ca="1" si="2095"/>
        <v>43</v>
      </c>
      <c r="AE754" s="9">
        <f t="shared" ca="1" si="2095"/>
        <v>1559</v>
      </c>
      <c r="AF754" s="9">
        <f t="shared" ca="1" si="2095"/>
        <v>1765</v>
      </c>
      <c r="AG754" s="9">
        <f t="shared" ca="1" si="2095"/>
        <v>115</v>
      </c>
      <c r="AH754" s="9">
        <f t="shared" ca="1" si="2095"/>
        <v>1880</v>
      </c>
      <c r="AI754" s="9">
        <f t="shared" ca="1" si="2095"/>
        <v>3439</v>
      </c>
      <c r="AJ754" s="11">
        <f t="shared" ca="1" si="2080"/>
        <v>194.95992857142855</v>
      </c>
      <c r="AK754" s="8">
        <f t="shared" si="2089"/>
        <v>3569</v>
      </c>
      <c r="AL754" s="12">
        <f t="shared" ca="1" si="2081"/>
        <v>0.96357523115718691</v>
      </c>
      <c r="AM754" s="13">
        <f t="shared" si="2090"/>
        <v>1.5</v>
      </c>
      <c r="AN754" s="12">
        <f t="shared" ca="1" si="2082"/>
        <v>0.4199886252571805</v>
      </c>
      <c r="AO754" s="14">
        <f t="shared" ca="1" si="2083"/>
        <v>0.62998293788577076</v>
      </c>
      <c r="AP754" s="13">
        <f t="shared" ref="AP754:AQ754" ca="1" si="2096">SUM(T745)</f>
        <v>254.33900200344777</v>
      </c>
      <c r="AQ754" s="13">
        <f t="shared" ca="1" si="2096"/>
        <v>9.0835357858374213</v>
      </c>
      <c r="AR754" s="9">
        <f t="shared" ca="1" si="2085"/>
        <v>122.82142857142857</v>
      </c>
      <c r="AS754" s="76"/>
      <c r="AT754" s="76"/>
    </row>
    <row r="755" spans="1:46" ht="15.75" customHeight="1" x14ac:dyDescent="0.2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6"/>
      <c r="X755" s="8">
        <v>6</v>
      </c>
      <c r="Y755" s="8" t="s">
        <v>41</v>
      </c>
      <c r="Z755" s="8">
        <f t="shared" ref="Z755:AI755" si="2097">SUM(D746)</f>
        <v>24</v>
      </c>
      <c r="AA755" s="9">
        <f t="shared" ca="1" si="2097"/>
        <v>24</v>
      </c>
      <c r="AB755" s="10">
        <f t="shared" ca="1" si="2097"/>
        <v>4806.32</v>
      </c>
      <c r="AC755" s="9">
        <f t="shared" ca="1" si="2097"/>
        <v>1468</v>
      </c>
      <c r="AD755" s="9">
        <f t="shared" ca="1" si="2097"/>
        <v>0</v>
      </c>
      <c r="AE755" s="9">
        <f t="shared" ca="1" si="2097"/>
        <v>1468</v>
      </c>
      <c r="AF755" s="9">
        <f t="shared" ca="1" si="2097"/>
        <v>1656</v>
      </c>
      <c r="AG755" s="9">
        <f t="shared" ca="1" si="2097"/>
        <v>0</v>
      </c>
      <c r="AH755" s="9">
        <f t="shared" ca="1" si="2097"/>
        <v>1656</v>
      </c>
      <c r="AI755" s="9">
        <f t="shared" ca="1" si="2097"/>
        <v>3124</v>
      </c>
      <c r="AJ755" s="11">
        <f t="shared" ca="1" si="2080"/>
        <v>200.26333333333332</v>
      </c>
      <c r="AK755" s="8">
        <f t="shared" si="2089"/>
        <v>3801</v>
      </c>
      <c r="AL755" s="12">
        <f t="shared" ca="1" si="2081"/>
        <v>0.82188897658510918</v>
      </c>
      <c r="AM755" s="13">
        <f t="shared" si="2090"/>
        <v>1.5</v>
      </c>
      <c r="AN755" s="12">
        <f t="shared" ca="1" si="2082"/>
        <v>0.43331835305736338</v>
      </c>
      <c r="AO755" s="14">
        <f t="shared" ca="1" si="2083"/>
        <v>0.64997752958604504</v>
      </c>
      <c r="AP755" s="13">
        <f t="shared" ref="AP755:AQ755" ca="1" si="2098">SUM(T746)</f>
        <v>162.2222222222222</v>
      </c>
      <c r="AQ755" s="13">
        <f t="shared" ca="1" si="2098"/>
        <v>6.7592592592592586</v>
      </c>
      <c r="AR755" s="9">
        <f t="shared" ca="1" si="2085"/>
        <v>130.16666666666666</v>
      </c>
      <c r="AS755" s="76"/>
      <c r="AT755" s="76"/>
    </row>
    <row r="756" spans="1:46" ht="15.75" customHeight="1" x14ac:dyDescent="0.25">
      <c r="A756" s="110" t="s">
        <v>45</v>
      </c>
      <c r="B756" s="76"/>
      <c r="C756" s="76"/>
      <c r="D756" s="75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24" t="s">
        <v>33</v>
      </c>
      <c r="Y756" s="24">
        <v>6</v>
      </c>
      <c r="Z756" s="24">
        <f t="shared" ref="Z756:AI756" si="2099">SUM(Z750:Z755)</f>
        <v>174</v>
      </c>
      <c r="AA756" s="25">
        <f t="shared" ca="1" si="2099"/>
        <v>173</v>
      </c>
      <c r="AB756" s="27">
        <f t="shared" ca="1" si="2099"/>
        <v>33421.483999999997</v>
      </c>
      <c r="AC756" s="25">
        <f t="shared" ca="1" si="2099"/>
        <v>13336</v>
      </c>
      <c r="AD756" s="25">
        <f t="shared" ca="1" si="2099"/>
        <v>43</v>
      </c>
      <c r="AE756" s="25">
        <f t="shared" ca="1" si="2099"/>
        <v>13379</v>
      </c>
      <c r="AF756" s="25">
        <f t="shared" ca="1" si="2099"/>
        <v>17446</v>
      </c>
      <c r="AG756" s="25">
        <f t="shared" ca="1" si="2099"/>
        <v>305</v>
      </c>
      <c r="AH756" s="25">
        <f t="shared" ca="1" si="2099"/>
        <v>17751</v>
      </c>
      <c r="AI756" s="25">
        <f t="shared" ca="1" si="2099"/>
        <v>31130</v>
      </c>
      <c r="AJ756" s="27">
        <f t="shared" ca="1" si="2080"/>
        <v>193.18776878612715</v>
      </c>
      <c r="AK756" s="24">
        <f>SUM(AK750:AK755)</f>
        <v>37031</v>
      </c>
      <c r="AL756" s="28">
        <f t="shared" ca="1" si="2081"/>
        <v>0.8406470254651508</v>
      </c>
      <c r="AM756" s="29">
        <v>1.5</v>
      </c>
      <c r="AN756" s="28">
        <f t="shared" ca="1" si="2082"/>
        <v>0.62095786450815094</v>
      </c>
      <c r="AO756" s="30">
        <f t="shared" ca="1" si="2083"/>
        <v>0.93143679676222646</v>
      </c>
      <c r="AP756" s="29">
        <f ca="1">SUM(AP750:AP755)</f>
        <v>1373.8178214444874</v>
      </c>
      <c r="AQ756" s="29">
        <f ca="1">AP756/AA756</f>
        <v>7.9411434765577305</v>
      </c>
      <c r="AR756" s="25">
        <f t="shared" ca="1" si="2085"/>
        <v>179.94219653179192</v>
      </c>
      <c r="AS756" s="76"/>
      <c r="AT756" s="76"/>
    </row>
    <row r="757" spans="1:46" ht="15.75" customHeight="1" x14ac:dyDescent="0.2">
      <c r="A757" s="110" t="s">
        <v>45</v>
      </c>
      <c r="B757" s="76"/>
      <c r="C757" s="76"/>
      <c r="D757" s="75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7" t="s">
        <v>1</v>
      </c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9"/>
      <c r="AS757" s="76"/>
      <c r="AT757" s="76"/>
    </row>
    <row r="758" spans="1:46" ht="15.75" customHeight="1" x14ac:dyDescent="0.2">
      <c r="A758" s="109">
        <v>46294</v>
      </c>
      <c r="B758" s="80" t="s">
        <v>2</v>
      </c>
      <c r="C758" s="80" t="s">
        <v>3</v>
      </c>
      <c r="D758" s="80" t="s">
        <v>4</v>
      </c>
      <c r="E758" s="80" t="s">
        <v>5</v>
      </c>
      <c r="F758" s="81" t="s">
        <v>6</v>
      </c>
      <c r="G758" s="80" t="s">
        <v>7</v>
      </c>
      <c r="H758" s="80" t="s">
        <v>8</v>
      </c>
      <c r="I758" s="80" t="s">
        <v>9</v>
      </c>
      <c r="J758" s="80" t="s">
        <v>10</v>
      </c>
      <c r="K758" s="80" t="s">
        <v>11</v>
      </c>
      <c r="L758" s="80" t="s">
        <v>12</v>
      </c>
      <c r="M758" s="80" t="s">
        <v>13</v>
      </c>
      <c r="N758" s="81" t="s">
        <v>14</v>
      </c>
      <c r="O758" s="80" t="s">
        <v>15</v>
      </c>
      <c r="P758" s="80" t="s">
        <v>16</v>
      </c>
      <c r="Q758" s="80" t="s">
        <v>17</v>
      </c>
      <c r="R758" s="80" t="s">
        <v>18</v>
      </c>
      <c r="S758" s="106" t="s">
        <v>19</v>
      </c>
      <c r="T758" s="107" t="s">
        <v>20</v>
      </c>
      <c r="U758" s="107" t="s">
        <v>21</v>
      </c>
      <c r="V758" s="105" t="s">
        <v>22</v>
      </c>
      <c r="W758" s="76"/>
      <c r="X758" s="1" t="s">
        <v>2</v>
      </c>
      <c r="Y758" s="1" t="s">
        <v>3</v>
      </c>
      <c r="Z758" s="1" t="s">
        <v>4</v>
      </c>
      <c r="AA758" s="1" t="s">
        <v>5</v>
      </c>
      <c r="AB758" s="2" t="s">
        <v>6</v>
      </c>
      <c r="AC758" s="1" t="s">
        <v>7</v>
      </c>
      <c r="AD758" s="1" t="s">
        <v>8</v>
      </c>
      <c r="AE758" s="1" t="s">
        <v>9</v>
      </c>
      <c r="AF758" s="1" t="s">
        <v>10</v>
      </c>
      <c r="AG758" s="1" t="s">
        <v>11</v>
      </c>
      <c r="AH758" s="1" t="s">
        <v>12</v>
      </c>
      <c r="AI758" s="1" t="s">
        <v>13</v>
      </c>
      <c r="AJ758" s="2" t="s">
        <v>14</v>
      </c>
      <c r="AK758" s="1" t="s">
        <v>15</v>
      </c>
      <c r="AL758" s="1" t="s">
        <v>16</v>
      </c>
      <c r="AM758" s="3" t="s">
        <v>17</v>
      </c>
      <c r="AN758" s="4" t="s">
        <v>18</v>
      </c>
      <c r="AO758" s="5" t="s">
        <v>19</v>
      </c>
      <c r="AP758" s="6" t="s">
        <v>20</v>
      </c>
      <c r="AQ758" s="6" t="s">
        <v>21</v>
      </c>
      <c r="AR758" s="7" t="s">
        <v>22</v>
      </c>
      <c r="AS758" s="76"/>
      <c r="AT758" s="76"/>
    </row>
    <row r="759" spans="1:46" ht="15.75" customHeight="1" x14ac:dyDescent="0.2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6"/>
      <c r="X759" s="8">
        <v>1</v>
      </c>
      <c r="Y759" s="8" t="s">
        <v>23</v>
      </c>
      <c r="Z759" s="8">
        <f t="shared" ref="Z759:AI759" si="2100">SUM(D767)</f>
        <v>35</v>
      </c>
      <c r="AA759" s="9">
        <f t="shared" ca="1" si="2100"/>
        <v>34</v>
      </c>
      <c r="AB759" s="10">
        <f t="shared" ca="1" si="2100"/>
        <v>6680.5199999999904</v>
      </c>
      <c r="AC759" s="9">
        <f t="shared" ca="1" si="2100"/>
        <v>2083</v>
      </c>
      <c r="AD759" s="9">
        <f t="shared" ca="1" si="2100"/>
        <v>0</v>
      </c>
      <c r="AE759" s="9">
        <f t="shared" ca="1" si="2100"/>
        <v>2083</v>
      </c>
      <c r="AF759" s="9">
        <f t="shared" ca="1" si="2100"/>
        <v>2916</v>
      </c>
      <c r="AG759" s="9">
        <f t="shared" ca="1" si="2100"/>
        <v>0</v>
      </c>
      <c r="AH759" s="9">
        <f t="shared" ca="1" si="2100"/>
        <v>2916</v>
      </c>
      <c r="AI759" s="9">
        <f t="shared" ca="1" si="2100"/>
        <v>4999</v>
      </c>
      <c r="AJ759" s="11">
        <f t="shared" ref="AJ759:AJ761" ca="1" si="2101">AB759/AA759</f>
        <v>196.48588235294091</v>
      </c>
      <c r="AK759" s="8">
        <f>SUM(O767)</f>
        <v>6853</v>
      </c>
      <c r="AL759" s="12">
        <f t="shared" ref="AL759:AL765" ca="1" si="2102">AI759/AK759</f>
        <v>0.72946154968626875</v>
      </c>
      <c r="AM759" s="13">
        <f t="shared" ref="AM759:AM761" si="2103">SUM(Q767)</f>
        <v>1.5</v>
      </c>
      <c r="AN759" s="12">
        <f t="shared" ref="AN759:AN765" ca="1" si="2104">AO759/AM759</f>
        <v>0.49886336193390207</v>
      </c>
      <c r="AO759" s="14">
        <f t="shared" ref="AO759:AO765" ca="1" si="2105">AI759/AB759</f>
        <v>0.74829504290085314</v>
      </c>
      <c r="AP759" s="13">
        <f t="shared" ref="AP759:AQ759" ca="1" si="2106">SUM(T767)</f>
        <v>197.99999999999972</v>
      </c>
      <c r="AQ759" s="13">
        <f t="shared" ca="1" si="2106"/>
        <v>5.8235294117646976</v>
      </c>
      <c r="AR759" s="9">
        <f t="shared" ref="AR759:AR765" ca="1" si="2107">AI759/AA759</f>
        <v>147.02941176470588</v>
      </c>
      <c r="AS759" s="76"/>
      <c r="AT759" s="76"/>
    </row>
    <row r="760" spans="1:46" ht="15.75" customHeight="1" x14ac:dyDescent="0.2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6"/>
      <c r="X760" s="8">
        <v>2</v>
      </c>
      <c r="Y760" s="8" t="s">
        <v>24</v>
      </c>
      <c r="Z760" s="8">
        <f t="shared" ref="Z760:AI760" si="2108">SUM(D768)</f>
        <v>44</v>
      </c>
      <c r="AA760" s="9">
        <f t="shared" ca="1" si="2108"/>
        <v>44</v>
      </c>
      <c r="AB760" s="10">
        <f t="shared" ca="1" si="2108"/>
        <v>8354.5819999999894</v>
      </c>
      <c r="AC760" s="9">
        <f t="shared" ca="1" si="2108"/>
        <v>1454</v>
      </c>
      <c r="AD760" s="9">
        <f t="shared" ca="1" si="2108"/>
        <v>0</v>
      </c>
      <c r="AE760" s="9">
        <f t="shared" ca="1" si="2108"/>
        <v>1454</v>
      </c>
      <c r="AF760" s="9">
        <f t="shared" ca="1" si="2108"/>
        <v>1288</v>
      </c>
      <c r="AG760" s="9">
        <f t="shared" ca="1" si="2108"/>
        <v>28</v>
      </c>
      <c r="AH760" s="9">
        <f t="shared" ca="1" si="2108"/>
        <v>1316</v>
      </c>
      <c r="AI760" s="9">
        <f t="shared" ca="1" si="2108"/>
        <v>2770</v>
      </c>
      <c r="AJ760" s="11">
        <f t="shared" ca="1" si="2101"/>
        <v>189.8768636363634</v>
      </c>
      <c r="AK760" s="8">
        <v>1580</v>
      </c>
      <c r="AL760" s="15">
        <f t="shared" ca="1" si="2102"/>
        <v>1.7531645569620253</v>
      </c>
      <c r="AM760" s="13">
        <f t="shared" si="2103"/>
        <v>1.5</v>
      </c>
      <c r="AN760" s="12">
        <f t="shared" ca="1" si="2104"/>
        <v>0.22103639256478291</v>
      </c>
      <c r="AO760" s="14">
        <f t="shared" ca="1" si="2105"/>
        <v>0.33155458884717437</v>
      </c>
      <c r="AP760" s="13">
        <f t="shared" ref="AP760:AQ760" ca="1" si="2109">SUM(T768)</f>
        <v>311.67998507741055</v>
      </c>
      <c r="AQ760" s="13">
        <f t="shared" ca="1" si="2109"/>
        <v>7.0836360244866032</v>
      </c>
      <c r="AR760" s="9">
        <f t="shared" ca="1" si="2107"/>
        <v>62.954545454545453</v>
      </c>
      <c r="AS760" s="76"/>
      <c r="AT760" s="76"/>
    </row>
    <row r="761" spans="1:46" ht="15.75" customHeight="1" x14ac:dyDescent="0.2">
      <c r="A761" s="70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6"/>
      <c r="X761" s="8">
        <v>3</v>
      </c>
      <c r="Y761" s="8" t="s">
        <v>25</v>
      </c>
      <c r="Z761" s="8">
        <f t="shared" ref="Z761:AI761" si="2110">SUM(D769)</f>
        <v>32</v>
      </c>
      <c r="AA761" s="9">
        <f t="shared" ca="1" si="2110"/>
        <v>31</v>
      </c>
      <c r="AB761" s="10">
        <f t="shared" ca="1" si="2110"/>
        <v>5925.1239999999998</v>
      </c>
      <c r="AC761" s="9">
        <f t="shared" ca="1" si="2110"/>
        <v>2351</v>
      </c>
      <c r="AD761" s="9">
        <f t="shared" ca="1" si="2110"/>
        <v>438</v>
      </c>
      <c r="AE761" s="9">
        <f t="shared" ca="1" si="2110"/>
        <v>2789</v>
      </c>
      <c r="AF761" s="9">
        <f t="shared" ca="1" si="2110"/>
        <v>3213</v>
      </c>
      <c r="AG761" s="9">
        <f t="shared" ca="1" si="2110"/>
        <v>305</v>
      </c>
      <c r="AH761" s="9">
        <f t="shared" ca="1" si="2110"/>
        <v>3518</v>
      </c>
      <c r="AI761" s="9">
        <f t="shared" ca="1" si="2110"/>
        <v>6307</v>
      </c>
      <c r="AJ761" s="11">
        <f t="shared" ca="1" si="2101"/>
        <v>191.1330322580645</v>
      </c>
      <c r="AK761" s="8">
        <f>SUM(O769)</f>
        <v>6622</v>
      </c>
      <c r="AL761" s="15">
        <f t="shared" ca="1" si="2102"/>
        <v>0.95243128964059198</v>
      </c>
      <c r="AM761" s="13">
        <f t="shared" si="2103"/>
        <v>1.5</v>
      </c>
      <c r="AN761" s="12">
        <f t="shared" ca="1" si="2104"/>
        <v>0.70963353115760386</v>
      </c>
      <c r="AO761" s="14">
        <f t="shared" ca="1" si="2105"/>
        <v>1.0644502967364058</v>
      </c>
      <c r="AP761" s="13">
        <f t="shared" ref="AP761:AQ761" ca="1" si="2111">SUM(T769)</f>
        <v>248.53708053691275</v>
      </c>
      <c r="AQ761" s="13">
        <f t="shared" ca="1" si="2111"/>
        <v>8.0173251786100881</v>
      </c>
      <c r="AR761" s="9">
        <f t="shared" ca="1" si="2107"/>
        <v>203.45161290322579</v>
      </c>
      <c r="AS761" s="76"/>
      <c r="AT761" s="76"/>
    </row>
    <row r="762" spans="1:46" ht="15.75" customHeight="1" x14ac:dyDescent="0.25">
      <c r="A762" s="70"/>
      <c r="B762" s="16">
        <v>1</v>
      </c>
      <c r="C762" s="16" t="s">
        <v>26</v>
      </c>
      <c r="D762" s="17">
        <v>20</v>
      </c>
      <c r="E762" s="18">
        <f ca="1">IFERROR(__xludf.DUMMYFUNCTION("COUNT(IMPORTRANGE(""https://docs.google.com/spreadsheets/d/1F0NpMx7WhcgPgxTWpryY3Z1CGg56FL6aiL4mHs43w4E/edit"",""2!d2:d21""))"),20)</f>
        <v>20</v>
      </c>
      <c r="F762" s="19">
        <f ca="1">IFERROR(__xludf.DUMMYFUNCTION("SUM(IMPORTRANGE(""https://docs.google.com/spreadsheets/d/1F0NpMx7WhcgPgxTWpryY3Z1CGg56FL6aiL4mHs43w4E/edit"",""2!Q2:Q21""))"),3560.964)</f>
        <v>3560.9639999999999</v>
      </c>
      <c r="G762" s="18">
        <f ca="1">IFERROR(__xludf.DUMMYFUNCTION("IMPORTRANGE(""https://docs.google.com/spreadsheets/d/1F0NpMx7WhcgPgxTWpryY3Z1CGg56FL6aiL4mHs43w4E/edit"",""2!e28"")"),1873)</f>
        <v>1873</v>
      </c>
      <c r="H762" s="18">
        <f ca="1">IFERROR(__xludf.DUMMYFUNCTION("IMPORTRANGE(""https://docs.google.com/spreadsheets/d/1F0NpMx7WhcgPgxTWpryY3Z1CGg56FL6aiL4mHs43w4E/edit"",""2!e29"")"),0)</f>
        <v>0</v>
      </c>
      <c r="I762" s="18">
        <f t="shared" ref="I762:I779" ca="1" si="2112">SUM(G762:H762)</f>
        <v>1873</v>
      </c>
      <c r="J762" s="18">
        <f ca="1">IFERROR(__xludf.DUMMYFUNCTION("IMPORTRANGE(""https://docs.google.com/spreadsheets/d/1F0NpMx7WhcgPgxTWpryY3Z1CGg56FL6aiL4mHs43w4E/edit"",""2!e32"")"),3204)</f>
        <v>3204</v>
      </c>
      <c r="K762" s="18">
        <f ca="1">IFERROR(__xludf.DUMMYFUNCTION("IMPORTRANGE(""https://docs.google.com/spreadsheets/d/1F0NpMx7WhcgPgxTWpryY3Z1CGg56FL6aiL4mHs43w4E/edit"",""2!e33"")"),0)</f>
        <v>0</v>
      </c>
      <c r="L762" s="18">
        <f t="shared" ref="L762:L768" ca="1" si="2113">SUM(J762:K762)</f>
        <v>3204</v>
      </c>
      <c r="M762" s="18">
        <f t="shared" ref="M762:M779" ca="1" si="2114">SUM(I762+L762)</f>
        <v>5077</v>
      </c>
      <c r="N762" s="19">
        <f t="shared" ref="N762:N780" ca="1" si="2115">F762/E762</f>
        <v>178.04820000000001</v>
      </c>
      <c r="O762" s="16">
        <v>5161</v>
      </c>
      <c r="P762" s="20">
        <f t="shared" ref="P762:P780" ca="1" si="2116">M762/O762</f>
        <v>0.98372408447975201</v>
      </c>
      <c r="Q762" s="21">
        <v>1.5</v>
      </c>
      <c r="R762" s="20">
        <f t="shared" ref="R762:R780" ca="1" si="2117">S762/Q762</f>
        <v>0.95049168333818213</v>
      </c>
      <c r="S762" s="22">
        <f t="shared" ref="S762:S780" ca="1" si="2118">M762/F762</f>
        <v>1.4257375250072732</v>
      </c>
      <c r="T762" s="21">
        <f ca="1">F762/14.415</f>
        <v>247.0318418314256</v>
      </c>
      <c r="U762" s="21">
        <f t="shared" ref="U762:U780" ca="1" si="2119">T762/E762</f>
        <v>12.35159209157128</v>
      </c>
      <c r="V762" s="18">
        <f t="shared" ref="V762:V780" ca="1" si="2120">M762/E762</f>
        <v>253.85</v>
      </c>
      <c r="W762" s="76"/>
      <c r="X762" s="8">
        <v>4</v>
      </c>
      <c r="Y762" s="8" t="s">
        <v>27</v>
      </c>
      <c r="Z762" s="8">
        <f t="shared" ref="Z762:AK762" si="2121">SUM(D775)</f>
        <v>30</v>
      </c>
      <c r="AA762" s="9">
        <f t="shared" ca="1" si="2121"/>
        <v>28</v>
      </c>
      <c r="AB762" s="10">
        <f t="shared" ca="1" si="2121"/>
        <v>5465.76</v>
      </c>
      <c r="AC762" s="9">
        <f t="shared" ca="1" si="2121"/>
        <v>2368</v>
      </c>
      <c r="AD762" s="9">
        <f t="shared" ca="1" si="2121"/>
        <v>140</v>
      </c>
      <c r="AE762" s="9">
        <f t="shared" ca="1" si="2121"/>
        <v>2508</v>
      </c>
      <c r="AF762" s="9">
        <f t="shared" ca="1" si="2121"/>
        <v>3355</v>
      </c>
      <c r="AG762" s="9">
        <f t="shared" ca="1" si="2121"/>
        <v>107</v>
      </c>
      <c r="AH762" s="9">
        <f t="shared" ca="1" si="2121"/>
        <v>3462</v>
      </c>
      <c r="AI762" s="9">
        <f t="shared" ca="1" si="2121"/>
        <v>5970</v>
      </c>
      <c r="AJ762" s="11">
        <f t="shared" ca="1" si="2121"/>
        <v>195.20571428571429</v>
      </c>
      <c r="AK762" s="8">
        <f t="shared" si="2121"/>
        <v>8101</v>
      </c>
      <c r="AL762" s="12">
        <f t="shared" ca="1" si="2102"/>
        <v>0.73694605604246388</v>
      </c>
      <c r="AM762" s="13">
        <f>SUM(Q775)</f>
        <v>1.5</v>
      </c>
      <c r="AN762" s="12">
        <f t="shared" ca="1" si="2104"/>
        <v>0.72816955007171913</v>
      </c>
      <c r="AO762" s="14">
        <f t="shared" ca="1" si="2105"/>
        <v>1.0922543251075787</v>
      </c>
      <c r="AP762" s="13">
        <f t="shared" ref="AP762:AQ762" ca="1" si="2122">SUM(T775)</f>
        <v>273.49311983987991</v>
      </c>
      <c r="AQ762" s="13">
        <f t="shared" ca="1" si="2122"/>
        <v>9.7676114228528537</v>
      </c>
      <c r="AR762" s="9">
        <f t="shared" ca="1" si="2107"/>
        <v>213.21428571428572</v>
      </c>
      <c r="AS762" s="76"/>
      <c r="AT762" s="76"/>
    </row>
    <row r="763" spans="1:46" ht="15.75" customHeight="1" x14ac:dyDescent="0.25">
      <c r="A763" s="70"/>
      <c r="B763" s="16">
        <v>2</v>
      </c>
      <c r="C763" s="16" t="s">
        <v>28</v>
      </c>
      <c r="D763" s="17">
        <v>33</v>
      </c>
      <c r="E763" s="18">
        <f ca="1">IFERROR(__xludf.DUMMYFUNCTION("COUNT(IMPORTRANGE(""https://docs.google.com/spreadsheets/d/1H9vAqftAHb0OdeSGXHTnJFzoWUgpoH31sc0sHNN8y1o/edit"",""2!d2:d34""))"),33)</f>
        <v>33</v>
      </c>
      <c r="F763" s="19">
        <f ca="1">IFERROR(__xludf.DUMMYFUNCTION("SUM(IMPORTRANGE(""https://docs.google.com/spreadsheets/d/1H9vAqftAHb0OdeSGXHTnJFzoWUgpoH31sc0sHNN8y1o/edit"",""2!Q2:Q34""))"),6528.83299999999)</f>
        <v>6528.8329999999896</v>
      </c>
      <c r="G763" s="18">
        <f ca="1">IFERROR(__xludf.DUMMYFUNCTION("IMPORTRANGE(""https://docs.google.com/spreadsheets/d/1H9vAqftAHb0OdeSGXHTnJFzoWUgpoH31sc0sHNN8y1o/edit"",""2!e41"")"),2700)</f>
        <v>2700</v>
      </c>
      <c r="H763" s="18">
        <f ca="1">IFERROR(__xludf.DUMMYFUNCTION("IMPORTRANGE(""https://docs.google.com/spreadsheets/d/1H9vAqftAHb0OdeSGXHTnJFzoWUgpoH31sc0sHNN8y1o/edit"",""2!e42"")"),104)</f>
        <v>104</v>
      </c>
      <c r="I763" s="18">
        <f t="shared" ca="1" si="2112"/>
        <v>2804</v>
      </c>
      <c r="J763" s="18">
        <f ca="1">IFERROR(__xludf.DUMMYFUNCTION("IMPORTRANGE(""https://docs.google.com/spreadsheets/d/1H9vAqftAHb0OdeSGXHTnJFzoWUgpoH31sc0sHNN8y1o/edit"",""2!e45"")"),3205)</f>
        <v>3205</v>
      </c>
      <c r="K763" s="18">
        <f ca="1">IFERROR(__xludf.DUMMYFUNCTION("IMPORTRANGE(""https://docs.google.com/spreadsheets/d/1H9vAqftAHb0OdeSGXHTnJFzoWUgpoH31sc0sHNN8y1o/edit"",""2!e46"")"),102)</f>
        <v>102</v>
      </c>
      <c r="L763" s="18">
        <f t="shared" ca="1" si="2113"/>
        <v>3307</v>
      </c>
      <c r="M763" s="18">
        <f t="shared" ca="1" si="2114"/>
        <v>6111</v>
      </c>
      <c r="N763" s="19">
        <f t="shared" ca="1" si="2115"/>
        <v>197.84342424242394</v>
      </c>
      <c r="O763" s="16">
        <v>7315</v>
      </c>
      <c r="P763" s="20">
        <f t="shared" ca="1" si="2116"/>
        <v>0.83540669856459326</v>
      </c>
      <c r="Q763" s="21">
        <v>1.5</v>
      </c>
      <c r="R763" s="20">
        <f t="shared" ca="1" si="2117"/>
        <v>0.6240012571925192</v>
      </c>
      <c r="S763" s="22">
        <f t="shared" ca="1" si="2118"/>
        <v>0.93600188578877874</v>
      </c>
      <c r="T763" s="21">
        <f ca="1">F763/30.897</f>
        <v>211.30960934718547</v>
      </c>
      <c r="U763" s="21">
        <f t="shared" ca="1" si="2119"/>
        <v>6.4033214953692568</v>
      </c>
      <c r="V763" s="18">
        <f t="shared" ca="1" si="2120"/>
        <v>185.18181818181819</v>
      </c>
      <c r="W763" s="76"/>
      <c r="X763" s="8">
        <v>5</v>
      </c>
      <c r="Y763" s="8" t="s">
        <v>29</v>
      </c>
      <c r="Z763" s="8">
        <f t="shared" ref="Z763:AI763" si="2123">SUM(D778)</f>
        <v>30</v>
      </c>
      <c r="AA763" s="9">
        <f t="shared" ca="1" si="2123"/>
        <v>29</v>
      </c>
      <c r="AB763" s="10">
        <f t="shared" ca="1" si="2123"/>
        <v>5775.0379999999896</v>
      </c>
      <c r="AC763" s="9">
        <f t="shared" ca="1" si="2123"/>
        <v>2726</v>
      </c>
      <c r="AD763" s="9">
        <f t="shared" ca="1" si="2123"/>
        <v>0</v>
      </c>
      <c r="AE763" s="9">
        <f t="shared" ca="1" si="2123"/>
        <v>2726</v>
      </c>
      <c r="AF763" s="9">
        <f t="shared" ca="1" si="2123"/>
        <v>4235</v>
      </c>
      <c r="AG763" s="9">
        <f t="shared" ca="1" si="2123"/>
        <v>0</v>
      </c>
      <c r="AH763" s="9">
        <f t="shared" ca="1" si="2123"/>
        <v>4235</v>
      </c>
      <c r="AI763" s="9">
        <f t="shared" ca="1" si="2123"/>
        <v>6961</v>
      </c>
      <c r="AJ763" s="11">
        <f t="shared" ref="AJ763:AJ765" ca="1" si="2124">AB763/AA763</f>
        <v>199.13924137930999</v>
      </c>
      <c r="AK763" s="8">
        <f t="shared" ref="AK763:AK764" si="2125">SUM(O778)</f>
        <v>9201</v>
      </c>
      <c r="AL763" s="12">
        <f t="shared" ca="1" si="2102"/>
        <v>0.75654820128246925</v>
      </c>
      <c r="AM763" s="13">
        <f t="shared" ref="AM763:AM764" si="2126">SUM(Q778)</f>
        <v>1.5</v>
      </c>
      <c r="AN763" s="12">
        <f t="shared" ca="1" si="2104"/>
        <v>0.80357335599638902</v>
      </c>
      <c r="AO763" s="14">
        <f t="shared" ca="1" si="2105"/>
        <v>1.2053600339945836</v>
      </c>
      <c r="AP763" s="13">
        <f t="shared" ref="AP763:AQ763" ca="1" si="2127">SUM(T778)</f>
        <v>217.9999999999996</v>
      </c>
      <c r="AQ763" s="13">
        <f t="shared" ca="1" si="2127"/>
        <v>7.517241379310331</v>
      </c>
      <c r="AR763" s="9">
        <f t="shared" ca="1" si="2107"/>
        <v>240.0344827586207</v>
      </c>
      <c r="AS763" s="76"/>
      <c r="AT763" s="76"/>
    </row>
    <row r="764" spans="1:46" ht="15.75" customHeight="1" x14ac:dyDescent="0.25">
      <c r="A764" s="70"/>
      <c r="B764" s="16">
        <v>3</v>
      </c>
      <c r="C764" s="16" t="s">
        <v>30</v>
      </c>
      <c r="D764" s="17">
        <v>60</v>
      </c>
      <c r="E764" s="18">
        <f ca="1">IFERROR(__xludf.DUMMYFUNCTION("COUNT(IMPORTRANGE(""https://docs.google.com/spreadsheets/d/1EWN6nfpuVxbUE_9opjYCWaI7MTm5xsF6ssjklSbMZnA/edit"",""2!d2:d61""))"),58)</f>
        <v>58</v>
      </c>
      <c r="F764" s="23">
        <f ca="1">IFERROR(__xludf.DUMMYFUNCTION("SUM(IMPORTRANGE(""https://docs.google.com/spreadsheets/d/1EWN6nfpuVxbUE_9opjYCWaI7MTm5xsF6ssjklSbMZnA/edit"",""2!Q2:Q61""))"),11253.3449999999)</f>
        <v>11253.344999999899</v>
      </c>
      <c r="G764" s="18">
        <f ca="1">IFERROR(__xludf.DUMMYFUNCTION("IMPORTRANGE(""https://docs.google.com/spreadsheets/d/1EWN6nfpuVxbUE_9opjYCWaI7MTm5xsF6ssjklSbMZnA/edit"",""2!e68"")"),3757)</f>
        <v>3757</v>
      </c>
      <c r="H764" s="18">
        <f ca="1">IFERROR(__xludf.DUMMYFUNCTION("IMPORTRANGE(""https://docs.google.com/spreadsheets/d/1EWN6nfpuVxbUE_9opjYCWaI7MTm5xsF6ssjklSbMZnA/edit"",""2!e69"")"),0)</f>
        <v>0</v>
      </c>
      <c r="I764" s="18">
        <f t="shared" ca="1" si="2112"/>
        <v>3757</v>
      </c>
      <c r="J764" s="18">
        <f ca="1">IFERROR(__xludf.DUMMYFUNCTION("IMPORTRANGE(""https://docs.google.com/spreadsheets/d/1EWN6nfpuVxbUE_9opjYCWaI7MTm5xsF6ssjklSbMZnA/edit"",""2!e72"")"),5596)</f>
        <v>5596</v>
      </c>
      <c r="K764" s="18">
        <f ca="1">IFERROR(__xludf.DUMMYFUNCTION("IMPORTRANGE(""https://docs.google.com/spreadsheets/d/1EWN6nfpuVxbUE_9opjYCWaI7MTm5xsF6ssjklSbMZnA/edit"",""2!e73"")"),0)</f>
        <v>0</v>
      </c>
      <c r="L764" s="18">
        <f t="shared" ca="1" si="2113"/>
        <v>5596</v>
      </c>
      <c r="M764" s="18">
        <f t="shared" ca="1" si="2114"/>
        <v>9353</v>
      </c>
      <c r="N764" s="19">
        <f t="shared" ca="1" si="2115"/>
        <v>194.02318965517068</v>
      </c>
      <c r="O764" s="16">
        <v>11164</v>
      </c>
      <c r="P764" s="20">
        <f t="shared" ca="1" si="2116"/>
        <v>0.83778215693299896</v>
      </c>
      <c r="Q764" s="21">
        <v>1.5</v>
      </c>
      <c r="R764" s="20">
        <f t="shared" ca="1" si="2117"/>
        <v>0.5540871032864797</v>
      </c>
      <c r="S764" s="22">
        <f t="shared" ca="1" si="2118"/>
        <v>0.83113065492971949</v>
      </c>
      <c r="T764" s="21">
        <f ca="1">F764/29.603</f>
        <v>380.14204641421134</v>
      </c>
      <c r="U764" s="21">
        <f t="shared" ca="1" si="2119"/>
        <v>6.5541732140381264</v>
      </c>
      <c r="V764" s="18">
        <f t="shared" ca="1" si="2120"/>
        <v>161.25862068965517</v>
      </c>
      <c r="W764" s="76"/>
      <c r="X764" s="8">
        <v>6</v>
      </c>
      <c r="Y764" s="8" t="s">
        <v>31</v>
      </c>
      <c r="Z764" s="8">
        <f t="shared" ref="Z764:AI764" si="2128">SUM(D779)</f>
        <v>15</v>
      </c>
      <c r="AA764" s="9">
        <f t="shared" ca="1" si="2128"/>
        <v>13</v>
      </c>
      <c r="AB764" s="11">
        <f t="shared" ca="1" si="2128"/>
        <v>2607.9</v>
      </c>
      <c r="AC764" s="9">
        <f t="shared" ca="1" si="2128"/>
        <v>870</v>
      </c>
      <c r="AD764" s="9">
        <f t="shared" ca="1" si="2128"/>
        <v>0</v>
      </c>
      <c r="AE764" s="9">
        <f t="shared" ca="1" si="2128"/>
        <v>870</v>
      </c>
      <c r="AF764" s="9">
        <f t="shared" ca="1" si="2128"/>
        <v>975</v>
      </c>
      <c r="AG764" s="9">
        <f t="shared" ca="1" si="2128"/>
        <v>55</v>
      </c>
      <c r="AH764" s="9">
        <f t="shared" ca="1" si="2128"/>
        <v>1030</v>
      </c>
      <c r="AI764" s="9">
        <f t="shared" ca="1" si="2128"/>
        <v>1900</v>
      </c>
      <c r="AJ764" s="11">
        <f t="shared" ca="1" si="2124"/>
        <v>200.6076923076923</v>
      </c>
      <c r="AK764" s="8">
        <f t="shared" si="2125"/>
        <v>2717</v>
      </c>
      <c r="AL764" s="12">
        <f t="shared" ca="1" si="2102"/>
        <v>0.69930069930069927</v>
      </c>
      <c r="AM764" s="13">
        <f t="shared" si="2126"/>
        <v>1.5</v>
      </c>
      <c r="AN764" s="12">
        <f t="shared" ca="1" si="2104"/>
        <v>0.48570369518258621</v>
      </c>
      <c r="AO764" s="14">
        <f t="shared" ca="1" si="2105"/>
        <v>0.72855554277387935</v>
      </c>
      <c r="AP764" s="13">
        <f t="shared" ref="AP764:AQ764" ca="1" si="2129">SUM(T779)</f>
        <v>60</v>
      </c>
      <c r="AQ764" s="13">
        <f t="shared" ca="1" si="2129"/>
        <v>4.615384615384615</v>
      </c>
      <c r="AR764" s="9">
        <f t="shared" ca="1" si="2107"/>
        <v>146.15384615384616</v>
      </c>
      <c r="AS764" s="76"/>
      <c r="AT764" s="76"/>
    </row>
    <row r="765" spans="1:46" ht="15.75" customHeight="1" x14ac:dyDescent="0.25">
      <c r="A765" s="70"/>
      <c r="B765" s="16">
        <v>4</v>
      </c>
      <c r="C765" s="16" t="s">
        <v>32</v>
      </c>
      <c r="D765" s="17">
        <v>42</v>
      </c>
      <c r="E765" s="18">
        <f ca="1">IFERROR(__xludf.DUMMYFUNCTION("COUNT(IMPORTRANGE(""https://docs.google.com/spreadsheets/d/1Rmar8QqWK4XOJ-eY6xMzkAfDSw0srEXcAw89ilArun8/edit"",""2!d2:d43""))"),42)</f>
        <v>42</v>
      </c>
      <c r="F765" s="23">
        <f ca="1">IFERROR(__xludf.DUMMYFUNCTION("SUM(IMPORTRANGE(""https://docs.google.com/spreadsheets/d/1Rmar8QqWK4XOJ-eY6xMzkAfDSw0srEXcAw89ilArun8/edit"",""2!Q2:Q43""))"),8179.01399999999)</f>
        <v>8179.0139999999901</v>
      </c>
      <c r="G765" s="16">
        <f ca="1">IFERROR(__xludf.DUMMYFUNCTION("IMPORTRANGE(""https://docs.google.com/spreadsheets/d/1Rmar8QqWK4XOJ-eY6xMzkAfDSw0srEXcAw89ilArun8/edit"",""2!e50"")"),4808)</f>
        <v>4808</v>
      </c>
      <c r="H765" s="16">
        <f ca="1">IFERROR(__xludf.DUMMYFUNCTION("IMPORTRANGE(""https://docs.google.com/spreadsheets/d/1Rmar8QqWK4XOJ-eY6xMzkAfDSw0srEXcAw89ilArun8/edit"",""2!e51"")"),0)</f>
        <v>0</v>
      </c>
      <c r="I765" s="18">
        <f t="shared" ca="1" si="2112"/>
        <v>4808</v>
      </c>
      <c r="J765" s="16">
        <f ca="1">IFERROR(__xludf.DUMMYFUNCTION("IMPORTRANGE(""https://docs.google.com/spreadsheets/d/1Rmar8QqWK4XOJ-eY6xMzkAfDSw0srEXcAw89ilArun8/edit"",""2!e54"")"),5449)</f>
        <v>5449</v>
      </c>
      <c r="K765" s="16">
        <f ca="1">IFERROR(__xludf.DUMMYFUNCTION("IMPORTRANGE(""https://docs.google.com/spreadsheets/d/1Rmar8QqWK4XOJ-eY6xMzkAfDSw0srEXcAw89ilArun8/edit"",""2!e55"")"),190)</f>
        <v>190</v>
      </c>
      <c r="L765" s="18">
        <f t="shared" ca="1" si="2113"/>
        <v>5639</v>
      </c>
      <c r="M765" s="18">
        <f t="shared" ca="1" si="2114"/>
        <v>10447</v>
      </c>
      <c r="N765" s="19">
        <f t="shared" ca="1" si="2115"/>
        <v>194.73842857142833</v>
      </c>
      <c r="O765" s="16">
        <v>13817</v>
      </c>
      <c r="P765" s="20">
        <f t="shared" ca="1" si="2116"/>
        <v>0.75609756097560976</v>
      </c>
      <c r="Q765" s="21">
        <v>1.5</v>
      </c>
      <c r="R765" s="20">
        <f t="shared" ca="1" si="2117"/>
        <v>0.85152888437000784</v>
      </c>
      <c r="S765" s="22">
        <f t="shared" ca="1" si="2118"/>
        <v>1.2772933265550117</v>
      </c>
      <c r="T765" s="21">
        <f ca="1">F765/25.089</f>
        <v>325.9999999999996</v>
      </c>
      <c r="U765" s="21">
        <f t="shared" ca="1" si="2119"/>
        <v>7.7619047619047521</v>
      </c>
      <c r="V765" s="18">
        <f t="shared" ca="1" si="2120"/>
        <v>248.73809523809524</v>
      </c>
      <c r="W765" s="76"/>
      <c r="X765" s="24" t="s">
        <v>33</v>
      </c>
      <c r="Y765" s="24">
        <v>6</v>
      </c>
      <c r="Z765" s="24">
        <f t="shared" ref="Z765:AI765" si="2130">SUM(Z759:Z764)</f>
        <v>186</v>
      </c>
      <c r="AA765" s="25">
        <f t="shared" ca="1" si="2130"/>
        <v>179</v>
      </c>
      <c r="AB765" s="26">
        <f t="shared" ca="1" si="2130"/>
        <v>34808.92399999997</v>
      </c>
      <c r="AC765" s="25">
        <f t="shared" ca="1" si="2130"/>
        <v>11852</v>
      </c>
      <c r="AD765" s="25">
        <f t="shared" ca="1" si="2130"/>
        <v>578</v>
      </c>
      <c r="AE765" s="25">
        <f t="shared" ca="1" si="2130"/>
        <v>12430</v>
      </c>
      <c r="AF765" s="25">
        <f t="shared" ca="1" si="2130"/>
        <v>15982</v>
      </c>
      <c r="AG765" s="25">
        <f t="shared" ca="1" si="2130"/>
        <v>495</v>
      </c>
      <c r="AH765" s="25">
        <f t="shared" ca="1" si="2130"/>
        <v>16477</v>
      </c>
      <c r="AI765" s="25">
        <f t="shared" ca="1" si="2130"/>
        <v>28907</v>
      </c>
      <c r="AJ765" s="27">
        <f t="shared" ca="1" si="2124"/>
        <v>194.46326256983224</v>
      </c>
      <c r="AK765" s="24">
        <f>SUM(AK759:AK764)</f>
        <v>35074</v>
      </c>
      <c r="AL765" s="28">
        <f t="shared" ca="1" si="2102"/>
        <v>0.82417175115470154</v>
      </c>
      <c r="AM765" s="29">
        <v>1.5</v>
      </c>
      <c r="AN765" s="28">
        <f t="shared" ca="1" si="2104"/>
        <v>0.5536319747583508</v>
      </c>
      <c r="AO765" s="30">
        <f t="shared" ca="1" si="2105"/>
        <v>0.83044796213752614</v>
      </c>
      <c r="AP765" s="29">
        <f ca="1">SUM(AP759:AP764)</f>
        <v>1309.7101854542025</v>
      </c>
      <c r="AQ765" s="29">
        <f ca="1">AP765/AA765</f>
        <v>7.3168166785150976</v>
      </c>
      <c r="AR765" s="25">
        <f t="shared" ca="1" si="2107"/>
        <v>161.49162011173183</v>
      </c>
      <c r="AS765" s="76"/>
      <c r="AT765" s="76"/>
    </row>
    <row r="766" spans="1:46" ht="15.75" customHeight="1" x14ac:dyDescent="0.25">
      <c r="A766" s="70"/>
      <c r="B766" s="16">
        <v>5</v>
      </c>
      <c r="C766" s="16" t="s">
        <v>34</v>
      </c>
      <c r="D766" s="17">
        <v>40</v>
      </c>
      <c r="E766" s="18">
        <f ca="1">IFERROR(__xludf.DUMMYFUNCTION("COUNT(IMPORTRANGE(""https://docs.google.com/spreadsheets/d/1u99JxAoytGQQ8GcjxXl38CGdyEWy5uIbuJJHnsotyvk/edit"",""2!d2:d41""))"),40)</f>
        <v>40</v>
      </c>
      <c r="F766" s="23">
        <f ca="1">IFERROR(__xludf.DUMMYFUNCTION("SUM(IMPORTRANGE(""https://docs.google.com/spreadsheets/d/1u99JxAoytGQQ8GcjxXl38CGdyEWy5uIbuJJHnsotyvk/edit"",""2!Q2:Q41""))"),7895.343)</f>
        <v>7895.3429999999998</v>
      </c>
      <c r="G766" s="18">
        <f ca="1">IFERROR(__xludf.DUMMYFUNCTION("IMPORTRANGE(""https://docs.google.com/spreadsheets/d/1u99JxAoytGQQ8GcjxXl38CGdyEWy5uIbuJJHnsotyvk/edit"",""2!e48"")"),3069)</f>
        <v>3069</v>
      </c>
      <c r="H766" s="18">
        <f ca="1">IFERROR(__xludf.DUMMYFUNCTION("IMPORTRANGE(""https://docs.google.com/spreadsheets/d/1u99JxAoytGQQ8GcjxXl38CGdyEWy5uIbuJJHnsotyvk/edit"",""2!e49"")"),0)</f>
        <v>0</v>
      </c>
      <c r="I766" s="18">
        <f t="shared" ca="1" si="2112"/>
        <v>3069</v>
      </c>
      <c r="J766" s="18">
        <f ca="1">IFERROR(__xludf.DUMMYFUNCTION("IMPORTRANGE(""https://docs.google.com/spreadsheets/d/1u99JxAoytGQQ8GcjxXl38CGdyEWy5uIbuJJHnsotyvk/edit"",""2!e52"")"),3126)</f>
        <v>3126</v>
      </c>
      <c r="K766" s="18">
        <f ca="1">IFERROR(__xludf.DUMMYFUNCTION("IMPORTRANGE(""https://docs.google.com/spreadsheets/d/1u99JxAoytGQQ8GcjxXl38CGdyEWy5uIbuJJHnsotyvk/edit"",""2!e53"")"),0)</f>
        <v>0</v>
      </c>
      <c r="L766" s="18">
        <f t="shared" ca="1" si="2113"/>
        <v>3126</v>
      </c>
      <c r="M766" s="18">
        <f t="shared" ca="1" si="2114"/>
        <v>6195</v>
      </c>
      <c r="N766" s="19">
        <f t="shared" ca="1" si="2115"/>
        <v>197.38357500000001</v>
      </c>
      <c r="O766" s="16">
        <v>9354</v>
      </c>
      <c r="P766" s="20">
        <f t="shared" ca="1" si="2116"/>
        <v>0.66228351507376526</v>
      </c>
      <c r="Q766" s="21">
        <v>1.5</v>
      </c>
      <c r="R766" s="20">
        <f t="shared" ca="1" si="2117"/>
        <v>0.52309317023972235</v>
      </c>
      <c r="S766" s="22">
        <f t="shared" ca="1" si="2118"/>
        <v>0.78463975535958352</v>
      </c>
      <c r="T766" s="21">
        <f ca="1">F766/30.713</f>
        <v>257.06844007423564</v>
      </c>
      <c r="U766" s="21">
        <f t="shared" ca="1" si="2119"/>
        <v>6.4267110018558906</v>
      </c>
      <c r="V766" s="18">
        <f t="shared" ca="1" si="2120"/>
        <v>154.875</v>
      </c>
      <c r="W766" s="76"/>
      <c r="X766" s="100" t="s">
        <v>35</v>
      </c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9"/>
      <c r="AS766" s="76"/>
      <c r="AT766" s="76"/>
    </row>
    <row r="767" spans="1:46" ht="15.75" customHeight="1" x14ac:dyDescent="0.25">
      <c r="A767" s="70"/>
      <c r="B767" s="16">
        <v>6</v>
      </c>
      <c r="C767" s="16" t="s">
        <v>23</v>
      </c>
      <c r="D767" s="17">
        <v>35</v>
      </c>
      <c r="E767" s="18">
        <f ca="1">IFERROR(__xludf.DUMMYFUNCTION("COUNT(IMPORTRANGE(""https://docs.google.com/spreadsheets/d/1uVc-vnTn57HE53lwrUYNZP4sGKTXisrqOoZ-6EyvLzY/edit"",""2!d2:d36""))"),34)</f>
        <v>34</v>
      </c>
      <c r="F767" s="23">
        <f ca="1">IFERROR(__xludf.DUMMYFUNCTION("SUM(IMPORTRANGE(""https://docs.google.com/spreadsheets/d/1uVc-vnTn57HE53lwrUYNZP4sGKTXisrqOoZ-6EyvLzY/edit"",""2!Q2:Q36""))"),6680.51999999999)</f>
        <v>6680.5199999999904</v>
      </c>
      <c r="G767" s="18">
        <f ca="1">IFERROR(__xludf.DUMMYFUNCTION("IMPORTRANGE(""https://docs.google.com/spreadsheets/d/1uVc-vnTn57HE53lwrUYNZP4sGKTXisrqOoZ-6EyvLzY/edit"",""2!e43"")"),2083)</f>
        <v>2083</v>
      </c>
      <c r="H767" s="18">
        <f ca="1">IFERROR(__xludf.DUMMYFUNCTION("IMPORTRANGE(""https://docs.google.com/spreadsheets/d/1uVc-vnTn57HE53lwrUYNZP4sGKTXisrqOoZ-6EyvLzY/edit"",""2!e44"")"),0)</f>
        <v>0</v>
      </c>
      <c r="I767" s="18">
        <f t="shared" ca="1" si="2112"/>
        <v>2083</v>
      </c>
      <c r="J767" s="18">
        <f ca="1">IFERROR(__xludf.DUMMYFUNCTION("IMPORTRANGE(""https://docs.google.com/spreadsheets/d/1uVc-vnTn57HE53lwrUYNZP4sGKTXisrqOoZ-6EyvLzY/edit"",""2!e47"")"),2916)</f>
        <v>2916</v>
      </c>
      <c r="K767" s="18">
        <f ca="1">IFERROR(__xludf.DUMMYFUNCTION("IMPORTRANGE(""https://docs.google.com/spreadsheets/d/1uVc-vnTn57HE53lwrUYNZP4sGKTXisrqOoZ-6EyvLzY/edit"",""2!e48"")"),0)</f>
        <v>0</v>
      </c>
      <c r="L767" s="18">
        <f t="shared" ca="1" si="2113"/>
        <v>2916</v>
      </c>
      <c r="M767" s="18">
        <f t="shared" ca="1" si="2114"/>
        <v>4999</v>
      </c>
      <c r="N767" s="19">
        <f t="shared" ca="1" si="2115"/>
        <v>196.48588235294091</v>
      </c>
      <c r="O767" s="16">
        <v>6853</v>
      </c>
      <c r="P767" s="20">
        <f t="shared" ca="1" si="2116"/>
        <v>0.72946154968626875</v>
      </c>
      <c r="Q767" s="21">
        <v>1.5</v>
      </c>
      <c r="R767" s="20">
        <f t="shared" ca="1" si="2117"/>
        <v>0.49886336193390207</v>
      </c>
      <c r="S767" s="22">
        <f t="shared" ca="1" si="2118"/>
        <v>0.74829504290085314</v>
      </c>
      <c r="T767" s="21">
        <f ca="1">F767/33.74</f>
        <v>197.99999999999972</v>
      </c>
      <c r="U767" s="21">
        <f t="shared" ca="1" si="2119"/>
        <v>5.8235294117646976</v>
      </c>
      <c r="V767" s="18">
        <f t="shared" ca="1" si="2120"/>
        <v>147.02941176470588</v>
      </c>
      <c r="W767" s="76"/>
      <c r="X767" s="1" t="s">
        <v>2</v>
      </c>
      <c r="Y767" s="1" t="s">
        <v>3</v>
      </c>
      <c r="Z767" s="1" t="s">
        <v>4</v>
      </c>
      <c r="AA767" s="1" t="s">
        <v>5</v>
      </c>
      <c r="AB767" s="2" t="s">
        <v>6</v>
      </c>
      <c r="AC767" s="1" t="s">
        <v>7</v>
      </c>
      <c r="AD767" s="1" t="s">
        <v>8</v>
      </c>
      <c r="AE767" s="1" t="s">
        <v>9</v>
      </c>
      <c r="AF767" s="1" t="s">
        <v>10</v>
      </c>
      <c r="AG767" s="1" t="s">
        <v>11</v>
      </c>
      <c r="AH767" s="1" t="s">
        <v>12</v>
      </c>
      <c r="AI767" s="1" t="s">
        <v>13</v>
      </c>
      <c r="AJ767" s="2" t="s">
        <v>14</v>
      </c>
      <c r="AK767" s="1" t="s">
        <v>15</v>
      </c>
      <c r="AL767" s="1" t="s">
        <v>16</v>
      </c>
      <c r="AM767" s="3" t="s">
        <v>17</v>
      </c>
      <c r="AN767" s="4" t="s">
        <v>18</v>
      </c>
      <c r="AO767" s="5" t="s">
        <v>19</v>
      </c>
      <c r="AP767" s="6" t="s">
        <v>20</v>
      </c>
      <c r="AQ767" s="6" t="s">
        <v>21</v>
      </c>
      <c r="AR767" s="7" t="s">
        <v>22</v>
      </c>
      <c r="AS767" s="76"/>
      <c r="AT767" s="76"/>
    </row>
    <row r="768" spans="1:46" ht="15.75" customHeight="1" x14ac:dyDescent="0.25">
      <c r="A768" s="70"/>
      <c r="B768" s="16">
        <v>7</v>
      </c>
      <c r="C768" s="16" t="s">
        <v>24</v>
      </c>
      <c r="D768" s="17">
        <v>44</v>
      </c>
      <c r="E768" s="31">
        <f ca="1">IFERROR(__xludf.DUMMYFUNCTION("COUNT(IMPORTRANGE(""https://docs.google.com/spreadsheets/d/1iuPvivSypupo44l6GtmR-2qZ3za7cTk7KzsOVp_kv2c/edit"",""2!d2:d45""))"),44)</f>
        <v>44</v>
      </c>
      <c r="F768" s="32">
        <f ca="1">IFERROR(__xludf.DUMMYFUNCTION("SUM(IMPORTRANGE(""https://docs.google.com/spreadsheets/d/1iuPvivSypupo44l6GtmR-2qZ3za7cTk7KzsOVp_kv2c/edit"",""2!Q2:Q45""))"),8354.58199999999)</f>
        <v>8354.5819999999894</v>
      </c>
      <c r="G768" s="31">
        <f ca="1">IFERROR(__xludf.DUMMYFUNCTION("IMPORTRANGE(""https://docs.google.com/spreadsheets/d/1iuPvivSypupo44l6GtmR-2qZ3za7cTk7KzsOVp_kv2c/edit"",""2!e53"")"),1454)</f>
        <v>1454</v>
      </c>
      <c r="H768" s="31">
        <f ca="1">IFERROR(__xludf.DUMMYFUNCTION("IMPORTRANGE(""https://docs.google.com/spreadsheets/d/1iuPvivSypupo44l6GtmR-2qZ3za7cTk7KzsOVp_kv2c/edit"",""2!e54"")"),0)</f>
        <v>0</v>
      </c>
      <c r="I768" s="31">
        <f t="shared" ca="1" si="2112"/>
        <v>1454</v>
      </c>
      <c r="J768" s="31">
        <f ca="1">IFERROR(__xludf.DUMMYFUNCTION("IMPORTRANGE(""https://docs.google.com/spreadsheets/d/1iuPvivSypupo44l6GtmR-2qZ3za7cTk7KzsOVp_kv2c/edit"",""2!e57"")"),1288)</f>
        <v>1288</v>
      </c>
      <c r="K768" s="31">
        <f ca="1">IFERROR(__xludf.DUMMYFUNCTION("IMPORTRANGE(""https://docs.google.com/spreadsheets/d/1iuPvivSypupo44l6GtmR-2qZ3za7cTk7KzsOVp_kv2c/edit"",""2!e58"")"),28)</f>
        <v>28</v>
      </c>
      <c r="L768" s="18">
        <f t="shared" ca="1" si="2113"/>
        <v>1316</v>
      </c>
      <c r="M768" s="18">
        <f t="shared" ca="1" si="2114"/>
        <v>2770</v>
      </c>
      <c r="N768" s="19">
        <f t="shared" ca="1" si="2115"/>
        <v>189.8768636363634</v>
      </c>
      <c r="O768" s="16">
        <v>1580</v>
      </c>
      <c r="P768" s="33">
        <f t="shared" ca="1" si="2116"/>
        <v>1.7531645569620253</v>
      </c>
      <c r="Q768" s="21">
        <v>1.5</v>
      </c>
      <c r="R768" s="20">
        <f t="shared" ca="1" si="2117"/>
        <v>0.22103639256478291</v>
      </c>
      <c r="S768" s="22">
        <f t="shared" ca="1" si="2118"/>
        <v>0.33155458884717437</v>
      </c>
      <c r="T768" s="21">
        <f ca="1">F768/26.805</f>
        <v>311.67998507741055</v>
      </c>
      <c r="U768" s="21">
        <f t="shared" ca="1" si="2119"/>
        <v>7.0836360244866032</v>
      </c>
      <c r="V768" s="18">
        <f t="shared" ca="1" si="2120"/>
        <v>62.954545454545453</v>
      </c>
      <c r="W768" s="76"/>
      <c r="X768" s="8">
        <v>1</v>
      </c>
      <c r="Y768" s="8" t="s">
        <v>28</v>
      </c>
      <c r="Z768" s="8">
        <f t="shared" ref="Z768:AI768" si="2131">SUM(D763)</f>
        <v>33</v>
      </c>
      <c r="AA768" s="9">
        <f t="shared" ca="1" si="2131"/>
        <v>33</v>
      </c>
      <c r="AB768" s="11">
        <f t="shared" ca="1" si="2131"/>
        <v>6528.8329999999896</v>
      </c>
      <c r="AC768" s="9">
        <f t="shared" ca="1" si="2131"/>
        <v>2700</v>
      </c>
      <c r="AD768" s="9">
        <f t="shared" ca="1" si="2131"/>
        <v>104</v>
      </c>
      <c r="AE768" s="9">
        <f t="shared" ca="1" si="2131"/>
        <v>2804</v>
      </c>
      <c r="AF768" s="9">
        <f t="shared" ca="1" si="2131"/>
        <v>3205</v>
      </c>
      <c r="AG768" s="9">
        <f t="shared" ca="1" si="2131"/>
        <v>102</v>
      </c>
      <c r="AH768" s="9">
        <f t="shared" ca="1" si="2131"/>
        <v>3307</v>
      </c>
      <c r="AI768" s="9">
        <f t="shared" ca="1" si="2131"/>
        <v>6111</v>
      </c>
      <c r="AJ768" s="11">
        <f t="shared" ref="AJ768:AJ774" ca="1" si="2132">AB768/AA768</f>
        <v>197.84342424242394</v>
      </c>
      <c r="AK768" s="8">
        <f t="shared" ref="AK768:AK769" si="2133">SUM(O763)</f>
        <v>7315</v>
      </c>
      <c r="AL768" s="12">
        <f t="shared" ref="AL768:AL774" ca="1" si="2134">AI768/AK768</f>
        <v>0.83540669856459326</v>
      </c>
      <c r="AM768" s="13">
        <f t="shared" ref="AM768:AM769" si="2135">SUM(Q763)</f>
        <v>1.5</v>
      </c>
      <c r="AN768" s="12">
        <f t="shared" ref="AN768:AN774" ca="1" si="2136">AO768/AM768</f>
        <v>0.6240012571925192</v>
      </c>
      <c r="AO768" s="14">
        <f t="shared" ref="AO768:AO774" ca="1" si="2137">AI768/AB768</f>
        <v>0.93600188578877874</v>
      </c>
      <c r="AP768" s="13">
        <f t="shared" ref="AP768:AQ768" ca="1" si="2138">SUM(T763)</f>
        <v>211.30960934718547</v>
      </c>
      <c r="AQ768" s="13">
        <f t="shared" ca="1" si="2138"/>
        <v>6.4033214953692568</v>
      </c>
      <c r="AR768" s="9">
        <f t="shared" ref="AR768:AR774" ca="1" si="2139">AI768/AA768</f>
        <v>185.18181818181819</v>
      </c>
      <c r="AS768" s="76"/>
      <c r="AT768" s="76"/>
    </row>
    <row r="769" spans="1:46" ht="15.75" customHeight="1" x14ac:dyDescent="0.25">
      <c r="A769" s="70"/>
      <c r="B769" s="16">
        <v>8</v>
      </c>
      <c r="C769" s="16" t="s">
        <v>25</v>
      </c>
      <c r="D769" s="34">
        <v>32</v>
      </c>
      <c r="E769" s="18">
        <f ca="1">IFERROR(__xludf.DUMMYFUNCTION("COUNT(IMPORTRANGE(""https://docs.google.com/spreadsheets/d/1sqWX7UerdR9KR_duBzDNfjwbPG-3hLgV1LiN2ZVZ6Js/edit"",""2!d2:D33""))"),31)</f>
        <v>31</v>
      </c>
      <c r="F769" s="23">
        <f ca="1">IFERROR(__xludf.DUMMYFUNCTION("SUM(IMPORTRANGE(""https://docs.google.com/spreadsheets/d/1sqWX7UerdR9KR_duBzDNfjwbPG-3hLgV1LiN2ZVZ6Js/edit"",""2!Q2:Q33""))"),5925.124)</f>
        <v>5925.1239999999998</v>
      </c>
      <c r="G769" s="18">
        <f ca="1">IFERROR(__xludf.DUMMYFUNCTION("IMPORTRANGE(""https://docs.google.com/spreadsheets/d/1sqWX7UerdR9KR_duBzDNfjwbPG-3hLgV1LiN2ZVZ6Js/edit"",""2!e40"")"),2351)</f>
        <v>2351</v>
      </c>
      <c r="H769" s="18">
        <f ca="1">IFERROR(__xludf.DUMMYFUNCTION("IMPORTRANGE(""https://docs.google.com/spreadsheets/d/1sqWX7UerdR9KR_duBzDNfjwbPG-3hLgV1LiN2ZVZ6Js/edit"",""2!e41"")"),438)</f>
        <v>438</v>
      </c>
      <c r="I769" s="18">
        <f t="shared" ca="1" si="2112"/>
        <v>2789</v>
      </c>
      <c r="J769" s="18">
        <f ca="1">IFERROR(__xludf.DUMMYFUNCTION("IMPORTRANGE(""https://docs.google.com/spreadsheets/d/1sqWX7UerdR9KR_duBzDNfjwbPG-3hLgV1LiN2ZVZ6Js/edit"",""2!e44"")"),3213)</f>
        <v>3213</v>
      </c>
      <c r="K769" s="18">
        <f ca="1">IFERROR(__xludf.DUMMYFUNCTION("IMPORTRANGE(""https://docs.google.com/spreadsheets/d/1sqWX7UerdR9KR_duBzDNfjwbPG-3hLgV1LiN2ZVZ6Js/edit"",""2!e45"")"),305)</f>
        <v>305</v>
      </c>
      <c r="L769" s="18">
        <f ca="1">J769+K769</f>
        <v>3518</v>
      </c>
      <c r="M769" s="18">
        <f t="shared" ca="1" si="2114"/>
        <v>6307</v>
      </c>
      <c r="N769" s="19">
        <f t="shared" ca="1" si="2115"/>
        <v>191.1330322580645</v>
      </c>
      <c r="O769" s="16">
        <v>6622</v>
      </c>
      <c r="P769" s="33">
        <f t="shared" ca="1" si="2116"/>
        <v>0.95243128964059198</v>
      </c>
      <c r="Q769" s="21">
        <v>1.5</v>
      </c>
      <c r="R769" s="20">
        <f t="shared" ca="1" si="2117"/>
        <v>0.70963353115760386</v>
      </c>
      <c r="S769" s="22">
        <f t="shared" ca="1" si="2118"/>
        <v>1.0644502967364058</v>
      </c>
      <c r="T769" s="21">
        <f ca="1">F769/23.84</f>
        <v>248.53708053691275</v>
      </c>
      <c r="U769" s="21">
        <f t="shared" ca="1" si="2119"/>
        <v>8.0173251786100881</v>
      </c>
      <c r="V769" s="18">
        <f t="shared" ca="1" si="2120"/>
        <v>203.45161290322579</v>
      </c>
      <c r="W769" s="76"/>
      <c r="X769" s="8">
        <v>2</v>
      </c>
      <c r="Y769" s="8" t="s">
        <v>30</v>
      </c>
      <c r="Z769" s="8">
        <f t="shared" ref="Z769:AI769" si="2140">SUM(D764)</f>
        <v>60</v>
      </c>
      <c r="AA769" s="9">
        <f t="shared" ca="1" si="2140"/>
        <v>58</v>
      </c>
      <c r="AB769" s="10">
        <f t="shared" ca="1" si="2140"/>
        <v>11253.344999999899</v>
      </c>
      <c r="AC769" s="9">
        <f t="shared" ca="1" si="2140"/>
        <v>3757</v>
      </c>
      <c r="AD769" s="9">
        <f t="shared" ca="1" si="2140"/>
        <v>0</v>
      </c>
      <c r="AE769" s="9">
        <f t="shared" ca="1" si="2140"/>
        <v>3757</v>
      </c>
      <c r="AF769" s="9">
        <f t="shared" ca="1" si="2140"/>
        <v>5596</v>
      </c>
      <c r="AG769" s="9">
        <f t="shared" ca="1" si="2140"/>
        <v>0</v>
      </c>
      <c r="AH769" s="9">
        <f t="shared" ca="1" si="2140"/>
        <v>5596</v>
      </c>
      <c r="AI769" s="9">
        <f t="shared" ca="1" si="2140"/>
        <v>9353</v>
      </c>
      <c r="AJ769" s="11">
        <f t="shared" ca="1" si="2132"/>
        <v>194.02318965517068</v>
      </c>
      <c r="AK769" s="8">
        <f t="shared" si="2133"/>
        <v>11164</v>
      </c>
      <c r="AL769" s="12">
        <f t="shared" ca="1" si="2134"/>
        <v>0.83778215693299896</v>
      </c>
      <c r="AM769" s="13">
        <f t="shared" si="2135"/>
        <v>1.5</v>
      </c>
      <c r="AN769" s="12">
        <f t="shared" ca="1" si="2136"/>
        <v>0.5540871032864797</v>
      </c>
      <c r="AO769" s="14">
        <f t="shared" ca="1" si="2137"/>
        <v>0.83113065492971949</v>
      </c>
      <c r="AP769" s="13">
        <f t="shared" ref="AP769:AQ769" ca="1" si="2141">SUM(T764)</f>
        <v>380.14204641421134</v>
      </c>
      <c r="AQ769" s="13">
        <f t="shared" ca="1" si="2141"/>
        <v>6.5541732140381264</v>
      </c>
      <c r="AR769" s="9">
        <f t="shared" ca="1" si="2139"/>
        <v>161.25862068965517</v>
      </c>
      <c r="AS769" s="76"/>
      <c r="AT769" s="76"/>
    </row>
    <row r="770" spans="1:46" ht="15.75" customHeight="1" x14ac:dyDescent="0.25">
      <c r="A770" s="70"/>
      <c r="B770" s="16">
        <v>9</v>
      </c>
      <c r="C770" s="16" t="s">
        <v>36</v>
      </c>
      <c r="D770" s="34">
        <v>30</v>
      </c>
      <c r="E770" s="18">
        <f ca="1">IFERROR(__xludf.DUMMYFUNCTION("COUNT(IMPORTRANGE(""https://docs.google.com/spreadsheets/d/1YNna43iTSqnwwbMJgTIPHSJEoDO8RGPRFg5pJCoQR_Y/edit"",""2!d2:d31""))"),29)</f>
        <v>29</v>
      </c>
      <c r="F770" s="23">
        <f ca="1">IFERROR(__xludf.DUMMYFUNCTION("SUM(IMPORTRANGE(""https://docs.google.com/spreadsheets/d/1YNna43iTSqnwwbMJgTIPHSJEoDO8RGPRFg5pJCoQR_Y/edit"",""2!Q2:Q31""))"),5604.12)</f>
        <v>5604.12</v>
      </c>
      <c r="G770" s="18">
        <f ca="1">IFERROR(__xludf.DUMMYFUNCTION("IMPORTRANGE(""https://docs.google.com/spreadsheets/d/1YNna43iTSqnwwbMJgTIPHSJEoDO8RGPRFg5pJCoQR_Y/edit"",""2!e38"")"),1533)</f>
        <v>1533</v>
      </c>
      <c r="H770" s="18">
        <f ca="1">IFERROR(__xludf.DUMMYFUNCTION("IMPORTRANGE(""https://docs.google.com/spreadsheets/d/1YNna43iTSqnwwbMJgTIPHSJEoDO8RGPRFg5pJCoQR_Y/edit"",""2!e39"")"),0)</f>
        <v>0</v>
      </c>
      <c r="I770" s="18">
        <f t="shared" ca="1" si="2112"/>
        <v>1533</v>
      </c>
      <c r="J770" s="18">
        <f ca="1">IFERROR(__xludf.DUMMYFUNCTION("IMPORTRANGE(""https://docs.google.com/spreadsheets/d/1YNna43iTSqnwwbMJgTIPHSJEoDO8RGPRFg5pJCoQR_Y/edit"",""2!e42"")"),2301)</f>
        <v>2301</v>
      </c>
      <c r="K770" s="18">
        <f ca="1">IFERROR(__xludf.DUMMYFUNCTION("IMPORTRANGE(""https://docs.google.com/spreadsheets/d/1YNna43iTSqnwwbMJgTIPHSJEoDO8RGPRFg5pJCoQR_Y/edit"",""2!e43"")"),0)</f>
        <v>0</v>
      </c>
      <c r="L770" s="18">
        <f t="shared" ref="L770:L779" ca="1" si="2142">SUM(J770:K770)</f>
        <v>2301</v>
      </c>
      <c r="M770" s="18">
        <f t="shared" ca="1" si="2114"/>
        <v>3834</v>
      </c>
      <c r="N770" s="19">
        <f t="shared" ca="1" si="2115"/>
        <v>193.2455172413793</v>
      </c>
      <c r="O770" s="16">
        <v>4796</v>
      </c>
      <c r="P770" s="20">
        <f t="shared" ca="1" si="2116"/>
        <v>0.79941618015012506</v>
      </c>
      <c r="Q770" s="21">
        <v>1.5</v>
      </c>
      <c r="R770" s="20">
        <f t="shared" ca="1" si="2117"/>
        <v>0.4560930172801439</v>
      </c>
      <c r="S770" s="22">
        <f t="shared" ca="1" si="2118"/>
        <v>0.68413952592021587</v>
      </c>
      <c r="T770" s="21">
        <f ca="1">F770/37.414</f>
        <v>149.78671085689848</v>
      </c>
      <c r="U770" s="21">
        <f t="shared" ca="1" si="2119"/>
        <v>5.1650589950654648</v>
      </c>
      <c r="V770" s="18">
        <f t="shared" ca="1" si="2120"/>
        <v>132.20689655172413</v>
      </c>
      <c r="W770" s="76"/>
      <c r="X770" s="8">
        <v>3</v>
      </c>
      <c r="Y770" s="8" t="s">
        <v>34</v>
      </c>
      <c r="Z770" s="8">
        <f t="shared" ref="Z770:AI770" si="2143">SUM(D766)</f>
        <v>40</v>
      </c>
      <c r="AA770" s="9">
        <f t="shared" ca="1" si="2143"/>
        <v>40</v>
      </c>
      <c r="AB770" s="10">
        <f t="shared" ca="1" si="2143"/>
        <v>7895.3429999999998</v>
      </c>
      <c r="AC770" s="9">
        <f t="shared" ca="1" si="2143"/>
        <v>3069</v>
      </c>
      <c r="AD770" s="9">
        <f t="shared" ca="1" si="2143"/>
        <v>0</v>
      </c>
      <c r="AE770" s="9">
        <f t="shared" ca="1" si="2143"/>
        <v>3069</v>
      </c>
      <c r="AF770" s="9">
        <f t="shared" ca="1" si="2143"/>
        <v>3126</v>
      </c>
      <c r="AG770" s="9">
        <f t="shared" ca="1" si="2143"/>
        <v>0</v>
      </c>
      <c r="AH770" s="9">
        <f t="shared" ca="1" si="2143"/>
        <v>3126</v>
      </c>
      <c r="AI770" s="9">
        <f t="shared" ca="1" si="2143"/>
        <v>6195</v>
      </c>
      <c r="AJ770" s="11">
        <f t="shared" ca="1" si="2132"/>
        <v>197.38357500000001</v>
      </c>
      <c r="AK770" s="8">
        <f>SUM(O766)</f>
        <v>9354</v>
      </c>
      <c r="AL770" s="12">
        <f t="shared" ca="1" si="2134"/>
        <v>0.66228351507376526</v>
      </c>
      <c r="AM770" s="13">
        <f>SUM(Q766)</f>
        <v>1.5</v>
      </c>
      <c r="AN770" s="12">
        <f t="shared" ca="1" si="2136"/>
        <v>0.52309317023972235</v>
      </c>
      <c r="AO770" s="14">
        <f t="shared" ca="1" si="2137"/>
        <v>0.78463975535958352</v>
      </c>
      <c r="AP770" s="13">
        <f t="shared" ref="AP770:AQ770" ca="1" si="2144">SUM(T766)</f>
        <v>257.06844007423564</v>
      </c>
      <c r="AQ770" s="13">
        <f t="shared" ca="1" si="2144"/>
        <v>6.4267110018558906</v>
      </c>
      <c r="AR770" s="9">
        <f t="shared" ca="1" si="2139"/>
        <v>154.875</v>
      </c>
      <c r="AS770" s="76"/>
      <c r="AT770" s="76"/>
    </row>
    <row r="771" spans="1:46" ht="15.75" customHeight="1" x14ac:dyDescent="0.25">
      <c r="A771" s="70"/>
      <c r="B771" s="16">
        <v>10</v>
      </c>
      <c r="C771" s="16" t="s">
        <v>37</v>
      </c>
      <c r="D771" s="17">
        <v>30</v>
      </c>
      <c r="E771" s="18">
        <f ca="1">IFERROR(__xludf.DUMMYFUNCTION("COUNT(IMPORTRANGE(""https://docs.google.com/spreadsheets/d/1913Df5BsXS_b-nClL8LOK5w0engQYTl1mPOiyngRtO0/edit"",""2!d2:d31""))"),30)</f>
        <v>30</v>
      </c>
      <c r="F771" s="23">
        <f ca="1">IFERROR(__xludf.DUMMYFUNCTION("SUM(IMPORTRANGE(""https://docs.google.com/spreadsheets/d/1913Df5BsXS_b-nClL8LOK5w0engQYTl1mPOiyngRtO0/edit"",""2!Q2:Q31""))"),5812.188)</f>
        <v>5812.1880000000001</v>
      </c>
      <c r="G771" s="18">
        <f ca="1">IFERROR(__xludf.DUMMYFUNCTION("(IMPORTRANGE(""https://docs.google.com/spreadsheets/d/1913Df5BsXS_b-nClL8LOK5w0engQYTl1mPOiyngRtO0/edit"",""2!e38""))"),2138)</f>
        <v>2138</v>
      </c>
      <c r="H771" s="18">
        <f ca="1">IFERROR(__xludf.DUMMYFUNCTION("(IMPORTRANGE(""https://docs.google.com/spreadsheets/d/1913Df5BsXS_b-nClL8LOK5w0engQYTl1mPOiyngRtO0/edit"",""2!e39""))"),0)</f>
        <v>0</v>
      </c>
      <c r="I771" s="18">
        <f t="shared" ca="1" si="2112"/>
        <v>2138</v>
      </c>
      <c r="J771" s="18">
        <f ca="1">IFERROR(__xludf.DUMMYFUNCTION("(IMPORTRANGE(""https://docs.google.com/spreadsheets/d/1913Df5BsXS_b-nClL8LOK5w0engQYTl1mPOiyngRtO0/edit"",""2!e42""))"),3071)</f>
        <v>3071</v>
      </c>
      <c r="K771" s="18">
        <f ca="1">IFERROR(__xludf.DUMMYFUNCTION("(IMPORTRANGE(""https://docs.google.com/spreadsheets/d/1913Df5BsXS_b-nClL8LOK5w0engQYTl1mPOiyngRtO0/edit"",""2!e43""))"),0)</f>
        <v>0</v>
      </c>
      <c r="L771" s="18">
        <f t="shared" ca="1" si="2142"/>
        <v>3071</v>
      </c>
      <c r="M771" s="18">
        <f t="shared" ca="1" si="2114"/>
        <v>5209</v>
      </c>
      <c r="N771" s="19">
        <f t="shared" ca="1" si="2115"/>
        <v>193.7396</v>
      </c>
      <c r="O771" s="16">
        <v>5887</v>
      </c>
      <c r="P771" s="20">
        <f t="shared" ca="1" si="2116"/>
        <v>0.88483098352301681</v>
      </c>
      <c r="Q771" s="21">
        <v>1.5</v>
      </c>
      <c r="R771" s="20">
        <f t="shared" ca="1" si="2117"/>
        <v>0.59748009986371164</v>
      </c>
      <c r="S771" s="22">
        <f t="shared" ca="1" si="2118"/>
        <v>0.89622014979556752</v>
      </c>
      <c r="T771" s="21">
        <f ca="1">F771/24.792</f>
        <v>234.4380445304937</v>
      </c>
      <c r="U771" s="21">
        <f t="shared" ca="1" si="2119"/>
        <v>7.8146014843497902</v>
      </c>
      <c r="V771" s="18">
        <f t="shared" ca="1" si="2120"/>
        <v>173.63333333333333</v>
      </c>
      <c r="W771" s="76"/>
      <c r="X771" s="8">
        <v>4</v>
      </c>
      <c r="Y771" s="8" t="s">
        <v>38</v>
      </c>
      <c r="Z771" s="8">
        <f t="shared" ref="Z771:AI771" si="2145">SUM(D774)</f>
        <v>30</v>
      </c>
      <c r="AA771" s="9">
        <f t="shared" ca="1" si="2145"/>
        <v>30</v>
      </c>
      <c r="AB771" s="10">
        <f t="shared" ca="1" si="2145"/>
        <v>6284.2779999999902</v>
      </c>
      <c r="AC771" s="9">
        <f t="shared" ca="1" si="2145"/>
        <v>2309</v>
      </c>
      <c r="AD771" s="9">
        <f t="shared" ca="1" si="2145"/>
        <v>0</v>
      </c>
      <c r="AE771" s="9">
        <f t="shared" ca="1" si="2145"/>
        <v>2309</v>
      </c>
      <c r="AF771" s="9">
        <f t="shared" ca="1" si="2145"/>
        <v>2749</v>
      </c>
      <c r="AG771" s="9">
        <f t="shared" ca="1" si="2145"/>
        <v>159</v>
      </c>
      <c r="AH771" s="9">
        <f t="shared" ca="1" si="2145"/>
        <v>2908</v>
      </c>
      <c r="AI771" s="9">
        <f t="shared" ca="1" si="2145"/>
        <v>5217</v>
      </c>
      <c r="AJ771" s="11">
        <f t="shared" ca="1" si="2132"/>
        <v>209.47593333333302</v>
      </c>
      <c r="AK771" s="8">
        <v>7324</v>
      </c>
      <c r="AL771" s="12">
        <f t="shared" ca="1" si="2134"/>
        <v>0.71231567449481159</v>
      </c>
      <c r="AM771" s="13">
        <f>SUM(Q774)</f>
        <v>1.5</v>
      </c>
      <c r="AN771" s="12">
        <f t="shared" ca="1" si="2136"/>
        <v>0.55344464391931825</v>
      </c>
      <c r="AO771" s="14">
        <f t="shared" ca="1" si="2137"/>
        <v>0.83016696587897731</v>
      </c>
      <c r="AP771" s="13">
        <f t="shared" ref="AP771:AQ771" ca="1" si="2146">SUM(T774)</f>
        <v>152.51251061764327</v>
      </c>
      <c r="AQ771" s="13">
        <f t="shared" ca="1" si="2146"/>
        <v>5.0837503539214426</v>
      </c>
      <c r="AR771" s="9">
        <f t="shared" ca="1" si="2139"/>
        <v>173.9</v>
      </c>
      <c r="AS771" s="76"/>
      <c r="AT771" s="76"/>
    </row>
    <row r="772" spans="1:46" ht="15.75" customHeight="1" x14ac:dyDescent="0.25">
      <c r="A772" s="70"/>
      <c r="B772" s="16">
        <v>12</v>
      </c>
      <c r="C772" s="16" t="s">
        <v>39</v>
      </c>
      <c r="D772" s="17">
        <v>28</v>
      </c>
      <c r="E772" s="18">
        <f ca="1">IFERROR(__xludf.DUMMYFUNCTION("COUNT(IMPORTRANGE(""https://docs.google.com/spreadsheets/d/1wMeol_MpSIcocGxt3WZGl46mJ2tc80mANPvP_YzaP18/edit"",""2!d2:d29""))"),28)</f>
        <v>28</v>
      </c>
      <c r="F772" s="23">
        <f ca="1">IFERROR(__xludf.DUMMYFUNCTION("SUM(IMPORTRANGE(""https://docs.google.com/spreadsheets/d/1wMeol_MpSIcocGxt3WZGl46mJ2tc80mANPvP_YzaP18/edit"",""2!Q2:Q29""))"),5458.878)</f>
        <v>5458.8779999999997</v>
      </c>
      <c r="G772" s="18">
        <f ca="1">IFERROR(__xludf.DUMMYFUNCTION("IMPORTRANGE(""https://docs.google.com/spreadsheets/d/1wMeol_MpSIcocGxt3WZGl46mJ2tc80mANPvP_YzaP18/edit"",""2!e36"")"),1516)</f>
        <v>1516</v>
      </c>
      <c r="H772" s="18">
        <f ca="1">IFERROR(__xludf.DUMMYFUNCTION("(IMPORTRANGE(""https://docs.google.com/spreadsheets/d/1wMeol_MpSIcocGxt3WZGl46mJ2tc80mANPvP_YzaP18/edit"",""2!e37""))"),43)</f>
        <v>43</v>
      </c>
      <c r="I772" s="18">
        <f t="shared" ca="1" si="2112"/>
        <v>1559</v>
      </c>
      <c r="J772" s="18">
        <f ca="1">IFERROR(__xludf.DUMMYFUNCTION("IMPORTRANGE(""https://docs.google.com/spreadsheets/d/1wMeol_MpSIcocGxt3WZGl46mJ2tc80mANPvP_YzaP18/edit"",""2!e40"")"),1765)</f>
        <v>1765</v>
      </c>
      <c r="K772" s="18">
        <f ca="1">IFERROR(__xludf.DUMMYFUNCTION("IMPORTRANGE(""https://docs.google.com/spreadsheets/d/1wMeol_MpSIcocGxt3WZGl46mJ2tc80mANPvP_YzaP18/edit"",""2!e41"")"),115)</f>
        <v>115</v>
      </c>
      <c r="L772" s="18">
        <f t="shared" ca="1" si="2142"/>
        <v>1880</v>
      </c>
      <c r="M772" s="18">
        <f t="shared" ca="1" si="2114"/>
        <v>3439</v>
      </c>
      <c r="N772" s="19">
        <f t="shared" ca="1" si="2115"/>
        <v>194.95992857142855</v>
      </c>
      <c r="O772" s="16">
        <v>3569</v>
      </c>
      <c r="P772" s="20">
        <f t="shared" ca="1" si="2116"/>
        <v>0.96357523115718691</v>
      </c>
      <c r="Q772" s="21">
        <v>1.5</v>
      </c>
      <c r="R772" s="20">
        <f t="shared" ca="1" si="2117"/>
        <v>0.4199886252571805</v>
      </c>
      <c r="S772" s="22">
        <f t="shared" ca="1" si="2118"/>
        <v>0.62998293788577076</v>
      </c>
      <c r="T772" s="21">
        <f ca="1">F772/21.463</f>
        <v>254.33900200344777</v>
      </c>
      <c r="U772" s="21">
        <f t="shared" ca="1" si="2119"/>
        <v>9.0835357858374213</v>
      </c>
      <c r="V772" s="18">
        <f t="shared" ca="1" si="2120"/>
        <v>122.82142857142857</v>
      </c>
      <c r="W772" s="76"/>
      <c r="X772" s="8">
        <v>5</v>
      </c>
      <c r="Y772" s="8" t="s">
        <v>40</v>
      </c>
      <c r="Z772" s="8">
        <f t="shared" ref="Z772:AI772" si="2147">SUM(D776)</f>
        <v>30</v>
      </c>
      <c r="AA772" s="9">
        <f t="shared" ca="1" si="2147"/>
        <v>30</v>
      </c>
      <c r="AB772" s="10">
        <f t="shared" ca="1" si="2147"/>
        <v>5845.7029999999904</v>
      </c>
      <c r="AC772" s="9">
        <f t="shared" ca="1" si="2147"/>
        <v>3323</v>
      </c>
      <c r="AD772" s="9">
        <f t="shared" ca="1" si="2147"/>
        <v>39</v>
      </c>
      <c r="AE772" s="9">
        <f t="shared" ca="1" si="2147"/>
        <v>3362</v>
      </c>
      <c r="AF772" s="9">
        <f t="shared" ca="1" si="2147"/>
        <v>3928</v>
      </c>
      <c r="AG772" s="9">
        <f t="shared" ca="1" si="2147"/>
        <v>73</v>
      </c>
      <c r="AH772" s="9">
        <f t="shared" ca="1" si="2147"/>
        <v>4001</v>
      </c>
      <c r="AI772" s="9">
        <f t="shared" ca="1" si="2147"/>
        <v>7363</v>
      </c>
      <c r="AJ772" s="11">
        <f t="shared" ca="1" si="2132"/>
        <v>194.85676666666635</v>
      </c>
      <c r="AK772" s="8">
        <f t="shared" ref="AK772:AK773" si="2148">SUM(O776)</f>
        <v>8239</v>
      </c>
      <c r="AL772" s="12">
        <f t="shared" ca="1" si="2134"/>
        <v>0.89367641704090306</v>
      </c>
      <c r="AM772" s="13">
        <f t="shared" ref="AM772:AM773" si="2149">SUM(Q776)</f>
        <v>1.5</v>
      </c>
      <c r="AN772" s="12">
        <f t="shared" ca="1" si="2136"/>
        <v>0.83970510760924311</v>
      </c>
      <c r="AO772" s="14">
        <f t="shared" ca="1" si="2137"/>
        <v>1.2595576614138646</v>
      </c>
      <c r="AP772" s="13">
        <f t="shared" ref="AP772:AQ772" ca="1" si="2150">SUM(T776)</f>
        <v>205.52343283057309</v>
      </c>
      <c r="AQ772" s="13">
        <f t="shared" ca="1" si="2150"/>
        <v>6.8507810943524365</v>
      </c>
      <c r="AR772" s="9">
        <f t="shared" ca="1" si="2139"/>
        <v>245.43333333333334</v>
      </c>
      <c r="AS772" s="76"/>
      <c r="AT772" s="76"/>
    </row>
    <row r="773" spans="1:46" ht="15.75" customHeight="1" x14ac:dyDescent="0.25">
      <c r="A773" s="70"/>
      <c r="B773" s="16">
        <v>12</v>
      </c>
      <c r="C773" s="16" t="s">
        <v>41</v>
      </c>
      <c r="D773" s="17">
        <v>24</v>
      </c>
      <c r="E773" s="18">
        <f ca="1">IFERROR(__xludf.DUMMYFUNCTION("COUNT(IMPORTRANGE(""https://docs.google.com/spreadsheets/d/1sHk6_yuc4kORC_xnhEeazoemV_hVUQVqRpfoNae-PLk/edit"",""2!d2:d25""))"),24)</f>
        <v>24</v>
      </c>
      <c r="F773" s="23">
        <f ca="1">IFERROR(__xludf.DUMMYFUNCTION("SUM(IMPORTRANGE(""https://docs.google.com/spreadsheets/d/1sHk6_yuc4kORC_xnhEeazoemV_hVUQVqRpfoNae-PLk/edit"",""2!Q2:Q25""))"),4806.32)</f>
        <v>4806.32</v>
      </c>
      <c r="G773" s="18">
        <f ca="1">IFERROR(__xludf.DUMMYFUNCTION("IMPORTRANGE(""https://docs.google.com/spreadsheets/d/1sHk6_yuc4kORC_xnhEeazoemV_hVUQVqRpfoNae-PLk/edit"",""2!e32"")"),1468)</f>
        <v>1468</v>
      </c>
      <c r="H773" s="18">
        <f ca="1">IFERROR(__xludf.DUMMYFUNCTION("IMPORTRANGE(""https://docs.google.com/spreadsheets/d/1sHk6_yuc4kORC_xnhEeazoemV_hVUQVqRpfoNae-PLk/edit"",""2!e33"")"),0)</f>
        <v>0</v>
      </c>
      <c r="I773" s="18">
        <f t="shared" ca="1" si="2112"/>
        <v>1468</v>
      </c>
      <c r="J773" s="18">
        <f ca="1">IFERROR(__xludf.DUMMYFUNCTION("IMPORTRANGE(""https://docs.google.com/spreadsheets/d/1sHk6_yuc4kORC_xnhEeazoemV_hVUQVqRpfoNae-PLk/edit"",""2!e36"")"),1656)</f>
        <v>1656</v>
      </c>
      <c r="K773" s="18">
        <f ca="1">IFERROR(__xludf.DUMMYFUNCTION("IMPORTRANGE(""https://docs.google.com/spreadsheets/d/1sHk6_yuc4kORC_xnhEeazoemV_hVUQVqRpfoNae-PLk/edit"",""2!e37"")"),0)</f>
        <v>0</v>
      </c>
      <c r="L773" s="18">
        <f t="shared" ca="1" si="2142"/>
        <v>1656</v>
      </c>
      <c r="M773" s="18">
        <f t="shared" ca="1" si="2114"/>
        <v>3124</v>
      </c>
      <c r="N773" s="19">
        <f t="shared" ca="1" si="2115"/>
        <v>200.26333333333332</v>
      </c>
      <c r="O773" s="16">
        <v>3801</v>
      </c>
      <c r="P773" s="20">
        <f t="shared" ca="1" si="2116"/>
        <v>0.82188897658510918</v>
      </c>
      <c r="Q773" s="21">
        <v>1.5</v>
      </c>
      <c r="R773" s="20">
        <f t="shared" ca="1" si="2117"/>
        <v>0.43331835305736338</v>
      </c>
      <c r="S773" s="22">
        <f t="shared" ca="1" si="2118"/>
        <v>0.64997752958604504</v>
      </c>
      <c r="T773" s="21">
        <f ca="1">F773/29.628</f>
        <v>162.2222222222222</v>
      </c>
      <c r="U773" s="21">
        <f t="shared" ca="1" si="2119"/>
        <v>6.7592592592592586</v>
      </c>
      <c r="V773" s="18">
        <f t="shared" ca="1" si="2120"/>
        <v>130.16666666666666</v>
      </c>
      <c r="W773" s="76"/>
      <c r="X773" s="8">
        <v>6</v>
      </c>
      <c r="Y773" s="8" t="s">
        <v>42</v>
      </c>
      <c r="Z773" s="8">
        <f t="shared" ref="Z773:AI773" si="2151">SUM(D777)</f>
        <v>33</v>
      </c>
      <c r="AA773" s="9">
        <f t="shared" ca="1" si="2151"/>
        <v>33</v>
      </c>
      <c r="AB773" s="10">
        <f t="shared" ca="1" si="2151"/>
        <v>6380.2819999999901</v>
      </c>
      <c r="AC773" s="9">
        <f t="shared" ca="1" si="2151"/>
        <v>3133</v>
      </c>
      <c r="AD773" s="9">
        <f t="shared" ca="1" si="2151"/>
        <v>0</v>
      </c>
      <c r="AE773" s="9">
        <f t="shared" ca="1" si="2151"/>
        <v>3133</v>
      </c>
      <c r="AF773" s="9">
        <f t="shared" ca="1" si="2151"/>
        <v>4360</v>
      </c>
      <c r="AG773" s="9">
        <f t="shared" ca="1" si="2151"/>
        <v>0</v>
      </c>
      <c r="AH773" s="9">
        <f t="shared" ca="1" si="2151"/>
        <v>4360</v>
      </c>
      <c r="AI773" s="9">
        <f t="shared" ca="1" si="2151"/>
        <v>7493</v>
      </c>
      <c r="AJ773" s="11">
        <f t="shared" ca="1" si="2132"/>
        <v>193.3418787878785</v>
      </c>
      <c r="AK773" s="8">
        <f t="shared" si="2148"/>
        <v>9877</v>
      </c>
      <c r="AL773" s="12">
        <f t="shared" ca="1" si="2134"/>
        <v>0.75863116330869695</v>
      </c>
      <c r="AM773" s="13">
        <f t="shared" si="2149"/>
        <v>1.5</v>
      </c>
      <c r="AN773" s="12">
        <f t="shared" ca="1" si="2136"/>
        <v>0.78293300097602903</v>
      </c>
      <c r="AO773" s="14">
        <f t="shared" ca="1" si="2137"/>
        <v>1.1743995014640436</v>
      </c>
      <c r="AP773" s="13">
        <f t="shared" ref="AP773:AQ773" ca="1" si="2152">SUM(T777)</f>
        <v>243.94119671190938</v>
      </c>
      <c r="AQ773" s="13">
        <f t="shared" ca="1" si="2152"/>
        <v>7.3921574761184665</v>
      </c>
      <c r="AR773" s="9">
        <f t="shared" ca="1" si="2139"/>
        <v>227.06060606060606</v>
      </c>
      <c r="AS773" s="76"/>
      <c r="AT773" s="76"/>
    </row>
    <row r="774" spans="1:46" ht="15.75" customHeight="1" x14ac:dyDescent="0.25">
      <c r="A774" s="70"/>
      <c r="B774" s="16">
        <v>13</v>
      </c>
      <c r="C774" s="16" t="s">
        <v>43</v>
      </c>
      <c r="D774" s="17">
        <v>30</v>
      </c>
      <c r="E774" s="18">
        <f ca="1">IFERROR(__xludf.DUMMYFUNCTION("COUNT(IMPORTRANGE(""https://docs.google.com/spreadsheets/d/1uGXvAN2jA6kmcEHUY4KqOHHewllZsujDdA6KVDfBCoA/edit"",""2!d2:d31""))"),30)</f>
        <v>30</v>
      </c>
      <c r="F774" s="23">
        <f ca="1">IFERROR(__xludf.DUMMYFUNCTION("SUM(IMPORTRANGE(""https://docs.google.com/spreadsheets/d/1uGXvAN2jA6kmcEHUY4KqOHHewllZsujDdA6KVDfBCoA/edit"",""2!Q2:Q31""))"),6284.27799999999)</f>
        <v>6284.2779999999902</v>
      </c>
      <c r="G774" s="18">
        <f ca="1">IFERROR(__xludf.DUMMYFUNCTION("IMPORTRANGE(""https://docs.google.com/spreadsheets/d/1uGXvAN2jA6kmcEHUY4KqOHHewllZsujDdA6KVDfBCoA/edit"",""2!e38"")"),2309)</f>
        <v>2309</v>
      </c>
      <c r="H774" s="18">
        <f ca="1">IFERROR(__xludf.DUMMYFUNCTION("IMPORTRANGE(""https://docs.google.com/spreadsheets/d/1uGXvAN2jA6kmcEHUY4KqOHHewllZsujDdA6KVDfBCoA/edit"",""2!e39"")"),0)</f>
        <v>0</v>
      </c>
      <c r="I774" s="18">
        <f t="shared" ca="1" si="2112"/>
        <v>2309</v>
      </c>
      <c r="J774" s="18">
        <f ca="1">IFERROR(__xludf.DUMMYFUNCTION("IMPORTRANGE(""https://docs.google.com/spreadsheets/d/1uGXvAN2jA6kmcEHUY4KqOHHewllZsujDdA6KVDfBCoA/edit"",""2!e42"")"),2749)</f>
        <v>2749</v>
      </c>
      <c r="K774" s="18">
        <f ca="1">IFERROR(__xludf.DUMMYFUNCTION("IMPORTRANGE(""https://docs.google.com/spreadsheets/d/1uGXvAN2jA6kmcEHUY4KqOHHewllZsujDdA6KVDfBCoA/edit"",""2!e43"")"),159)</f>
        <v>159</v>
      </c>
      <c r="L774" s="18">
        <f t="shared" ca="1" si="2142"/>
        <v>2908</v>
      </c>
      <c r="M774" s="18">
        <f t="shared" ca="1" si="2114"/>
        <v>5217</v>
      </c>
      <c r="N774" s="19">
        <f t="shared" ca="1" si="2115"/>
        <v>209.47593333333302</v>
      </c>
      <c r="O774" s="16">
        <v>8345</v>
      </c>
      <c r="P774" s="20">
        <f t="shared" ca="1" si="2116"/>
        <v>0.62516476932294784</v>
      </c>
      <c r="Q774" s="21">
        <v>1.5</v>
      </c>
      <c r="R774" s="20">
        <f t="shared" ca="1" si="2117"/>
        <v>0.55344464391931825</v>
      </c>
      <c r="S774" s="22">
        <f t="shared" ca="1" si="2118"/>
        <v>0.83016696587897731</v>
      </c>
      <c r="T774" s="21">
        <f ca="1">F774/41.205</f>
        <v>152.51251061764327</v>
      </c>
      <c r="U774" s="21">
        <f t="shared" ca="1" si="2119"/>
        <v>5.0837503539214426</v>
      </c>
      <c r="V774" s="18">
        <f t="shared" ca="1" si="2120"/>
        <v>173.9</v>
      </c>
      <c r="W774" s="76"/>
      <c r="X774" s="24" t="s">
        <v>33</v>
      </c>
      <c r="Y774" s="24">
        <v>6</v>
      </c>
      <c r="Z774" s="24">
        <f t="shared" ref="Z774:AI774" si="2153">SUM(Z768:Z773)</f>
        <v>226</v>
      </c>
      <c r="AA774" s="25">
        <f t="shared" ca="1" si="2153"/>
        <v>224</v>
      </c>
      <c r="AB774" s="27">
        <f t="shared" ca="1" si="2153"/>
        <v>44187.783999999869</v>
      </c>
      <c r="AC774" s="25">
        <f t="shared" ca="1" si="2153"/>
        <v>18291</v>
      </c>
      <c r="AD774" s="25">
        <f t="shared" ca="1" si="2153"/>
        <v>143</v>
      </c>
      <c r="AE774" s="25">
        <f t="shared" ca="1" si="2153"/>
        <v>18434</v>
      </c>
      <c r="AF774" s="25">
        <f t="shared" ca="1" si="2153"/>
        <v>22964</v>
      </c>
      <c r="AG774" s="25">
        <f t="shared" ca="1" si="2153"/>
        <v>334</v>
      </c>
      <c r="AH774" s="25">
        <f t="shared" ca="1" si="2153"/>
        <v>23298</v>
      </c>
      <c r="AI774" s="25">
        <f t="shared" ca="1" si="2153"/>
        <v>41732</v>
      </c>
      <c r="AJ774" s="27">
        <f t="shared" ca="1" si="2132"/>
        <v>197.26689285714227</v>
      </c>
      <c r="AK774" s="24">
        <f>SUM(AK768:AK773)</f>
        <v>53273</v>
      </c>
      <c r="AL774" s="28">
        <f t="shared" ca="1" si="2134"/>
        <v>0.78336117733185662</v>
      </c>
      <c r="AM774" s="29">
        <v>1.5</v>
      </c>
      <c r="AN774" s="28">
        <f t="shared" ca="1" si="2136"/>
        <v>0.62961594392996523</v>
      </c>
      <c r="AO774" s="30">
        <f t="shared" ca="1" si="2137"/>
        <v>0.9444239158949479</v>
      </c>
      <c r="AP774" s="29">
        <f ca="1">SUM(AP768:AP773)</f>
        <v>1450.4972359957583</v>
      </c>
      <c r="AQ774" s="29">
        <f ca="1">AP774/AA774</f>
        <v>6.4754340892667779</v>
      </c>
      <c r="AR774" s="25">
        <f t="shared" ca="1" si="2139"/>
        <v>186.30357142857142</v>
      </c>
      <c r="AS774" s="76"/>
      <c r="AT774" s="76"/>
    </row>
    <row r="775" spans="1:46" ht="15.75" customHeight="1" x14ac:dyDescent="0.25">
      <c r="A775" s="70"/>
      <c r="B775" s="16">
        <v>14</v>
      </c>
      <c r="C775" s="16" t="s">
        <v>27</v>
      </c>
      <c r="D775" s="17">
        <v>30</v>
      </c>
      <c r="E775" s="18">
        <f ca="1">IFERROR(__xludf.DUMMYFUNCTION("COUNT(IMPORTRANGE(""https://docs.google.com/spreadsheets/d/1iYtf3wkjJIgOL8ej0-L89wY8FLXKi6EiRbi9UqA1Bzw/edit"",""2!d2:d31""))"),28)</f>
        <v>28</v>
      </c>
      <c r="F775" s="23">
        <f ca="1">IFERROR(__xludf.DUMMYFUNCTION("SUM(IMPORTRANGE(""https://docs.google.com/spreadsheets/d/1iYtf3wkjJIgOL8ej0-L89wY8FLXKi6EiRbi9UqA1Bzw/edit"",""2!Q2:Q31""))"),5465.76)</f>
        <v>5465.76</v>
      </c>
      <c r="G775" s="18">
        <f ca="1">IFERROR(__xludf.DUMMYFUNCTION("IMPORTRANGE(""https://docs.google.com/spreadsheets/d/1iYtf3wkjJIgOL8ej0-L89wY8FLXKi6EiRbi9UqA1Bzw/edit"",""2!e38"")"),2368)</f>
        <v>2368</v>
      </c>
      <c r="H775" s="18">
        <f ca="1">IFERROR(__xludf.DUMMYFUNCTION("IMPORTRANGE(""https://docs.google.com/spreadsheets/d/1iYtf3wkjJIgOL8ej0-L89wY8FLXKi6EiRbi9UqA1Bzw/edit"",""2!e39"")"),140)</f>
        <v>140</v>
      </c>
      <c r="I775" s="18">
        <f t="shared" ca="1" si="2112"/>
        <v>2508</v>
      </c>
      <c r="J775" s="18">
        <f ca="1">IFERROR(__xludf.DUMMYFUNCTION("IMPORTRANGE(""https://docs.google.com/spreadsheets/d/1iYtf3wkjJIgOL8ej0-L89wY8FLXKi6EiRbi9UqA1Bzw/edit"",""2!e42"")"),3355)</f>
        <v>3355</v>
      </c>
      <c r="K775" s="18">
        <f ca="1">IFERROR(__xludf.DUMMYFUNCTION("IMPORTRANGE(""https://docs.google.com/spreadsheets/d/1iYtf3wkjJIgOL8ej0-L89wY8FLXKi6EiRbi9UqA1Bzw/edit"",""2!e43"")"),107)</f>
        <v>107</v>
      </c>
      <c r="L775" s="18">
        <f t="shared" ca="1" si="2142"/>
        <v>3462</v>
      </c>
      <c r="M775" s="18">
        <f t="shared" ca="1" si="2114"/>
        <v>5970</v>
      </c>
      <c r="N775" s="19">
        <f t="shared" ca="1" si="2115"/>
        <v>195.20571428571429</v>
      </c>
      <c r="O775" s="16">
        <v>8101</v>
      </c>
      <c r="P775" s="20">
        <f t="shared" ca="1" si="2116"/>
        <v>0.73694605604246388</v>
      </c>
      <c r="Q775" s="21">
        <v>1.5</v>
      </c>
      <c r="R775" s="20">
        <f t="shared" ca="1" si="2117"/>
        <v>0.72816955007171913</v>
      </c>
      <c r="S775" s="22">
        <f t="shared" ca="1" si="2118"/>
        <v>1.0922543251075787</v>
      </c>
      <c r="T775" s="21">
        <f ca="1">F775/19.985</f>
        <v>273.49311983987991</v>
      </c>
      <c r="U775" s="21">
        <f t="shared" ca="1" si="2119"/>
        <v>9.7676114228528537</v>
      </c>
      <c r="V775" s="18">
        <f t="shared" ca="1" si="2120"/>
        <v>213.21428571428572</v>
      </c>
      <c r="W775" s="76"/>
      <c r="X775" s="97" t="s">
        <v>44</v>
      </c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9"/>
      <c r="AS775" s="76"/>
      <c r="AT775" s="76"/>
    </row>
    <row r="776" spans="1:46" ht="15.75" customHeight="1" x14ac:dyDescent="0.25">
      <c r="A776" s="70"/>
      <c r="B776" s="16">
        <v>15</v>
      </c>
      <c r="C776" s="16" t="s">
        <v>40</v>
      </c>
      <c r="D776" s="17">
        <v>30</v>
      </c>
      <c r="E776" s="18">
        <f ca="1">IFERROR(__xludf.DUMMYFUNCTION("COUNT(IMPORTRANGE(""https://docs.google.com/spreadsheets/d/1Wdf8MsoDBzMSsrzOXwaGQzbVjVqOWfKSqYmbncevZgA/edit"",""2!d2:d31""))"),30)</f>
        <v>30</v>
      </c>
      <c r="F776" s="23">
        <f ca="1">IFERROR(__xludf.DUMMYFUNCTION("SUM(IMPORTRANGE(""https://docs.google.com/spreadsheets/d/1Wdf8MsoDBzMSsrzOXwaGQzbVjVqOWfKSqYmbncevZgA/edit"",""2!Q2:Q31""))"),5845.70299999999)</f>
        <v>5845.7029999999904</v>
      </c>
      <c r="G776" s="18">
        <f ca="1">IFERROR(__xludf.DUMMYFUNCTION("IMPORTRANGE(""https://docs.google.com/spreadsheets/d/1Wdf8MsoDBzMSsrzOXwaGQzbVjVqOWfKSqYmbncevZgA/edit"",""2!e38"")"),3323)</f>
        <v>3323</v>
      </c>
      <c r="H776" s="18">
        <f ca="1">IFERROR(__xludf.DUMMYFUNCTION("IMPORTRANGE(""https://docs.google.com/spreadsheets/d/1Wdf8MsoDBzMSsrzOXwaGQzbVjVqOWfKSqYmbncevZgA/edit"",""2!e39"")"),39)</f>
        <v>39</v>
      </c>
      <c r="I776" s="18">
        <f t="shared" ca="1" si="2112"/>
        <v>3362</v>
      </c>
      <c r="J776" s="18">
        <f ca="1">IFERROR(__xludf.DUMMYFUNCTION("IMPORTRANGE(""https://docs.google.com/spreadsheets/d/1Wdf8MsoDBzMSsrzOXwaGQzbVjVqOWfKSqYmbncevZgA/edit"",""2!e42"")"),3928)</f>
        <v>3928</v>
      </c>
      <c r="K776" s="18">
        <f ca="1">IFERROR(__xludf.DUMMYFUNCTION("IMPORTRANGE(""https://docs.google.com/spreadsheets/d/1Wdf8MsoDBzMSsrzOXwaGQzbVjVqOWfKSqYmbncevZgA/edit"",""2!e43"")"),73)</f>
        <v>73</v>
      </c>
      <c r="L776" s="18">
        <f t="shared" ca="1" si="2142"/>
        <v>4001</v>
      </c>
      <c r="M776" s="18">
        <f t="shared" ca="1" si="2114"/>
        <v>7363</v>
      </c>
      <c r="N776" s="19">
        <f t="shared" ca="1" si="2115"/>
        <v>194.85676666666635</v>
      </c>
      <c r="O776" s="16">
        <v>8239</v>
      </c>
      <c r="P776" s="20">
        <f t="shared" ca="1" si="2116"/>
        <v>0.89367641704090306</v>
      </c>
      <c r="Q776" s="21">
        <v>1.5</v>
      </c>
      <c r="R776" s="20">
        <f t="shared" ca="1" si="2117"/>
        <v>0.83970510760924311</v>
      </c>
      <c r="S776" s="22">
        <f t="shared" ca="1" si="2118"/>
        <v>1.2595576614138646</v>
      </c>
      <c r="T776" s="21">
        <f ca="1">F776/28.443</f>
        <v>205.52343283057309</v>
      </c>
      <c r="U776" s="21">
        <f t="shared" ca="1" si="2119"/>
        <v>6.8507810943524365</v>
      </c>
      <c r="V776" s="18">
        <f t="shared" ca="1" si="2120"/>
        <v>245.43333333333334</v>
      </c>
      <c r="W776" s="76"/>
      <c r="X776" s="1" t="s">
        <v>2</v>
      </c>
      <c r="Y776" s="1" t="s">
        <v>3</v>
      </c>
      <c r="Z776" s="1" t="s">
        <v>4</v>
      </c>
      <c r="AA776" s="1" t="s">
        <v>5</v>
      </c>
      <c r="AB776" s="2" t="s">
        <v>6</v>
      </c>
      <c r="AC776" s="1" t="s">
        <v>7</v>
      </c>
      <c r="AD776" s="1" t="s">
        <v>8</v>
      </c>
      <c r="AE776" s="1" t="s">
        <v>9</v>
      </c>
      <c r="AF776" s="1" t="s">
        <v>10</v>
      </c>
      <c r="AG776" s="1" t="s">
        <v>11</v>
      </c>
      <c r="AH776" s="1" t="s">
        <v>12</v>
      </c>
      <c r="AI776" s="1" t="s">
        <v>13</v>
      </c>
      <c r="AJ776" s="2" t="s">
        <v>14</v>
      </c>
      <c r="AK776" s="1" t="s">
        <v>15</v>
      </c>
      <c r="AL776" s="1" t="s">
        <v>16</v>
      </c>
      <c r="AM776" s="3" t="s">
        <v>17</v>
      </c>
      <c r="AN776" s="4" t="s">
        <v>18</v>
      </c>
      <c r="AO776" s="5" t="s">
        <v>19</v>
      </c>
      <c r="AP776" s="6" t="s">
        <v>20</v>
      </c>
      <c r="AQ776" s="6" t="s">
        <v>21</v>
      </c>
      <c r="AR776" s="7" t="s">
        <v>22</v>
      </c>
      <c r="AS776" s="76"/>
      <c r="AT776" s="76"/>
    </row>
    <row r="777" spans="1:46" ht="15.75" customHeight="1" x14ac:dyDescent="0.25">
      <c r="A777" s="70"/>
      <c r="B777" s="16">
        <v>16</v>
      </c>
      <c r="C777" s="16" t="s">
        <v>42</v>
      </c>
      <c r="D777" s="17">
        <v>33</v>
      </c>
      <c r="E777" s="18">
        <f ca="1">IFERROR(__xludf.DUMMYFUNCTION("COUNT(IMPORTRANGE(""https://docs.google.com/spreadsheets/d/1Z5uB5HbeAKcHmG4EOw3rf2J8NpyvDiha6RReERAMvA0/edit"",""2!d2:d34""))"),33)</f>
        <v>33</v>
      </c>
      <c r="F777" s="23">
        <f ca="1">IFERROR(__xludf.DUMMYFUNCTION("SUM(IMPORTRANGE(""https://docs.google.com/spreadsheets/d/1Z5uB5HbeAKcHmG4EOw3rf2J8NpyvDiha6RReERAMvA0/edit"",""2!Q2:Q34""))"),6380.28199999999)</f>
        <v>6380.2819999999901</v>
      </c>
      <c r="G777" s="18">
        <f ca="1">IFERROR(__xludf.DUMMYFUNCTION("IMPORTRANGE(""https://docs.google.com/spreadsheets/d/1Z5uB5HbeAKcHmG4EOw3rf2J8NpyvDiha6RReERAMvA0/edit"",""2!e41"")"),3133)</f>
        <v>3133</v>
      </c>
      <c r="H777" s="18">
        <f ca="1">IFERROR(__xludf.DUMMYFUNCTION("IMPORTRANGE(""https://docs.google.com/spreadsheets/d/1Z5uB5HbeAKcHmG4EOw3rf2J8NpyvDiha6RReERAMvA0/edit"",""2!e42"")"),0)</f>
        <v>0</v>
      </c>
      <c r="I777" s="18">
        <f t="shared" ca="1" si="2112"/>
        <v>3133</v>
      </c>
      <c r="J777" s="18">
        <f ca="1">IFERROR(__xludf.DUMMYFUNCTION("IMPORTRANGE(""https://docs.google.com/spreadsheets/d/1Z5uB5HbeAKcHmG4EOw3rf2J8NpyvDiha6RReERAMvA0/edit"",""2!e45"")"),4360)</f>
        <v>4360</v>
      </c>
      <c r="K777" s="18">
        <f ca="1">IFERROR(__xludf.DUMMYFUNCTION("IMPORTRANGE(""https://docs.google.com/spreadsheets/d/1Z5uB5HbeAKcHmG4EOw3rf2J8NpyvDiha6RReERAMvA0/edit"",""2!e46"")"),0)</f>
        <v>0</v>
      </c>
      <c r="L777" s="18">
        <f t="shared" ca="1" si="2142"/>
        <v>4360</v>
      </c>
      <c r="M777" s="18">
        <f t="shared" ca="1" si="2114"/>
        <v>7493</v>
      </c>
      <c r="N777" s="19">
        <f t="shared" ca="1" si="2115"/>
        <v>193.3418787878785</v>
      </c>
      <c r="O777" s="16">
        <v>9877</v>
      </c>
      <c r="P777" s="20">
        <f t="shared" ca="1" si="2116"/>
        <v>0.75863116330869695</v>
      </c>
      <c r="Q777" s="21">
        <v>1.5</v>
      </c>
      <c r="R777" s="20">
        <f t="shared" ca="1" si="2117"/>
        <v>0.78293300097602903</v>
      </c>
      <c r="S777" s="22">
        <f t="shared" ca="1" si="2118"/>
        <v>1.1743995014640436</v>
      </c>
      <c r="T777" s="21">
        <f ca="1">F777/26.155</f>
        <v>243.94119671190938</v>
      </c>
      <c r="U777" s="21">
        <f t="shared" ca="1" si="2119"/>
        <v>7.3921574761184665</v>
      </c>
      <c r="V777" s="18">
        <f t="shared" ca="1" si="2120"/>
        <v>227.06060606060606</v>
      </c>
      <c r="W777" s="76"/>
      <c r="X777" s="8">
        <v>1</v>
      </c>
      <c r="Y777" s="8" t="s">
        <v>26</v>
      </c>
      <c r="Z777" s="8">
        <f t="shared" ref="Z777:AI777" si="2154">SUM(D762)</f>
        <v>20</v>
      </c>
      <c r="AA777" s="9">
        <f t="shared" ca="1" si="2154"/>
        <v>20</v>
      </c>
      <c r="AB777" s="11">
        <f t="shared" ca="1" si="2154"/>
        <v>3560.9639999999999</v>
      </c>
      <c r="AC777" s="9">
        <f t="shared" ca="1" si="2154"/>
        <v>1873</v>
      </c>
      <c r="AD777" s="9">
        <f t="shared" ca="1" si="2154"/>
        <v>0</v>
      </c>
      <c r="AE777" s="9">
        <f t="shared" ca="1" si="2154"/>
        <v>1873</v>
      </c>
      <c r="AF777" s="9">
        <f t="shared" ca="1" si="2154"/>
        <v>3204</v>
      </c>
      <c r="AG777" s="9">
        <f t="shared" ca="1" si="2154"/>
        <v>0</v>
      </c>
      <c r="AH777" s="9">
        <f t="shared" ca="1" si="2154"/>
        <v>3204</v>
      </c>
      <c r="AI777" s="9">
        <f t="shared" ca="1" si="2154"/>
        <v>5077</v>
      </c>
      <c r="AJ777" s="11">
        <f t="shared" ref="AJ777:AJ783" ca="1" si="2155">AB777/AA777</f>
        <v>178.04820000000001</v>
      </c>
      <c r="AK777" s="8">
        <f>SUM(O762)</f>
        <v>5161</v>
      </c>
      <c r="AL777" s="12">
        <f t="shared" ref="AL777:AL783" ca="1" si="2156">AI777/AK777</f>
        <v>0.98372408447975201</v>
      </c>
      <c r="AM777" s="13">
        <f>SUM(Q762)</f>
        <v>1.5</v>
      </c>
      <c r="AN777" s="12">
        <f t="shared" ref="AN777:AN783" ca="1" si="2157">AO777/AM777</f>
        <v>0.95049168333818213</v>
      </c>
      <c r="AO777" s="14">
        <f t="shared" ref="AO777:AO783" ca="1" si="2158">AI777/AB777</f>
        <v>1.4257375250072732</v>
      </c>
      <c r="AP777" s="13">
        <f t="shared" ref="AP777:AQ777" ca="1" si="2159">SUM(T762)</f>
        <v>247.0318418314256</v>
      </c>
      <c r="AQ777" s="13">
        <f t="shared" ca="1" si="2159"/>
        <v>12.35159209157128</v>
      </c>
      <c r="AR777" s="9">
        <f t="shared" ref="AR777:AR783" ca="1" si="2160">AI777/AA777</f>
        <v>253.85</v>
      </c>
      <c r="AS777" s="76"/>
      <c r="AT777" s="76"/>
    </row>
    <row r="778" spans="1:46" ht="15.75" customHeight="1" x14ac:dyDescent="0.25">
      <c r="A778" s="70"/>
      <c r="B778" s="16">
        <v>17</v>
      </c>
      <c r="C778" s="16" t="s">
        <v>29</v>
      </c>
      <c r="D778" s="17">
        <v>30</v>
      </c>
      <c r="E778" s="18">
        <f ca="1">IFERROR(__xludf.DUMMYFUNCTION("COUNT(IMPORTRANGE(""https://docs.google.com/spreadsheets/d/1wfJqI0e9wVPqEQv3N6b8KgINjqI0OBECEyIFeY9j3i8/edit"",""2!d2:d31""))"),29)</f>
        <v>29</v>
      </c>
      <c r="F778" s="23">
        <f ca="1">IFERROR(__xludf.DUMMYFUNCTION("SUM(IMPORTRANGE(""https://docs.google.com/spreadsheets/d/1wfJqI0e9wVPqEQv3N6b8KgINjqI0OBECEyIFeY9j3i8/edit"",""2!Q2:Q31""))"),5775.03799999999)</f>
        <v>5775.0379999999896</v>
      </c>
      <c r="G778" s="18">
        <f ca="1">IFERROR(__xludf.DUMMYFUNCTION("IMPORTRANGE(""https://docs.google.com/spreadsheets/d/1wfJqI0e9wVPqEQv3N6b8KgINjqI0OBECEyIFeY9j3i8/edit"",""2!e38"")"),2726)</f>
        <v>2726</v>
      </c>
      <c r="H778" s="18">
        <f ca="1">IFERROR(__xludf.DUMMYFUNCTION("IMPORTRANGE(""https://docs.google.com/spreadsheets/d/1wfJqI0e9wVPqEQv3N6b8KgINjqI0OBECEyIFeY9j3i8/edit"",""2!e39"")"),0)</f>
        <v>0</v>
      </c>
      <c r="I778" s="18">
        <f t="shared" ca="1" si="2112"/>
        <v>2726</v>
      </c>
      <c r="J778" s="18">
        <f ca="1">IFERROR(__xludf.DUMMYFUNCTION("IMPORTRANGE(""https://docs.google.com/spreadsheets/d/1wfJqI0e9wVPqEQv3N6b8KgINjqI0OBECEyIFeY9j3i8/edit"",""2!e42"")"),4235)</f>
        <v>4235</v>
      </c>
      <c r="K778" s="18">
        <f ca="1">IFERROR(__xludf.DUMMYFUNCTION("IMPORTRANGE(""https://docs.google.com/spreadsheets/d/1wfJqI0e9wVPqEQv3N6b8KgINjqI0OBECEyIFeY9j3i8/edit"",""2!e43"")"),0)</f>
        <v>0</v>
      </c>
      <c r="L778" s="18">
        <f t="shared" ca="1" si="2142"/>
        <v>4235</v>
      </c>
      <c r="M778" s="18">
        <f t="shared" ca="1" si="2114"/>
        <v>6961</v>
      </c>
      <c r="N778" s="19">
        <f t="shared" ca="1" si="2115"/>
        <v>199.13924137930999</v>
      </c>
      <c r="O778" s="16">
        <v>9201</v>
      </c>
      <c r="P778" s="20">
        <f t="shared" ca="1" si="2116"/>
        <v>0.75654820128246925</v>
      </c>
      <c r="Q778" s="21">
        <v>1.5</v>
      </c>
      <c r="R778" s="20">
        <f t="shared" ca="1" si="2117"/>
        <v>0.80357335599638902</v>
      </c>
      <c r="S778" s="22">
        <f t="shared" ca="1" si="2118"/>
        <v>1.2053600339945836</v>
      </c>
      <c r="T778" s="21">
        <f ca="1">F778/26.491</f>
        <v>217.9999999999996</v>
      </c>
      <c r="U778" s="21">
        <f t="shared" ca="1" si="2119"/>
        <v>7.517241379310331</v>
      </c>
      <c r="V778" s="18">
        <f t="shared" ca="1" si="2120"/>
        <v>240.0344827586207</v>
      </c>
      <c r="W778" s="76"/>
      <c r="X778" s="8">
        <v>2</v>
      </c>
      <c r="Y778" s="8" t="s">
        <v>32</v>
      </c>
      <c r="Z778" s="8">
        <f t="shared" ref="Z778:AI778" si="2161">SUM(D765)</f>
        <v>42</v>
      </c>
      <c r="AA778" s="9">
        <f t="shared" ca="1" si="2161"/>
        <v>42</v>
      </c>
      <c r="AB778" s="10">
        <f t="shared" ca="1" si="2161"/>
        <v>8179.0139999999901</v>
      </c>
      <c r="AC778" s="8">
        <f t="shared" ca="1" si="2161"/>
        <v>4808</v>
      </c>
      <c r="AD778" s="8">
        <f t="shared" ca="1" si="2161"/>
        <v>0</v>
      </c>
      <c r="AE778" s="9">
        <f t="shared" ca="1" si="2161"/>
        <v>4808</v>
      </c>
      <c r="AF778" s="8">
        <f t="shared" ca="1" si="2161"/>
        <v>5449</v>
      </c>
      <c r="AG778" s="8">
        <f t="shared" ca="1" si="2161"/>
        <v>190</v>
      </c>
      <c r="AH778" s="9">
        <f t="shared" ca="1" si="2161"/>
        <v>5639</v>
      </c>
      <c r="AI778" s="9">
        <f t="shared" ca="1" si="2161"/>
        <v>10447</v>
      </c>
      <c r="AJ778" s="11">
        <f t="shared" ca="1" si="2155"/>
        <v>194.73842857142833</v>
      </c>
      <c r="AK778" s="8">
        <f>SUM(O765)</f>
        <v>13817</v>
      </c>
      <c r="AL778" s="12">
        <f t="shared" ca="1" si="2156"/>
        <v>0.75609756097560976</v>
      </c>
      <c r="AM778" s="13">
        <f>SUM(Q765)</f>
        <v>1.5</v>
      </c>
      <c r="AN778" s="12">
        <f t="shared" ca="1" si="2157"/>
        <v>0.85152888437000784</v>
      </c>
      <c r="AO778" s="14">
        <f t="shared" ca="1" si="2158"/>
        <v>1.2772933265550117</v>
      </c>
      <c r="AP778" s="13">
        <f t="shared" ref="AP778:AQ778" ca="1" si="2162">SUM(T765)</f>
        <v>325.9999999999996</v>
      </c>
      <c r="AQ778" s="13">
        <f t="shared" ca="1" si="2162"/>
        <v>7.7619047619047521</v>
      </c>
      <c r="AR778" s="9">
        <f t="shared" ca="1" si="2160"/>
        <v>248.73809523809524</v>
      </c>
      <c r="AS778" s="76"/>
      <c r="AT778" s="76"/>
    </row>
    <row r="779" spans="1:46" ht="15.75" customHeight="1" x14ac:dyDescent="0.25">
      <c r="A779" s="70"/>
      <c r="B779" s="16">
        <v>18</v>
      </c>
      <c r="C779" s="16" t="s">
        <v>31</v>
      </c>
      <c r="D779" s="17">
        <v>15</v>
      </c>
      <c r="E779" s="18">
        <f ca="1">IFERROR(__xludf.DUMMYFUNCTION("COUNT(IMPORTRANGE(""https://docs.google.com/spreadsheets/d/1-y2KhTAo7d8kowgUuWUDfRQuRMUAFteRYEXorT3_wOs/edit"",""2!d2:d16""))"),13)</f>
        <v>13</v>
      </c>
      <c r="F779" s="19">
        <f ca="1">IFERROR(__xludf.DUMMYFUNCTION("SUM(IMPORTRANGE(""https://docs.google.com/spreadsheets/d/1-y2KhTAo7d8kowgUuWUDfRQuRMUAFteRYEXorT3_wOs/edit"",""2!Q2:Q16""))"),2607.9)</f>
        <v>2607.9</v>
      </c>
      <c r="G779" s="18">
        <f ca="1">IFERROR(__xludf.DUMMYFUNCTION("IMPORTRANGE(""https://docs.google.com/spreadsheets/d/1-y2KhTAo7d8kowgUuWUDfRQuRMUAFteRYEXorT3_wOs/edit"",""2!e23"")"),870)</f>
        <v>870</v>
      </c>
      <c r="H779" s="18">
        <f ca="1">IFERROR(__xludf.DUMMYFUNCTION("IMPORTRANGE(""https://docs.google.com/spreadsheets/d/1-y2KhTAo7d8kowgUuWUDfRQuRMUAFteRYEXorT3_wOs/edit"",""2!e24"")"),0)</f>
        <v>0</v>
      </c>
      <c r="I779" s="18">
        <f t="shared" ca="1" si="2112"/>
        <v>870</v>
      </c>
      <c r="J779" s="18">
        <f ca="1">IFERROR(__xludf.DUMMYFUNCTION("IMPORTRANGE(""https://docs.google.com/spreadsheets/d/1-y2KhTAo7d8kowgUuWUDfRQuRMUAFteRYEXorT3_wOs/edit"",""2!e27"")"),975)</f>
        <v>975</v>
      </c>
      <c r="K779" s="18">
        <f ca="1">IFERROR(__xludf.DUMMYFUNCTION("IMPORTRANGE(""https://docs.google.com/spreadsheets/d/1-y2KhTAo7d8kowgUuWUDfRQuRMUAFteRYEXorT3_wOs/edit"",""2!e28"")"),55)</f>
        <v>55</v>
      </c>
      <c r="L779" s="18">
        <f t="shared" ca="1" si="2142"/>
        <v>1030</v>
      </c>
      <c r="M779" s="18">
        <f t="shared" ca="1" si="2114"/>
        <v>1900</v>
      </c>
      <c r="N779" s="19">
        <f t="shared" ca="1" si="2115"/>
        <v>200.6076923076923</v>
      </c>
      <c r="O779" s="16">
        <v>2717</v>
      </c>
      <c r="P779" s="20">
        <f t="shared" ca="1" si="2116"/>
        <v>0.69930069930069927</v>
      </c>
      <c r="Q779" s="21">
        <v>1.5</v>
      </c>
      <c r="R779" s="20">
        <f t="shared" ca="1" si="2117"/>
        <v>0.48570369518258621</v>
      </c>
      <c r="S779" s="22">
        <f t="shared" ca="1" si="2118"/>
        <v>0.72855554277387935</v>
      </c>
      <c r="T779" s="21">
        <f ca="1">F779/43.465</f>
        <v>60</v>
      </c>
      <c r="U779" s="21">
        <f t="shared" ca="1" si="2119"/>
        <v>4.615384615384615</v>
      </c>
      <c r="V779" s="18">
        <f t="shared" ca="1" si="2120"/>
        <v>146.15384615384616</v>
      </c>
      <c r="W779" s="76"/>
      <c r="X779" s="8">
        <v>3</v>
      </c>
      <c r="Y779" s="8" t="s">
        <v>36</v>
      </c>
      <c r="Z779" s="8">
        <f t="shared" ref="Z779:AI779" si="2163">SUM(D770)</f>
        <v>30</v>
      </c>
      <c r="AA779" s="9">
        <f t="shared" ca="1" si="2163"/>
        <v>29</v>
      </c>
      <c r="AB779" s="10">
        <f t="shared" ca="1" si="2163"/>
        <v>5604.12</v>
      </c>
      <c r="AC779" s="9">
        <f t="shared" ca="1" si="2163"/>
        <v>1533</v>
      </c>
      <c r="AD779" s="9">
        <f t="shared" ca="1" si="2163"/>
        <v>0</v>
      </c>
      <c r="AE779" s="9">
        <f t="shared" ca="1" si="2163"/>
        <v>1533</v>
      </c>
      <c r="AF779" s="9">
        <f t="shared" ca="1" si="2163"/>
        <v>2301</v>
      </c>
      <c r="AG779" s="9">
        <f t="shared" ca="1" si="2163"/>
        <v>0</v>
      </c>
      <c r="AH779" s="9">
        <f t="shared" ca="1" si="2163"/>
        <v>2301</v>
      </c>
      <c r="AI779" s="9">
        <f t="shared" ca="1" si="2163"/>
        <v>3834</v>
      </c>
      <c r="AJ779" s="11">
        <f t="shared" ca="1" si="2155"/>
        <v>193.2455172413793</v>
      </c>
      <c r="AK779" s="8">
        <f t="shared" ref="AK779:AK782" si="2164">SUM(O770)</f>
        <v>4796</v>
      </c>
      <c r="AL779" s="12">
        <f t="shared" ca="1" si="2156"/>
        <v>0.79941618015012506</v>
      </c>
      <c r="AM779" s="13">
        <f t="shared" ref="AM779:AM782" si="2165">SUM(Q770)</f>
        <v>1.5</v>
      </c>
      <c r="AN779" s="12">
        <f t="shared" ca="1" si="2157"/>
        <v>0.4560930172801439</v>
      </c>
      <c r="AO779" s="14">
        <f t="shared" ca="1" si="2158"/>
        <v>0.68413952592021587</v>
      </c>
      <c r="AP779" s="13">
        <f t="shared" ref="AP779:AQ779" ca="1" si="2166">SUM(T770)</f>
        <v>149.78671085689848</v>
      </c>
      <c r="AQ779" s="13">
        <f t="shared" ca="1" si="2166"/>
        <v>5.1650589950654648</v>
      </c>
      <c r="AR779" s="9">
        <f t="shared" ca="1" si="2160"/>
        <v>132.20689655172413</v>
      </c>
      <c r="AS779" s="76"/>
      <c r="AT779" s="76"/>
    </row>
    <row r="780" spans="1:46" ht="15.75" customHeight="1" x14ac:dyDescent="0.2">
      <c r="A780" s="70"/>
      <c r="B780" s="98" t="s">
        <v>33</v>
      </c>
      <c r="C780" s="98">
        <v>18</v>
      </c>
      <c r="D780" s="98">
        <f t="shared" ref="D780:M780" si="2167">SUM(D762:D779)</f>
        <v>586</v>
      </c>
      <c r="E780" s="74">
        <f t="shared" ca="1" si="2167"/>
        <v>576</v>
      </c>
      <c r="F780" s="99">
        <f t="shared" ca="1" si="2167"/>
        <v>112418.19199999981</v>
      </c>
      <c r="G780" s="74">
        <f t="shared" ca="1" si="2167"/>
        <v>43479</v>
      </c>
      <c r="H780" s="74">
        <f t="shared" ca="1" si="2167"/>
        <v>764</v>
      </c>
      <c r="I780" s="74">
        <f t="shared" ca="1" si="2167"/>
        <v>44243</v>
      </c>
      <c r="J780" s="74">
        <f t="shared" ca="1" si="2167"/>
        <v>56392</v>
      </c>
      <c r="K780" s="74">
        <f t="shared" ca="1" si="2167"/>
        <v>1134</v>
      </c>
      <c r="L780" s="74">
        <f t="shared" ca="1" si="2167"/>
        <v>57526</v>
      </c>
      <c r="M780" s="74">
        <f t="shared" ca="1" si="2167"/>
        <v>101769</v>
      </c>
      <c r="N780" s="99">
        <f t="shared" ca="1" si="2115"/>
        <v>195.17047222222189</v>
      </c>
      <c r="O780" s="98">
        <f>SUM(O762:O779)</f>
        <v>126399</v>
      </c>
      <c r="P780" s="69">
        <f t="shared" ca="1" si="2116"/>
        <v>0.80514086345619817</v>
      </c>
      <c r="Q780" s="72">
        <v>1.5</v>
      </c>
      <c r="R780" s="69">
        <f t="shared" ca="1" si="2117"/>
        <v>0.60351442051300841</v>
      </c>
      <c r="S780" s="73">
        <f t="shared" ca="1" si="2118"/>
        <v>0.90527163076951256</v>
      </c>
      <c r="T780" s="72">
        <f ca="1">SUM(T762:T779)</f>
        <v>4134.0252428944477</v>
      </c>
      <c r="U780" s="72">
        <f t="shared" ca="1" si="2119"/>
        <v>7.177127157802861</v>
      </c>
      <c r="V780" s="74">
        <f t="shared" ca="1" si="2120"/>
        <v>176.68229166666666</v>
      </c>
      <c r="W780" s="76"/>
      <c r="X780" s="8">
        <v>4</v>
      </c>
      <c r="Y780" s="8" t="s">
        <v>37</v>
      </c>
      <c r="Z780" s="8">
        <f t="shared" ref="Z780:AI780" si="2168">SUM(D771)</f>
        <v>30</v>
      </c>
      <c r="AA780" s="9">
        <f t="shared" ca="1" si="2168"/>
        <v>30</v>
      </c>
      <c r="AB780" s="10">
        <f t="shared" ca="1" si="2168"/>
        <v>5812.1880000000001</v>
      </c>
      <c r="AC780" s="9">
        <f t="shared" ca="1" si="2168"/>
        <v>2138</v>
      </c>
      <c r="AD780" s="9">
        <f t="shared" ca="1" si="2168"/>
        <v>0</v>
      </c>
      <c r="AE780" s="9">
        <f t="shared" ca="1" si="2168"/>
        <v>2138</v>
      </c>
      <c r="AF780" s="9">
        <f t="shared" ca="1" si="2168"/>
        <v>3071</v>
      </c>
      <c r="AG780" s="9">
        <f t="shared" ca="1" si="2168"/>
        <v>0</v>
      </c>
      <c r="AH780" s="9">
        <f t="shared" ca="1" si="2168"/>
        <v>3071</v>
      </c>
      <c r="AI780" s="9">
        <f t="shared" ca="1" si="2168"/>
        <v>5209</v>
      </c>
      <c r="AJ780" s="11">
        <f t="shared" ca="1" si="2155"/>
        <v>193.7396</v>
      </c>
      <c r="AK780" s="8">
        <f t="shared" si="2164"/>
        <v>5887</v>
      </c>
      <c r="AL780" s="12">
        <f t="shared" ca="1" si="2156"/>
        <v>0.88483098352301681</v>
      </c>
      <c r="AM780" s="13">
        <f t="shared" si="2165"/>
        <v>1.5</v>
      </c>
      <c r="AN780" s="12">
        <f t="shared" ca="1" si="2157"/>
        <v>0.59748009986371164</v>
      </c>
      <c r="AO780" s="14">
        <f t="shared" ca="1" si="2158"/>
        <v>0.89622014979556752</v>
      </c>
      <c r="AP780" s="13">
        <f t="shared" ref="AP780:AQ780" ca="1" si="2169">SUM(T771)</f>
        <v>234.4380445304937</v>
      </c>
      <c r="AQ780" s="13">
        <f t="shared" ca="1" si="2169"/>
        <v>7.8146014843497902</v>
      </c>
      <c r="AR780" s="9">
        <f t="shared" ca="1" si="2160"/>
        <v>173.63333333333333</v>
      </c>
      <c r="AS780" s="76"/>
      <c r="AT780" s="76"/>
    </row>
    <row r="781" spans="1:46" ht="15.75" customHeight="1" x14ac:dyDescent="0.2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6"/>
      <c r="X781" s="8">
        <v>5</v>
      </c>
      <c r="Y781" s="8" t="s">
        <v>39</v>
      </c>
      <c r="Z781" s="8">
        <f t="shared" ref="Z781:AI781" si="2170">SUM(D772)</f>
        <v>28</v>
      </c>
      <c r="AA781" s="9">
        <f t="shared" ca="1" si="2170"/>
        <v>28</v>
      </c>
      <c r="AB781" s="10">
        <f t="shared" ca="1" si="2170"/>
        <v>5458.8779999999997</v>
      </c>
      <c r="AC781" s="9">
        <f t="shared" ca="1" si="2170"/>
        <v>1516</v>
      </c>
      <c r="AD781" s="9">
        <f t="shared" ca="1" si="2170"/>
        <v>43</v>
      </c>
      <c r="AE781" s="9">
        <f t="shared" ca="1" si="2170"/>
        <v>1559</v>
      </c>
      <c r="AF781" s="9">
        <f t="shared" ca="1" si="2170"/>
        <v>1765</v>
      </c>
      <c r="AG781" s="9">
        <f t="shared" ca="1" si="2170"/>
        <v>115</v>
      </c>
      <c r="AH781" s="9">
        <f t="shared" ca="1" si="2170"/>
        <v>1880</v>
      </c>
      <c r="AI781" s="9">
        <f t="shared" ca="1" si="2170"/>
        <v>3439</v>
      </c>
      <c r="AJ781" s="11">
        <f t="shared" ca="1" si="2155"/>
        <v>194.95992857142855</v>
      </c>
      <c r="AK781" s="8">
        <f t="shared" si="2164"/>
        <v>3569</v>
      </c>
      <c r="AL781" s="12">
        <f t="shared" ca="1" si="2156"/>
        <v>0.96357523115718691</v>
      </c>
      <c r="AM781" s="13">
        <f t="shared" si="2165"/>
        <v>1.5</v>
      </c>
      <c r="AN781" s="12">
        <f t="shared" ca="1" si="2157"/>
        <v>0.4199886252571805</v>
      </c>
      <c r="AO781" s="14">
        <f t="shared" ca="1" si="2158"/>
        <v>0.62998293788577076</v>
      </c>
      <c r="AP781" s="13">
        <f t="shared" ref="AP781:AQ781" ca="1" si="2171">SUM(T772)</f>
        <v>254.33900200344777</v>
      </c>
      <c r="AQ781" s="13">
        <f t="shared" ca="1" si="2171"/>
        <v>9.0835357858374213</v>
      </c>
      <c r="AR781" s="9">
        <f t="shared" ca="1" si="2160"/>
        <v>122.82142857142857</v>
      </c>
      <c r="AS781" s="76"/>
      <c r="AT781" s="76"/>
    </row>
    <row r="782" spans="1:46" ht="15.75" customHeight="1" x14ac:dyDescent="0.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6"/>
      <c r="X782" s="8">
        <v>6</v>
      </c>
      <c r="Y782" s="8" t="s">
        <v>41</v>
      </c>
      <c r="Z782" s="8">
        <f t="shared" ref="Z782:AI782" si="2172">SUM(D773)</f>
        <v>24</v>
      </c>
      <c r="AA782" s="9">
        <f t="shared" ca="1" si="2172"/>
        <v>24</v>
      </c>
      <c r="AB782" s="10">
        <f t="shared" ca="1" si="2172"/>
        <v>4806.32</v>
      </c>
      <c r="AC782" s="9">
        <f t="shared" ca="1" si="2172"/>
        <v>1468</v>
      </c>
      <c r="AD782" s="9">
        <f t="shared" ca="1" si="2172"/>
        <v>0</v>
      </c>
      <c r="AE782" s="9">
        <f t="shared" ca="1" si="2172"/>
        <v>1468</v>
      </c>
      <c r="AF782" s="9">
        <f t="shared" ca="1" si="2172"/>
        <v>1656</v>
      </c>
      <c r="AG782" s="9">
        <f t="shared" ca="1" si="2172"/>
        <v>0</v>
      </c>
      <c r="AH782" s="9">
        <f t="shared" ca="1" si="2172"/>
        <v>1656</v>
      </c>
      <c r="AI782" s="9">
        <f t="shared" ca="1" si="2172"/>
        <v>3124</v>
      </c>
      <c r="AJ782" s="11">
        <f t="shared" ca="1" si="2155"/>
        <v>200.26333333333332</v>
      </c>
      <c r="AK782" s="8">
        <f t="shared" si="2164"/>
        <v>3801</v>
      </c>
      <c r="AL782" s="12">
        <f t="shared" ca="1" si="2156"/>
        <v>0.82188897658510918</v>
      </c>
      <c r="AM782" s="13">
        <f t="shared" si="2165"/>
        <v>1.5</v>
      </c>
      <c r="AN782" s="12">
        <f t="shared" ca="1" si="2157"/>
        <v>0.43331835305736338</v>
      </c>
      <c r="AO782" s="14">
        <f t="shared" ca="1" si="2158"/>
        <v>0.64997752958604504</v>
      </c>
      <c r="AP782" s="13">
        <f t="shared" ref="AP782:AQ782" ca="1" si="2173">SUM(T773)</f>
        <v>162.2222222222222</v>
      </c>
      <c r="AQ782" s="13">
        <f t="shared" ca="1" si="2173"/>
        <v>6.7592592592592586</v>
      </c>
      <c r="AR782" s="9">
        <f t="shared" ca="1" si="2160"/>
        <v>130.16666666666666</v>
      </c>
      <c r="AS782" s="76"/>
      <c r="AT782" s="76"/>
    </row>
    <row r="783" spans="1:46" ht="15.75" customHeight="1" x14ac:dyDescent="0.25">
      <c r="A783" s="110" t="s">
        <v>45</v>
      </c>
      <c r="B783" s="76"/>
      <c r="C783" s="76"/>
      <c r="D783" s="75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24" t="s">
        <v>33</v>
      </c>
      <c r="Y783" s="24">
        <v>6</v>
      </c>
      <c r="Z783" s="24">
        <f t="shared" ref="Z783:AI783" si="2174">SUM(Z777:Z782)</f>
        <v>174</v>
      </c>
      <c r="AA783" s="25">
        <f t="shared" ca="1" si="2174"/>
        <v>173</v>
      </c>
      <c r="AB783" s="27">
        <f t="shared" ca="1" si="2174"/>
        <v>33421.483999999997</v>
      </c>
      <c r="AC783" s="25">
        <f t="shared" ca="1" si="2174"/>
        <v>13336</v>
      </c>
      <c r="AD783" s="25">
        <f t="shared" ca="1" si="2174"/>
        <v>43</v>
      </c>
      <c r="AE783" s="25">
        <f t="shared" ca="1" si="2174"/>
        <v>13379</v>
      </c>
      <c r="AF783" s="25">
        <f t="shared" ca="1" si="2174"/>
        <v>17446</v>
      </c>
      <c r="AG783" s="25">
        <f t="shared" ca="1" si="2174"/>
        <v>305</v>
      </c>
      <c r="AH783" s="25">
        <f t="shared" ca="1" si="2174"/>
        <v>17751</v>
      </c>
      <c r="AI783" s="25">
        <f t="shared" ca="1" si="2174"/>
        <v>31130</v>
      </c>
      <c r="AJ783" s="27">
        <f t="shared" ca="1" si="2155"/>
        <v>193.18776878612715</v>
      </c>
      <c r="AK783" s="24">
        <f>SUM(AK777:AK782)</f>
        <v>37031</v>
      </c>
      <c r="AL783" s="28">
        <f t="shared" ca="1" si="2156"/>
        <v>0.8406470254651508</v>
      </c>
      <c r="AM783" s="29">
        <v>1.5</v>
      </c>
      <c r="AN783" s="28">
        <f t="shared" ca="1" si="2157"/>
        <v>0.62095786450815094</v>
      </c>
      <c r="AO783" s="30">
        <f t="shared" ca="1" si="2158"/>
        <v>0.93143679676222646</v>
      </c>
      <c r="AP783" s="29">
        <f ca="1">SUM(AP777:AP782)</f>
        <v>1373.8178214444874</v>
      </c>
      <c r="AQ783" s="29">
        <f ca="1">AP783/AA783</f>
        <v>7.9411434765577305</v>
      </c>
      <c r="AR783" s="25">
        <f t="shared" ca="1" si="2160"/>
        <v>179.94219653179192</v>
      </c>
      <c r="AS783" s="76"/>
      <c r="AT783" s="76"/>
    </row>
    <row r="784" spans="1:46" ht="15.75" customHeight="1" x14ac:dyDescent="0.2">
      <c r="A784" s="110" t="s">
        <v>45</v>
      </c>
      <c r="B784" s="76"/>
      <c r="C784" s="76"/>
      <c r="D784" s="75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7" t="s">
        <v>1</v>
      </c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9"/>
      <c r="AS784" s="76"/>
      <c r="AT784" s="76"/>
    </row>
    <row r="785" spans="1:46" ht="15.75" customHeight="1" x14ac:dyDescent="0.2">
      <c r="A785" s="109">
        <v>46295</v>
      </c>
      <c r="B785" s="80" t="s">
        <v>2</v>
      </c>
      <c r="C785" s="80" t="s">
        <v>3</v>
      </c>
      <c r="D785" s="80" t="s">
        <v>4</v>
      </c>
      <c r="E785" s="80" t="s">
        <v>5</v>
      </c>
      <c r="F785" s="81" t="s">
        <v>6</v>
      </c>
      <c r="G785" s="80" t="s">
        <v>7</v>
      </c>
      <c r="H785" s="80" t="s">
        <v>8</v>
      </c>
      <c r="I785" s="80" t="s">
        <v>9</v>
      </c>
      <c r="J785" s="80" t="s">
        <v>10</v>
      </c>
      <c r="K785" s="80" t="s">
        <v>11</v>
      </c>
      <c r="L785" s="80" t="s">
        <v>12</v>
      </c>
      <c r="M785" s="80" t="s">
        <v>13</v>
      </c>
      <c r="N785" s="81" t="s">
        <v>14</v>
      </c>
      <c r="O785" s="80" t="s">
        <v>15</v>
      </c>
      <c r="P785" s="80" t="s">
        <v>16</v>
      </c>
      <c r="Q785" s="80" t="s">
        <v>17</v>
      </c>
      <c r="R785" s="80" t="s">
        <v>18</v>
      </c>
      <c r="S785" s="106" t="s">
        <v>19</v>
      </c>
      <c r="T785" s="107" t="s">
        <v>20</v>
      </c>
      <c r="U785" s="107" t="s">
        <v>21</v>
      </c>
      <c r="V785" s="105" t="s">
        <v>22</v>
      </c>
      <c r="W785" s="76"/>
      <c r="X785" s="1" t="s">
        <v>2</v>
      </c>
      <c r="Y785" s="1" t="s">
        <v>3</v>
      </c>
      <c r="Z785" s="1" t="s">
        <v>4</v>
      </c>
      <c r="AA785" s="1" t="s">
        <v>5</v>
      </c>
      <c r="AB785" s="2" t="s">
        <v>6</v>
      </c>
      <c r="AC785" s="1" t="s">
        <v>7</v>
      </c>
      <c r="AD785" s="1" t="s">
        <v>8</v>
      </c>
      <c r="AE785" s="1" t="s">
        <v>9</v>
      </c>
      <c r="AF785" s="1" t="s">
        <v>10</v>
      </c>
      <c r="AG785" s="1" t="s">
        <v>11</v>
      </c>
      <c r="AH785" s="1" t="s">
        <v>12</v>
      </c>
      <c r="AI785" s="1" t="s">
        <v>13</v>
      </c>
      <c r="AJ785" s="2" t="s">
        <v>14</v>
      </c>
      <c r="AK785" s="1" t="s">
        <v>15</v>
      </c>
      <c r="AL785" s="1" t="s">
        <v>16</v>
      </c>
      <c r="AM785" s="3" t="s">
        <v>17</v>
      </c>
      <c r="AN785" s="4" t="s">
        <v>18</v>
      </c>
      <c r="AO785" s="5" t="s">
        <v>19</v>
      </c>
      <c r="AP785" s="6" t="s">
        <v>20</v>
      </c>
      <c r="AQ785" s="6" t="s">
        <v>21</v>
      </c>
      <c r="AR785" s="7" t="s">
        <v>22</v>
      </c>
      <c r="AS785" s="76"/>
      <c r="AT785" s="76"/>
    </row>
    <row r="786" spans="1:46" ht="15.75" customHeight="1" x14ac:dyDescent="0.2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6"/>
      <c r="X786" s="8">
        <v>1</v>
      </c>
      <c r="Y786" s="8" t="s">
        <v>23</v>
      </c>
      <c r="Z786" s="8">
        <f t="shared" ref="Z786:AI786" si="2175">SUM(D794)</f>
        <v>35</v>
      </c>
      <c r="AA786" s="9">
        <f t="shared" ca="1" si="2175"/>
        <v>34</v>
      </c>
      <c r="AB786" s="10">
        <f t="shared" ca="1" si="2175"/>
        <v>6343.1199999999899</v>
      </c>
      <c r="AC786" s="9">
        <f t="shared" ca="1" si="2175"/>
        <v>1642</v>
      </c>
      <c r="AD786" s="9">
        <f t="shared" ca="1" si="2175"/>
        <v>0</v>
      </c>
      <c r="AE786" s="9">
        <f t="shared" ca="1" si="2175"/>
        <v>1642</v>
      </c>
      <c r="AF786" s="9">
        <f t="shared" ca="1" si="2175"/>
        <v>2911</v>
      </c>
      <c r="AG786" s="9">
        <f t="shared" ca="1" si="2175"/>
        <v>0</v>
      </c>
      <c r="AH786" s="9">
        <f t="shared" ca="1" si="2175"/>
        <v>2911</v>
      </c>
      <c r="AI786" s="9">
        <f t="shared" ca="1" si="2175"/>
        <v>4553</v>
      </c>
      <c r="AJ786" s="11">
        <f t="shared" ref="AJ786:AJ788" ca="1" si="2176">AB786/AA786</f>
        <v>186.56235294117619</v>
      </c>
      <c r="AK786" s="8">
        <f>SUM(O794)</f>
        <v>6853</v>
      </c>
      <c r="AL786" s="12">
        <f t="shared" ref="AL786:AL792" ca="1" si="2177">AI786/AK786</f>
        <v>0.6643805632569677</v>
      </c>
      <c r="AM786" s="13">
        <f t="shared" ref="AM786:AM788" si="2178">SUM(Q794)</f>
        <v>1.5</v>
      </c>
      <c r="AN786" s="12">
        <f t="shared" ref="AN786:AN792" ca="1" si="2179">AO786/AM786</f>
        <v>0.47852371283112066</v>
      </c>
      <c r="AO786" s="14">
        <f t="shared" ref="AO786:AO792" ca="1" si="2180">AI786/AB786</f>
        <v>0.71778556924668102</v>
      </c>
      <c r="AP786" s="13">
        <f t="shared" ref="AP786:AQ786" ca="1" si="2181">SUM(T794)</f>
        <v>187.99999999999969</v>
      </c>
      <c r="AQ786" s="13">
        <f t="shared" ca="1" si="2181"/>
        <v>5.5294117647058734</v>
      </c>
      <c r="AR786" s="9">
        <f t="shared" ref="AR786:AR792" ca="1" si="2182">AI786/AA786</f>
        <v>133.91176470588235</v>
      </c>
      <c r="AS786" s="76"/>
      <c r="AT786" s="76"/>
    </row>
    <row r="787" spans="1:46" ht="15.75" customHeight="1" x14ac:dyDescent="0.2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6"/>
      <c r="X787" s="8">
        <v>2</v>
      </c>
      <c r="Y787" s="8" t="s">
        <v>24</v>
      </c>
      <c r="Z787" s="8">
        <f t="shared" ref="Z787:AI787" si="2183">SUM(D795)</f>
        <v>44</v>
      </c>
      <c r="AA787" s="9">
        <f t="shared" ca="1" si="2183"/>
        <v>44</v>
      </c>
      <c r="AB787" s="10">
        <f t="shared" ca="1" si="2183"/>
        <v>8503.1839999999902</v>
      </c>
      <c r="AC787" s="9">
        <f t="shared" ca="1" si="2183"/>
        <v>1215</v>
      </c>
      <c r="AD787" s="9">
        <f t="shared" ca="1" si="2183"/>
        <v>0</v>
      </c>
      <c r="AE787" s="9">
        <f t="shared" ca="1" si="2183"/>
        <v>1215</v>
      </c>
      <c r="AF787" s="9">
        <f t="shared" ca="1" si="2183"/>
        <v>1449</v>
      </c>
      <c r="AG787" s="9">
        <f t="shared" ca="1" si="2183"/>
        <v>47</v>
      </c>
      <c r="AH787" s="9">
        <f t="shared" ca="1" si="2183"/>
        <v>1496</v>
      </c>
      <c r="AI787" s="9">
        <f t="shared" ca="1" si="2183"/>
        <v>2711</v>
      </c>
      <c r="AJ787" s="11">
        <f t="shared" ca="1" si="2176"/>
        <v>193.25418181818159</v>
      </c>
      <c r="AK787" s="8">
        <v>1580</v>
      </c>
      <c r="AL787" s="12">
        <f t="shared" ca="1" si="2177"/>
        <v>1.7158227848101266</v>
      </c>
      <c r="AM787" s="13">
        <f t="shared" si="2178"/>
        <v>1.5</v>
      </c>
      <c r="AN787" s="12">
        <f t="shared" ca="1" si="2179"/>
        <v>0.21254783306268987</v>
      </c>
      <c r="AO787" s="14">
        <f t="shared" ca="1" si="2180"/>
        <v>0.31882174959403481</v>
      </c>
      <c r="AP787" s="13">
        <f t="shared" ref="AP787:AQ787" ca="1" si="2184">SUM(T795)</f>
        <v>317.22380152956504</v>
      </c>
      <c r="AQ787" s="13">
        <f t="shared" ca="1" si="2184"/>
        <v>7.2096318529446597</v>
      </c>
      <c r="AR787" s="9">
        <f t="shared" ca="1" si="2182"/>
        <v>61.613636363636367</v>
      </c>
      <c r="AS787" s="76"/>
      <c r="AT787" s="76"/>
    </row>
    <row r="788" spans="1:46" ht="15.75" customHeight="1" x14ac:dyDescent="0.2">
      <c r="A788" s="70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6"/>
      <c r="X788" s="8">
        <v>3</v>
      </c>
      <c r="Y788" s="8" t="s">
        <v>25</v>
      </c>
      <c r="Z788" s="8">
        <f t="shared" ref="Z788:AI788" si="2185">SUM(D796)</f>
        <v>32</v>
      </c>
      <c r="AA788" s="9">
        <f t="shared" ca="1" si="2185"/>
        <v>32</v>
      </c>
      <c r="AB788" s="10">
        <f t="shared" ca="1" si="2185"/>
        <v>6115.8440000000001</v>
      </c>
      <c r="AC788" s="9">
        <f t="shared" ca="1" si="2185"/>
        <v>2262</v>
      </c>
      <c r="AD788" s="9">
        <f t="shared" ca="1" si="2185"/>
        <v>452</v>
      </c>
      <c r="AE788" s="9">
        <f t="shared" ca="1" si="2185"/>
        <v>2714</v>
      </c>
      <c r="AF788" s="9">
        <f t="shared" ca="1" si="2185"/>
        <v>2922</v>
      </c>
      <c r="AG788" s="9">
        <f t="shared" ca="1" si="2185"/>
        <v>298</v>
      </c>
      <c r="AH788" s="9">
        <f t="shared" ca="1" si="2185"/>
        <v>3220</v>
      </c>
      <c r="AI788" s="9">
        <f t="shared" ca="1" si="2185"/>
        <v>5934</v>
      </c>
      <c r="AJ788" s="11">
        <f t="shared" ca="1" si="2176"/>
        <v>191.120125</v>
      </c>
      <c r="AK788" s="8">
        <f>SUM(O796)</f>
        <v>6622</v>
      </c>
      <c r="AL788" s="12">
        <f t="shared" ca="1" si="2177"/>
        <v>0.89610389610389607</v>
      </c>
      <c r="AM788" s="13">
        <f t="shared" si="2178"/>
        <v>1.5</v>
      </c>
      <c r="AN788" s="12">
        <f t="shared" ca="1" si="2179"/>
        <v>0.64684449112828901</v>
      </c>
      <c r="AO788" s="14">
        <f t="shared" ca="1" si="2180"/>
        <v>0.97026673669243357</v>
      </c>
      <c r="AP788" s="13">
        <f t="shared" ref="AP788:AQ788" ca="1" si="2186">SUM(T796)</f>
        <v>256.53708053691275</v>
      </c>
      <c r="AQ788" s="13">
        <f t="shared" ca="1" si="2186"/>
        <v>8.0167837667785236</v>
      </c>
      <c r="AR788" s="9">
        <f t="shared" ca="1" si="2182"/>
        <v>185.4375</v>
      </c>
      <c r="AS788" s="76"/>
      <c r="AT788" s="76"/>
    </row>
    <row r="789" spans="1:46" ht="15.75" customHeight="1" x14ac:dyDescent="0.25">
      <c r="A789" s="70"/>
      <c r="B789" s="16">
        <v>1</v>
      </c>
      <c r="C789" s="16" t="s">
        <v>26</v>
      </c>
      <c r="D789" s="17">
        <v>20</v>
      </c>
      <c r="E789" s="18">
        <f ca="1">IFERROR(__xludf.DUMMYFUNCTION("COUNT(IMPORTRANGE(""https://docs.google.com/spreadsheets/d/1F0NpMx7WhcgPgxTWpryY3Z1CGg56FL6aiL4mHs43w4E/edit"",""3!d2:d21""))"),20)</f>
        <v>20</v>
      </c>
      <c r="F789" s="19">
        <f ca="1">IFERROR(__xludf.DUMMYFUNCTION("SUM(IMPORTRANGE(""https://docs.google.com/spreadsheets/d/1F0NpMx7WhcgPgxTWpryY3Z1CGg56FL6aiL4mHs43w4E/edit"",""3!Q2:Q21""))"),3993.567)</f>
        <v>3993.567</v>
      </c>
      <c r="G789" s="18">
        <f ca="1">IFERROR(__xludf.DUMMYFUNCTION("IMPORTRANGE(""https://docs.google.com/spreadsheets/d/1F0NpMx7WhcgPgxTWpryY3Z1CGg56FL6aiL4mHs43w4E/edit"",""3!e28"")"),2441)</f>
        <v>2441</v>
      </c>
      <c r="H789" s="18">
        <f ca="1">IFERROR(__xludf.DUMMYFUNCTION("IMPORTRANGE(""https://docs.google.com/spreadsheets/d/1F0NpMx7WhcgPgxTWpryY3Z1CGg56FL6aiL4mHs43w4E/edit"",""3!e29"")"),20)</f>
        <v>20</v>
      </c>
      <c r="I789" s="18">
        <f t="shared" ref="I789:I806" ca="1" si="2187">SUM(G789:H789)</f>
        <v>2461</v>
      </c>
      <c r="J789" s="18">
        <f ca="1">IFERROR(__xludf.DUMMYFUNCTION("IMPORTRANGE(""https://docs.google.com/spreadsheets/d/1F0NpMx7WhcgPgxTWpryY3Z1CGg56FL6aiL4mHs43w4E/edit"",""3!e32"")"),2544)</f>
        <v>2544</v>
      </c>
      <c r="K789" s="18">
        <f ca="1">IFERROR(__xludf.DUMMYFUNCTION("IMPORTRANGE(""https://docs.google.com/spreadsheets/d/1F0NpMx7WhcgPgxTWpryY3Z1CGg56FL6aiL4mHs43w4E/edit"",""3!e33"")"),220)</f>
        <v>220</v>
      </c>
      <c r="L789" s="18">
        <f t="shared" ref="L789:L795" ca="1" si="2188">SUM(J789:K789)</f>
        <v>2764</v>
      </c>
      <c r="M789" s="18">
        <f t="shared" ref="M789:M806" ca="1" si="2189">SUM(I789+L789)</f>
        <v>5225</v>
      </c>
      <c r="N789" s="19">
        <f t="shared" ref="N789:N807" ca="1" si="2190">F789/E789</f>
        <v>199.67834999999999</v>
      </c>
      <c r="O789" s="16">
        <v>5161</v>
      </c>
      <c r="P789" s="20">
        <f t="shared" ref="P789:P807" ca="1" si="2191">M789/O789</f>
        <v>1.0124006975392366</v>
      </c>
      <c r="Q789" s="21">
        <v>1.5</v>
      </c>
      <c r="R789" s="20">
        <f t="shared" ref="R789:R807" ca="1" si="2192">S789/Q789</f>
        <v>0.87223610705250054</v>
      </c>
      <c r="S789" s="22">
        <f t="shared" ref="S789:S807" ca="1" si="2193">M789/F789</f>
        <v>1.3083541605787508</v>
      </c>
      <c r="T789" s="21">
        <f ca="1">F789/14.415</f>
        <v>277.04245577523415</v>
      </c>
      <c r="U789" s="21">
        <f t="shared" ref="U789:U807" ca="1" si="2194">T789/E789</f>
        <v>13.852122788761708</v>
      </c>
      <c r="V789" s="18">
        <f t="shared" ref="V789:V807" ca="1" si="2195">M789/E789</f>
        <v>261.25</v>
      </c>
      <c r="W789" s="76"/>
      <c r="X789" s="8">
        <v>4</v>
      </c>
      <c r="Y789" s="8" t="s">
        <v>27</v>
      </c>
      <c r="Z789" s="8">
        <f t="shared" ref="Z789:AK789" si="2196">SUM(D802)</f>
        <v>30</v>
      </c>
      <c r="AA789" s="9">
        <f t="shared" ca="1" si="2196"/>
        <v>29</v>
      </c>
      <c r="AB789" s="10">
        <f t="shared" ca="1" si="2196"/>
        <v>5265.91</v>
      </c>
      <c r="AC789" s="9">
        <f t="shared" ca="1" si="2196"/>
        <v>2086</v>
      </c>
      <c r="AD789" s="9">
        <f t="shared" ca="1" si="2196"/>
        <v>80</v>
      </c>
      <c r="AE789" s="9">
        <f t="shared" ca="1" si="2196"/>
        <v>2166</v>
      </c>
      <c r="AF789" s="9">
        <f t="shared" ca="1" si="2196"/>
        <v>3135</v>
      </c>
      <c r="AG789" s="9">
        <f t="shared" ca="1" si="2196"/>
        <v>99</v>
      </c>
      <c r="AH789" s="9">
        <f t="shared" ca="1" si="2196"/>
        <v>3234</v>
      </c>
      <c r="AI789" s="9">
        <f t="shared" ca="1" si="2196"/>
        <v>5400</v>
      </c>
      <c r="AJ789" s="11">
        <f t="shared" ca="1" si="2196"/>
        <v>181.58310344827586</v>
      </c>
      <c r="AK789" s="8">
        <f t="shared" si="2196"/>
        <v>8101</v>
      </c>
      <c r="AL789" s="12">
        <f t="shared" ca="1" si="2177"/>
        <v>0.66658437229971612</v>
      </c>
      <c r="AM789" s="13">
        <f>SUM(Q802)</f>
        <v>1.5</v>
      </c>
      <c r="AN789" s="12">
        <f t="shared" ca="1" si="2179"/>
        <v>0.68364252332455366</v>
      </c>
      <c r="AO789" s="14">
        <f t="shared" ca="1" si="2180"/>
        <v>1.0254637849868304</v>
      </c>
      <c r="AP789" s="13">
        <f t="shared" ref="AP789:AQ789" ca="1" si="2197">SUM(T802)</f>
        <v>263.49311983987991</v>
      </c>
      <c r="AQ789" s="13">
        <f t="shared" ca="1" si="2197"/>
        <v>9.085969649651032</v>
      </c>
      <c r="AR789" s="9">
        <f t="shared" ca="1" si="2182"/>
        <v>186.20689655172413</v>
      </c>
      <c r="AS789" s="76"/>
      <c r="AT789" s="76"/>
    </row>
    <row r="790" spans="1:46" ht="15.75" customHeight="1" x14ac:dyDescent="0.25">
      <c r="A790" s="70"/>
      <c r="B790" s="16">
        <v>2</v>
      </c>
      <c r="C790" s="16" t="s">
        <v>28</v>
      </c>
      <c r="D790" s="17">
        <v>33</v>
      </c>
      <c r="E790" s="18">
        <f ca="1">IFERROR(__xludf.DUMMYFUNCTION("COUNT(IMPORTRANGE(""https://docs.google.com/spreadsheets/d/1H9vAqftAHb0OdeSGXHTnJFzoWUgpoH31sc0sHNN8y1o/edit"",""3!d2:d34""))"),32)</f>
        <v>32</v>
      </c>
      <c r="F790" s="19">
        <f ca="1">IFERROR(__xludf.DUMMYFUNCTION("SUM(IMPORTRANGE(""https://docs.google.com/spreadsheets/d/1H9vAqftAHb0OdeSGXHTnJFzoWUgpoH31sc0sHNN8y1o/edit"",""3!Q2:Q34""))"),6236.48799999999)</f>
        <v>6236.4879999999903</v>
      </c>
      <c r="G790" s="18">
        <f ca="1">IFERROR(__xludf.DUMMYFUNCTION("IMPORTRANGE(""https://docs.google.com/spreadsheets/d/1H9vAqftAHb0OdeSGXHTnJFzoWUgpoH31sc0sHNN8y1o/edit"",""3!e41"")"),2795)</f>
        <v>2795</v>
      </c>
      <c r="H790" s="18">
        <f ca="1">IFERROR(__xludf.DUMMYFUNCTION("IMPORTRANGE(""https://docs.google.com/spreadsheets/d/1H9vAqftAHb0OdeSGXHTnJFzoWUgpoH31sc0sHNN8y1o/edit"",""3!e42"")"),140)</f>
        <v>140</v>
      </c>
      <c r="I790" s="18">
        <f t="shared" ca="1" si="2187"/>
        <v>2935</v>
      </c>
      <c r="J790" s="18">
        <f ca="1">IFERROR(__xludf.DUMMYFUNCTION("IMPORTRANGE(""https://docs.google.com/spreadsheets/d/1H9vAqftAHb0OdeSGXHTnJFzoWUgpoH31sc0sHNN8y1o/edit"",""3!e45"")"),2886)</f>
        <v>2886</v>
      </c>
      <c r="K790" s="18">
        <f ca="1">IFERROR(__xludf.DUMMYFUNCTION("IMPORTRANGE(""https://docs.google.com/spreadsheets/d/1H9vAqftAHb0OdeSGXHTnJFzoWUgpoH31sc0sHNN8y1o/edit"",""3!e46"")"),186)</f>
        <v>186</v>
      </c>
      <c r="L790" s="18">
        <f t="shared" ca="1" si="2188"/>
        <v>3072</v>
      </c>
      <c r="M790" s="18">
        <f t="shared" ca="1" si="2189"/>
        <v>6007</v>
      </c>
      <c r="N790" s="19">
        <f t="shared" ca="1" si="2190"/>
        <v>194.8902499999997</v>
      </c>
      <c r="O790" s="16">
        <v>7315</v>
      </c>
      <c r="P790" s="20">
        <f t="shared" ca="1" si="2191"/>
        <v>0.82118933697881069</v>
      </c>
      <c r="Q790" s="21">
        <v>1.5</v>
      </c>
      <c r="R790" s="20">
        <f t="shared" ca="1" si="2192"/>
        <v>0.64213491097339925</v>
      </c>
      <c r="S790" s="22">
        <f t="shared" ca="1" si="2193"/>
        <v>0.96320236646009894</v>
      </c>
      <c r="T790" s="21">
        <f ca="1">F790/30.897</f>
        <v>201.84768747774834</v>
      </c>
      <c r="U790" s="21">
        <f t="shared" ca="1" si="2194"/>
        <v>6.3077402336796355</v>
      </c>
      <c r="V790" s="18">
        <f t="shared" ca="1" si="2195"/>
        <v>187.71875</v>
      </c>
      <c r="W790" s="76"/>
      <c r="X790" s="8">
        <v>5</v>
      </c>
      <c r="Y790" s="8" t="s">
        <v>29</v>
      </c>
      <c r="Z790" s="8">
        <f t="shared" ref="Z790:AI790" si="2198">SUM(D805)</f>
        <v>30</v>
      </c>
      <c r="AA790" s="9">
        <f t="shared" ca="1" si="2198"/>
        <v>30</v>
      </c>
      <c r="AB790" s="10">
        <f t="shared" ca="1" si="2198"/>
        <v>6172.4029999999902</v>
      </c>
      <c r="AC790" s="9">
        <f t="shared" ca="1" si="2198"/>
        <v>2776</v>
      </c>
      <c r="AD790" s="9">
        <f t="shared" ca="1" si="2198"/>
        <v>0</v>
      </c>
      <c r="AE790" s="9">
        <f t="shared" ca="1" si="2198"/>
        <v>2776</v>
      </c>
      <c r="AF790" s="9">
        <f t="shared" ca="1" si="2198"/>
        <v>4306</v>
      </c>
      <c r="AG790" s="9">
        <f t="shared" ca="1" si="2198"/>
        <v>0</v>
      </c>
      <c r="AH790" s="9">
        <f t="shared" ca="1" si="2198"/>
        <v>4306</v>
      </c>
      <c r="AI790" s="9">
        <f t="shared" ca="1" si="2198"/>
        <v>7082</v>
      </c>
      <c r="AJ790" s="11">
        <f t="shared" ref="AJ790:AJ792" ca="1" si="2199">AB790/AA790</f>
        <v>205.74676666666633</v>
      </c>
      <c r="AK790" s="8">
        <f t="shared" ref="AK790:AK791" si="2200">SUM(O805)</f>
        <v>9201</v>
      </c>
      <c r="AL790" s="12">
        <f t="shared" ca="1" si="2177"/>
        <v>0.76969894576676445</v>
      </c>
      <c r="AM790" s="13">
        <f t="shared" ref="AM790:AM791" si="2201">SUM(Q805)</f>
        <v>1.5</v>
      </c>
      <c r="AN790" s="12">
        <f t="shared" ca="1" si="2179"/>
        <v>0.76491008985209508</v>
      </c>
      <c r="AO790" s="14">
        <f t="shared" ca="1" si="2180"/>
        <v>1.1473651347781426</v>
      </c>
      <c r="AP790" s="13">
        <f t="shared" ref="AP790:AQ790" ca="1" si="2202">SUM(T805)</f>
        <v>232.99999999999963</v>
      </c>
      <c r="AQ790" s="13">
        <f t="shared" ca="1" si="2202"/>
        <v>7.7666666666666542</v>
      </c>
      <c r="AR790" s="9">
        <f t="shared" ca="1" si="2182"/>
        <v>236.06666666666666</v>
      </c>
      <c r="AS790" s="76"/>
      <c r="AT790" s="76"/>
    </row>
    <row r="791" spans="1:46" ht="15.75" customHeight="1" x14ac:dyDescent="0.25">
      <c r="A791" s="70"/>
      <c r="B791" s="16">
        <v>3</v>
      </c>
      <c r="C791" s="16" t="s">
        <v>30</v>
      </c>
      <c r="D791" s="17">
        <v>60</v>
      </c>
      <c r="E791" s="18">
        <f ca="1">IFERROR(__xludf.DUMMYFUNCTION("COUNT(IMPORTRANGE(""https://docs.google.com/spreadsheets/d/1EWN6nfpuVxbUE_9opjYCWaI7MTm5xsF6ssjklSbMZnA/edit"",""3!d2:d61""))"),60)</f>
        <v>60</v>
      </c>
      <c r="F791" s="23">
        <f ca="1">IFERROR(__xludf.DUMMYFUNCTION("SUM(IMPORTRANGE(""https://docs.google.com/spreadsheets/d/1EWN6nfpuVxbUE_9opjYCWaI7MTm5xsF6ssjklSbMZnA/edit"",""3!Q2:Q61""))"),11240.6459999999)</f>
        <v>11240.645999999901</v>
      </c>
      <c r="G791" s="18">
        <f ca="1">IFERROR(__xludf.DUMMYFUNCTION("IMPORTRANGE(""https://docs.google.com/spreadsheets/d/1EWN6nfpuVxbUE_9opjYCWaI7MTm5xsF6ssjklSbMZnA/edit"",""3!e68"")"),3447)</f>
        <v>3447</v>
      </c>
      <c r="H791" s="18">
        <f ca="1">IFERROR(__xludf.DUMMYFUNCTION("IMPORTRANGE(""https://docs.google.com/spreadsheets/d/1EWN6nfpuVxbUE_9opjYCWaI7MTm5xsF6ssjklSbMZnA/edit"",""3!e69"")"),0)</f>
        <v>0</v>
      </c>
      <c r="I791" s="18">
        <f t="shared" ca="1" si="2187"/>
        <v>3447</v>
      </c>
      <c r="J791" s="18">
        <f ca="1">IFERROR(__xludf.DUMMYFUNCTION("IMPORTRANGE(""https://docs.google.com/spreadsheets/d/1EWN6nfpuVxbUE_9opjYCWaI7MTm5xsF6ssjklSbMZnA/edit"",""3!e72"")"),5534)</f>
        <v>5534</v>
      </c>
      <c r="K791" s="18">
        <f ca="1">IFERROR(__xludf.DUMMYFUNCTION("IMPORTRANGE(""https://docs.google.com/spreadsheets/d/1EWN6nfpuVxbUE_9opjYCWaI7MTm5xsF6ssjklSbMZnA/edit"",""3!e73"")"),0)</f>
        <v>0</v>
      </c>
      <c r="L791" s="18">
        <f t="shared" ca="1" si="2188"/>
        <v>5534</v>
      </c>
      <c r="M791" s="18">
        <f t="shared" ca="1" si="2189"/>
        <v>8981</v>
      </c>
      <c r="N791" s="19">
        <f t="shared" ca="1" si="2190"/>
        <v>187.34409999999835</v>
      </c>
      <c r="O791" s="16">
        <v>11164</v>
      </c>
      <c r="P791" s="20">
        <f t="shared" ca="1" si="2191"/>
        <v>0.80446076675026867</v>
      </c>
      <c r="Q791" s="21">
        <v>1.5</v>
      </c>
      <c r="R791" s="20">
        <f t="shared" ca="1" si="2192"/>
        <v>0.53265028836717987</v>
      </c>
      <c r="S791" s="22">
        <f t="shared" ca="1" si="2193"/>
        <v>0.79897543255076975</v>
      </c>
      <c r="T791" s="21">
        <f ca="1">F791/29.603</f>
        <v>379.71306962131877</v>
      </c>
      <c r="U791" s="21">
        <f t="shared" ca="1" si="2194"/>
        <v>6.3285511603553131</v>
      </c>
      <c r="V791" s="18">
        <f t="shared" ca="1" si="2195"/>
        <v>149.68333333333334</v>
      </c>
      <c r="W791" s="76"/>
      <c r="X791" s="8">
        <v>6</v>
      </c>
      <c r="Y791" s="8" t="s">
        <v>31</v>
      </c>
      <c r="Z791" s="8">
        <f t="shared" ref="Z791:AI791" si="2203">SUM(D806)</f>
        <v>15</v>
      </c>
      <c r="AA791" s="9">
        <f t="shared" ca="1" si="2203"/>
        <v>14</v>
      </c>
      <c r="AB791" s="11">
        <f t="shared" ca="1" si="2203"/>
        <v>2825.2249999999999</v>
      </c>
      <c r="AC791" s="9">
        <f t="shared" ca="1" si="2203"/>
        <v>838</v>
      </c>
      <c r="AD791" s="9">
        <f t="shared" ca="1" si="2203"/>
        <v>0</v>
      </c>
      <c r="AE791" s="9">
        <f t="shared" ca="1" si="2203"/>
        <v>838</v>
      </c>
      <c r="AF791" s="9">
        <f t="shared" ca="1" si="2203"/>
        <v>1055</v>
      </c>
      <c r="AG791" s="9">
        <f t="shared" ca="1" si="2203"/>
        <v>14</v>
      </c>
      <c r="AH791" s="9">
        <f t="shared" ca="1" si="2203"/>
        <v>1069</v>
      </c>
      <c r="AI791" s="9">
        <f t="shared" ca="1" si="2203"/>
        <v>1907</v>
      </c>
      <c r="AJ791" s="11">
        <f t="shared" ca="1" si="2199"/>
        <v>201.8017857142857</v>
      </c>
      <c r="AK791" s="8">
        <f t="shared" si="2200"/>
        <v>2717</v>
      </c>
      <c r="AL791" s="12">
        <f t="shared" ca="1" si="2177"/>
        <v>0.70187707029812296</v>
      </c>
      <c r="AM791" s="13">
        <f t="shared" si="2201"/>
        <v>1.5</v>
      </c>
      <c r="AN791" s="12">
        <f t="shared" ca="1" si="2179"/>
        <v>0.44999365832219856</v>
      </c>
      <c r="AO791" s="14">
        <f t="shared" ca="1" si="2180"/>
        <v>0.67499048748329782</v>
      </c>
      <c r="AP791" s="13">
        <f t="shared" ref="AP791:AQ791" ca="1" si="2204">SUM(T806)</f>
        <v>64.999999999999986</v>
      </c>
      <c r="AQ791" s="13">
        <f t="shared" ca="1" si="2204"/>
        <v>4.6428571428571415</v>
      </c>
      <c r="AR791" s="9">
        <f t="shared" ca="1" si="2182"/>
        <v>136.21428571428572</v>
      </c>
      <c r="AS791" s="76"/>
      <c r="AT791" s="76"/>
    </row>
    <row r="792" spans="1:46" ht="15.75" customHeight="1" x14ac:dyDescent="0.25">
      <c r="A792" s="70"/>
      <c r="B792" s="16">
        <v>4</v>
      </c>
      <c r="C792" s="16" t="s">
        <v>32</v>
      </c>
      <c r="D792" s="17">
        <v>42</v>
      </c>
      <c r="E792" s="18">
        <f ca="1">IFERROR(__xludf.DUMMYFUNCTION("COUNT(IMPORTRANGE(""https://docs.google.com/spreadsheets/d/1Rmar8QqWK4XOJ-eY6xMzkAfDSw0srEXcAw89ilArun8/edit"",""3!d2:d43""))"),42)</f>
        <v>42</v>
      </c>
      <c r="F792" s="23">
        <f ca="1">IFERROR(__xludf.DUMMYFUNCTION("SUM(IMPORTRANGE(""https://docs.google.com/spreadsheets/d/1Rmar8QqWK4XOJ-eY6xMzkAfDSw0srEXcAw89ilArun8/edit"",""3!Q2:Q43""))"),8204.10299999999)</f>
        <v>8204.1029999999901</v>
      </c>
      <c r="G792" s="16">
        <f ca="1">IFERROR(__xludf.DUMMYFUNCTION("IMPORTRANGE(""https://docs.google.com/spreadsheets/d/1Rmar8QqWK4XOJ-eY6xMzkAfDSw0srEXcAw89ilArun8/edit"",""3!e50"")"),4595)</f>
        <v>4595</v>
      </c>
      <c r="H792" s="16">
        <f ca="1">IFERROR(__xludf.DUMMYFUNCTION("IMPORTRANGE(""https://docs.google.com/spreadsheets/d/1Rmar8QqWK4XOJ-eY6xMzkAfDSw0srEXcAw89ilArun8/edit"",""3!e51"")"),0)</f>
        <v>0</v>
      </c>
      <c r="I792" s="18">
        <f t="shared" ca="1" si="2187"/>
        <v>4595</v>
      </c>
      <c r="J792" s="16">
        <f ca="1">IFERROR(__xludf.DUMMYFUNCTION("IMPORTRANGE(""https://docs.google.com/spreadsheets/d/1Rmar8QqWK4XOJ-eY6xMzkAfDSw0srEXcAw89ilArun8/edit"",""3!e54"")"),5729)</f>
        <v>5729</v>
      </c>
      <c r="K792" s="16">
        <f ca="1">IFERROR(__xludf.DUMMYFUNCTION("IMPORTRANGE(""https://docs.google.com/spreadsheets/d/1Rmar8QqWK4XOJ-eY6xMzkAfDSw0srEXcAw89ilArun8/edit"",""3!e55"")"),110)</f>
        <v>110</v>
      </c>
      <c r="L792" s="18">
        <f t="shared" ca="1" si="2188"/>
        <v>5839</v>
      </c>
      <c r="M792" s="18">
        <f t="shared" ca="1" si="2189"/>
        <v>10434</v>
      </c>
      <c r="N792" s="19">
        <f t="shared" ca="1" si="2190"/>
        <v>195.33578571428546</v>
      </c>
      <c r="O792" s="16">
        <v>13817</v>
      </c>
      <c r="P792" s="20">
        <f t="shared" ca="1" si="2191"/>
        <v>0.75515669103278571</v>
      </c>
      <c r="Q792" s="21">
        <v>1.5</v>
      </c>
      <c r="R792" s="20">
        <f t="shared" ca="1" si="2192"/>
        <v>0.84786843851180427</v>
      </c>
      <c r="S792" s="22">
        <f t="shared" ca="1" si="2193"/>
        <v>1.2718026577677064</v>
      </c>
      <c r="T792" s="21">
        <f ca="1">F792/25.089</f>
        <v>326.9999999999996</v>
      </c>
      <c r="U792" s="21">
        <f t="shared" ca="1" si="2194"/>
        <v>7.7857142857142758</v>
      </c>
      <c r="V792" s="18">
        <f t="shared" ca="1" si="2195"/>
        <v>248.42857142857142</v>
      </c>
      <c r="W792" s="76"/>
      <c r="X792" s="24" t="s">
        <v>33</v>
      </c>
      <c r="Y792" s="24">
        <v>6</v>
      </c>
      <c r="Z792" s="24">
        <f t="shared" ref="Z792:AI792" si="2205">SUM(Z786:Z791)</f>
        <v>186</v>
      </c>
      <c r="AA792" s="25">
        <f t="shared" ca="1" si="2205"/>
        <v>183</v>
      </c>
      <c r="AB792" s="26">
        <f t="shared" ca="1" si="2205"/>
        <v>35225.685999999972</v>
      </c>
      <c r="AC792" s="25">
        <f t="shared" ca="1" si="2205"/>
        <v>10819</v>
      </c>
      <c r="AD792" s="25">
        <f t="shared" ca="1" si="2205"/>
        <v>532</v>
      </c>
      <c r="AE792" s="25">
        <f t="shared" ca="1" si="2205"/>
        <v>11351</v>
      </c>
      <c r="AF792" s="25">
        <f t="shared" ca="1" si="2205"/>
        <v>15778</v>
      </c>
      <c r="AG792" s="25">
        <f t="shared" ca="1" si="2205"/>
        <v>458</v>
      </c>
      <c r="AH792" s="25">
        <f t="shared" ca="1" si="2205"/>
        <v>16236</v>
      </c>
      <c r="AI792" s="25">
        <f t="shared" ca="1" si="2205"/>
        <v>27587</v>
      </c>
      <c r="AJ792" s="27">
        <f t="shared" ca="1" si="2199"/>
        <v>192.49008743169384</v>
      </c>
      <c r="AK792" s="24">
        <f>SUM(AK786:AK791)</f>
        <v>35074</v>
      </c>
      <c r="AL792" s="28">
        <f t="shared" ca="1" si="2177"/>
        <v>0.78653703598106861</v>
      </c>
      <c r="AM792" s="29">
        <v>1.5</v>
      </c>
      <c r="AN792" s="28">
        <f t="shared" ca="1" si="2179"/>
        <v>0.52210007587455776</v>
      </c>
      <c r="AO792" s="30">
        <f t="shared" ca="1" si="2180"/>
        <v>0.78315011381183663</v>
      </c>
      <c r="AP792" s="29">
        <f ca="1">SUM(AP786:AP791)</f>
        <v>1323.254001906357</v>
      </c>
      <c r="AQ792" s="29">
        <f ca="1">AP792/AA792</f>
        <v>7.2308961852806393</v>
      </c>
      <c r="AR792" s="25">
        <f t="shared" ca="1" si="2182"/>
        <v>150.74863387978141</v>
      </c>
      <c r="AS792" s="76"/>
      <c r="AT792" s="76"/>
    </row>
    <row r="793" spans="1:46" ht="15.75" customHeight="1" x14ac:dyDescent="0.25">
      <c r="A793" s="70"/>
      <c r="B793" s="16">
        <v>5</v>
      </c>
      <c r="C793" s="16" t="s">
        <v>34</v>
      </c>
      <c r="D793" s="17">
        <v>40</v>
      </c>
      <c r="E793" s="18">
        <f ca="1">IFERROR(__xludf.DUMMYFUNCTION("COUNT(IMPORTRANGE(""https://docs.google.com/spreadsheets/d/1u99JxAoytGQQ8GcjxXl38CGdyEWy5uIbuJJHnsotyvk/edit"",""3!d2:d41""))"),39)</f>
        <v>39</v>
      </c>
      <c r="F793" s="23">
        <f ca="1">IFERROR(__xludf.DUMMYFUNCTION("SUM(IMPORTRANGE(""https://docs.google.com/spreadsheets/d/1u99JxAoytGQQ8GcjxXl38CGdyEWy5uIbuJJHnsotyvk/edit"",""3!Q2:Q41""))"),7668.567)</f>
        <v>7668.567</v>
      </c>
      <c r="G793" s="18">
        <f ca="1">IFERROR(__xludf.DUMMYFUNCTION("IMPORTRANGE(""https://docs.google.com/spreadsheets/d/1u99JxAoytGQQ8GcjxXl38CGdyEWy5uIbuJJHnsotyvk/edit"",""3!e48"")"),3177)</f>
        <v>3177</v>
      </c>
      <c r="H793" s="18">
        <f ca="1">IFERROR(__xludf.DUMMYFUNCTION("IMPORTRANGE(""https://docs.google.com/spreadsheets/d/1u99JxAoytGQQ8GcjxXl38CGdyEWy5uIbuJJHnsotyvk/edit"",""3!e49"")"),0)</f>
        <v>0</v>
      </c>
      <c r="I793" s="18">
        <f t="shared" ca="1" si="2187"/>
        <v>3177</v>
      </c>
      <c r="J793" s="18">
        <f ca="1">IFERROR(__xludf.DUMMYFUNCTION("IMPORTRANGE(""https://docs.google.com/spreadsheets/d/1u99JxAoytGQQ8GcjxXl38CGdyEWy5uIbuJJHnsotyvk/edit"",""3!e52"")"),2832)</f>
        <v>2832</v>
      </c>
      <c r="K793" s="18">
        <f ca="1">IFERROR(__xludf.DUMMYFUNCTION("IMPORTRANGE(""https://docs.google.com/spreadsheets/d/1u99JxAoytGQQ8GcjxXl38CGdyEWy5uIbuJJHnsotyvk/edit"",""3!e53"")"),107)</f>
        <v>107</v>
      </c>
      <c r="L793" s="18">
        <f t="shared" ca="1" si="2188"/>
        <v>2939</v>
      </c>
      <c r="M793" s="18">
        <f t="shared" ca="1" si="2189"/>
        <v>6116</v>
      </c>
      <c r="N793" s="19">
        <f t="shared" ca="1" si="2190"/>
        <v>196.62992307692306</v>
      </c>
      <c r="O793" s="16">
        <v>9354</v>
      </c>
      <c r="P793" s="20">
        <f t="shared" ca="1" si="2191"/>
        <v>0.65383793029719905</v>
      </c>
      <c r="Q793" s="21">
        <v>1.5</v>
      </c>
      <c r="R793" s="20">
        <f t="shared" ca="1" si="2192"/>
        <v>0.53169429612251329</v>
      </c>
      <c r="S793" s="22">
        <f t="shared" ca="1" si="2193"/>
        <v>0.79754144418376993</v>
      </c>
      <c r="T793" s="21">
        <f ca="1">F793/30.713</f>
        <v>249.68472633738156</v>
      </c>
      <c r="U793" s="21">
        <f t="shared" ca="1" si="2194"/>
        <v>6.4021724701892708</v>
      </c>
      <c r="V793" s="18">
        <f t="shared" ca="1" si="2195"/>
        <v>156.82051282051282</v>
      </c>
      <c r="W793" s="76"/>
      <c r="X793" s="100" t="s">
        <v>35</v>
      </c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9"/>
      <c r="AS793" s="76"/>
      <c r="AT793" s="76"/>
    </row>
    <row r="794" spans="1:46" ht="15.75" customHeight="1" x14ac:dyDescent="0.25">
      <c r="A794" s="70"/>
      <c r="B794" s="16">
        <v>6</v>
      </c>
      <c r="C794" s="16" t="s">
        <v>23</v>
      </c>
      <c r="D794" s="17">
        <v>35</v>
      </c>
      <c r="E794" s="18">
        <f ca="1">IFERROR(__xludf.DUMMYFUNCTION("COUNT(IMPORTRANGE(""https://docs.google.com/spreadsheets/d/1uVc-vnTn57HE53lwrUYNZP4sGKTXisrqOoZ-6EyvLzY/edit"",""3!d2:d36""))"),34)</f>
        <v>34</v>
      </c>
      <c r="F794" s="23">
        <f ca="1">IFERROR(__xludf.DUMMYFUNCTION("SUM(IMPORTRANGE(""https://docs.google.com/spreadsheets/d/1uVc-vnTn57HE53lwrUYNZP4sGKTXisrqOoZ-6EyvLzY/edit"",""3!Q2:Q36""))"),6343.11999999999)</f>
        <v>6343.1199999999899</v>
      </c>
      <c r="G794" s="18">
        <f ca="1">IFERROR(__xludf.DUMMYFUNCTION("IMPORTRANGE(""https://docs.google.com/spreadsheets/d/1uVc-vnTn57HE53lwrUYNZP4sGKTXisrqOoZ-6EyvLzY/edit"",""3!e43"")"),1642)</f>
        <v>1642</v>
      </c>
      <c r="H794" s="18">
        <f ca="1">IFERROR(__xludf.DUMMYFUNCTION("IMPORTRANGE(""https://docs.google.com/spreadsheets/d/1uVc-vnTn57HE53lwrUYNZP4sGKTXisrqOoZ-6EyvLzY/edit"",""3!e44"")"),0)</f>
        <v>0</v>
      </c>
      <c r="I794" s="18">
        <f t="shared" ca="1" si="2187"/>
        <v>1642</v>
      </c>
      <c r="J794" s="18">
        <f ca="1">IFERROR(__xludf.DUMMYFUNCTION("IMPORTRANGE(""https://docs.google.com/spreadsheets/d/1uVc-vnTn57HE53lwrUYNZP4sGKTXisrqOoZ-6EyvLzY/edit"",""3!e47"")"),2911)</f>
        <v>2911</v>
      </c>
      <c r="K794" s="18">
        <f ca="1">IFERROR(__xludf.DUMMYFUNCTION("IMPORTRANGE(""https://docs.google.com/spreadsheets/d/1uVc-vnTn57HE53lwrUYNZP4sGKTXisrqOoZ-6EyvLzY/edit"",""3!e48"")"),0)</f>
        <v>0</v>
      </c>
      <c r="L794" s="18">
        <f t="shared" ca="1" si="2188"/>
        <v>2911</v>
      </c>
      <c r="M794" s="18">
        <f t="shared" ca="1" si="2189"/>
        <v>4553</v>
      </c>
      <c r="N794" s="19">
        <f t="shared" ca="1" si="2190"/>
        <v>186.56235294117619</v>
      </c>
      <c r="O794" s="16">
        <v>6853</v>
      </c>
      <c r="P794" s="20">
        <f t="shared" ca="1" si="2191"/>
        <v>0.6643805632569677</v>
      </c>
      <c r="Q794" s="21">
        <v>1.5</v>
      </c>
      <c r="R794" s="20">
        <f t="shared" ca="1" si="2192"/>
        <v>0.47852371283112066</v>
      </c>
      <c r="S794" s="22">
        <f t="shared" ca="1" si="2193"/>
        <v>0.71778556924668102</v>
      </c>
      <c r="T794" s="21">
        <f ca="1">F794/33.74</f>
        <v>187.99999999999969</v>
      </c>
      <c r="U794" s="21">
        <f t="shared" ca="1" si="2194"/>
        <v>5.5294117647058734</v>
      </c>
      <c r="V794" s="18">
        <f t="shared" ca="1" si="2195"/>
        <v>133.91176470588235</v>
      </c>
      <c r="W794" s="76"/>
      <c r="X794" s="1" t="s">
        <v>2</v>
      </c>
      <c r="Y794" s="1" t="s">
        <v>3</v>
      </c>
      <c r="Z794" s="1" t="s">
        <v>4</v>
      </c>
      <c r="AA794" s="1" t="s">
        <v>5</v>
      </c>
      <c r="AB794" s="2" t="s">
        <v>6</v>
      </c>
      <c r="AC794" s="1" t="s">
        <v>7</v>
      </c>
      <c r="AD794" s="1" t="s">
        <v>8</v>
      </c>
      <c r="AE794" s="1" t="s">
        <v>9</v>
      </c>
      <c r="AF794" s="1" t="s">
        <v>10</v>
      </c>
      <c r="AG794" s="1" t="s">
        <v>11</v>
      </c>
      <c r="AH794" s="1" t="s">
        <v>12</v>
      </c>
      <c r="AI794" s="1" t="s">
        <v>13</v>
      </c>
      <c r="AJ794" s="2" t="s">
        <v>14</v>
      </c>
      <c r="AK794" s="1" t="s">
        <v>15</v>
      </c>
      <c r="AL794" s="1" t="s">
        <v>16</v>
      </c>
      <c r="AM794" s="3" t="s">
        <v>17</v>
      </c>
      <c r="AN794" s="4" t="s">
        <v>18</v>
      </c>
      <c r="AO794" s="5" t="s">
        <v>19</v>
      </c>
      <c r="AP794" s="6" t="s">
        <v>20</v>
      </c>
      <c r="AQ794" s="6" t="s">
        <v>21</v>
      </c>
      <c r="AR794" s="7" t="s">
        <v>22</v>
      </c>
      <c r="AS794" s="76"/>
      <c r="AT794" s="76"/>
    </row>
    <row r="795" spans="1:46" ht="15.75" customHeight="1" x14ac:dyDescent="0.25">
      <c r="A795" s="70"/>
      <c r="B795" s="16">
        <v>7</v>
      </c>
      <c r="C795" s="16" t="s">
        <v>24</v>
      </c>
      <c r="D795" s="17">
        <v>44</v>
      </c>
      <c r="E795" s="31">
        <f ca="1">IFERROR(__xludf.DUMMYFUNCTION("COUNT(IMPORTRANGE(""https://docs.google.com/spreadsheets/d/1iuPvivSypupo44l6GtmR-2qZ3za7cTk7KzsOVp_kv2c/edit"",""3!d2:d45""))"),44)</f>
        <v>44</v>
      </c>
      <c r="F795" s="32">
        <f ca="1">IFERROR(__xludf.DUMMYFUNCTION("SUM(IMPORTRANGE(""https://docs.google.com/spreadsheets/d/1iuPvivSypupo44l6GtmR-2qZ3za7cTk7KzsOVp_kv2c/edit"",""3!Q2:Q45""))"),8503.18399999999)</f>
        <v>8503.1839999999902</v>
      </c>
      <c r="G795" s="31">
        <f ca="1">IFERROR(__xludf.DUMMYFUNCTION("IMPORTRANGE(""https://docs.google.com/spreadsheets/d/1iuPvivSypupo44l6GtmR-2qZ3za7cTk7KzsOVp_kv2c/edit"",""3!e53"")"),1215)</f>
        <v>1215</v>
      </c>
      <c r="H795" s="31">
        <f ca="1">IFERROR(__xludf.DUMMYFUNCTION("IMPORTRANGE(""https://docs.google.com/spreadsheets/d/1iuPvivSypupo44l6GtmR-2qZ3za7cTk7KzsOVp_kv2c/edit"",""3!e54"")"),0)</f>
        <v>0</v>
      </c>
      <c r="I795" s="31">
        <f t="shared" ca="1" si="2187"/>
        <v>1215</v>
      </c>
      <c r="J795" s="31">
        <f ca="1">IFERROR(__xludf.DUMMYFUNCTION("IMPORTRANGE(""https://docs.google.com/spreadsheets/d/1iuPvivSypupo44l6GtmR-2qZ3za7cTk7KzsOVp_kv2c/edit"",""3!e57"")"),1449)</f>
        <v>1449</v>
      </c>
      <c r="K795" s="31">
        <f ca="1">IFERROR(__xludf.DUMMYFUNCTION("IMPORTRANGE(""https://docs.google.com/spreadsheets/d/1iuPvivSypupo44l6GtmR-2qZ3za7cTk7KzsOVp_kv2c/edit"",""3!e58"")"),47)</f>
        <v>47</v>
      </c>
      <c r="L795" s="18">
        <f t="shared" ca="1" si="2188"/>
        <v>1496</v>
      </c>
      <c r="M795" s="18">
        <f t="shared" ca="1" si="2189"/>
        <v>2711</v>
      </c>
      <c r="N795" s="19">
        <f t="shared" ca="1" si="2190"/>
        <v>193.25418181818159</v>
      </c>
      <c r="O795" s="16">
        <v>1580</v>
      </c>
      <c r="P795" s="20">
        <f t="shared" ca="1" si="2191"/>
        <v>1.7158227848101266</v>
      </c>
      <c r="Q795" s="21">
        <v>1.5</v>
      </c>
      <c r="R795" s="20">
        <f t="shared" ca="1" si="2192"/>
        <v>0.21254783306268987</v>
      </c>
      <c r="S795" s="22">
        <f t="shared" ca="1" si="2193"/>
        <v>0.31882174959403481</v>
      </c>
      <c r="T795" s="21">
        <f ca="1">F795/26.805</f>
        <v>317.22380152956504</v>
      </c>
      <c r="U795" s="21">
        <f t="shared" ca="1" si="2194"/>
        <v>7.2096318529446597</v>
      </c>
      <c r="V795" s="18">
        <f t="shared" ca="1" si="2195"/>
        <v>61.613636363636367</v>
      </c>
      <c r="W795" s="76"/>
      <c r="X795" s="8">
        <v>1</v>
      </c>
      <c r="Y795" s="8" t="s">
        <v>28</v>
      </c>
      <c r="Z795" s="8">
        <f t="shared" ref="Z795:AI795" si="2206">SUM(D790)</f>
        <v>33</v>
      </c>
      <c r="AA795" s="9">
        <f t="shared" ca="1" si="2206"/>
        <v>32</v>
      </c>
      <c r="AB795" s="11">
        <f t="shared" ca="1" si="2206"/>
        <v>6236.4879999999903</v>
      </c>
      <c r="AC795" s="9">
        <f t="shared" ca="1" si="2206"/>
        <v>2795</v>
      </c>
      <c r="AD795" s="9">
        <f t="shared" ca="1" si="2206"/>
        <v>140</v>
      </c>
      <c r="AE795" s="9">
        <f t="shared" ca="1" si="2206"/>
        <v>2935</v>
      </c>
      <c r="AF795" s="9">
        <f t="shared" ca="1" si="2206"/>
        <v>2886</v>
      </c>
      <c r="AG795" s="9">
        <f t="shared" ca="1" si="2206"/>
        <v>186</v>
      </c>
      <c r="AH795" s="9">
        <f t="shared" ca="1" si="2206"/>
        <v>3072</v>
      </c>
      <c r="AI795" s="9">
        <f t="shared" ca="1" si="2206"/>
        <v>6007</v>
      </c>
      <c r="AJ795" s="11">
        <f t="shared" ref="AJ795:AJ801" ca="1" si="2207">AB795/AA795</f>
        <v>194.8902499999997</v>
      </c>
      <c r="AK795" s="8">
        <f t="shared" ref="AK795:AK796" si="2208">SUM(O790)</f>
        <v>7315</v>
      </c>
      <c r="AL795" s="12">
        <f t="shared" ref="AL795:AL801" ca="1" si="2209">AI795/AK795</f>
        <v>0.82118933697881069</v>
      </c>
      <c r="AM795" s="13">
        <f t="shared" ref="AM795:AM796" si="2210">SUM(Q790)</f>
        <v>1.5</v>
      </c>
      <c r="AN795" s="12">
        <f t="shared" ref="AN795:AN801" ca="1" si="2211">AO795/AM795</f>
        <v>0.64213491097339925</v>
      </c>
      <c r="AO795" s="14">
        <f t="shared" ref="AO795:AO801" ca="1" si="2212">AI795/AB795</f>
        <v>0.96320236646009894</v>
      </c>
      <c r="AP795" s="13">
        <f t="shared" ref="AP795:AQ795" ca="1" si="2213">SUM(T790)</f>
        <v>201.84768747774834</v>
      </c>
      <c r="AQ795" s="13">
        <f t="shared" ca="1" si="2213"/>
        <v>6.3077402336796355</v>
      </c>
      <c r="AR795" s="9">
        <f t="shared" ref="AR795:AR801" ca="1" si="2214">AI795/AA795</f>
        <v>187.71875</v>
      </c>
      <c r="AS795" s="76"/>
      <c r="AT795" s="76"/>
    </row>
    <row r="796" spans="1:46" ht="15.75" customHeight="1" x14ac:dyDescent="0.25">
      <c r="A796" s="70"/>
      <c r="B796" s="16">
        <v>8</v>
      </c>
      <c r="C796" s="16" t="s">
        <v>25</v>
      </c>
      <c r="D796" s="34">
        <v>32</v>
      </c>
      <c r="E796" s="18">
        <f ca="1">IFERROR(__xludf.DUMMYFUNCTION("COUNT(IMPORTRANGE(""https://docs.google.com/spreadsheets/d/1sqWX7UerdR9KR_duBzDNfjwbPG-3hLgV1LiN2ZVZ6Js/edit"",""3!d2:D33""))"),32)</f>
        <v>32</v>
      </c>
      <c r="F796" s="23">
        <f ca="1">IFERROR(__xludf.DUMMYFUNCTION("SUM(IMPORTRANGE(""https://docs.google.com/spreadsheets/d/1sqWX7UerdR9KR_duBzDNfjwbPG-3hLgV1LiN2ZVZ6Js/edit"",""3!Q2:Q33""))"),6115.844)</f>
        <v>6115.8440000000001</v>
      </c>
      <c r="G796" s="18">
        <f ca="1">IFERROR(__xludf.DUMMYFUNCTION("IMPORTRANGE(""https://docs.google.com/spreadsheets/d/1sqWX7UerdR9KR_duBzDNfjwbPG-3hLgV1LiN2ZVZ6Js/edit"",""3!e40"")"),2262)</f>
        <v>2262</v>
      </c>
      <c r="H796" s="18">
        <f ca="1">IFERROR(__xludf.DUMMYFUNCTION("IMPORTRANGE(""https://docs.google.com/spreadsheets/d/1sqWX7UerdR9KR_duBzDNfjwbPG-3hLgV1LiN2ZVZ6Js/edit"",""3!e41"")"),452)</f>
        <v>452</v>
      </c>
      <c r="I796" s="18">
        <f t="shared" ca="1" si="2187"/>
        <v>2714</v>
      </c>
      <c r="J796" s="18">
        <f ca="1">IFERROR(__xludf.DUMMYFUNCTION("IMPORTRANGE(""https://docs.google.com/spreadsheets/d/1sqWX7UerdR9KR_duBzDNfjwbPG-3hLgV1LiN2ZVZ6Js/edit"",""3!e44"")"),2922)</f>
        <v>2922</v>
      </c>
      <c r="K796" s="18">
        <f ca="1">IFERROR(__xludf.DUMMYFUNCTION("IMPORTRANGE(""https://docs.google.com/spreadsheets/d/1sqWX7UerdR9KR_duBzDNfjwbPG-3hLgV1LiN2ZVZ6Js/edit"",""3!e45"")"),298)</f>
        <v>298</v>
      </c>
      <c r="L796" s="18">
        <f ca="1">J796+K796</f>
        <v>3220</v>
      </c>
      <c r="M796" s="18">
        <f t="shared" ca="1" si="2189"/>
        <v>5934</v>
      </c>
      <c r="N796" s="19">
        <f t="shared" ca="1" si="2190"/>
        <v>191.120125</v>
      </c>
      <c r="O796" s="16">
        <v>6622</v>
      </c>
      <c r="P796" s="20">
        <f t="shared" ca="1" si="2191"/>
        <v>0.89610389610389607</v>
      </c>
      <c r="Q796" s="21">
        <v>1.5</v>
      </c>
      <c r="R796" s="20">
        <f t="shared" ca="1" si="2192"/>
        <v>0.64684449112828901</v>
      </c>
      <c r="S796" s="22">
        <f t="shared" ca="1" si="2193"/>
        <v>0.97026673669243357</v>
      </c>
      <c r="T796" s="21">
        <f ca="1">F796/23.84</f>
        <v>256.53708053691275</v>
      </c>
      <c r="U796" s="21">
        <f t="shared" ca="1" si="2194"/>
        <v>8.0167837667785236</v>
      </c>
      <c r="V796" s="18">
        <f t="shared" ca="1" si="2195"/>
        <v>185.4375</v>
      </c>
      <c r="W796" s="76"/>
      <c r="X796" s="8">
        <v>2</v>
      </c>
      <c r="Y796" s="8" t="s">
        <v>30</v>
      </c>
      <c r="Z796" s="8">
        <f t="shared" ref="Z796:AI796" si="2215">SUM(D791)</f>
        <v>60</v>
      </c>
      <c r="AA796" s="9">
        <f t="shared" ca="1" si="2215"/>
        <v>60</v>
      </c>
      <c r="AB796" s="10">
        <f t="shared" ca="1" si="2215"/>
        <v>11240.645999999901</v>
      </c>
      <c r="AC796" s="9">
        <f t="shared" ca="1" si="2215"/>
        <v>3447</v>
      </c>
      <c r="AD796" s="9">
        <f t="shared" ca="1" si="2215"/>
        <v>0</v>
      </c>
      <c r="AE796" s="9">
        <f t="shared" ca="1" si="2215"/>
        <v>3447</v>
      </c>
      <c r="AF796" s="9">
        <f t="shared" ca="1" si="2215"/>
        <v>5534</v>
      </c>
      <c r="AG796" s="9">
        <f t="shared" ca="1" si="2215"/>
        <v>0</v>
      </c>
      <c r="AH796" s="9">
        <f t="shared" ca="1" si="2215"/>
        <v>5534</v>
      </c>
      <c r="AI796" s="9">
        <f t="shared" ca="1" si="2215"/>
        <v>8981</v>
      </c>
      <c r="AJ796" s="11">
        <f t="shared" ca="1" si="2207"/>
        <v>187.34409999999835</v>
      </c>
      <c r="AK796" s="8">
        <f t="shared" si="2208"/>
        <v>11164</v>
      </c>
      <c r="AL796" s="12">
        <f t="shared" ca="1" si="2209"/>
        <v>0.80446076675026867</v>
      </c>
      <c r="AM796" s="13">
        <f t="shared" si="2210"/>
        <v>1.5</v>
      </c>
      <c r="AN796" s="12">
        <f t="shared" ca="1" si="2211"/>
        <v>0.53265028836717987</v>
      </c>
      <c r="AO796" s="14">
        <f t="shared" ca="1" si="2212"/>
        <v>0.79897543255076975</v>
      </c>
      <c r="AP796" s="13">
        <f t="shared" ref="AP796:AQ796" ca="1" si="2216">SUM(T791)</f>
        <v>379.71306962131877</v>
      </c>
      <c r="AQ796" s="13">
        <f t="shared" ca="1" si="2216"/>
        <v>6.3285511603553131</v>
      </c>
      <c r="AR796" s="9">
        <f t="shared" ca="1" si="2214"/>
        <v>149.68333333333334</v>
      </c>
      <c r="AS796" s="76"/>
      <c r="AT796" s="76"/>
    </row>
    <row r="797" spans="1:46" ht="15.75" customHeight="1" x14ac:dyDescent="0.25">
      <c r="A797" s="70"/>
      <c r="B797" s="16">
        <v>9</v>
      </c>
      <c r="C797" s="16" t="s">
        <v>36</v>
      </c>
      <c r="D797" s="34">
        <v>30</v>
      </c>
      <c r="E797" s="18">
        <f ca="1">IFERROR(__xludf.DUMMYFUNCTION("COUNT(IMPORTRANGE(""https://docs.google.com/spreadsheets/d/1YNna43iTSqnwwbMJgTIPHSJEoDO8RGPRFg5pJCoQR_Y/edit"",""3!d2:d31""))"),30)</f>
        <v>30</v>
      </c>
      <c r="F797" s="23">
        <f ca="1">IFERROR(__xludf.DUMMYFUNCTION("SUM(IMPORTRANGE(""https://docs.google.com/spreadsheets/d/1YNna43iTSqnwwbMJgTIPHSJEoDO8RGPRFg5pJCoQR_Y/edit"",""3!Q2:Q31""))"),5794.382)</f>
        <v>5794.3819999999996</v>
      </c>
      <c r="G797" s="18">
        <f ca="1">IFERROR(__xludf.DUMMYFUNCTION("IMPORTRANGE(""https://docs.google.com/spreadsheets/d/1YNna43iTSqnwwbMJgTIPHSJEoDO8RGPRFg5pJCoQR_Y/edit"",""3!e38"")"),1670)</f>
        <v>1670</v>
      </c>
      <c r="H797" s="18">
        <f ca="1">IFERROR(__xludf.DUMMYFUNCTION("IMPORTRANGE(""https://docs.google.com/spreadsheets/d/1YNna43iTSqnwwbMJgTIPHSJEoDO8RGPRFg5pJCoQR_Y/edit"",""3!e39"")"),0)</f>
        <v>0</v>
      </c>
      <c r="I797" s="18">
        <f t="shared" ca="1" si="2187"/>
        <v>1670</v>
      </c>
      <c r="J797" s="18">
        <f ca="1">IFERROR(__xludf.DUMMYFUNCTION("IMPORTRANGE(""https://docs.google.com/spreadsheets/d/1YNna43iTSqnwwbMJgTIPHSJEoDO8RGPRFg5pJCoQR_Y/edit"",""3!e42"")"),2442)</f>
        <v>2442</v>
      </c>
      <c r="K797" s="18">
        <f ca="1">IFERROR(__xludf.DUMMYFUNCTION("IMPORTRANGE(""https://docs.google.com/spreadsheets/d/1YNna43iTSqnwwbMJgTIPHSJEoDO8RGPRFg5pJCoQR_Y/edit"",""3!e43"")"),0)</f>
        <v>0</v>
      </c>
      <c r="L797" s="18">
        <f t="shared" ref="L797:L806" ca="1" si="2217">SUM(J797:K797)</f>
        <v>2442</v>
      </c>
      <c r="M797" s="18">
        <f t="shared" ca="1" si="2189"/>
        <v>4112</v>
      </c>
      <c r="N797" s="19">
        <f t="shared" ca="1" si="2190"/>
        <v>193.14606666666666</v>
      </c>
      <c r="O797" s="16">
        <v>4796</v>
      </c>
      <c r="P797" s="20">
        <f t="shared" ca="1" si="2191"/>
        <v>0.85738115095913259</v>
      </c>
      <c r="Q797" s="21">
        <v>1.5</v>
      </c>
      <c r="R797" s="20">
        <f t="shared" ca="1" si="2192"/>
        <v>0.47310193448297566</v>
      </c>
      <c r="S797" s="22">
        <f t="shared" ca="1" si="2193"/>
        <v>0.70965290172446349</v>
      </c>
      <c r="T797" s="21">
        <f ca="1">F797/37.414</f>
        <v>154.87202651413907</v>
      </c>
      <c r="U797" s="21">
        <f t="shared" ca="1" si="2194"/>
        <v>5.1624008838046356</v>
      </c>
      <c r="V797" s="18">
        <f t="shared" ca="1" si="2195"/>
        <v>137.06666666666666</v>
      </c>
      <c r="W797" s="76"/>
      <c r="X797" s="8">
        <v>3</v>
      </c>
      <c r="Y797" s="8" t="s">
        <v>34</v>
      </c>
      <c r="Z797" s="8">
        <f t="shared" ref="Z797:AI797" si="2218">SUM(D793)</f>
        <v>40</v>
      </c>
      <c r="AA797" s="9">
        <f t="shared" ca="1" si="2218"/>
        <v>39</v>
      </c>
      <c r="AB797" s="10">
        <f t="shared" ca="1" si="2218"/>
        <v>7668.567</v>
      </c>
      <c r="AC797" s="9">
        <f t="shared" ca="1" si="2218"/>
        <v>3177</v>
      </c>
      <c r="AD797" s="9">
        <f t="shared" ca="1" si="2218"/>
        <v>0</v>
      </c>
      <c r="AE797" s="9">
        <f t="shared" ca="1" si="2218"/>
        <v>3177</v>
      </c>
      <c r="AF797" s="9">
        <f t="shared" ca="1" si="2218"/>
        <v>2832</v>
      </c>
      <c r="AG797" s="9">
        <f t="shared" ca="1" si="2218"/>
        <v>107</v>
      </c>
      <c r="AH797" s="9">
        <f t="shared" ca="1" si="2218"/>
        <v>2939</v>
      </c>
      <c r="AI797" s="9">
        <f t="shared" ca="1" si="2218"/>
        <v>6116</v>
      </c>
      <c r="AJ797" s="11">
        <f t="shared" ca="1" si="2207"/>
        <v>196.62992307692306</v>
      </c>
      <c r="AK797" s="8">
        <f>SUM(O793)</f>
        <v>9354</v>
      </c>
      <c r="AL797" s="12">
        <f t="shared" ca="1" si="2209"/>
        <v>0.65383793029719905</v>
      </c>
      <c r="AM797" s="13">
        <f>SUM(Q793)</f>
        <v>1.5</v>
      </c>
      <c r="AN797" s="12">
        <f t="shared" ca="1" si="2211"/>
        <v>0.53169429612251329</v>
      </c>
      <c r="AO797" s="14">
        <f t="shared" ca="1" si="2212"/>
        <v>0.79754144418376993</v>
      </c>
      <c r="AP797" s="13">
        <f t="shared" ref="AP797:AQ797" ca="1" si="2219">SUM(T793)</f>
        <v>249.68472633738156</v>
      </c>
      <c r="AQ797" s="13">
        <f t="shared" ca="1" si="2219"/>
        <v>6.4021724701892708</v>
      </c>
      <c r="AR797" s="9">
        <f t="shared" ca="1" si="2214"/>
        <v>156.82051282051282</v>
      </c>
      <c r="AS797" s="76"/>
      <c r="AT797" s="76"/>
    </row>
    <row r="798" spans="1:46" ht="15.75" customHeight="1" x14ac:dyDescent="0.25">
      <c r="A798" s="70"/>
      <c r="B798" s="16">
        <v>10</v>
      </c>
      <c r="C798" s="16" t="s">
        <v>37</v>
      </c>
      <c r="D798" s="17">
        <v>30</v>
      </c>
      <c r="E798" s="18">
        <f ca="1">IFERROR(__xludf.DUMMYFUNCTION("COUNT(IMPORTRANGE(""https://docs.google.com/spreadsheets/d/1913Df5BsXS_b-nClL8LOK5w0engQYTl1mPOiyngRtO0/edit"",""3!d2:d31""))"),29)</f>
        <v>29</v>
      </c>
      <c r="F798" s="23">
        <f ca="1">IFERROR(__xludf.DUMMYFUNCTION("SUM(IMPORTRANGE(""https://docs.google.com/spreadsheets/d/1913Df5BsXS_b-nClL8LOK5w0engQYTl1mPOiyngRtO0/edit"",""3!Q2:Q31""))"),5613.852)</f>
        <v>5613.8519999999999</v>
      </c>
      <c r="G798" s="18">
        <f ca="1">IFERROR(__xludf.DUMMYFUNCTION("(IMPORTRANGE(""https://docs.google.com/spreadsheets/d/1913Df5BsXS_b-nClL8LOK5w0engQYTl1mPOiyngRtO0/edit"",""3!e38""))"),2252)</f>
        <v>2252</v>
      </c>
      <c r="H798" s="18">
        <f ca="1">IFERROR(__xludf.DUMMYFUNCTION("(IMPORTRANGE(""https://docs.google.com/spreadsheets/d/1913Df5BsXS_b-nClL8LOK5w0engQYTl1mPOiyngRtO0/edit"",""3!e39""))"),0)</f>
        <v>0</v>
      </c>
      <c r="I798" s="18">
        <f t="shared" ca="1" si="2187"/>
        <v>2252</v>
      </c>
      <c r="J798" s="18">
        <f ca="1">IFERROR(__xludf.DUMMYFUNCTION("(IMPORTRANGE(""https://docs.google.com/spreadsheets/d/1913Df5BsXS_b-nClL8LOK5w0engQYTl1mPOiyngRtO0/edit"",""3!e42""))"),3036)</f>
        <v>3036</v>
      </c>
      <c r="K798" s="18">
        <f ca="1">IFERROR(__xludf.DUMMYFUNCTION("(IMPORTRANGE(""https://docs.google.com/spreadsheets/d/1913Df5BsXS_b-nClL8LOK5w0engQYTl1mPOiyngRtO0/edit"",""3!e43""))"),0)</f>
        <v>0</v>
      </c>
      <c r="L798" s="18">
        <f t="shared" ca="1" si="2217"/>
        <v>3036</v>
      </c>
      <c r="M798" s="18">
        <f t="shared" ca="1" si="2189"/>
        <v>5288</v>
      </c>
      <c r="N798" s="19">
        <f t="shared" ca="1" si="2190"/>
        <v>193.58110344827585</v>
      </c>
      <c r="O798" s="16">
        <v>5887</v>
      </c>
      <c r="P798" s="20">
        <f t="shared" ca="1" si="2191"/>
        <v>0.89825038219806352</v>
      </c>
      <c r="Q798" s="21">
        <v>1.5</v>
      </c>
      <c r="R798" s="20">
        <f t="shared" ca="1" si="2192"/>
        <v>0.62797047968726882</v>
      </c>
      <c r="S798" s="22">
        <f t="shared" ca="1" si="2193"/>
        <v>0.94195571953090318</v>
      </c>
      <c r="T798" s="21">
        <f ca="1">F798/24.792</f>
        <v>226.4380445304937</v>
      </c>
      <c r="U798" s="21">
        <f t="shared" ca="1" si="2194"/>
        <v>7.8082084320859897</v>
      </c>
      <c r="V798" s="18">
        <f t="shared" ca="1" si="2195"/>
        <v>182.34482758620689</v>
      </c>
      <c r="W798" s="76"/>
      <c r="X798" s="8">
        <v>4</v>
      </c>
      <c r="Y798" s="8" t="s">
        <v>38</v>
      </c>
      <c r="Z798" s="8">
        <f t="shared" ref="Z798:AI798" si="2220">SUM(D801)</f>
        <v>30</v>
      </c>
      <c r="AA798" s="9">
        <f t="shared" ca="1" si="2220"/>
        <v>30</v>
      </c>
      <c r="AB798" s="10">
        <f t="shared" ca="1" si="2220"/>
        <v>6057.1350000000002</v>
      </c>
      <c r="AC798" s="9">
        <f t="shared" ca="1" si="2220"/>
        <v>2252</v>
      </c>
      <c r="AD798" s="9">
        <f t="shared" ca="1" si="2220"/>
        <v>0</v>
      </c>
      <c r="AE798" s="9">
        <f t="shared" ca="1" si="2220"/>
        <v>2252</v>
      </c>
      <c r="AF798" s="9">
        <f t="shared" ca="1" si="2220"/>
        <v>2532</v>
      </c>
      <c r="AG798" s="9">
        <f t="shared" ca="1" si="2220"/>
        <v>106</v>
      </c>
      <c r="AH798" s="9">
        <f t="shared" ca="1" si="2220"/>
        <v>2638</v>
      </c>
      <c r="AI798" s="9">
        <f t="shared" ca="1" si="2220"/>
        <v>4890</v>
      </c>
      <c r="AJ798" s="11">
        <f t="shared" ca="1" si="2207"/>
        <v>201.90450000000001</v>
      </c>
      <c r="AK798" s="8">
        <v>7324</v>
      </c>
      <c r="AL798" s="12">
        <f t="shared" ca="1" si="2209"/>
        <v>0.66766794101583837</v>
      </c>
      <c r="AM798" s="13">
        <f>SUM(Q801)</f>
        <v>1.5</v>
      </c>
      <c r="AN798" s="12">
        <f t="shared" ca="1" si="2211"/>
        <v>0.53820824531729927</v>
      </c>
      <c r="AO798" s="14">
        <f t="shared" ca="1" si="2212"/>
        <v>0.80731236797594896</v>
      </c>
      <c r="AP798" s="13">
        <f t="shared" ref="AP798:AQ798" ca="1" si="2221">SUM(T801)</f>
        <v>147</v>
      </c>
      <c r="AQ798" s="13">
        <f t="shared" ca="1" si="2221"/>
        <v>4.9000000000000004</v>
      </c>
      <c r="AR798" s="9">
        <f t="shared" ca="1" si="2214"/>
        <v>163</v>
      </c>
      <c r="AS798" s="76"/>
      <c r="AT798" s="76"/>
    </row>
    <row r="799" spans="1:46" ht="15.75" customHeight="1" x14ac:dyDescent="0.25">
      <c r="A799" s="70"/>
      <c r="B799" s="16">
        <v>12</v>
      </c>
      <c r="C799" s="16" t="s">
        <v>39</v>
      </c>
      <c r="D799" s="17">
        <v>28</v>
      </c>
      <c r="E799" s="18">
        <f ca="1">IFERROR(__xludf.DUMMYFUNCTION("COUNT(IMPORTRANGE(""https://docs.google.com/spreadsheets/d/1wMeol_MpSIcocGxt3WZGl46mJ2tc80mANPvP_YzaP18/edit"",""3!d2:d29""))"),28)</f>
        <v>28</v>
      </c>
      <c r="F799" s="23">
        <f ca="1">IFERROR(__xludf.DUMMYFUNCTION("SUM(IMPORTRANGE(""https://docs.google.com/spreadsheets/d/1wMeol_MpSIcocGxt3WZGl46mJ2tc80mANPvP_YzaP18/edit"",""3!Q2:Q29""))"),5158.396)</f>
        <v>5158.3959999999997</v>
      </c>
      <c r="G799" s="18">
        <f ca="1">IFERROR(__xludf.DUMMYFUNCTION("IMPORTRANGE(""https://docs.google.com/spreadsheets/d/1wMeol_MpSIcocGxt3WZGl46mJ2tc80mANPvP_YzaP18/edit"",""3!e36"")"),1344)</f>
        <v>1344</v>
      </c>
      <c r="H799" s="18">
        <f ca="1">IFERROR(__xludf.DUMMYFUNCTION("(IMPORTRANGE(""https://docs.google.com/spreadsheets/d/1wMeol_MpSIcocGxt3WZGl46mJ2tc80mANPvP_YzaP18/edit"",""3!e37""))"),0)</f>
        <v>0</v>
      </c>
      <c r="I799" s="18">
        <f t="shared" ca="1" si="2187"/>
        <v>1344</v>
      </c>
      <c r="J799" s="18">
        <f ca="1">IFERROR(__xludf.DUMMYFUNCTION("IMPORTRANGE(""https://docs.google.com/spreadsheets/d/1wMeol_MpSIcocGxt3WZGl46mJ2tc80mANPvP_YzaP18/edit"",""3!e40"")"),1623)</f>
        <v>1623</v>
      </c>
      <c r="K799" s="18">
        <f ca="1">IFERROR(__xludf.DUMMYFUNCTION("IMPORTRANGE(""https://docs.google.com/spreadsheets/d/1wMeol_MpSIcocGxt3WZGl46mJ2tc80mANPvP_YzaP18/edit"",""3!e41"")"),73)</f>
        <v>73</v>
      </c>
      <c r="L799" s="18">
        <f t="shared" ca="1" si="2217"/>
        <v>1696</v>
      </c>
      <c r="M799" s="18">
        <f t="shared" ca="1" si="2189"/>
        <v>3040</v>
      </c>
      <c r="N799" s="19">
        <f t="shared" ca="1" si="2190"/>
        <v>184.22842857142857</v>
      </c>
      <c r="O799" s="16">
        <v>3569</v>
      </c>
      <c r="P799" s="20">
        <f t="shared" ca="1" si="2191"/>
        <v>0.85177920986270661</v>
      </c>
      <c r="Q799" s="21">
        <v>1.5</v>
      </c>
      <c r="R799" s="20">
        <f t="shared" ca="1" si="2192"/>
        <v>0.39288698786728798</v>
      </c>
      <c r="S799" s="22">
        <f t="shared" ca="1" si="2193"/>
        <v>0.58933048180093195</v>
      </c>
      <c r="T799" s="21">
        <f ca="1">F799/21.463</f>
        <v>240.33900200344777</v>
      </c>
      <c r="U799" s="21">
        <f t="shared" ca="1" si="2194"/>
        <v>8.5835357858374213</v>
      </c>
      <c r="V799" s="18">
        <f t="shared" ca="1" si="2195"/>
        <v>108.57142857142857</v>
      </c>
      <c r="W799" s="76"/>
      <c r="X799" s="8">
        <v>5</v>
      </c>
      <c r="Y799" s="8" t="s">
        <v>40</v>
      </c>
      <c r="Z799" s="8">
        <f t="shared" ref="Z799:AI799" si="2222">SUM(D803)</f>
        <v>30</v>
      </c>
      <c r="AA799" s="9">
        <f t="shared" ca="1" si="2222"/>
        <v>30</v>
      </c>
      <c r="AB799" s="10">
        <f t="shared" ca="1" si="2222"/>
        <v>5944.5869999999904</v>
      </c>
      <c r="AC799" s="9">
        <f t="shared" ca="1" si="2222"/>
        <v>3145</v>
      </c>
      <c r="AD799" s="9">
        <f t="shared" ca="1" si="2222"/>
        <v>0</v>
      </c>
      <c r="AE799" s="9">
        <f t="shared" ca="1" si="2222"/>
        <v>3145</v>
      </c>
      <c r="AF799" s="9">
        <f t="shared" ca="1" si="2222"/>
        <v>4341</v>
      </c>
      <c r="AG799" s="9">
        <f t="shared" ca="1" si="2222"/>
        <v>25</v>
      </c>
      <c r="AH799" s="9">
        <f t="shared" ca="1" si="2222"/>
        <v>4366</v>
      </c>
      <c r="AI799" s="9">
        <f t="shared" ca="1" si="2222"/>
        <v>7511</v>
      </c>
      <c r="AJ799" s="11">
        <f t="shared" ca="1" si="2207"/>
        <v>198.15289999999968</v>
      </c>
      <c r="AK799" s="8">
        <f t="shared" ref="AK799:AK800" si="2223">SUM(O803)</f>
        <v>8239</v>
      </c>
      <c r="AL799" s="12">
        <f t="shared" ca="1" si="2209"/>
        <v>0.91163976210705178</v>
      </c>
      <c r="AM799" s="13">
        <f t="shared" ref="AM799:AM800" si="2224">SUM(Q803)</f>
        <v>1.5</v>
      </c>
      <c r="AN799" s="12">
        <f t="shared" ca="1" si="2211"/>
        <v>0.84233493989293817</v>
      </c>
      <c r="AO799" s="14">
        <f t="shared" ca="1" si="2212"/>
        <v>1.2635024098394072</v>
      </c>
      <c r="AP799" s="13">
        <f t="shared" ref="AP799:AQ799" ca="1" si="2225">SUM(T803)</f>
        <v>208.99999999999966</v>
      </c>
      <c r="AQ799" s="13">
        <f t="shared" ca="1" si="2225"/>
        <v>6.9666666666666552</v>
      </c>
      <c r="AR799" s="9">
        <f t="shared" ca="1" si="2214"/>
        <v>250.36666666666667</v>
      </c>
      <c r="AS799" s="76"/>
      <c r="AT799" s="76"/>
    </row>
    <row r="800" spans="1:46" ht="15.75" customHeight="1" x14ac:dyDescent="0.25">
      <c r="A800" s="70"/>
      <c r="B800" s="16">
        <v>12</v>
      </c>
      <c r="C800" s="16" t="s">
        <v>41</v>
      </c>
      <c r="D800" s="17">
        <v>24</v>
      </c>
      <c r="E800" s="18">
        <f ca="1">IFERROR(__xludf.DUMMYFUNCTION("COUNT(IMPORTRANGE(""https://docs.google.com/spreadsheets/d/1sHk6_yuc4kORC_xnhEeazoemV_hVUQVqRpfoNae-PLk/edit"",""3!d2:d25""))"),24)</f>
        <v>24</v>
      </c>
      <c r="F800" s="23">
        <f ca="1">IFERROR(__xludf.DUMMYFUNCTION("SUM(IMPORTRANGE(""https://docs.google.com/spreadsheets/d/1sHk6_yuc4kORC_xnhEeazoemV_hVUQVqRpfoNae-PLk/edit"",""3!Q2:Q25""))"),4615.384)</f>
        <v>4615.384</v>
      </c>
      <c r="G800" s="18">
        <f ca="1">IFERROR(__xludf.DUMMYFUNCTION("IMPORTRANGE(""https://docs.google.com/spreadsheets/d/1sHk6_yuc4kORC_xnhEeazoemV_hVUQVqRpfoNae-PLk/edit"",""3!e32"")"),1410)</f>
        <v>1410</v>
      </c>
      <c r="H800" s="18">
        <f ca="1">IFERROR(__xludf.DUMMYFUNCTION("IMPORTRANGE(""https://docs.google.com/spreadsheets/d/1sHk6_yuc4kORC_xnhEeazoemV_hVUQVqRpfoNae-PLk/edit"",""3!e33"")"),0)</f>
        <v>0</v>
      </c>
      <c r="I800" s="18">
        <f t="shared" ca="1" si="2187"/>
        <v>1410</v>
      </c>
      <c r="J800" s="18">
        <f ca="1">IFERROR(__xludf.DUMMYFUNCTION("IMPORTRANGE(""https://docs.google.com/spreadsheets/d/1sHk6_yuc4kORC_xnhEeazoemV_hVUQVqRpfoNae-PLk/edit"",""3!e36"")"),1622)</f>
        <v>1622</v>
      </c>
      <c r="K800" s="18">
        <f ca="1">IFERROR(__xludf.DUMMYFUNCTION("IMPORTRANGE(""https://docs.google.com/spreadsheets/d/1sHk6_yuc4kORC_xnhEeazoemV_hVUQVqRpfoNae-PLk/edit"",""3!e37"")"),0)</f>
        <v>0</v>
      </c>
      <c r="L800" s="18">
        <f t="shared" ca="1" si="2217"/>
        <v>1622</v>
      </c>
      <c r="M800" s="18">
        <f t="shared" ca="1" si="2189"/>
        <v>3032</v>
      </c>
      <c r="N800" s="19">
        <f t="shared" ca="1" si="2190"/>
        <v>192.30766666666668</v>
      </c>
      <c r="O800" s="16">
        <v>3801</v>
      </c>
      <c r="P800" s="20">
        <f t="shared" ca="1" si="2191"/>
        <v>0.79768481978426731</v>
      </c>
      <c r="Q800" s="21">
        <v>1.5</v>
      </c>
      <c r="R800" s="20">
        <f t="shared" ca="1" si="2192"/>
        <v>0.43795561394963745</v>
      </c>
      <c r="S800" s="22">
        <f t="shared" ca="1" si="2193"/>
        <v>0.65693342092445617</v>
      </c>
      <c r="T800" s="21">
        <f ca="1">F800/29.628</f>
        <v>155.77777777777777</v>
      </c>
      <c r="U800" s="21">
        <f t="shared" ca="1" si="2194"/>
        <v>6.4907407407407405</v>
      </c>
      <c r="V800" s="18">
        <f t="shared" ca="1" si="2195"/>
        <v>126.33333333333333</v>
      </c>
      <c r="W800" s="76"/>
      <c r="X800" s="8">
        <v>6</v>
      </c>
      <c r="Y800" s="8" t="s">
        <v>42</v>
      </c>
      <c r="Z800" s="8">
        <f t="shared" ref="Z800:AI800" si="2226">SUM(D804)</f>
        <v>33</v>
      </c>
      <c r="AA800" s="9">
        <f t="shared" ca="1" si="2226"/>
        <v>33</v>
      </c>
      <c r="AB800" s="10">
        <f t="shared" ca="1" si="2226"/>
        <v>6587.9839999999904</v>
      </c>
      <c r="AC800" s="9">
        <f t="shared" ca="1" si="2226"/>
        <v>3029</v>
      </c>
      <c r="AD800" s="9">
        <f t="shared" ca="1" si="2226"/>
        <v>104</v>
      </c>
      <c r="AE800" s="9">
        <f t="shared" ca="1" si="2226"/>
        <v>3133</v>
      </c>
      <c r="AF800" s="9">
        <f t="shared" ca="1" si="2226"/>
        <v>4505</v>
      </c>
      <c r="AG800" s="9">
        <f t="shared" ca="1" si="2226"/>
        <v>257</v>
      </c>
      <c r="AH800" s="9">
        <f t="shared" ca="1" si="2226"/>
        <v>4762</v>
      </c>
      <c r="AI800" s="9">
        <f t="shared" ca="1" si="2226"/>
        <v>7895</v>
      </c>
      <c r="AJ800" s="11">
        <f t="shared" ca="1" si="2207"/>
        <v>199.63587878787848</v>
      </c>
      <c r="AK800" s="8">
        <f t="shared" si="2223"/>
        <v>9877</v>
      </c>
      <c r="AL800" s="12">
        <f t="shared" ca="1" si="2209"/>
        <v>0.79933178090513313</v>
      </c>
      <c r="AM800" s="13">
        <f t="shared" si="2224"/>
        <v>1.5</v>
      </c>
      <c r="AN800" s="12">
        <f t="shared" ca="1" si="2211"/>
        <v>0.79892928296931831</v>
      </c>
      <c r="AO800" s="14">
        <f t="shared" ca="1" si="2212"/>
        <v>1.1983939244539774</v>
      </c>
      <c r="AP800" s="13">
        <f t="shared" ref="AP800:AQ800" ca="1" si="2227">SUM(T804)</f>
        <v>251.88239342381917</v>
      </c>
      <c r="AQ800" s="13">
        <f t="shared" ca="1" si="2227"/>
        <v>7.6327998007217932</v>
      </c>
      <c r="AR800" s="9">
        <f t="shared" ca="1" si="2214"/>
        <v>239.24242424242425</v>
      </c>
      <c r="AS800" s="76"/>
      <c r="AT800" s="76"/>
    </row>
    <row r="801" spans="1:46" ht="15.75" customHeight="1" x14ac:dyDescent="0.25">
      <c r="A801" s="70"/>
      <c r="B801" s="16">
        <v>13</v>
      </c>
      <c r="C801" s="16" t="s">
        <v>43</v>
      </c>
      <c r="D801" s="17">
        <v>30</v>
      </c>
      <c r="E801" s="18">
        <f ca="1">IFERROR(__xludf.DUMMYFUNCTION("COUNT(IMPORTRANGE(""https://docs.google.com/spreadsheets/d/1uGXvAN2jA6kmcEHUY4KqOHHewllZsujDdA6KVDfBCoA/edit"",""3!d2:d31""))"),30)</f>
        <v>30</v>
      </c>
      <c r="F801" s="23">
        <f ca="1">IFERROR(__xludf.DUMMYFUNCTION("SUM(IMPORTRANGE(""https://docs.google.com/spreadsheets/d/1uGXvAN2jA6kmcEHUY4KqOHHewllZsujDdA6KVDfBCoA/edit"",""3!Q2:Q31""))"),6057.135)</f>
        <v>6057.1350000000002</v>
      </c>
      <c r="G801" s="18">
        <f ca="1">IFERROR(__xludf.DUMMYFUNCTION("IMPORTRANGE(""https://docs.google.com/spreadsheets/d/1uGXvAN2jA6kmcEHUY4KqOHHewllZsujDdA6KVDfBCoA/edit"",""3!e38"")"),2252)</f>
        <v>2252</v>
      </c>
      <c r="H801" s="18">
        <f ca="1">IFERROR(__xludf.DUMMYFUNCTION("IMPORTRANGE(""https://docs.google.com/spreadsheets/d/1uGXvAN2jA6kmcEHUY4KqOHHewllZsujDdA6KVDfBCoA/edit"",""3!e39"")"),0)</f>
        <v>0</v>
      </c>
      <c r="I801" s="18">
        <f t="shared" ca="1" si="2187"/>
        <v>2252</v>
      </c>
      <c r="J801" s="18">
        <f ca="1">IFERROR(__xludf.DUMMYFUNCTION("IMPORTRANGE(""https://docs.google.com/spreadsheets/d/1uGXvAN2jA6kmcEHUY4KqOHHewllZsujDdA6KVDfBCoA/edit"",""3!e42"")"),2532)</f>
        <v>2532</v>
      </c>
      <c r="K801" s="18">
        <f ca="1">IFERROR(__xludf.DUMMYFUNCTION("IMPORTRANGE(""https://docs.google.com/spreadsheets/d/1uGXvAN2jA6kmcEHUY4KqOHHewllZsujDdA6KVDfBCoA/edit"",""3!e43"")"),106)</f>
        <v>106</v>
      </c>
      <c r="L801" s="18">
        <f t="shared" ca="1" si="2217"/>
        <v>2638</v>
      </c>
      <c r="M801" s="18">
        <f t="shared" ca="1" si="2189"/>
        <v>4890</v>
      </c>
      <c r="N801" s="19">
        <f t="shared" ca="1" si="2190"/>
        <v>201.90450000000001</v>
      </c>
      <c r="O801" s="16">
        <v>8345</v>
      </c>
      <c r="P801" s="20">
        <f t="shared" ca="1" si="2191"/>
        <v>0.5859796285200719</v>
      </c>
      <c r="Q801" s="21">
        <v>1.5</v>
      </c>
      <c r="R801" s="20">
        <f t="shared" ca="1" si="2192"/>
        <v>0.53820824531729927</v>
      </c>
      <c r="S801" s="22">
        <f t="shared" ca="1" si="2193"/>
        <v>0.80731236797594896</v>
      </c>
      <c r="T801" s="21">
        <f ca="1">F801/41.205</f>
        <v>147</v>
      </c>
      <c r="U801" s="21">
        <f t="shared" ca="1" si="2194"/>
        <v>4.9000000000000004</v>
      </c>
      <c r="V801" s="18">
        <f t="shared" ca="1" si="2195"/>
        <v>163</v>
      </c>
      <c r="W801" s="76"/>
      <c r="X801" s="24" t="s">
        <v>33</v>
      </c>
      <c r="Y801" s="24">
        <v>6</v>
      </c>
      <c r="Z801" s="24">
        <f t="shared" ref="Z801:AI801" si="2228">SUM(Z795:Z800)</f>
        <v>226</v>
      </c>
      <c r="AA801" s="25">
        <f t="shared" ca="1" si="2228"/>
        <v>224</v>
      </c>
      <c r="AB801" s="27">
        <f t="shared" ca="1" si="2228"/>
        <v>43735.406999999868</v>
      </c>
      <c r="AC801" s="25">
        <f t="shared" ca="1" si="2228"/>
        <v>17845</v>
      </c>
      <c r="AD801" s="25">
        <f t="shared" ca="1" si="2228"/>
        <v>244</v>
      </c>
      <c r="AE801" s="25">
        <f t="shared" ca="1" si="2228"/>
        <v>18089</v>
      </c>
      <c r="AF801" s="25">
        <f t="shared" ca="1" si="2228"/>
        <v>22630</v>
      </c>
      <c r="AG801" s="25">
        <f t="shared" ca="1" si="2228"/>
        <v>681</v>
      </c>
      <c r="AH801" s="25">
        <f t="shared" ca="1" si="2228"/>
        <v>23311</v>
      </c>
      <c r="AI801" s="25">
        <f t="shared" ca="1" si="2228"/>
        <v>41400</v>
      </c>
      <c r="AJ801" s="27">
        <f t="shared" ca="1" si="2207"/>
        <v>195.24735267857085</v>
      </c>
      <c r="AK801" s="24">
        <f>SUM(AK795:AK800)</f>
        <v>53273</v>
      </c>
      <c r="AL801" s="28">
        <f t="shared" ca="1" si="2209"/>
        <v>0.77712912732528672</v>
      </c>
      <c r="AM801" s="29">
        <v>1.5</v>
      </c>
      <c r="AN801" s="28">
        <f t="shared" ca="1" si="2211"/>
        <v>0.63106763817243283</v>
      </c>
      <c r="AO801" s="30">
        <f t="shared" ca="1" si="2212"/>
        <v>0.94660145725864919</v>
      </c>
      <c r="AP801" s="29">
        <f ca="1">SUM(AP795:AP800)</f>
        <v>1439.1278768602676</v>
      </c>
      <c r="AQ801" s="29">
        <f ca="1">AP801/AA801</f>
        <v>6.4246780216976234</v>
      </c>
      <c r="AR801" s="25">
        <f t="shared" ca="1" si="2214"/>
        <v>184.82142857142858</v>
      </c>
      <c r="AS801" s="76"/>
      <c r="AT801" s="76"/>
    </row>
    <row r="802" spans="1:46" ht="15.75" customHeight="1" x14ac:dyDescent="0.25">
      <c r="A802" s="70"/>
      <c r="B802" s="16">
        <v>14</v>
      </c>
      <c r="C802" s="16" t="s">
        <v>27</v>
      </c>
      <c r="D802" s="17">
        <v>30</v>
      </c>
      <c r="E802" s="18">
        <f ca="1">IFERROR(__xludf.DUMMYFUNCTION("COUNT(IMPORTRANGE(""https://docs.google.com/spreadsheets/d/1iYtf3wkjJIgOL8ej0-L89wY8FLXKi6EiRbi9UqA1Bzw/edit"",""3!d2:d31""))"),29)</f>
        <v>29</v>
      </c>
      <c r="F802" s="23">
        <f ca="1">IFERROR(__xludf.DUMMYFUNCTION("SUM(IMPORTRANGE(""https://docs.google.com/spreadsheets/d/1iYtf3wkjJIgOL8ej0-L89wY8FLXKi6EiRbi9UqA1Bzw/edit"",""3!Q2:Q31""))"),5265.91)</f>
        <v>5265.91</v>
      </c>
      <c r="G802" s="18">
        <f ca="1">IFERROR(__xludf.DUMMYFUNCTION("IMPORTRANGE(""https://docs.google.com/spreadsheets/d/1iYtf3wkjJIgOL8ej0-L89wY8FLXKi6EiRbi9UqA1Bzw/edit"",""3!e38"")"),2086)</f>
        <v>2086</v>
      </c>
      <c r="H802" s="18">
        <f ca="1">IFERROR(__xludf.DUMMYFUNCTION("IMPORTRANGE(""https://docs.google.com/spreadsheets/d/1iYtf3wkjJIgOL8ej0-L89wY8FLXKi6EiRbi9UqA1Bzw/edit"",""3!e39"")"),80)</f>
        <v>80</v>
      </c>
      <c r="I802" s="18">
        <f t="shared" ca="1" si="2187"/>
        <v>2166</v>
      </c>
      <c r="J802" s="18">
        <f ca="1">IFERROR(__xludf.DUMMYFUNCTION("IMPORTRANGE(""https://docs.google.com/spreadsheets/d/1iYtf3wkjJIgOL8ej0-L89wY8FLXKi6EiRbi9UqA1Bzw/edit"",""3!e42"")"),3135)</f>
        <v>3135</v>
      </c>
      <c r="K802" s="18">
        <f ca="1">IFERROR(__xludf.DUMMYFUNCTION("IMPORTRANGE(""https://docs.google.com/spreadsheets/d/1iYtf3wkjJIgOL8ej0-L89wY8FLXKi6EiRbi9UqA1Bzw/edit"",""3!e43"")"),99)</f>
        <v>99</v>
      </c>
      <c r="L802" s="18">
        <f t="shared" ca="1" si="2217"/>
        <v>3234</v>
      </c>
      <c r="M802" s="18">
        <f t="shared" ca="1" si="2189"/>
        <v>5400</v>
      </c>
      <c r="N802" s="19">
        <f t="shared" ca="1" si="2190"/>
        <v>181.58310344827586</v>
      </c>
      <c r="O802" s="16">
        <v>8101</v>
      </c>
      <c r="P802" s="20">
        <f t="shared" ca="1" si="2191"/>
        <v>0.66658437229971612</v>
      </c>
      <c r="Q802" s="21">
        <v>1.5</v>
      </c>
      <c r="R802" s="20">
        <f t="shared" ca="1" si="2192"/>
        <v>0.68364252332455366</v>
      </c>
      <c r="S802" s="22">
        <f t="shared" ca="1" si="2193"/>
        <v>1.0254637849868304</v>
      </c>
      <c r="T802" s="21">
        <f ca="1">F802/19.985</f>
        <v>263.49311983987991</v>
      </c>
      <c r="U802" s="21">
        <f t="shared" ca="1" si="2194"/>
        <v>9.085969649651032</v>
      </c>
      <c r="V802" s="18">
        <f t="shared" ca="1" si="2195"/>
        <v>186.20689655172413</v>
      </c>
      <c r="W802" s="76"/>
      <c r="X802" s="97" t="s">
        <v>44</v>
      </c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9"/>
      <c r="AS802" s="76"/>
      <c r="AT802" s="76"/>
    </row>
    <row r="803" spans="1:46" ht="15.75" customHeight="1" x14ac:dyDescent="0.25">
      <c r="A803" s="70"/>
      <c r="B803" s="16">
        <v>15</v>
      </c>
      <c r="C803" s="16" t="s">
        <v>40</v>
      </c>
      <c r="D803" s="17">
        <v>30</v>
      </c>
      <c r="E803" s="18">
        <f ca="1">IFERROR(__xludf.DUMMYFUNCTION("COUNT(IMPORTRANGE(""https://docs.google.com/spreadsheets/d/1Wdf8MsoDBzMSsrzOXwaGQzbVjVqOWfKSqYmbncevZgA/edit"",""3!d2:d31""))"),30)</f>
        <v>30</v>
      </c>
      <c r="F803" s="23">
        <f ca="1">IFERROR(__xludf.DUMMYFUNCTION("SUM(IMPORTRANGE(""https://docs.google.com/spreadsheets/d/1Wdf8MsoDBzMSsrzOXwaGQzbVjVqOWfKSqYmbncevZgA/edit"",""3!Q2:Q31""))"),5944.58699999999)</f>
        <v>5944.5869999999904</v>
      </c>
      <c r="G803" s="18">
        <f ca="1">IFERROR(__xludf.DUMMYFUNCTION("IMPORTRANGE(""https://docs.google.com/spreadsheets/d/1Wdf8MsoDBzMSsrzOXwaGQzbVjVqOWfKSqYmbncevZgA/edit"",""3!e38"")"),3145)</f>
        <v>3145</v>
      </c>
      <c r="H803" s="18">
        <f ca="1">IFERROR(__xludf.DUMMYFUNCTION("IMPORTRANGE(""https://docs.google.com/spreadsheets/d/1Wdf8MsoDBzMSsrzOXwaGQzbVjVqOWfKSqYmbncevZgA/edit"",""3!e39"")"),0)</f>
        <v>0</v>
      </c>
      <c r="I803" s="18">
        <f t="shared" ca="1" si="2187"/>
        <v>3145</v>
      </c>
      <c r="J803" s="18">
        <f ca="1">IFERROR(__xludf.DUMMYFUNCTION("IMPORTRANGE(""https://docs.google.com/spreadsheets/d/1Wdf8MsoDBzMSsrzOXwaGQzbVjVqOWfKSqYmbncevZgA/edit"",""3!e42"")"),4341)</f>
        <v>4341</v>
      </c>
      <c r="K803" s="18">
        <f ca="1">IFERROR(__xludf.DUMMYFUNCTION("IMPORTRANGE(""https://docs.google.com/spreadsheets/d/1Wdf8MsoDBzMSsrzOXwaGQzbVjVqOWfKSqYmbncevZgA/edit"",""3!e43"")"),25)</f>
        <v>25</v>
      </c>
      <c r="L803" s="18">
        <f t="shared" ca="1" si="2217"/>
        <v>4366</v>
      </c>
      <c r="M803" s="18">
        <f t="shared" ca="1" si="2189"/>
        <v>7511</v>
      </c>
      <c r="N803" s="19">
        <f t="shared" ca="1" si="2190"/>
        <v>198.15289999999968</v>
      </c>
      <c r="O803" s="16">
        <v>8239</v>
      </c>
      <c r="P803" s="20">
        <f t="shared" ca="1" si="2191"/>
        <v>0.91163976210705178</v>
      </c>
      <c r="Q803" s="21">
        <v>1.5</v>
      </c>
      <c r="R803" s="20">
        <f t="shared" ca="1" si="2192"/>
        <v>0.84233493989293817</v>
      </c>
      <c r="S803" s="22">
        <f t="shared" ca="1" si="2193"/>
        <v>1.2635024098394072</v>
      </c>
      <c r="T803" s="21">
        <f ca="1">F803/28.443</f>
        <v>208.99999999999966</v>
      </c>
      <c r="U803" s="21">
        <f t="shared" ca="1" si="2194"/>
        <v>6.9666666666666552</v>
      </c>
      <c r="V803" s="18">
        <f t="shared" ca="1" si="2195"/>
        <v>250.36666666666667</v>
      </c>
      <c r="W803" s="76"/>
      <c r="X803" s="1" t="s">
        <v>2</v>
      </c>
      <c r="Y803" s="1" t="s">
        <v>3</v>
      </c>
      <c r="Z803" s="1" t="s">
        <v>4</v>
      </c>
      <c r="AA803" s="1" t="s">
        <v>5</v>
      </c>
      <c r="AB803" s="2" t="s">
        <v>6</v>
      </c>
      <c r="AC803" s="1" t="s">
        <v>7</v>
      </c>
      <c r="AD803" s="1" t="s">
        <v>8</v>
      </c>
      <c r="AE803" s="1" t="s">
        <v>9</v>
      </c>
      <c r="AF803" s="1" t="s">
        <v>10</v>
      </c>
      <c r="AG803" s="1" t="s">
        <v>11</v>
      </c>
      <c r="AH803" s="1" t="s">
        <v>12</v>
      </c>
      <c r="AI803" s="1" t="s">
        <v>13</v>
      </c>
      <c r="AJ803" s="2" t="s">
        <v>14</v>
      </c>
      <c r="AK803" s="1" t="s">
        <v>15</v>
      </c>
      <c r="AL803" s="1" t="s">
        <v>16</v>
      </c>
      <c r="AM803" s="3" t="s">
        <v>17</v>
      </c>
      <c r="AN803" s="4" t="s">
        <v>18</v>
      </c>
      <c r="AO803" s="5" t="s">
        <v>19</v>
      </c>
      <c r="AP803" s="6" t="s">
        <v>20</v>
      </c>
      <c r="AQ803" s="6" t="s">
        <v>21</v>
      </c>
      <c r="AR803" s="7" t="s">
        <v>22</v>
      </c>
      <c r="AS803" s="76"/>
      <c r="AT803" s="76"/>
    </row>
    <row r="804" spans="1:46" ht="15.75" customHeight="1" x14ac:dyDescent="0.25">
      <c r="A804" s="70"/>
      <c r="B804" s="16">
        <v>16</v>
      </c>
      <c r="C804" s="16" t="s">
        <v>42</v>
      </c>
      <c r="D804" s="17">
        <v>33</v>
      </c>
      <c r="E804" s="18">
        <f ca="1">IFERROR(__xludf.DUMMYFUNCTION("COUNT(IMPORTRANGE(""https://docs.google.com/spreadsheets/d/1Z5uB5HbeAKcHmG4EOw3rf2J8NpyvDiha6RReERAMvA0/edit"",""3!d2:d34""))"),33)</f>
        <v>33</v>
      </c>
      <c r="F804" s="23">
        <f ca="1">IFERROR(__xludf.DUMMYFUNCTION("SUM(IMPORTRANGE(""https://docs.google.com/spreadsheets/d/1Z5uB5HbeAKcHmG4EOw3rf2J8NpyvDiha6RReERAMvA0/edit"",""3!Q2:Q34""))"),6587.98399999999)</f>
        <v>6587.9839999999904</v>
      </c>
      <c r="G804" s="18">
        <f ca="1">IFERROR(__xludf.DUMMYFUNCTION("IMPORTRANGE(""https://docs.google.com/spreadsheets/d/1Z5uB5HbeAKcHmG4EOw3rf2J8NpyvDiha6RReERAMvA0/edit"",""3!e41"")"),3029)</f>
        <v>3029</v>
      </c>
      <c r="H804" s="18">
        <f ca="1">IFERROR(__xludf.DUMMYFUNCTION("IMPORTRANGE(""https://docs.google.com/spreadsheets/d/1Z5uB5HbeAKcHmG4EOw3rf2J8NpyvDiha6RReERAMvA0/edit"",""3!e42"")"),104)</f>
        <v>104</v>
      </c>
      <c r="I804" s="18">
        <f t="shared" ca="1" si="2187"/>
        <v>3133</v>
      </c>
      <c r="J804" s="18">
        <f ca="1">IFERROR(__xludf.DUMMYFUNCTION("IMPORTRANGE(""https://docs.google.com/spreadsheets/d/1Z5uB5HbeAKcHmG4EOw3rf2J8NpyvDiha6RReERAMvA0/edit"",""3!e45"")"),4505)</f>
        <v>4505</v>
      </c>
      <c r="K804" s="18">
        <f ca="1">IFERROR(__xludf.DUMMYFUNCTION("IMPORTRANGE(""https://docs.google.com/spreadsheets/d/1Z5uB5HbeAKcHmG4EOw3rf2J8NpyvDiha6RReERAMvA0/edit"",""3!e46"")"),257)</f>
        <v>257</v>
      </c>
      <c r="L804" s="18">
        <f t="shared" ca="1" si="2217"/>
        <v>4762</v>
      </c>
      <c r="M804" s="18">
        <f t="shared" ca="1" si="2189"/>
        <v>7895</v>
      </c>
      <c r="N804" s="19">
        <f t="shared" ca="1" si="2190"/>
        <v>199.63587878787848</v>
      </c>
      <c r="O804" s="16">
        <v>9877</v>
      </c>
      <c r="P804" s="20">
        <f t="shared" ca="1" si="2191"/>
        <v>0.79933178090513313</v>
      </c>
      <c r="Q804" s="21">
        <v>1.5</v>
      </c>
      <c r="R804" s="20">
        <f t="shared" ca="1" si="2192"/>
        <v>0.79892928296931831</v>
      </c>
      <c r="S804" s="22">
        <f t="shared" ca="1" si="2193"/>
        <v>1.1983939244539774</v>
      </c>
      <c r="T804" s="21">
        <f ca="1">F804/26.155</f>
        <v>251.88239342381917</v>
      </c>
      <c r="U804" s="21">
        <f t="shared" ca="1" si="2194"/>
        <v>7.6327998007217932</v>
      </c>
      <c r="V804" s="18">
        <f t="shared" ca="1" si="2195"/>
        <v>239.24242424242425</v>
      </c>
      <c r="W804" s="76"/>
      <c r="X804" s="8">
        <v>1</v>
      </c>
      <c r="Y804" s="8" t="s">
        <v>26</v>
      </c>
      <c r="Z804" s="8">
        <f t="shared" ref="Z804:AI804" si="2229">SUM(D789)</f>
        <v>20</v>
      </c>
      <c r="AA804" s="9">
        <f t="shared" ca="1" si="2229"/>
        <v>20</v>
      </c>
      <c r="AB804" s="11">
        <f t="shared" ca="1" si="2229"/>
        <v>3993.567</v>
      </c>
      <c r="AC804" s="9">
        <f t="shared" ca="1" si="2229"/>
        <v>2441</v>
      </c>
      <c r="AD804" s="9">
        <f t="shared" ca="1" si="2229"/>
        <v>20</v>
      </c>
      <c r="AE804" s="9">
        <f t="shared" ca="1" si="2229"/>
        <v>2461</v>
      </c>
      <c r="AF804" s="9">
        <f t="shared" ca="1" si="2229"/>
        <v>2544</v>
      </c>
      <c r="AG804" s="9">
        <f t="shared" ca="1" si="2229"/>
        <v>220</v>
      </c>
      <c r="AH804" s="9">
        <f t="shared" ca="1" si="2229"/>
        <v>2764</v>
      </c>
      <c r="AI804" s="9">
        <f t="shared" ca="1" si="2229"/>
        <v>5225</v>
      </c>
      <c r="AJ804" s="11">
        <f t="shared" ref="AJ804:AJ810" ca="1" si="2230">AB804/AA804</f>
        <v>199.67834999999999</v>
      </c>
      <c r="AK804" s="8">
        <f>SUM(O789)</f>
        <v>5161</v>
      </c>
      <c r="AL804" s="12">
        <f t="shared" ref="AL804:AL810" ca="1" si="2231">AI804/AK804</f>
        <v>1.0124006975392366</v>
      </c>
      <c r="AM804" s="13">
        <f>SUM(Q789)</f>
        <v>1.5</v>
      </c>
      <c r="AN804" s="12">
        <f t="shared" ref="AN804:AN810" ca="1" si="2232">AO804/AM804</f>
        <v>0.87223610705250054</v>
      </c>
      <c r="AO804" s="14">
        <f t="shared" ref="AO804:AO810" ca="1" si="2233">AI804/AB804</f>
        <v>1.3083541605787508</v>
      </c>
      <c r="AP804" s="13">
        <f t="shared" ref="AP804:AQ804" ca="1" si="2234">SUM(T789)</f>
        <v>277.04245577523415</v>
      </c>
      <c r="AQ804" s="13">
        <f t="shared" ca="1" si="2234"/>
        <v>13.852122788761708</v>
      </c>
      <c r="AR804" s="9">
        <f t="shared" ref="AR804:AR810" ca="1" si="2235">AI804/AA804</f>
        <v>261.25</v>
      </c>
      <c r="AS804" s="76"/>
      <c r="AT804" s="76"/>
    </row>
    <row r="805" spans="1:46" ht="15.75" customHeight="1" x14ac:dyDescent="0.25">
      <c r="A805" s="70"/>
      <c r="B805" s="16">
        <v>17</v>
      </c>
      <c r="C805" s="16" t="s">
        <v>29</v>
      </c>
      <c r="D805" s="17">
        <v>30</v>
      </c>
      <c r="E805" s="18">
        <f ca="1">IFERROR(__xludf.DUMMYFUNCTION("COUNT(IMPORTRANGE(""https://docs.google.com/spreadsheets/d/1wfJqI0e9wVPqEQv3N6b8KgINjqI0OBECEyIFeY9j3i8/edit"",""3!d2:d31""))"),30)</f>
        <v>30</v>
      </c>
      <c r="F805" s="23">
        <f ca="1">IFERROR(__xludf.DUMMYFUNCTION("SUM(IMPORTRANGE(""https://docs.google.com/spreadsheets/d/1wfJqI0e9wVPqEQv3N6b8KgINjqI0OBECEyIFeY9j3i8/edit"",""3!Q2:Q31""))"),6172.40299999999)</f>
        <v>6172.4029999999902</v>
      </c>
      <c r="G805" s="18">
        <f ca="1">IFERROR(__xludf.DUMMYFUNCTION("IMPORTRANGE(""https://docs.google.com/spreadsheets/d/1wfJqI0e9wVPqEQv3N6b8KgINjqI0OBECEyIFeY9j3i8/edit"",""3!e38"")"),2776)</f>
        <v>2776</v>
      </c>
      <c r="H805" s="18">
        <f ca="1">IFERROR(__xludf.DUMMYFUNCTION("IMPORTRANGE(""https://docs.google.com/spreadsheets/d/1wfJqI0e9wVPqEQv3N6b8KgINjqI0OBECEyIFeY9j3i8/edit"",""3!e39"")"),0)</f>
        <v>0</v>
      </c>
      <c r="I805" s="18">
        <f t="shared" ca="1" si="2187"/>
        <v>2776</v>
      </c>
      <c r="J805" s="18">
        <f ca="1">IFERROR(__xludf.DUMMYFUNCTION("IMPORTRANGE(""https://docs.google.com/spreadsheets/d/1wfJqI0e9wVPqEQv3N6b8KgINjqI0OBECEyIFeY9j3i8/edit"",""3!e42"")"),4306)</f>
        <v>4306</v>
      </c>
      <c r="K805" s="18">
        <f ca="1">IFERROR(__xludf.DUMMYFUNCTION("IMPORTRANGE(""https://docs.google.com/spreadsheets/d/1wfJqI0e9wVPqEQv3N6b8KgINjqI0OBECEyIFeY9j3i8/edit"",""3!e43"")"),0)</f>
        <v>0</v>
      </c>
      <c r="L805" s="18">
        <f t="shared" ca="1" si="2217"/>
        <v>4306</v>
      </c>
      <c r="M805" s="18">
        <f t="shared" ca="1" si="2189"/>
        <v>7082</v>
      </c>
      <c r="N805" s="19">
        <f t="shared" ca="1" si="2190"/>
        <v>205.74676666666633</v>
      </c>
      <c r="O805" s="16">
        <v>9201</v>
      </c>
      <c r="P805" s="20">
        <f t="shared" ca="1" si="2191"/>
        <v>0.76969894576676445</v>
      </c>
      <c r="Q805" s="21">
        <v>1.5</v>
      </c>
      <c r="R805" s="20">
        <f t="shared" ca="1" si="2192"/>
        <v>0.76491008985209508</v>
      </c>
      <c r="S805" s="22">
        <f t="shared" ca="1" si="2193"/>
        <v>1.1473651347781426</v>
      </c>
      <c r="T805" s="21">
        <f ca="1">F805/26.491</f>
        <v>232.99999999999963</v>
      </c>
      <c r="U805" s="21">
        <f t="shared" ca="1" si="2194"/>
        <v>7.7666666666666542</v>
      </c>
      <c r="V805" s="18">
        <f t="shared" ca="1" si="2195"/>
        <v>236.06666666666666</v>
      </c>
      <c r="W805" s="76"/>
      <c r="X805" s="8">
        <v>2</v>
      </c>
      <c r="Y805" s="8" t="s">
        <v>32</v>
      </c>
      <c r="Z805" s="8">
        <f t="shared" ref="Z805:AI805" si="2236">SUM(D792)</f>
        <v>42</v>
      </c>
      <c r="AA805" s="9">
        <f t="shared" ca="1" si="2236"/>
        <v>42</v>
      </c>
      <c r="AB805" s="10">
        <f t="shared" ca="1" si="2236"/>
        <v>8204.1029999999901</v>
      </c>
      <c r="AC805" s="8">
        <f t="shared" ca="1" si="2236"/>
        <v>4595</v>
      </c>
      <c r="AD805" s="8">
        <f t="shared" ca="1" si="2236"/>
        <v>0</v>
      </c>
      <c r="AE805" s="9">
        <f t="shared" ca="1" si="2236"/>
        <v>4595</v>
      </c>
      <c r="AF805" s="8">
        <f t="shared" ca="1" si="2236"/>
        <v>5729</v>
      </c>
      <c r="AG805" s="8">
        <f t="shared" ca="1" si="2236"/>
        <v>110</v>
      </c>
      <c r="AH805" s="9">
        <f t="shared" ca="1" si="2236"/>
        <v>5839</v>
      </c>
      <c r="AI805" s="9">
        <f t="shared" ca="1" si="2236"/>
        <v>10434</v>
      </c>
      <c r="AJ805" s="11">
        <f t="shared" ca="1" si="2230"/>
        <v>195.33578571428546</v>
      </c>
      <c r="AK805" s="8">
        <f>SUM(O792)</f>
        <v>13817</v>
      </c>
      <c r="AL805" s="12">
        <f t="shared" ca="1" si="2231"/>
        <v>0.75515669103278571</v>
      </c>
      <c r="AM805" s="13">
        <f>SUM(Q792)</f>
        <v>1.5</v>
      </c>
      <c r="AN805" s="12">
        <f t="shared" ca="1" si="2232"/>
        <v>0.84786843851180427</v>
      </c>
      <c r="AO805" s="14">
        <f t="shared" ca="1" si="2233"/>
        <v>1.2718026577677064</v>
      </c>
      <c r="AP805" s="13">
        <f t="shared" ref="AP805:AQ805" ca="1" si="2237">SUM(T792)</f>
        <v>326.9999999999996</v>
      </c>
      <c r="AQ805" s="13">
        <f t="shared" ca="1" si="2237"/>
        <v>7.7857142857142758</v>
      </c>
      <c r="AR805" s="9">
        <f t="shared" ca="1" si="2235"/>
        <v>248.42857142857142</v>
      </c>
      <c r="AS805" s="76"/>
      <c r="AT805" s="76"/>
    </row>
    <row r="806" spans="1:46" ht="15.75" customHeight="1" x14ac:dyDescent="0.25">
      <c r="A806" s="70"/>
      <c r="B806" s="16">
        <v>18</v>
      </c>
      <c r="C806" s="16" t="s">
        <v>31</v>
      </c>
      <c r="D806" s="17">
        <v>15</v>
      </c>
      <c r="E806" s="18">
        <f ca="1">IFERROR(__xludf.DUMMYFUNCTION("COUNT(IMPORTRANGE(""https://docs.google.com/spreadsheets/d/1-y2KhTAo7d8kowgUuWUDfRQuRMUAFteRYEXorT3_wOs/edit"",""3!d2:d16""))"),14)</f>
        <v>14</v>
      </c>
      <c r="F806" s="19">
        <f ca="1">IFERROR(__xludf.DUMMYFUNCTION("SUM(IMPORTRANGE(""https://docs.google.com/spreadsheets/d/1-y2KhTAo7d8kowgUuWUDfRQuRMUAFteRYEXorT3_wOs/edit"",""3!Q2:Q16""))"),2825.225)</f>
        <v>2825.2249999999999</v>
      </c>
      <c r="G806" s="18">
        <f ca="1">IFERROR(__xludf.DUMMYFUNCTION("IMPORTRANGE(""https://docs.google.com/spreadsheets/d/1-y2KhTAo7d8kowgUuWUDfRQuRMUAFteRYEXorT3_wOs/edit"",""3!e23"")"),838)</f>
        <v>838</v>
      </c>
      <c r="H806" s="18">
        <f ca="1">IFERROR(__xludf.DUMMYFUNCTION("IMPORTRANGE(""https://docs.google.com/spreadsheets/d/1-y2KhTAo7d8kowgUuWUDfRQuRMUAFteRYEXorT3_wOs/edit"",""3!e24"")"),0)</f>
        <v>0</v>
      </c>
      <c r="I806" s="18">
        <f t="shared" ca="1" si="2187"/>
        <v>838</v>
      </c>
      <c r="J806" s="18">
        <f ca="1">IFERROR(__xludf.DUMMYFUNCTION("IMPORTRANGE(""https://docs.google.com/spreadsheets/d/1-y2KhTAo7d8kowgUuWUDfRQuRMUAFteRYEXorT3_wOs/edit"",""3!e27"")"),1055)</f>
        <v>1055</v>
      </c>
      <c r="K806" s="18">
        <f ca="1">IFERROR(__xludf.DUMMYFUNCTION("IMPORTRANGE(""https://docs.google.com/spreadsheets/d/1-y2KhTAo7d8kowgUuWUDfRQuRMUAFteRYEXorT3_wOs/edit"",""3!e28"")"),14)</f>
        <v>14</v>
      </c>
      <c r="L806" s="18">
        <f t="shared" ca="1" si="2217"/>
        <v>1069</v>
      </c>
      <c r="M806" s="18">
        <f t="shared" ca="1" si="2189"/>
        <v>1907</v>
      </c>
      <c r="N806" s="19">
        <f t="shared" ca="1" si="2190"/>
        <v>201.8017857142857</v>
      </c>
      <c r="O806" s="16">
        <v>2717</v>
      </c>
      <c r="P806" s="20">
        <f t="shared" ca="1" si="2191"/>
        <v>0.70187707029812296</v>
      </c>
      <c r="Q806" s="21">
        <v>1.5</v>
      </c>
      <c r="R806" s="20">
        <f t="shared" ca="1" si="2192"/>
        <v>0.44999365832219856</v>
      </c>
      <c r="S806" s="22">
        <f t="shared" ca="1" si="2193"/>
        <v>0.67499048748329782</v>
      </c>
      <c r="T806" s="21">
        <f ca="1">F806/43.465</f>
        <v>64.999999999999986</v>
      </c>
      <c r="U806" s="21">
        <f t="shared" ca="1" si="2194"/>
        <v>4.6428571428571415</v>
      </c>
      <c r="V806" s="18">
        <f t="shared" ca="1" si="2195"/>
        <v>136.21428571428572</v>
      </c>
      <c r="W806" s="76"/>
      <c r="X806" s="8">
        <v>3</v>
      </c>
      <c r="Y806" s="8" t="s">
        <v>36</v>
      </c>
      <c r="Z806" s="8">
        <f t="shared" ref="Z806:AI806" si="2238">SUM(D797)</f>
        <v>30</v>
      </c>
      <c r="AA806" s="9">
        <f t="shared" ca="1" si="2238"/>
        <v>30</v>
      </c>
      <c r="AB806" s="10">
        <f t="shared" ca="1" si="2238"/>
        <v>5794.3819999999996</v>
      </c>
      <c r="AC806" s="9">
        <f t="shared" ca="1" si="2238"/>
        <v>1670</v>
      </c>
      <c r="AD806" s="9">
        <f t="shared" ca="1" si="2238"/>
        <v>0</v>
      </c>
      <c r="AE806" s="9">
        <f t="shared" ca="1" si="2238"/>
        <v>1670</v>
      </c>
      <c r="AF806" s="9">
        <f t="shared" ca="1" si="2238"/>
        <v>2442</v>
      </c>
      <c r="AG806" s="9">
        <f t="shared" ca="1" si="2238"/>
        <v>0</v>
      </c>
      <c r="AH806" s="9">
        <f t="shared" ca="1" si="2238"/>
        <v>2442</v>
      </c>
      <c r="AI806" s="9">
        <f t="shared" ca="1" si="2238"/>
        <v>4112</v>
      </c>
      <c r="AJ806" s="11">
        <f t="shared" ca="1" si="2230"/>
        <v>193.14606666666666</v>
      </c>
      <c r="AK806" s="8">
        <f t="shared" ref="AK806:AK809" si="2239">SUM(O797)</f>
        <v>4796</v>
      </c>
      <c r="AL806" s="12">
        <f t="shared" ca="1" si="2231"/>
        <v>0.85738115095913259</v>
      </c>
      <c r="AM806" s="13">
        <f t="shared" ref="AM806:AM809" si="2240">SUM(Q797)</f>
        <v>1.5</v>
      </c>
      <c r="AN806" s="12">
        <f t="shared" ca="1" si="2232"/>
        <v>0.47310193448297566</v>
      </c>
      <c r="AO806" s="14">
        <f t="shared" ca="1" si="2233"/>
        <v>0.70965290172446349</v>
      </c>
      <c r="AP806" s="13">
        <f t="shared" ref="AP806:AQ806" ca="1" si="2241">SUM(T797)</f>
        <v>154.87202651413907</v>
      </c>
      <c r="AQ806" s="13">
        <f t="shared" ca="1" si="2241"/>
        <v>5.1624008838046356</v>
      </c>
      <c r="AR806" s="9">
        <f t="shared" ca="1" si="2235"/>
        <v>137.06666666666666</v>
      </c>
      <c r="AS806" s="76"/>
      <c r="AT806" s="76"/>
    </row>
    <row r="807" spans="1:46" ht="15.75" customHeight="1" x14ac:dyDescent="0.2">
      <c r="A807" s="70"/>
      <c r="B807" s="98" t="s">
        <v>33</v>
      </c>
      <c r="C807" s="98">
        <v>18</v>
      </c>
      <c r="D807" s="98">
        <f t="shared" ref="D807:M807" si="2242">SUM(D789:D806)</f>
        <v>586</v>
      </c>
      <c r="E807" s="74">
        <f t="shared" ca="1" si="2242"/>
        <v>580</v>
      </c>
      <c r="F807" s="99">
        <f t="shared" ca="1" si="2242"/>
        <v>112340.77699999983</v>
      </c>
      <c r="G807" s="74">
        <f t="shared" ca="1" si="2242"/>
        <v>42376</v>
      </c>
      <c r="H807" s="74">
        <f t="shared" ca="1" si="2242"/>
        <v>796</v>
      </c>
      <c r="I807" s="74">
        <f t="shared" ca="1" si="2242"/>
        <v>43172</v>
      </c>
      <c r="J807" s="74">
        <f t="shared" ca="1" si="2242"/>
        <v>55404</v>
      </c>
      <c r="K807" s="74">
        <f t="shared" ca="1" si="2242"/>
        <v>1542</v>
      </c>
      <c r="L807" s="74">
        <f t="shared" ca="1" si="2242"/>
        <v>56946</v>
      </c>
      <c r="M807" s="74">
        <f t="shared" ca="1" si="2242"/>
        <v>100118</v>
      </c>
      <c r="N807" s="99">
        <f t="shared" ca="1" si="2190"/>
        <v>193.69099482758591</v>
      </c>
      <c r="O807" s="98">
        <f>SUM(O789:O806)</f>
        <v>126399</v>
      </c>
      <c r="P807" s="69">
        <f t="shared" ca="1" si="2191"/>
        <v>0.7920790512583169</v>
      </c>
      <c r="Q807" s="72">
        <v>1.5</v>
      </c>
      <c r="R807" s="69">
        <f t="shared" ca="1" si="2192"/>
        <v>0.59413273715681558</v>
      </c>
      <c r="S807" s="73">
        <f t="shared" ca="1" si="2193"/>
        <v>0.89119910573522343</v>
      </c>
      <c r="T807" s="72">
        <f ca="1">SUM(T789:T806)</f>
        <v>4143.8511853677164</v>
      </c>
      <c r="U807" s="72">
        <f t="shared" ca="1" si="2194"/>
        <v>7.1445710092546832</v>
      </c>
      <c r="V807" s="74">
        <f t="shared" ca="1" si="2195"/>
        <v>172.61724137931034</v>
      </c>
      <c r="W807" s="76"/>
      <c r="X807" s="8">
        <v>4</v>
      </c>
      <c r="Y807" s="8" t="s">
        <v>37</v>
      </c>
      <c r="Z807" s="8">
        <f t="shared" ref="Z807:AI807" si="2243">SUM(D798)</f>
        <v>30</v>
      </c>
      <c r="AA807" s="9">
        <f t="shared" ca="1" si="2243"/>
        <v>29</v>
      </c>
      <c r="AB807" s="10">
        <f t="shared" ca="1" si="2243"/>
        <v>5613.8519999999999</v>
      </c>
      <c r="AC807" s="9">
        <f t="shared" ca="1" si="2243"/>
        <v>2252</v>
      </c>
      <c r="AD807" s="9">
        <f t="shared" ca="1" si="2243"/>
        <v>0</v>
      </c>
      <c r="AE807" s="9">
        <f t="shared" ca="1" si="2243"/>
        <v>2252</v>
      </c>
      <c r="AF807" s="9">
        <f t="shared" ca="1" si="2243"/>
        <v>3036</v>
      </c>
      <c r="AG807" s="9">
        <f t="shared" ca="1" si="2243"/>
        <v>0</v>
      </c>
      <c r="AH807" s="9">
        <f t="shared" ca="1" si="2243"/>
        <v>3036</v>
      </c>
      <c r="AI807" s="9">
        <f t="shared" ca="1" si="2243"/>
        <v>5288</v>
      </c>
      <c r="AJ807" s="11">
        <f t="shared" ca="1" si="2230"/>
        <v>193.58110344827585</v>
      </c>
      <c r="AK807" s="8">
        <f t="shared" si="2239"/>
        <v>5887</v>
      </c>
      <c r="AL807" s="12">
        <f t="shared" ca="1" si="2231"/>
        <v>0.89825038219806352</v>
      </c>
      <c r="AM807" s="13">
        <f t="shared" si="2240"/>
        <v>1.5</v>
      </c>
      <c r="AN807" s="12">
        <f t="shared" ca="1" si="2232"/>
        <v>0.62797047968726882</v>
      </c>
      <c r="AO807" s="14">
        <f t="shared" ca="1" si="2233"/>
        <v>0.94195571953090318</v>
      </c>
      <c r="AP807" s="13">
        <f t="shared" ref="AP807:AQ807" ca="1" si="2244">SUM(T798)</f>
        <v>226.4380445304937</v>
      </c>
      <c r="AQ807" s="13">
        <f t="shared" ca="1" si="2244"/>
        <v>7.8082084320859897</v>
      </c>
      <c r="AR807" s="9">
        <f t="shared" ca="1" si="2235"/>
        <v>182.34482758620689</v>
      </c>
      <c r="AS807" s="76"/>
      <c r="AT807" s="76"/>
    </row>
    <row r="808" spans="1:46" ht="15.75" customHeight="1" x14ac:dyDescent="0.2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6"/>
      <c r="X808" s="8">
        <v>5</v>
      </c>
      <c r="Y808" s="8" t="s">
        <v>39</v>
      </c>
      <c r="Z808" s="8">
        <f t="shared" ref="Z808:AI808" si="2245">SUM(D799)</f>
        <v>28</v>
      </c>
      <c r="AA808" s="9">
        <f t="shared" ca="1" si="2245"/>
        <v>28</v>
      </c>
      <c r="AB808" s="10">
        <f t="shared" ca="1" si="2245"/>
        <v>5158.3959999999997</v>
      </c>
      <c r="AC808" s="9">
        <f t="shared" ca="1" si="2245"/>
        <v>1344</v>
      </c>
      <c r="AD808" s="9">
        <f t="shared" ca="1" si="2245"/>
        <v>0</v>
      </c>
      <c r="AE808" s="9">
        <f t="shared" ca="1" si="2245"/>
        <v>1344</v>
      </c>
      <c r="AF808" s="9">
        <f t="shared" ca="1" si="2245"/>
        <v>1623</v>
      </c>
      <c r="AG808" s="9">
        <f t="shared" ca="1" si="2245"/>
        <v>73</v>
      </c>
      <c r="AH808" s="9">
        <f t="shared" ca="1" si="2245"/>
        <v>1696</v>
      </c>
      <c r="AI808" s="9">
        <f t="shared" ca="1" si="2245"/>
        <v>3040</v>
      </c>
      <c r="AJ808" s="11">
        <f t="shared" ca="1" si="2230"/>
        <v>184.22842857142857</v>
      </c>
      <c r="AK808" s="8">
        <f t="shared" si="2239"/>
        <v>3569</v>
      </c>
      <c r="AL808" s="12">
        <f t="shared" ca="1" si="2231"/>
        <v>0.85177920986270661</v>
      </c>
      <c r="AM808" s="13">
        <f t="shared" si="2240"/>
        <v>1.5</v>
      </c>
      <c r="AN808" s="12">
        <f t="shared" ca="1" si="2232"/>
        <v>0.39288698786728798</v>
      </c>
      <c r="AO808" s="14">
        <f t="shared" ca="1" si="2233"/>
        <v>0.58933048180093195</v>
      </c>
      <c r="AP808" s="13">
        <f t="shared" ref="AP808:AQ808" ca="1" si="2246">SUM(T799)</f>
        <v>240.33900200344777</v>
      </c>
      <c r="AQ808" s="13">
        <f t="shared" ca="1" si="2246"/>
        <v>8.5835357858374213</v>
      </c>
      <c r="AR808" s="9">
        <f t="shared" ca="1" si="2235"/>
        <v>108.57142857142857</v>
      </c>
      <c r="AS808" s="76"/>
      <c r="AT808" s="76"/>
    </row>
    <row r="809" spans="1:46" ht="15.75" customHeight="1" x14ac:dyDescent="0.2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6"/>
      <c r="X809" s="8">
        <v>6</v>
      </c>
      <c r="Y809" s="8" t="s">
        <v>41</v>
      </c>
      <c r="Z809" s="8">
        <f t="shared" ref="Z809:AI809" si="2247">SUM(D800)</f>
        <v>24</v>
      </c>
      <c r="AA809" s="9">
        <f t="shared" ca="1" si="2247"/>
        <v>24</v>
      </c>
      <c r="AB809" s="10">
        <f t="shared" ca="1" si="2247"/>
        <v>4615.384</v>
      </c>
      <c r="AC809" s="9">
        <f t="shared" ca="1" si="2247"/>
        <v>1410</v>
      </c>
      <c r="AD809" s="9">
        <f t="shared" ca="1" si="2247"/>
        <v>0</v>
      </c>
      <c r="AE809" s="9">
        <f t="shared" ca="1" si="2247"/>
        <v>1410</v>
      </c>
      <c r="AF809" s="9">
        <f t="shared" ca="1" si="2247"/>
        <v>1622</v>
      </c>
      <c r="AG809" s="9">
        <f t="shared" ca="1" si="2247"/>
        <v>0</v>
      </c>
      <c r="AH809" s="9">
        <f t="shared" ca="1" si="2247"/>
        <v>1622</v>
      </c>
      <c r="AI809" s="9">
        <f t="shared" ca="1" si="2247"/>
        <v>3032</v>
      </c>
      <c r="AJ809" s="11">
        <f t="shared" ca="1" si="2230"/>
        <v>192.30766666666668</v>
      </c>
      <c r="AK809" s="8">
        <f t="shared" si="2239"/>
        <v>3801</v>
      </c>
      <c r="AL809" s="12">
        <f t="shared" ca="1" si="2231"/>
        <v>0.79768481978426731</v>
      </c>
      <c r="AM809" s="13">
        <f t="shared" si="2240"/>
        <v>1.5</v>
      </c>
      <c r="AN809" s="12">
        <f t="shared" ca="1" si="2232"/>
        <v>0.43795561394963745</v>
      </c>
      <c r="AO809" s="14">
        <f t="shared" ca="1" si="2233"/>
        <v>0.65693342092445617</v>
      </c>
      <c r="AP809" s="13">
        <f t="shared" ref="AP809:AQ809" ca="1" si="2248">SUM(T800)</f>
        <v>155.77777777777777</v>
      </c>
      <c r="AQ809" s="13">
        <f t="shared" ca="1" si="2248"/>
        <v>6.4907407407407405</v>
      </c>
      <c r="AR809" s="9">
        <f t="shared" ca="1" si="2235"/>
        <v>126.33333333333333</v>
      </c>
      <c r="AS809" s="76"/>
      <c r="AT809" s="76"/>
    </row>
    <row r="810" spans="1:46" ht="15.75" customHeight="1" x14ac:dyDescent="0.25">
      <c r="A810" s="110" t="s">
        <v>45</v>
      </c>
      <c r="B810" s="76"/>
      <c r="C810" s="76"/>
      <c r="D810" s="75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24" t="s">
        <v>33</v>
      </c>
      <c r="Y810" s="24">
        <v>6</v>
      </c>
      <c r="Z810" s="24">
        <f t="shared" ref="Z810:AI810" si="2249">SUM(Z804:Z809)</f>
        <v>174</v>
      </c>
      <c r="AA810" s="25">
        <f t="shared" ca="1" si="2249"/>
        <v>173</v>
      </c>
      <c r="AB810" s="27">
        <f t="shared" ca="1" si="2249"/>
        <v>33379.683999999987</v>
      </c>
      <c r="AC810" s="25">
        <f t="shared" ca="1" si="2249"/>
        <v>13712</v>
      </c>
      <c r="AD810" s="25">
        <f t="shared" ca="1" si="2249"/>
        <v>20</v>
      </c>
      <c r="AE810" s="25">
        <f t="shared" ca="1" si="2249"/>
        <v>13732</v>
      </c>
      <c r="AF810" s="25">
        <f t="shared" ca="1" si="2249"/>
        <v>16996</v>
      </c>
      <c r="AG810" s="25">
        <f t="shared" ca="1" si="2249"/>
        <v>403</v>
      </c>
      <c r="AH810" s="25">
        <f t="shared" ca="1" si="2249"/>
        <v>17399</v>
      </c>
      <c r="AI810" s="25">
        <f t="shared" ca="1" si="2249"/>
        <v>31131</v>
      </c>
      <c r="AJ810" s="27">
        <f t="shared" ca="1" si="2230"/>
        <v>192.94615028901725</v>
      </c>
      <c r="AK810" s="24">
        <f>SUM(AK804:AK809)</f>
        <v>37031</v>
      </c>
      <c r="AL810" s="28">
        <f t="shared" ca="1" si="2231"/>
        <v>0.84067402986686834</v>
      </c>
      <c r="AM810" s="29">
        <v>1.5</v>
      </c>
      <c r="AN810" s="28">
        <f t="shared" ca="1" si="2232"/>
        <v>0.62175543663025712</v>
      </c>
      <c r="AO810" s="30">
        <f t="shared" ca="1" si="2233"/>
        <v>0.93263315494538568</v>
      </c>
      <c r="AP810" s="29">
        <f ca="1">SUM(AP804:AP809)</f>
        <v>1381.4693066010921</v>
      </c>
      <c r="AQ810" s="29">
        <f ca="1">AP810/AA810</f>
        <v>7.9853717144571794</v>
      </c>
      <c r="AR810" s="25">
        <f t="shared" ca="1" si="2235"/>
        <v>179.94797687861271</v>
      </c>
      <c r="AS810" s="76"/>
      <c r="AT810" s="76"/>
    </row>
    <row r="811" spans="1:46" ht="15.75" customHeight="1" x14ac:dyDescent="0.2">
      <c r="A811" s="110" t="s">
        <v>45</v>
      </c>
      <c r="B811" s="76"/>
      <c r="C811" s="76"/>
      <c r="D811" s="75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7" t="s">
        <v>1</v>
      </c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9"/>
    </row>
    <row r="812" spans="1:46" ht="15.75" customHeight="1" x14ac:dyDescent="0.2">
      <c r="A812" s="111" t="s">
        <v>46</v>
      </c>
      <c r="B812" s="80" t="s">
        <v>2</v>
      </c>
      <c r="C812" s="80" t="s">
        <v>3</v>
      </c>
      <c r="D812" s="80" t="s">
        <v>4</v>
      </c>
      <c r="E812" s="80" t="s">
        <v>5</v>
      </c>
      <c r="F812" s="81" t="s">
        <v>6</v>
      </c>
      <c r="G812" s="80" t="s">
        <v>7</v>
      </c>
      <c r="H812" s="80" t="s">
        <v>8</v>
      </c>
      <c r="I812" s="80" t="s">
        <v>9</v>
      </c>
      <c r="J812" s="80" t="s">
        <v>10</v>
      </c>
      <c r="K812" s="80" t="s">
        <v>11</v>
      </c>
      <c r="L812" s="80" t="s">
        <v>12</v>
      </c>
      <c r="M812" s="80" t="s">
        <v>13</v>
      </c>
      <c r="N812" s="81" t="s">
        <v>14</v>
      </c>
      <c r="O812" s="80" t="s">
        <v>15</v>
      </c>
      <c r="P812" s="80" t="s">
        <v>16</v>
      </c>
      <c r="Q812" s="80" t="s">
        <v>17</v>
      </c>
      <c r="R812" s="80" t="s">
        <v>18</v>
      </c>
      <c r="S812" s="106" t="s">
        <v>19</v>
      </c>
      <c r="T812" s="107" t="s">
        <v>20</v>
      </c>
      <c r="U812" s="107" t="s">
        <v>21</v>
      </c>
      <c r="V812" s="105" t="s">
        <v>22</v>
      </c>
      <c r="W812" s="76"/>
      <c r="X812" s="46" t="s">
        <v>2</v>
      </c>
      <c r="Y812" s="46" t="s">
        <v>3</v>
      </c>
      <c r="Z812" s="46" t="s">
        <v>4</v>
      </c>
      <c r="AA812" s="46" t="s">
        <v>5</v>
      </c>
      <c r="AB812" s="47" t="s">
        <v>6</v>
      </c>
      <c r="AC812" s="46" t="s">
        <v>7</v>
      </c>
      <c r="AD812" s="46" t="s">
        <v>8</v>
      </c>
      <c r="AE812" s="46" t="s">
        <v>9</v>
      </c>
      <c r="AF812" s="46" t="s">
        <v>10</v>
      </c>
      <c r="AG812" s="46" t="s">
        <v>11</v>
      </c>
      <c r="AH812" s="46" t="s">
        <v>12</v>
      </c>
      <c r="AI812" s="46" t="s">
        <v>13</v>
      </c>
      <c r="AJ812" s="47" t="s">
        <v>14</v>
      </c>
      <c r="AK812" s="46" t="s">
        <v>15</v>
      </c>
      <c r="AL812" s="46" t="s">
        <v>16</v>
      </c>
      <c r="AM812" s="48" t="s">
        <v>17</v>
      </c>
      <c r="AN812" s="49" t="s">
        <v>18</v>
      </c>
      <c r="AO812" s="50" t="s">
        <v>19</v>
      </c>
      <c r="AP812" s="51" t="s">
        <v>20</v>
      </c>
      <c r="AQ812" s="51" t="s">
        <v>21</v>
      </c>
      <c r="AR812" s="52" t="s">
        <v>22</v>
      </c>
      <c r="AS812" s="52" t="s">
        <v>47</v>
      </c>
      <c r="AT812" s="52" t="s">
        <v>48</v>
      </c>
    </row>
    <row r="813" spans="1:46" ht="15.75" customHeight="1" x14ac:dyDescent="0.2">
      <c r="A813" s="76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6"/>
      <c r="X813" s="53">
        <v>1</v>
      </c>
      <c r="Y813" s="53" t="s">
        <v>23</v>
      </c>
      <c r="Z813" s="54">
        <f t="shared" ref="Z813:AI813" si="2250">SUM(D821)</f>
        <v>986</v>
      </c>
      <c r="AA813" s="54">
        <f t="shared" ca="1" si="2250"/>
        <v>984</v>
      </c>
      <c r="AB813" s="54">
        <f t="shared" ca="1" si="2250"/>
        <v>192299.33599999969</v>
      </c>
      <c r="AC813" s="54">
        <f t="shared" ca="1" si="2250"/>
        <v>50324</v>
      </c>
      <c r="AD813" s="54">
        <f t="shared" ca="1" si="2250"/>
        <v>238</v>
      </c>
      <c r="AE813" s="54">
        <f t="shared" ca="1" si="2250"/>
        <v>50562</v>
      </c>
      <c r="AF813" s="54">
        <f t="shared" ca="1" si="2250"/>
        <v>87234</v>
      </c>
      <c r="AG813" s="54">
        <f t="shared" ca="1" si="2250"/>
        <v>594</v>
      </c>
      <c r="AH813" s="54">
        <f t="shared" ca="1" si="2250"/>
        <v>87828</v>
      </c>
      <c r="AI813" s="54">
        <f t="shared" ca="1" si="2250"/>
        <v>138390</v>
      </c>
      <c r="AJ813" s="55">
        <f t="shared" ref="AJ813:AJ819" ca="1" si="2251">AB813/AA813</f>
        <v>195.42615447154441</v>
      </c>
      <c r="AK813" s="54">
        <f t="shared" ref="AK813:AK815" si="2252">SUM(O821)</f>
        <v>205590</v>
      </c>
      <c r="AL813" s="56">
        <f t="shared" ref="AL813:AL819" ca="1" si="2253">AI813/AK813</f>
        <v>0.67313585291113376</v>
      </c>
      <c r="AM813" s="57">
        <f t="shared" ref="AM813:AM815" si="2254">SUM(Q821)</f>
        <v>1.5</v>
      </c>
      <c r="AN813" s="56">
        <f t="shared" ref="AN813:AN819" ca="1" si="2255">AO813/AM813</f>
        <v>0.47977284747358745</v>
      </c>
      <c r="AO813" s="58">
        <f t="shared" ref="AO813:AO819" ca="1" si="2256">AI813/AB813</f>
        <v>0.7196592712103812</v>
      </c>
      <c r="AP813" s="57">
        <f t="shared" ref="AP813:AQ813" ca="1" si="2257">SUM(T821)</f>
        <v>5699.4468286899728</v>
      </c>
      <c r="AQ813" s="57">
        <f t="shared" ca="1" si="2257"/>
        <v>5.7921207608637939</v>
      </c>
      <c r="AR813" s="54">
        <f t="shared" ref="AR813:AR819" ca="1" si="2258">AI813/AA813</f>
        <v>140.64024390243901</v>
      </c>
      <c r="AS813" s="59">
        <f t="shared" ref="AS813:AS815" ca="1" si="2259">MAX(M11,M38,M65,M92,M119,M146,M173,M200,M227,M254,M281,M308,M335,M362,M389,M416,M443,M470,M497,M524,M551,M578,M605,M632,M659,M686,M713,M740,M767,M794)</f>
        <v>5445</v>
      </c>
      <c r="AT813" s="60">
        <v>46273</v>
      </c>
    </row>
    <row r="814" spans="1:46" ht="15.75" customHeight="1" x14ac:dyDescent="0.2">
      <c r="A814" s="76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6"/>
      <c r="X814" s="53">
        <v>2</v>
      </c>
      <c r="Y814" s="53" t="s">
        <v>24</v>
      </c>
      <c r="Z814" s="54">
        <f t="shared" ref="Z814:AI814" si="2260">SUM(D822)</f>
        <v>1256</v>
      </c>
      <c r="AA814" s="54">
        <f t="shared" ca="1" si="2260"/>
        <v>1258</v>
      </c>
      <c r="AB814" s="54">
        <f t="shared" ca="1" si="2260"/>
        <v>243651.35199999969</v>
      </c>
      <c r="AC814" s="54">
        <f t="shared" ca="1" si="2260"/>
        <v>34067</v>
      </c>
      <c r="AD814" s="54">
        <f t="shared" ca="1" si="2260"/>
        <v>184</v>
      </c>
      <c r="AE814" s="54">
        <f t="shared" ca="1" si="2260"/>
        <v>34251</v>
      </c>
      <c r="AF814" s="54">
        <f t="shared" ca="1" si="2260"/>
        <v>40814</v>
      </c>
      <c r="AG814" s="54">
        <f t="shared" ca="1" si="2260"/>
        <v>911</v>
      </c>
      <c r="AH814" s="54">
        <f t="shared" ca="1" si="2260"/>
        <v>41725</v>
      </c>
      <c r="AI814" s="54">
        <f t="shared" ca="1" si="2260"/>
        <v>75976</v>
      </c>
      <c r="AJ814" s="55">
        <f t="shared" ca="1" si="2251"/>
        <v>193.68151987281374</v>
      </c>
      <c r="AK814" s="54">
        <f t="shared" si="2252"/>
        <v>47400</v>
      </c>
      <c r="AL814" s="56">
        <f t="shared" ca="1" si="2253"/>
        <v>1.6028691983122363</v>
      </c>
      <c r="AM814" s="57">
        <f t="shared" si="2254"/>
        <v>1.5</v>
      </c>
      <c r="AN814" s="56">
        <f t="shared" ca="1" si="2255"/>
        <v>0.20788173860273398</v>
      </c>
      <c r="AO814" s="58">
        <f t="shared" ca="1" si="2256"/>
        <v>0.31182260790410099</v>
      </c>
      <c r="AP814" s="57">
        <f t="shared" ref="AP814:AQ814" ca="1" si="2261">SUM(T822)</f>
        <v>9089.7725051296293</v>
      </c>
      <c r="AQ814" s="57">
        <f t="shared" ca="1" si="2261"/>
        <v>7.2255743284019314</v>
      </c>
      <c r="AR814" s="54">
        <f t="shared" ca="1" si="2258"/>
        <v>60.394276629570747</v>
      </c>
      <c r="AS814" s="59">
        <f t="shared" ca="1" si="2259"/>
        <v>3378</v>
      </c>
      <c r="AT814" s="60">
        <v>46273</v>
      </c>
    </row>
    <row r="815" spans="1:46" ht="15.75" customHeight="1" x14ac:dyDescent="0.2">
      <c r="A815" s="76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6"/>
      <c r="X815" s="53">
        <v>3</v>
      </c>
      <c r="Y815" s="53" t="s">
        <v>25</v>
      </c>
      <c r="Z815" s="54">
        <f t="shared" ref="Z815:AI815" si="2262">SUM(D823)</f>
        <v>916</v>
      </c>
      <c r="AA815" s="54">
        <f t="shared" ca="1" si="2262"/>
        <v>906</v>
      </c>
      <c r="AB815" s="54">
        <f t="shared" ca="1" si="2262"/>
        <v>171000.46800000002</v>
      </c>
      <c r="AC815" s="54">
        <f t="shared" ca="1" si="2262"/>
        <v>65071</v>
      </c>
      <c r="AD815" s="54">
        <f t="shared" ca="1" si="2262"/>
        <v>11778</v>
      </c>
      <c r="AE815" s="54">
        <f t="shared" ca="1" si="2262"/>
        <v>76849</v>
      </c>
      <c r="AF815" s="54">
        <f t="shared" ca="1" si="2262"/>
        <v>89059</v>
      </c>
      <c r="AG815" s="54">
        <f t="shared" ca="1" si="2262"/>
        <v>10786</v>
      </c>
      <c r="AH815" s="54">
        <f t="shared" ca="1" si="2262"/>
        <v>99845</v>
      </c>
      <c r="AI815" s="54">
        <f t="shared" ca="1" si="2262"/>
        <v>176694</v>
      </c>
      <c r="AJ815" s="55">
        <f t="shared" ca="1" si="2251"/>
        <v>188.74223841059606</v>
      </c>
      <c r="AK815" s="54">
        <f t="shared" si="2252"/>
        <v>198660</v>
      </c>
      <c r="AL815" s="56">
        <f t="shared" ca="1" si="2253"/>
        <v>0.88942917547568712</v>
      </c>
      <c r="AM815" s="57">
        <f t="shared" si="2254"/>
        <v>1.5</v>
      </c>
      <c r="AN815" s="56">
        <f t="shared" ca="1" si="2255"/>
        <v>0.68886361176508581</v>
      </c>
      <c r="AO815" s="58">
        <f t="shared" ca="1" si="2256"/>
        <v>1.0332954176476288</v>
      </c>
      <c r="AP815" s="57">
        <f t="shared" ref="AP815:AQ815" ca="1" si="2263">SUM(T823)</f>
        <v>7172.8384228187933</v>
      </c>
      <c r="AQ815" s="57">
        <f t="shared" ca="1" si="2263"/>
        <v>7.9170402017867474</v>
      </c>
      <c r="AR815" s="54">
        <f t="shared" ca="1" si="2258"/>
        <v>195.02649006622516</v>
      </c>
      <c r="AS815" s="59">
        <f t="shared" ca="1" si="2259"/>
        <v>6787</v>
      </c>
      <c r="AT815" s="60">
        <v>46273</v>
      </c>
    </row>
    <row r="816" spans="1:46" ht="15.75" customHeight="1" x14ac:dyDescent="0.2">
      <c r="A816" s="76"/>
      <c r="B816" s="16">
        <v>1</v>
      </c>
      <c r="C816" s="16" t="s">
        <v>26</v>
      </c>
      <c r="D816" s="18">
        <f t="shared" ref="D816:H816" si="2264">D6+D33+D60+D87+D114+D141+D168+D195+D222+D249+D276+D303+D330+D357+D384+D411+D438+D465+D492+D519+D546+D573+D600+D627+D654+D681+D708+D735+D762+D789</f>
        <v>564</v>
      </c>
      <c r="E816" s="18">
        <f t="shared" ca="1" si="2264"/>
        <v>564</v>
      </c>
      <c r="F816" s="18">
        <f t="shared" ca="1" si="2264"/>
        <v>107832.82799999999</v>
      </c>
      <c r="G816" s="18">
        <f t="shared" ca="1" si="2264"/>
        <v>55894</v>
      </c>
      <c r="H816" s="18">
        <f t="shared" ca="1" si="2264"/>
        <v>371</v>
      </c>
      <c r="I816" s="18">
        <f t="shared" ref="I816:I833" ca="1" si="2265">SUM(G816:H816)</f>
        <v>56265</v>
      </c>
      <c r="J816" s="18">
        <f t="shared" ref="J816:K816" ca="1" si="2266">J6+J33+J60+J87+J114+J141+J168+J195+J222+J249+J276+J303+J330+J357+J384+J411+J438+J465+J492+J519+J546+J573+J600+J627+J654+J681+J708+J735+J762+J789</f>
        <v>82205</v>
      </c>
      <c r="K816" s="18">
        <f t="shared" ca="1" si="2266"/>
        <v>962</v>
      </c>
      <c r="L816" s="18">
        <f t="shared" ref="L816:L822" ca="1" si="2267">SUM(J816:K816)</f>
        <v>83167</v>
      </c>
      <c r="M816" s="18">
        <f t="shared" ref="M816:M833" ca="1" si="2268">SUM(I816+L816)</f>
        <v>139432</v>
      </c>
      <c r="N816" s="19">
        <f t="shared" ref="N816:N834" ca="1" si="2269">F816/E816</f>
        <v>191.19295744680849</v>
      </c>
      <c r="O816" s="18">
        <f t="shared" ref="O816:O833" si="2270">O6+O33+O60+O87+O114+O141+O168+O195+O222+O249+O276+O303+O330+O357+O384+O411+O438+O465+O492+O519+O546+O573+O600+O627+O654+O681+O708+O735+O762+O789</f>
        <v>154830</v>
      </c>
      <c r="P816" s="20">
        <f t="shared" ref="P816:P834" ca="1" si="2271">M816/O816</f>
        <v>0.90054898921397664</v>
      </c>
      <c r="Q816" s="21">
        <v>1.5</v>
      </c>
      <c r="R816" s="20">
        <f t="shared" ref="R816:R834" ca="1" si="2272">S816/Q816</f>
        <v>0.86202567799359464</v>
      </c>
      <c r="S816" s="22">
        <f t="shared" ref="S816:S834" ca="1" si="2273">M816/F816</f>
        <v>1.293038516990392</v>
      </c>
      <c r="T816" s="21">
        <f ca="1">F816/14.415</f>
        <v>7480.5985431841827</v>
      </c>
      <c r="U816" s="21">
        <f t="shared" ref="U816:U834" ca="1" si="2274">T816/E816</f>
        <v>13.263472594298197</v>
      </c>
      <c r="V816" s="18">
        <f t="shared" ref="V816:V834" ca="1" si="2275">M816/E816</f>
        <v>247.21985815602838</v>
      </c>
      <c r="W816" s="76"/>
      <c r="X816" s="53">
        <v>4</v>
      </c>
      <c r="Y816" s="53" t="s">
        <v>27</v>
      </c>
      <c r="Z816" s="54">
        <f t="shared" ref="Z816:AI816" si="2276">SUM(D829)</f>
        <v>848</v>
      </c>
      <c r="AA816" s="54">
        <f t="shared" ca="1" si="2276"/>
        <v>825</v>
      </c>
      <c r="AB816" s="54">
        <f t="shared" ca="1" si="2276"/>
        <v>155775.11799999996</v>
      </c>
      <c r="AC816" s="54">
        <f t="shared" ca="1" si="2276"/>
        <v>67770</v>
      </c>
      <c r="AD816" s="54">
        <f t="shared" ca="1" si="2276"/>
        <v>3674</v>
      </c>
      <c r="AE816" s="54">
        <f t="shared" ca="1" si="2276"/>
        <v>71444</v>
      </c>
      <c r="AF816" s="54">
        <f t="shared" ca="1" si="2276"/>
        <v>85478</v>
      </c>
      <c r="AG816" s="54">
        <f t="shared" ca="1" si="2276"/>
        <v>5112</v>
      </c>
      <c r="AH816" s="54">
        <f t="shared" ca="1" si="2276"/>
        <v>90590</v>
      </c>
      <c r="AI816" s="54">
        <f t="shared" ca="1" si="2276"/>
        <v>162034</v>
      </c>
      <c r="AJ816" s="55">
        <f t="shared" ca="1" si="2251"/>
        <v>188.81832484848479</v>
      </c>
      <c r="AK816" s="54">
        <f>SUM(O829)</f>
        <v>243030</v>
      </c>
      <c r="AL816" s="56">
        <f t="shared" ca="1" si="2253"/>
        <v>0.66672427272353207</v>
      </c>
      <c r="AM816" s="57">
        <f>SUM(Q829)</f>
        <v>1.5</v>
      </c>
      <c r="AN816" s="56">
        <f t="shared" ca="1" si="2255"/>
        <v>0.69345263899377496</v>
      </c>
      <c r="AO816" s="58">
        <f t="shared" ca="1" si="2256"/>
        <v>1.0401789584906624</v>
      </c>
      <c r="AP816" s="57">
        <f t="shared" ref="AP816:AQ816" ca="1" si="2277">SUM(T829)</f>
        <v>7794.6018513885392</v>
      </c>
      <c r="AQ816" s="57">
        <f t="shared" ca="1" si="2277"/>
        <v>9.4480022441073199</v>
      </c>
      <c r="AR816" s="54">
        <f t="shared" ca="1" si="2258"/>
        <v>196.40484848484849</v>
      </c>
      <c r="AS816" s="59">
        <f ca="1">MAX(M19,M46,M73,M100,M127,M154,M181,M208,M235,M262,M289,M316,M343,M370,M397,M424,M451,M478,M505,M532,M559,M586,M613,M640,M667,M694,M721,M748,M775,M802)</f>
        <v>6206</v>
      </c>
      <c r="AT816" s="60">
        <v>46273</v>
      </c>
    </row>
    <row r="817" spans="1:46" ht="15.75" customHeight="1" x14ac:dyDescent="0.2">
      <c r="A817" s="76"/>
      <c r="B817" s="16">
        <v>2</v>
      </c>
      <c r="C817" s="16" t="s">
        <v>28</v>
      </c>
      <c r="D817" s="18">
        <f t="shared" ref="D817:H817" si="2278">D7+D34+D61+D88+D115+D142+D169+D196+D223+D250+D277+D304+D331+D358+D385+D412+D439+D466+D493+D520+D547+D574+D601+D628+D655+D682+D709+D736+D763+D790</f>
        <v>926</v>
      </c>
      <c r="E817" s="18">
        <f t="shared" ca="1" si="2278"/>
        <v>936</v>
      </c>
      <c r="F817" s="18">
        <f t="shared" ca="1" si="2278"/>
        <v>183753.36599999986</v>
      </c>
      <c r="G817" s="18">
        <f t="shared" ca="1" si="2278"/>
        <v>75431</v>
      </c>
      <c r="H817" s="18">
        <f t="shared" ca="1" si="2278"/>
        <v>3449</v>
      </c>
      <c r="I817" s="18">
        <f t="shared" ca="1" si="2265"/>
        <v>78880</v>
      </c>
      <c r="J817" s="18">
        <f t="shared" ref="J817:K817" ca="1" si="2279">J7+J34+J61+J88+J115+J142+J169+J196+J223+J250+J277+J304+J331+J358+J385+J412+J439+J466+J493+J520+J547+J574+J601+J628+J655+J682+J709+J736+J763+J790</f>
        <v>81295</v>
      </c>
      <c r="K817" s="18">
        <f t="shared" ca="1" si="2279"/>
        <v>5415</v>
      </c>
      <c r="L817" s="18">
        <f t="shared" ca="1" si="2267"/>
        <v>86710</v>
      </c>
      <c r="M817" s="18">
        <f t="shared" ca="1" si="2268"/>
        <v>165590</v>
      </c>
      <c r="N817" s="19">
        <f t="shared" ca="1" si="2269"/>
        <v>196.31769871794856</v>
      </c>
      <c r="O817" s="18">
        <f t="shared" si="2270"/>
        <v>219450</v>
      </c>
      <c r="P817" s="20">
        <f t="shared" ca="1" si="2271"/>
        <v>0.75456823877876511</v>
      </c>
      <c r="Q817" s="21">
        <v>1.5</v>
      </c>
      <c r="R817" s="20">
        <f t="shared" ca="1" si="2272"/>
        <v>0.60076904024350453</v>
      </c>
      <c r="S817" s="22">
        <f t="shared" ca="1" si="2273"/>
        <v>0.90115356036525673</v>
      </c>
      <c r="T817" s="21">
        <f ca="1">F817/30.897</f>
        <v>5947.2882804155706</v>
      </c>
      <c r="U817" s="21">
        <f t="shared" ca="1" si="2274"/>
        <v>6.353940470529456</v>
      </c>
      <c r="V817" s="18">
        <f t="shared" ca="1" si="2275"/>
        <v>176.91239316239316</v>
      </c>
      <c r="W817" s="76"/>
      <c r="X817" s="53">
        <v>5</v>
      </c>
      <c r="Y817" s="53" t="s">
        <v>29</v>
      </c>
      <c r="Z817" s="54">
        <f t="shared" ref="Z817:AI817" si="2280">SUM(D832)</f>
        <v>848</v>
      </c>
      <c r="AA817" s="54">
        <f t="shared" ca="1" si="2280"/>
        <v>844</v>
      </c>
      <c r="AB817" s="54">
        <f t="shared" ca="1" si="2280"/>
        <v>170930.98699999976</v>
      </c>
      <c r="AC817" s="54">
        <f t="shared" ca="1" si="2280"/>
        <v>76948</v>
      </c>
      <c r="AD817" s="54">
        <f t="shared" ca="1" si="2280"/>
        <v>111</v>
      </c>
      <c r="AE817" s="54">
        <f t="shared" ca="1" si="2280"/>
        <v>77059</v>
      </c>
      <c r="AF817" s="54">
        <f t="shared" ca="1" si="2280"/>
        <v>116240</v>
      </c>
      <c r="AG817" s="54">
        <f t="shared" ca="1" si="2280"/>
        <v>350</v>
      </c>
      <c r="AH817" s="54">
        <f t="shared" ca="1" si="2280"/>
        <v>116590</v>
      </c>
      <c r="AI817" s="54">
        <f t="shared" ca="1" si="2280"/>
        <v>193649</v>
      </c>
      <c r="AJ817" s="55">
        <f t="shared" ca="1" si="2251"/>
        <v>202.5248661137438</v>
      </c>
      <c r="AK817" s="54">
        <f t="shared" ref="AK817:AK818" si="2281">SUM(O832)</f>
        <v>276030</v>
      </c>
      <c r="AL817" s="56">
        <f t="shared" ca="1" si="2253"/>
        <v>0.70155055609897476</v>
      </c>
      <c r="AM817" s="57">
        <f t="shared" ref="AM817:AM818" si="2282">SUM(Q832)</f>
        <v>1.5</v>
      </c>
      <c r="AN817" s="56">
        <f t="shared" ca="1" si="2255"/>
        <v>0.75527167776392412</v>
      </c>
      <c r="AO817" s="58">
        <f t="shared" ca="1" si="2256"/>
        <v>1.1329075166458862</v>
      </c>
      <c r="AP817" s="57">
        <f t="shared" ref="AP817:AQ817" ca="1" si="2283">SUM(T832)</f>
        <v>6452.4173115397589</v>
      </c>
      <c r="AQ817" s="57">
        <f t="shared" ca="1" si="2283"/>
        <v>7.6450442079854959</v>
      </c>
      <c r="AR817" s="54">
        <f t="shared" ca="1" si="2258"/>
        <v>229.44194312796208</v>
      </c>
      <c r="AS817" s="59">
        <f t="shared" ref="AS817:AS819" ca="1" si="2284">MAX(M22,M49,M76,M103,M130,M157,M184,M211,M238,M265,M292,M319,M346,M373,M400,M427,M454,M481,M508,M535,M562,M589,M616,M643,M670,M697,M724,M751,M778,M805)</f>
        <v>7297</v>
      </c>
      <c r="AT817" s="60">
        <v>46273</v>
      </c>
    </row>
    <row r="818" spans="1:46" ht="15.75" customHeight="1" x14ac:dyDescent="0.2">
      <c r="A818" s="76"/>
      <c r="B818" s="16">
        <v>3</v>
      </c>
      <c r="C818" s="16" t="s">
        <v>30</v>
      </c>
      <c r="D818" s="18">
        <f t="shared" ref="D818:H818" si="2285">D8+D35+D62+D89+D116+D143+D170+D197+D224+D251+D278+D305+D332+D359+D386+D413+D440+D467+D494+D521+D548+D575+D602+D629+D656+D683+D710+D737+D764+D791</f>
        <v>1692</v>
      </c>
      <c r="E818" s="18">
        <f t="shared" ca="1" si="2285"/>
        <v>1672</v>
      </c>
      <c r="F818" s="18">
        <f t="shared" ca="1" si="2285"/>
        <v>322455.9769999978</v>
      </c>
      <c r="G818" s="18">
        <f t="shared" ca="1" si="2285"/>
        <v>99247</v>
      </c>
      <c r="H818" s="18">
        <f t="shared" ca="1" si="2285"/>
        <v>365</v>
      </c>
      <c r="I818" s="18">
        <f t="shared" ca="1" si="2265"/>
        <v>99612</v>
      </c>
      <c r="J818" s="18">
        <f t="shared" ref="J818:K818" ca="1" si="2286">J8+J35+J62+J89+J116+J143+J170+J197+J224+J251+J278+J305+J332+J359+J386+J413+J440+J467+J494+J521+J548+J575+J602+J629+J656+J683+J710+J737+J764+J791</f>
        <v>158093</v>
      </c>
      <c r="K818" s="18">
        <f t="shared" ca="1" si="2286"/>
        <v>474</v>
      </c>
      <c r="L818" s="18">
        <f t="shared" ca="1" si="2267"/>
        <v>158567</v>
      </c>
      <c r="M818" s="18">
        <f t="shared" ca="1" si="2268"/>
        <v>258179</v>
      </c>
      <c r="N818" s="19">
        <f t="shared" ca="1" si="2269"/>
        <v>192.85644557416137</v>
      </c>
      <c r="O818" s="18">
        <f t="shared" si="2270"/>
        <v>334920</v>
      </c>
      <c r="P818" s="20">
        <f t="shared" ca="1" si="2271"/>
        <v>0.77086766989131728</v>
      </c>
      <c r="Q818" s="21">
        <v>1.5</v>
      </c>
      <c r="R818" s="20">
        <f t="shared" ca="1" si="2272"/>
        <v>0.53377622252396495</v>
      </c>
      <c r="S818" s="22">
        <f t="shared" ca="1" si="2273"/>
        <v>0.80066433378594737</v>
      </c>
      <c r="T818" s="21">
        <f ca="1">F818/29.603</f>
        <v>10892.679019018267</v>
      </c>
      <c r="U818" s="21">
        <f t="shared" ca="1" si="2274"/>
        <v>6.5147601788386771</v>
      </c>
      <c r="V818" s="18">
        <f t="shared" ca="1" si="2275"/>
        <v>154.41327751196172</v>
      </c>
      <c r="W818" s="76"/>
      <c r="X818" s="53">
        <v>6</v>
      </c>
      <c r="Y818" s="53" t="s">
        <v>31</v>
      </c>
      <c r="Z818" s="54">
        <f t="shared" ref="Z818:AI818" si="2287">SUM(D833)</f>
        <v>422</v>
      </c>
      <c r="AA818" s="54">
        <f t="shared" ca="1" si="2287"/>
        <v>402</v>
      </c>
      <c r="AB818" s="54">
        <f t="shared" ca="1" si="2287"/>
        <v>77798.90699999989</v>
      </c>
      <c r="AC818" s="54">
        <f t="shared" ca="1" si="2287"/>
        <v>22907</v>
      </c>
      <c r="AD818" s="54">
        <f t="shared" ca="1" si="2287"/>
        <v>412</v>
      </c>
      <c r="AE818" s="54">
        <f t="shared" ca="1" si="2287"/>
        <v>23319</v>
      </c>
      <c r="AF818" s="54">
        <f t="shared" ca="1" si="2287"/>
        <v>28508</v>
      </c>
      <c r="AG818" s="54">
        <f t="shared" ca="1" si="2287"/>
        <v>2601</v>
      </c>
      <c r="AH818" s="54">
        <f t="shared" ca="1" si="2287"/>
        <v>31109</v>
      </c>
      <c r="AI818" s="54">
        <f t="shared" ca="1" si="2287"/>
        <v>54428</v>
      </c>
      <c r="AJ818" s="55">
        <f t="shared" ca="1" si="2251"/>
        <v>193.52961940298479</v>
      </c>
      <c r="AK818" s="54">
        <f t="shared" si="2281"/>
        <v>81510</v>
      </c>
      <c r="AL818" s="56">
        <f t="shared" ca="1" si="2253"/>
        <v>0.6677462887989204</v>
      </c>
      <c r="AM818" s="57">
        <f t="shared" si="2282"/>
        <v>1.5</v>
      </c>
      <c r="AN818" s="56">
        <f t="shared" ca="1" si="2255"/>
        <v>0.466399011663922</v>
      </c>
      <c r="AO818" s="58">
        <f t="shared" ca="1" si="2256"/>
        <v>0.69959851749588298</v>
      </c>
      <c r="AP818" s="57">
        <f t="shared" ref="AP818:AQ818" ca="1" si="2288">SUM(T833)</f>
        <v>1789.9207868399835</v>
      </c>
      <c r="AQ818" s="57">
        <f t="shared" ca="1" si="2288"/>
        <v>4.4525392707462279</v>
      </c>
      <c r="AR818" s="54">
        <f t="shared" ca="1" si="2258"/>
        <v>135.39303482587064</v>
      </c>
      <c r="AS818" s="59">
        <f t="shared" ca="1" si="2284"/>
        <v>3653</v>
      </c>
      <c r="AT818" s="60">
        <v>46273</v>
      </c>
    </row>
    <row r="819" spans="1:46" ht="15.75" customHeight="1" x14ac:dyDescent="0.25">
      <c r="A819" s="76"/>
      <c r="B819" s="16">
        <v>4</v>
      </c>
      <c r="C819" s="16" t="s">
        <v>32</v>
      </c>
      <c r="D819" s="18">
        <f t="shared" ref="D819:H819" si="2289">D9+D36+D63+D90+D117+D144+D171+D198+D225+D252+D279+D306+D333+D360+D387+D414+D441+D468+D495+D522+D549+D576+D603+D630+D657+D684+D711+D738+D765+D792</f>
        <v>1184</v>
      </c>
      <c r="E819" s="18">
        <f t="shared" ca="1" si="2289"/>
        <v>1194</v>
      </c>
      <c r="F819" s="18">
        <f t="shared" ca="1" si="2289"/>
        <v>234200.79199999975</v>
      </c>
      <c r="G819" s="18">
        <f t="shared" ca="1" si="2289"/>
        <v>131995</v>
      </c>
      <c r="H819" s="18">
        <f t="shared" ca="1" si="2289"/>
        <v>275</v>
      </c>
      <c r="I819" s="18">
        <f t="shared" ca="1" si="2265"/>
        <v>132270</v>
      </c>
      <c r="J819" s="18">
        <f t="shared" ref="J819:K819" ca="1" si="2290">J9+J36+J63+J90+J117+J144+J171+J198+J225+J252+J279+J306+J333+J360+J387+J414+J441+J468+J495+J522+J549+J576+J603+J630+J657+J684+J711+J738+J765+J792</f>
        <v>158096</v>
      </c>
      <c r="K819" s="18">
        <f t="shared" ca="1" si="2290"/>
        <v>1920</v>
      </c>
      <c r="L819" s="18">
        <f t="shared" ca="1" si="2267"/>
        <v>160016</v>
      </c>
      <c r="M819" s="18">
        <f t="shared" ca="1" si="2268"/>
        <v>292286</v>
      </c>
      <c r="N819" s="19">
        <f t="shared" ca="1" si="2269"/>
        <v>196.14806700167483</v>
      </c>
      <c r="O819" s="18">
        <f t="shared" si="2270"/>
        <v>414510</v>
      </c>
      <c r="P819" s="20">
        <f t="shared" ca="1" si="2271"/>
        <v>0.70513618489300622</v>
      </c>
      <c r="Q819" s="21">
        <v>1.5</v>
      </c>
      <c r="R819" s="20">
        <f t="shared" ca="1" si="2272"/>
        <v>0.8320097112794288</v>
      </c>
      <c r="S819" s="22">
        <f t="shared" ca="1" si="2273"/>
        <v>1.2480145669191431</v>
      </c>
      <c r="T819" s="21">
        <f ca="1">F819/25.089</f>
        <v>9334.7997927378437</v>
      </c>
      <c r="U819" s="21">
        <f t="shared" ca="1" si="2274"/>
        <v>7.8180902786749114</v>
      </c>
      <c r="V819" s="18">
        <f t="shared" ca="1" si="2275"/>
        <v>244.79564489112227</v>
      </c>
      <c r="W819" s="76"/>
      <c r="X819" s="35" t="s">
        <v>33</v>
      </c>
      <c r="Y819" s="35">
        <v>6</v>
      </c>
      <c r="Z819" s="61">
        <f t="shared" ref="Z819:AI819" si="2291">SUM(Z813:Z818)</f>
        <v>5276</v>
      </c>
      <c r="AA819" s="61">
        <f t="shared" ca="1" si="2291"/>
        <v>5219</v>
      </c>
      <c r="AB819" s="61">
        <f t="shared" ca="1" si="2291"/>
        <v>1011456.1679999989</v>
      </c>
      <c r="AC819" s="61">
        <f t="shared" ca="1" si="2291"/>
        <v>317087</v>
      </c>
      <c r="AD819" s="61">
        <f t="shared" ca="1" si="2291"/>
        <v>16397</v>
      </c>
      <c r="AE819" s="61">
        <f t="shared" ca="1" si="2291"/>
        <v>333484</v>
      </c>
      <c r="AF819" s="61">
        <f t="shared" ca="1" si="2291"/>
        <v>447333</v>
      </c>
      <c r="AG819" s="61">
        <f t="shared" ca="1" si="2291"/>
        <v>20354</v>
      </c>
      <c r="AH819" s="61">
        <f t="shared" ca="1" si="2291"/>
        <v>467687</v>
      </c>
      <c r="AI819" s="61">
        <f t="shared" ca="1" si="2291"/>
        <v>801171</v>
      </c>
      <c r="AJ819" s="62">
        <f t="shared" ca="1" si="2251"/>
        <v>193.80267637478423</v>
      </c>
      <c r="AK819" s="61">
        <f>SUM(AK813:AK818)</f>
        <v>1052220</v>
      </c>
      <c r="AL819" s="63">
        <f t="shared" ca="1" si="2253"/>
        <v>0.76141016137309692</v>
      </c>
      <c r="AM819" s="64">
        <v>1.5</v>
      </c>
      <c r="AN819" s="63">
        <f t="shared" ca="1" si="2255"/>
        <v>0.52806440545627342</v>
      </c>
      <c r="AO819" s="65">
        <f t="shared" ca="1" si="2256"/>
        <v>0.79209660818441008</v>
      </c>
      <c r="AP819" s="64">
        <f ca="1">SUM(AP813:AP818)</f>
        <v>37998.997706406677</v>
      </c>
      <c r="AQ819" s="64">
        <f ca="1">AP819/AA819</f>
        <v>7.2808962840403675</v>
      </c>
      <c r="AR819" s="61">
        <f t="shared" ca="1" si="2258"/>
        <v>153.51044261352749</v>
      </c>
      <c r="AS819" s="66">
        <f t="shared" ca="1" si="2284"/>
        <v>104099</v>
      </c>
      <c r="AT819" s="67">
        <v>46284</v>
      </c>
    </row>
    <row r="820" spans="1:46" ht="15.75" customHeight="1" x14ac:dyDescent="0.2">
      <c r="A820" s="76"/>
      <c r="B820" s="16">
        <v>5</v>
      </c>
      <c r="C820" s="16" t="s">
        <v>34</v>
      </c>
      <c r="D820" s="18">
        <f t="shared" ref="D820:H820" si="2292">D10+D37+D64+D91+D118+D145+D172+D199+D226+D253+D280+D307+D334+D361+D388+D415+D442+D469+D496+D523+D550+D577+D604+D631+D658+D685+D712+D739+D766+D793</f>
        <v>1128</v>
      </c>
      <c r="E820" s="18">
        <f t="shared" ca="1" si="2292"/>
        <v>1116</v>
      </c>
      <c r="F820" s="18">
        <f t="shared" ca="1" si="2292"/>
        <v>218946.6</v>
      </c>
      <c r="G820" s="18">
        <f t="shared" ca="1" si="2292"/>
        <v>82196</v>
      </c>
      <c r="H820" s="18">
        <f t="shared" ca="1" si="2292"/>
        <v>156</v>
      </c>
      <c r="I820" s="18">
        <f t="shared" ca="1" si="2265"/>
        <v>82352</v>
      </c>
      <c r="J820" s="18">
        <f t="shared" ref="J820:K820" ca="1" si="2293">J10+J37+J64+J91+J118+J145+J172+J199+J226+J253+J280+J307+J334+J361+J388+J415+J442+J469+J496+J523+J550+J577+J604+J631+J658+J685+J712+J739+J766+J793</f>
        <v>89632</v>
      </c>
      <c r="K820" s="18">
        <f t="shared" ca="1" si="2293"/>
        <v>689</v>
      </c>
      <c r="L820" s="18">
        <f t="shared" ca="1" si="2267"/>
        <v>90321</v>
      </c>
      <c r="M820" s="18">
        <f t="shared" ca="1" si="2268"/>
        <v>172673</v>
      </c>
      <c r="N820" s="19">
        <f t="shared" ca="1" si="2269"/>
        <v>196.18870967741935</v>
      </c>
      <c r="O820" s="18">
        <f t="shared" si="2270"/>
        <v>280620</v>
      </c>
      <c r="P820" s="20">
        <f t="shared" ca="1" si="2271"/>
        <v>0.61532677642363343</v>
      </c>
      <c r="Q820" s="21">
        <v>1.5</v>
      </c>
      <c r="R820" s="20">
        <f t="shared" ca="1" si="2272"/>
        <v>0.52576899268284294</v>
      </c>
      <c r="S820" s="22">
        <f t="shared" ca="1" si="2273"/>
        <v>0.78865348902426435</v>
      </c>
      <c r="T820" s="21">
        <f ca="1">F820/30.713</f>
        <v>7128.7923680526164</v>
      </c>
      <c r="U820" s="21">
        <f t="shared" ca="1" si="2274"/>
        <v>6.3878067814091546</v>
      </c>
      <c r="V820" s="18">
        <f t="shared" ca="1" si="2275"/>
        <v>154.72491039426524</v>
      </c>
      <c r="W820" s="76"/>
      <c r="X820" s="100" t="s">
        <v>35</v>
      </c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9"/>
    </row>
    <row r="821" spans="1:46" ht="15.75" customHeight="1" x14ac:dyDescent="0.2">
      <c r="A821" s="76"/>
      <c r="B821" s="16">
        <v>6</v>
      </c>
      <c r="C821" s="16" t="s">
        <v>23</v>
      </c>
      <c r="D821" s="18">
        <f t="shared" ref="D821:H821" si="2294">D11+D38+D65+D92+D119+D146+D173+D200+D227+D254+D281+D308+D335+D362+D389+D416+D443+D470+D497+D524+D551+D578+D605+D632+D659+D686+D713+D740+D767+D794</f>
        <v>986</v>
      </c>
      <c r="E821" s="18">
        <f t="shared" ca="1" si="2294"/>
        <v>984</v>
      </c>
      <c r="F821" s="18">
        <f t="shared" ca="1" si="2294"/>
        <v>192299.33599999969</v>
      </c>
      <c r="G821" s="18">
        <f t="shared" ca="1" si="2294"/>
        <v>50324</v>
      </c>
      <c r="H821" s="18">
        <f t="shared" ca="1" si="2294"/>
        <v>238</v>
      </c>
      <c r="I821" s="18">
        <f t="shared" ca="1" si="2265"/>
        <v>50562</v>
      </c>
      <c r="J821" s="18">
        <f t="shared" ref="J821:K821" ca="1" si="2295">J11+J38+J65+J92+J119+J146+J173+J200+J227+J254+J281+J308+J335+J362+J389+J416+J443+J470+J497+J524+J551+J578+J605+J632+J659+J686+J713+J740+J767+J794</f>
        <v>87234</v>
      </c>
      <c r="K821" s="18">
        <f t="shared" ca="1" si="2295"/>
        <v>594</v>
      </c>
      <c r="L821" s="18">
        <f t="shared" ca="1" si="2267"/>
        <v>87828</v>
      </c>
      <c r="M821" s="18">
        <f t="shared" ca="1" si="2268"/>
        <v>138390</v>
      </c>
      <c r="N821" s="19">
        <f t="shared" ca="1" si="2269"/>
        <v>195.42615447154441</v>
      </c>
      <c r="O821" s="18">
        <f t="shared" si="2270"/>
        <v>205590</v>
      </c>
      <c r="P821" s="20">
        <f t="shared" ca="1" si="2271"/>
        <v>0.67313585291113376</v>
      </c>
      <c r="Q821" s="21">
        <v>1.5</v>
      </c>
      <c r="R821" s="20">
        <f t="shared" ca="1" si="2272"/>
        <v>0.47977284747358745</v>
      </c>
      <c r="S821" s="22">
        <f t="shared" ca="1" si="2273"/>
        <v>0.7196592712103812</v>
      </c>
      <c r="T821" s="21">
        <f ca="1">F821/33.74</f>
        <v>5699.4468286899728</v>
      </c>
      <c r="U821" s="21">
        <f t="shared" ca="1" si="2274"/>
        <v>5.7921207608637939</v>
      </c>
      <c r="V821" s="18">
        <f t="shared" ca="1" si="2275"/>
        <v>140.64024390243901</v>
      </c>
      <c r="W821" s="76"/>
      <c r="X821" s="46" t="s">
        <v>2</v>
      </c>
      <c r="Y821" s="46" t="s">
        <v>3</v>
      </c>
      <c r="Z821" s="46" t="s">
        <v>4</v>
      </c>
      <c r="AA821" s="46" t="s">
        <v>5</v>
      </c>
      <c r="AB821" s="47" t="s">
        <v>6</v>
      </c>
      <c r="AC821" s="46" t="s">
        <v>7</v>
      </c>
      <c r="AD821" s="46" t="s">
        <v>8</v>
      </c>
      <c r="AE821" s="46" t="s">
        <v>9</v>
      </c>
      <c r="AF821" s="46" t="s">
        <v>10</v>
      </c>
      <c r="AG821" s="46" t="s">
        <v>11</v>
      </c>
      <c r="AH821" s="46" t="s">
        <v>12</v>
      </c>
      <c r="AI821" s="46" t="s">
        <v>13</v>
      </c>
      <c r="AJ821" s="47" t="s">
        <v>14</v>
      </c>
      <c r="AK821" s="46" t="s">
        <v>15</v>
      </c>
      <c r="AL821" s="46" t="s">
        <v>16</v>
      </c>
      <c r="AM821" s="48" t="s">
        <v>17</v>
      </c>
      <c r="AN821" s="49" t="s">
        <v>18</v>
      </c>
      <c r="AO821" s="50" t="s">
        <v>19</v>
      </c>
      <c r="AP821" s="51" t="s">
        <v>20</v>
      </c>
      <c r="AQ821" s="51" t="s">
        <v>21</v>
      </c>
      <c r="AR821" s="52" t="s">
        <v>22</v>
      </c>
      <c r="AS821" s="52" t="s">
        <v>47</v>
      </c>
      <c r="AT821" s="52" t="s">
        <v>48</v>
      </c>
    </row>
    <row r="822" spans="1:46" ht="15.75" customHeight="1" x14ac:dyDescent="0.2">
      <c r="A822" s="76"/>
      <c r="B822" s="16">
        <v>7</v>
      </c>
      <c r="C822" s="16" t="s">
        <v>24</v>
      </c>
      <c r="D822" s="18">
        <f t="shared" ref="D822:H822" si="2296">D12+D39+D66+D93+D120+D147+D174+D201+D228+D255+D282+D309+D336+D363+D390+D417+D444+D471+D498+D525+D552+D579+D606+D633+D660+D687+D714+D741+D768+D795</f>
        <v>1256</v>
      </c>
      <c r="E822" s="18">
        <f t="shared" ca="1" si="2296"/>
        <v>1258</v>
      </c>
      <c r="F822" s="18">
        <f t="shared" ca="1" si="2296"/>
        <v>243651.35199999969</v>
      </c>
      <c r="G822" s="18">
        <f t="shared" ca="1" si="2296"/>
        <v>34067</v>
      </c>
      <c r="H822" s="18">
        <f t="shared" ca="1" si="2296"/>
        <v>184</v>
      </c>
      <c r="I822" s="18">
        <f t="shared" ca="1" si="2265"/>
        <v>34251</v>
      </c>
      <c r="J822" s="18">
        <f t="shared" ref="J822:K822" ca="1" si="2297">J12+J39+J66+J93+J120+J147+J174+J201+J228+J255+J282+J309+J336+J363+J390+J417+J444+J471+J498+J525+J552+J579+J606+J633+J660+J687+J714+J741+J768+J795</f>
        <v>40814</v>
      </c>
      <c r="K822" s="18">
        <f t="shared" ca="1" si="2297"/>
        <v>911</v>
      </c>
      <c r="L822" s="18">
        <f t="shared" ca="1" si="2267"/>
        <v>41725</v>
      </c>
      <c r="M822" s="18">
        <f t="shared" ca="1" si="2268"/>
        <v>75976</v>
      </c>
      <c r="N822" s="19">
        <f t="shared" ca="1" si="2269"/>
        <v>193.68151987281374</v>
      </c>
      <c r="O822" s="18">
        <f t="shared" si="2270"/>
        <v>47400</v>
      </c>
      <c r="P822" s="20">
        <f t="shared" ca="1" si="2271"/>
        <v>1.6028691983122363</v>
      </c>
      <c r="Q822" s="21">
        <v>1.5</v>
      </c>
      <c r="R822" s="20">
        <f t="shared" ca="1" si="2272"/>
        <v>0.20788173860273398</v>
      </c>
      <c r="S822" s="22">
        <f t="shared" ca="1" si="2273"/>
        <v>0.31182260790410099</v>
      </c>
      <c r="T822" s="21">
        <f ca="1">F822/26.805</f>
        <v>9089.7725051296293</v>
      </c>
      <c r="U822" s="21">
        <f t="shared" ca="1" si="2274"/>
        <v>7.2255743284019314</v>
      </c>
      <c r="V822" s="18">
        <f t="shared" ca="1" si="2275"/>
        <v>60.394276629570747</v>
      </c>
      <c r="W822" s="76"/>
      <c r="X822" s="53">
        <v>1</v>
      </c>
      <c r="Y822" s="53" t="s">
        <v>28</v>
      </c>
      <c r="Z822" s="54">
        <f t="shared" ref="Z822:AI822" si="2298">SUM(D817)</f>
        <v>926</v>
      </c>
      <c r="AA822" s="54">
        <f t="shared" ca="1" si="2298"/>
        <v>936</v>
      </c>
      <c r="AB822" s="54">
        <f t="shared" ca="1" si="2298"/>
        <v>183753.36599999986</v>
      </c>
      <c r="AC822" s="54">
        <f t="shared" ca="1" si="2298"/>
        <v>75431</v>
      </c>
      <c r="AD822" s="54">
        <f t="shared" ca="1" si="2298"/>
        <v>3449</v>
      </c>
      <c r="AE822" s="54">
        <f t="shared" ca="1" si="2298"/>
        <v>78880</v>
      </c>
      <c r="AF822" s="54">
        <f t="shared" ca="1" si="2298"/>
        <v>81295</v>
      </c>
      <c r="AG822" s="54">
        <f t="shared" ca="1" si="2298"/>
        <v>5415</v>
      </c>
      <c r="AH822" s="54">
        <f t="shared" ca="1" si="2298"/>
        <v>86710</v>
      </c>
      <c r="AI822" s="54">
        <f t="shared" ca="1" si="2298"/>
        <v>165590</v>
      </c>
      <c r="AJ822" s="55">
        <f t="shared" ref="AJ822:AJ828" ca="1" si="2299">AB822/AA822</f>
        <v>196.31769871794856</v>
      </c>
      <c r="AK822" s="54">
        <f t="shared" ref="AK822:AK823" si="2300">SUM(O817)</f>
        <v>219450</v>
      </c>
      <c r="AL822" s="56">
        <f t="shared" ref="AL822:AL828" ca="1" si="2301">AI822/AK822</f>
        <v>0.75456823877876511</v>
      </c>
      <c r="AM822" s="57">
        <f t="shared" ref="AM822:AM823" si="2302">SUM(Q817)</f>
        <v>1.5</v>
      </c>
      <c r="AN822" s="56">
        <f t="shared" ref="AN822:AN828" ca="1" si="2303">AO822/AM822</f>
        <v>0.60076904024350453</v>
      </c>
      <c r="AO822" s="58">
        <f t="shared" ref="AO822:AO828" ca="1" si="2304">AI822/AB822</f>
        <v>0.90115356036525673</v>
      </c>
      <c r="AP822" s="57">
        <f t="shared" ref="AP822:AQ822" ca="1" si="2305">SUM(T817)</f>
        <v>5947.2882804155706</v>
      </c>
      <c r="AQ822" s="57">
        <f t="shared" ca="1" si="2305"/>
        <v>6.353940470529456</v>
      </c>
      <c r="AR822" s="54">
        <f t="shared" ref="AR822:AR828" ca="1" si="2306">AI822/AA822</f>
        <v>176.91239316239316</v>
      </c>
      <c r="AS822" s="59">
        <f t="shared" ref="AS822:AS823" ca="1" si="2307">MAX(M7,M34,M61,M88,M115,M142,M169,M196,M223,M250,M277,M304,M331,M358,M385,M412,M439,M466,M493,M520,M547,M574,M601,M628,M655,M682,M709,M736,M763,M790)</f>
        <v>6401</v>
      </c>
      <c r="AT822" s="60">
        <v>46273</v>
      </c>
    </row>
    <row r="823" spans="1:46" ht="15.75" customHeight="1" x14ac:dyDescent="0.2">
      <c r="A823" s="76"/>
      <c r="B823" s="16">
        <v>8</v>
      </c>
      <c r="C823" s="16" t="s">
        <v>25</v>
      </c>
      <c r="D823" s="18">
        <f t="shared" ref="D823:H823" si="2308">D13+D40+D67+D94+D121+D148+D175+D202+D229+D256+D283+D310+D337+D364+D391+D418+D445+D472+D499+D526+D553+D580+D607+D634+D661+D688+D715+D742+D769+D796</f>
        <v>916</v>
      </c>
      <c r="E823" s="18">
        <f t="shared" ca="1" si="2308"/>
        <v>906</v>
      </c>
      <c r="F823" s="18">
        <f t="shared" ca="1" si="2308"/>
        <v>171000.46800000002</v>
      </c>
      <c r="G823" s="18">
        <f t="shared" ca="1" si="2308"/>
        <v>65071</v>
      </c>
      <c r="H823" s="18">
        <f t="shared" ca="1" si="2308"/>
        <v>11778</v>
      </c>
      <c r="I823" s="18">
        <f t="shared" ca="1" si="2265"/>
        <v>76849</v>
      </c>
      <c r="J823" s="18">
        <f t="shared" ref="J823:K823" ca="1" si="2309">J13+J40+J67+J94+J121+J148+J175+J202+J229+J256+J283+J310+J337+J364+J391+J418+J445+J472+J499+J526+J553+J580+J607+J634+J661+J688+J715+J742+J769+J796</f>
        <v>89059</v>
      </c>
      <c r="K823" s="18">
        <f t="shared" ca="1" si="2309"/>
        <v>10786</v>
      </c>
      <c r="L823" s="18">
        <f ca="1">J823+K823</f>
        <v>99845</v>
      </c>
      <c r="M823" s="18">
        <f t="shared" ca="1" si="2268"/>
        <v>176694</v>
      </c>
      <c r="N823" s="19">
        <f t="shared" ca="1" si="2269"/>
        <v>188.74223841059606</v>
      </c>
      <c r="O823" s="18">
        <f t="shared" si="2270"/>
        <v>198660</v>
      </c>
      <c r="P823" s="20">
        <f t="shared" ca="1" si="2271"/>
        <v>0.88942917547568712</v>
      </c>
      <c r="Q823" s="21">
        <v>1.5</v>
      </c>
      <c r="R823" s="20">
        <f t="shared" ca="1" si="2272"/>
        <v>0.68886361176508581</v>
      </c>
      <c r="S823" s="22">
        <f t="shared" ca="1" si="2273"/>
        <v>1.0332954176476288</v>
      </c>
      <c r="T823" s="21">
        <f ca="1">F823/23.84</f>
        <v>7172.8384228187933</v>
      </c>
      <c r="U823" s="21">
        <f t="shared" ca="1" si="2274"/>
        <v>7.9170402017867474</v>
      </c>
      <c r="V823" s="18">
        <f t="shared" ca="1" si="2275"/>
        <v>195.02649006622516</v>
      </c>
      <c r="W823" s="76"/>
      <c r="X823" s="53">
        <v>2</v>
      </c>
      <c r="Y823" s="53" t="s">
        <v>30</v>
      </c>
      <c r="Z823" s="54">
        <f t="shared" ref="Z823:AI823" si="2310">SUM(D818)</f>
        <v>1692</v>
      </c>
      <c r="AA823" s="54">
        <f t="shared" ca="1" si="2310"/>
        <v>1672</v>
      </c>
      <c r="AB823" s="54">
        <f t="shared" ca="1" si="2310"/>
        <v>322455.9769999978</v>
      </c>
      <c r="AC823" s="54">
        <f t="shared" ca="1" si="2310"/>
        <v>99247</v>
      </c>
      <c r="AD823" s="54">
        <f t="shared" ca="1" si="2310"/>
        <v>365</v>
      </c>
      <c r="AE823" s="54">
        <f t="shared" ca="1" si="2310"/>
        <v>99612</v>
      </c>
      <c r="AF823" s="54">
        <f t="shared" ca="1" si="2310"/>
        <v>158093</v>
      </c>
      <c r="AG823" s="54">
        <f t="shared" ca="1" si="2310"/>
        <v>474</v>
      </c>
      <c r="AH823" s="54">
        <f t="shared" ca="1" si="2310"/>
        <v>158567</v>
      </c>
      <c r="AI823" s="54">
        <f t="shared" ca="1" si="2310"/>
        <v>258179</v>
      </c>
      <c r="AJ823" s="55">
        <f t="shared" ca="1" si="2299"/>
        <v>192.85644557416137</v>
      </c>
      <c r="AK823" s="54">
        <f t="shared" si="2300"/>
        <v>334920</v>
      </c>
      <c r="AL823" s="56">
        <f t="shared" ca="1" si="2301"/>
        <v>0.77086766989131728</v>
      </c>
      <c r="AM823" s="57">
        <f t="shared" si="2302"/>
        <v>1.5</v>
      </c>
      <c r="AN823" s="56">
        <f t="shared" ca="1" si="2303"/>
        <v>0.53377622252396495</v>
      </c>
      <c r="AO823" s="58">
        <f t="shared" ca="1" si="2304"/>
        <v>0.80066433378594737</v>
      </c>
      <c r="AP823" s="57">
        <f t="shared" ref="AP823:AQ823" ca="1" si="2311">SUM(T818)</f>
        <v>10892.679019018267</v>
      </c>
      <c r="AQ823" s="57">
        <f t="shared" ca="1" si="2311"/>
        <v>6.5147601788386771</v>
      </c>
      <c r="AR823" s="54">
        <f t="shared" ca="1" si="2306"/>
        <v>154.41327751196172</v>
      </c>
      <c r="AS823" s="59">
        <f t="shared" ca="1" si="2307"/>
        <v>9931</v>
      </c>
      <c r="AT823" s="60">
        <v>46273</v>
      </c>
    </row>
    <row r="824" spans="1:46" ht="15.75" customHeight="1" x14ac:dyDescent="0.2">
      <c r="A824" s="76"/>
      <c r="B824" s="16">
        <v>9</v>
      </c>
      <c r="C824" s="16" t="s">
        <v>36</v>
      </c>
      <c r="D824" s="18">
        <f t="shared" ref="D824:H824" si="2312">D14+D41+D68+D95+D122+D149+D176+D203+D230+D257+D284+D311+D338+D365+D392+D419+D446+D473+D500+D527+D554+D581+D608+D635+D662+D689+D716+D743+D770+D797</f>
        <v>848</v>
      </c>
      <c r="E824" s="18">
        <f t="shared" ca="1" si="2312"/>
        <v>851</v>
      </c>
      <c r="F824" s="18">
        <f t="shared" ca="1" si="2312"/>
        <v>165353.55199999985</v>
      </c>
      <c r="G824" s="18">
        <f t="shared" ca="1" si="2312"/>
        <v>45354</v>
      </c>
      <c r="H824" s="18">
        <f t="shared" ca="1" si="2312"/>
        <v>0</v>
      </c>
      <c r="I824" s="18">
        <f t="shared" ca="1" si="2265"/>
        <v>45354</v>
      </c>
      <c r="J824" s="18">
        <f t="shared" ref="J824:K824" ca="1" si="2313">J14+J41+J68+J95+J122+J149+J176+J203+J230+J257+J284+J311+J338+J365+J392+J419+J446+J473+J500+J527+J554+J581+J608+J635+J662+J689+J716+J743+J770+J797</f>
        <v>65760</v>
      </c>
      <c r="K824" s="18">
        <f t="shared" ca="1" si="2313"/>
        <v>20</v>
      </c>
      <c r="L824" s="18">
        <f t="shared" ref="L824:L833" ca="1" si="2314">SUM(J824:K824)</f>
        <v>65780</v>
      </c>
      <c r="M824" s="18">
        <f t="shared" ca="1" si="2268"/>
        <v>111134</v>
      </c>
      <c r="N824" s="19">
        <f t="shared" ca="1" si="2269"/>
        <v>194.30499647473542</v>
      </c>
      <c r="O824" s="18">
        <f t="shared" si="2270"/>
        <v>143880</v>
      </c>
      <c r="P824" s="20">
        <f t="shared" ca="1" si="2271"/>
        <v>0.77240756185710313</v>
      </c>
      <c r="Q824" s="21">
        <v>1.5</v>
      </c>
      <c r="R824" s="20">
        <f t="shared" ca="1" si="2272"/>
        <v>0.4480661735850307</v>
      </c>
      <c r="S824" s="22">
        <f t="shared" ca="1" si="2273"/>
        <v>0.67209926037754608</v>
      </c>
      <c r="T824" s="21">
        <f ca="1">F824/37.414</f>
        <v>4419.5635858234846</v>
      </c>
      <c r="U824" s="21">
        <f t="shared" ca="1" si="2274"/>
        <v>5.1933767165963394</v>
      </c>
      <c r="V824" s="18">
        <f t="shared" ca="1" si="2275"/>
        <v>130.59224441833138</v>
      </c>
      <c r="W824" s="76"/>
      <c r="X824" s="53">
        <v>3</v>
      </c>
      <c r="Y824" s="53" t="s">
        <v>34</v>
      </c>
      <c r="Z824" s="54">
        <f t="shared" ref="Z824:AI824" si="2315">SUM(D820)</f>
        <v>1128</v>
      </c>
      <c r="AA824" s="54">
        <f t="shared" ca="1" si="2315"/>
        <v>1116</v>
      </c>
      <c r="AB824" s="54">
        <f t="shared" ca="1" si="2315"/>
        <v>218946.6</v>
      </c>
      <c r="AC824" s="54">
        <f t="shared" ca="1" si="2315"/>
        <v>82196</v>
      </c>
      <c r="AD824" s="54">
        <f t="shared" ca="1" si="2315"/>
        <v>156</v>
      </c>
      <c r="AE824" s="54">
        <f t="shared" ca="1" si="2315"/>
        <v>82352</v>
      </c>
      <c r="AF824" s="54">
        <f t="shared" ca="1" si="2315"/>
        <v>89632</v>
      </c>
      <c r="AG824" s="54">
        <f t="shared" ca="1" si="2315"/>
        <v>689</v>
      </c>
      <c r="AH824" s="54">
        <f t="shared" ca="1" si="2315"/>
        <v>90321</v>
      </c>
      <c r="AI824" s="54">
        <f t="shared" ca="1" si="2315"/>
        <v>172673</v>
      </c>
      <c r="AJ824" s="55">
        <f t="shared" ca="1" si="2299"/>
        <v>196.18870967741935</v>
      </c>
      <c r="AK824" s="54">
        <f>SUM(O820)</f>
        <v>280620</v>
      </c>
      <c r="AL824" s="56">
        <f t="shared" ca="1" si="2301"/>
        <v>0.61532677642363343</v>
      </c>
      <c r="AM824" s="57">
        <f>SUM(Q820)</f>
        <v>1.5</v>
      </c>
      <c r="AN824" s="56">
        <f t="shared" ca="1" si="2303"/>
        <v>0.52576899268284294</v>
      </c>
      <c r="AO824" s="58">
        <f t="shared" ca="1" si="2304"/>
        <v>0.78865348902426435</v>
      </c>
      <c r="AP824" s="57">
        <f t="shared" ref="AP824:AQ824" ca="1" si="2316">SUM(T820)</f>
        <v>7128.7923680526164</v>
      </c>
      <c r="AQ824" s="57">
        <f t="shared" ca="1" si="2316"/>
        <v>6.3878067814091546</v>
      </c>
      <c r="AR824" s="54">
        <f t="shared" ca="1" si="2306"/>
        <v>154.72491039426524</v>
      </c>
      <c r="AS824" s="59">
        <f ca="1">MAX(M10,M37,M64,M91,M118,M145,M172,M199,M226,M253,M280,M307,M334,M361,M388,M415,M442,M469,M496,M523,M550,M577,M604,M631,M658,M685,M712,M739,M766,M793)</f>
        <v>7434</v>
      </c>
      <c r="AT824" s="60">
        <v>46273</v>
      </c>
    </row>
    <row r="825" spans="1:46" ht="15.75" customHeight="1" x14ac:dyDescent="0.2">
      <c r="A825" s="76"/>
      <c r="B825" s="16">
        <v>10</v>
      </c>
      <c r="C825" s="16" t="s">
        <v>37</v>
      </c>
      <c r="D825" s="18">
        <f t="shared" ref="D825:H825" si="2317">D15+D42+D69+D96+D123+D150+D177+D204+D231+D258+D285+D312+D339+D366+D393+D420+D447+D474+D501+D528+D555+D582+D609+D636+D663+D690+D717+D744+D771+D798</f>
        <v>848</v>
      </c>
      <c r="E825" s="18">
        <f t="shared" ca="1" si="2317"/>
        <v>829</v>
      </c>
      <c r="F825" s="18">
        <f t="shared" ca="1" si="2317"/>
        <v>162605.99399999992</v>
      </c>
      <c r="G825" s="18">
        <f t="shared" ca="1" si="2317"/>
        <v>58935</v>
      </c>
      <c r="H825" s="18">
        <f t="shared" ca="1" si="2317"/>
        <v>175</v>
      </c>
      <c r="I825" s="18">
        <f t="shared" ca="1" si="2265"/>
        <v>59110</v>
      </c>
      <c r="J825" s="18">
        <f t="shared" ref="J825:K825" ca="1" si="2318">J15+J42+J69+J96+J123+J150+J177+J204+J231+J258+J285+J312+J339+J366+J393+J420+J447+J474+J501+J528+J555+J582+J609+J636+J663+J690+J717+J744+J771+J798</f>
        <v>87059</v>
      </c>
      <c r="K825" s="18">
        <f t="shared" ca="1" si="2318"/>
        <v>117</v>
      </c>
      <c r="L825" s="18">
        <f t="shared" ca="1" si="2314"/>
        <v>87176</v>
      </c>
      <c r="M825" s="18">
        <f t="shared" ca="1" si="2268"/>
        <v>146286</v>
      </c>
      <c r="N825" s="19">
        <f t="shared" ca="1" si="2269"/>
        <v>196.14715802171281</v>
      </c>
      <c r="O825" s="18">
        <f t="shared" si="2270"/>
        <v>176610</v>
      </c>
      <c r="P825" s="20">
        <f t="shared" ca="1" si="2271"/>
        <v>0.82829964328180739</v>
      </c>
      <c r="Q825" s="21">
        <v>1.5</v>
      </c>
      <c r="R825" s="20">
        <f t="shared" ca="1" si="2272"/>
        <v>0.59975648868146914</v>
      </c>
      <c r="S825" s="22">
        <f t="shared" ca="1" si="2273"/>
        <v>0.89963473302220376</v>
      </c>
      <c r="T825" s="21">
        <f ca="1">F825/24.792</f>
        <v>6558.8090513068692</v>
      </c>
      <c r="U825" s="21">
        <f t="shared" ca="1" si="2274"/>
        <v>7.9117117627344618</v>
      </c>
      <c r="V825" s="18">
        <f t="shared" ca="1" si="2275"/>
        <v>176.46079613992762</v>
      </c>
      <c r="W825" s="76"/>
      <c r="X825" s="53">
        <v>4</v>
      </c>
      <c r="Y825" s="53" t="s">
        <v>38</v>
      </c>
      <c r="Z825" s="54">
        <f t="shared" ref="Z825:AI825" si="2319">SUM(D828)</f>
        <v>848</v>
      </c>
      <c r="AA825" s="54">
        <f t="shared" ca="1" si="2319"/>
        <v>859</v>
      </c>
      <c r="AB825" s="54">
        <f t="shared" ca="1" si="2319"/>
        <v>177031.11399999983</v>
      </c>
      <c r="AC825" s="54">
        <f t="shared" ca="1" si="2319"/>
        <v>58318</v>
      </c>
      <c r="AD825" s="54">
        <f t="shared" ca="1" si="2319"/>
        <v>787</v>
      </c>
      <c r="AE825" s="54">
        <f t="shared" ca="1" si="2319"/>
        <v>59105</v>
      </c>
      <c r="AF825" s="54">
        <f t="shared" ca="1" si="2319"/>
        <v>83525</v>
      </c>
      <c r="AG825" s="54">
        <f t="shared" ca="1" si="2319"/>
        <v>4239</v>
      </c>
      <c r="AH825" s="54">
        <f t="shared" ca="1" si="2319"/>
        <v>87764</v>
      </c>
      <c r="AI825" s="54">
        <f t="shared" ca="1" si="2319"/>
        <v>146869</v>
      </c>
      <c r="AJ825" s="55">
        <f t="shared" ca="1" si="2299"/>
        <v>206.08977182770644</v>
      </c>
      <c r="AK825" s="54">
        <f>SUM(O828)</f>
        <v>250350</v>
      </c>
      <c r="AL825" s="56">
        <f t="shared" ca="1" si="2301"/>
        <v>0.5866546834431795</v>
      </c>
      <c r="AM825" s="57">
        <f>SUM(Q828)</f>
        <v>1.5</v>
      </c>
      <c r="AN825" s="56">
        <f t="shared" ca="1" si="2303"/>
        <v>0.55308168408558267</v>
      </c>
      <c r="AO825" s="58">
        <f t="shared" ca="1" si="2304"/>
        <v>0.82962252612837395</v>
      </c>
      <c r="AP825" s="57">
        <f t="shared" ref="AP825:AQ825" ca="1" si="2320">SUM(T828)</f>
        <v>4296.3502972940141</v>
      </c>
      <c r="AQ825" s="57">
        <f t="shared" ca="1" si="2320"/>
        <v>5.001571940970913</v>
      </c>
      <c r="AR825" s="54">
        <f t="shared" ca="1" si="2306"/>
        <v>170.97671711292199</v>
      </c>
      <c r="AS825" s="59">
        <f ca="1">MAX(M18,M45,M72,M99,M126,M153,M180,M207,M234,M261,M288,M315,M342,M369,M396,M423,M450,M477,M504,M531,M558,M585,M612,M639,M666,M693,M720,M747,M774,M801)</f>
        <v>5695</v>
      </c>
      <c r="AT825" s="60">
        <v>46273</v>
      </c>
    </row>
    <row r="826" spans="1:46" ht="15.75" customHeight="1" x14ac:dyDescent="0.2">
      <c r="A826" s="76"/>
      <c r="B826" s="16">
        <v>12</v>
      </c>
      <c r="C826" s="16" t="s">
        <v>39</v>
      </c>
      <c r="D826" s="18">
        <f t="shared" ref="D826:H826" si="2321">D16+D43+D70+D97+D124+D151+D178+D205+D232+D259+D286+D313+D340+D367+D394+D421+D448+D475+D502+D529+D556+D583+D610+D637+D664+D691+D718+D745+D772+D799</f>
        <v>788</v>
      </c>
      <c r="E826" s="18">
        <f t="shared" ca="1" si="2321"/>
        <v>789</v>
      </c>
      <c r="F826" s="18">
        <f t="shared" ca="1" si="2321"/>
        <v>154240.04099999994</v>
      </c>
      <c r="G826" s="18">
        <f t="shared" ca="1" si="2321"/>
        <v>36923</v>
      </c>
      <c r="H826" s="18">
        <f t="shared" ca="1" si="2321"/>
        <v>469</v>
      </c>
      <c r="I826" s="18">
        <f t="shared" ca="1" si="2265"/>
        <v>37392</v>
      </c>
      <c r="J826" s="18">
        <f t="shared" ref="J826:K826" ca="1" si="2322">J16+J43+J70+J97+J124+J151+J178+J205+J232+J259+J286+J313+J340+J367+J394+J421+J448+J475+J502+J529+J556+J583+J610+J637+J664+J691+J718+J745+J772+J799</f>
        <v>54041</v>
      </c>
      <c r="K826" s="18">
        <f t="shared" ca="1" si="2322"/>
        <v>2185</v>
      </c>
      <c r="L826" s="18">
        <f t="shared" ca="1" si="2314"/>
        <v>56226</v>
      </c>
      <c r="M826" s="18">
        <f t="shared" ca="1" si="2268"/>
        <v>93618</v>
      </c>
      <c r="N826" s="19">
        <f t="shared" ca="1" si="2269"/>
        <v>195.48801140684404</v>
      </c>
      <c r="O826" s="18">
        <f t="shared" si="2270"/>
        <v>107070</v>
      </c>
      <c r="P826" s="20">
        <f t="shared" ca="1" si="2271"/>
        <v>0.8743625665452508</v>
      </c>
      <c r="Q826" s="21">
        <v>1.5</v>
      </c>
      <c r="R826" s="20">
        <f t="shared" ca="1" si="2272"/>
        <v>0.40464200862083555</v>
      </c>
      <c r="S826" s="22">
        <f t="shared" ca="1" si="2273"/>
        <v>0.60696301293125332</v>
      </c>
      <c r="T826" s="21">
        <f ca="1">F826/21.463</f>
        <v>7186.3225550948109</v>
      </c>
      <c r="U826" s="21">
        <f t="shared" ca="1" si="2274"/>
        <v>9.1081401205257428</v>
      </c>
      <c r="V826" s="18">
        <f t="shared" ca="1" si="2275"/>
        <v>118.65399239543726</v>
      </c>
      <c r="W826" s="76"/>
      <c r="X826" s="53">
        <v>5</v>
      </c>
      <c r="Y826" s="53" t="s">
        <v>40</v>
      </c>
      <c r="Z826" s="54">
        <f t="shared" ref="Z826:AI826" si="2323">SUM(D830)</f>
        <v>848</v>
      </c>
      <c r="AA826" s="54">
        <f t="shared" ca="1" si="2323"/>
        <v>857</v>
      </c>
      <c r="AB826" s="54">
        <f t="shared" ca="1" si="2323"/>
        <v>166549.98599999971</v>
      </c>
      <c r="AC826" s="54">
        <f t="shared" ca="1" si="2323"/>
        <v>95119</v>
      </c>
      <c r="AD826" s="54">
        <f t="shared" ca="1" si="2323"/>
        <v>685</v>
      </c>
      <c r="AE826" s="54">
        <f t="shared" ca="1" si="2323"/>
        <v>95804</v>
      </c>
      <c r="AF826" s="54">
        <f t="shared" ca="1" si="2323"/>
        <v>110453</v>
      </c>
      <c r="AG826" s="54">
        <f t="shared" ca="1" si="2323"/>
        <v>929</v>
      </c>
      <c r="AH826" s="54">
        <f t="shared" ca="1" si="2323"/>
        <v>111382</v>
      </c>
      <c r="AI826" s="54">
        <f t="shared" ca="1" si="2323"/>
        <v>207186</v>
      </c>
      <c r="AJ826" s="55">
        <f t="shared" ca="1" si="2299"/>
        <v>194.34070711785265</v>
      </c>
      <c r="AK826" s="54">
        <f t="shared" ref="AK826:AK827" si="2324">SUM(O830)</f>
        <v>247170</v>
      </c>
      <c r="AL826" s="56">
        <f t="shared" ca="1" si="2301"/>
        <v>0.838232795242141</v>
      </c>
      <c r="AM826" s="57">
        <f t="shared" ref="AM826:AM827" si="2325">SUM(Q830)</f>
        <v>1.5</v>
      </c>
      <c r="AN826" s="56">
        <f t="shared" ca="1" si="2303"/>
        <v>0.82932459688108429</v>
      </c>
      <c r="AO826" s="58">
        <f t="shared" ca="1" si="2304"/>
        <v>1.2439868953216264</v>
      </c>
      <c r="AP826" s="57">
        <f t="shared" ref="AP826:AQ826" ca="1" si="2326">SUM(T830)</f>
        <v>5855.5702984917098</v>
      </c>
      <c r="AQ826" s="57">
        <f t="shared" ca="1" si="2326"/>
        <v>6.8326374544827422</v>
      </c>
      <c r="AR826" s="54">
        <f t="shared" ca="1" si="2306"/>
        <v>241.75729288214703</v>
      </c>
      <c r="AS826" s="59">
        <f t="shared" ref="AS826:AS827" ca="1" si="2327">MAX(M20,M47,M74,M101,M128,M155,M182,M209,M236,M263,M290,M317,M344,M371,M398,M425,M452,M479,M506,M533,M560,M587,M614,M641,M668,M695,M722,M749,M776,M803)</f>
        <v>7862</v>
      </c>
      <c r="AT826" s="60">
        <v>46273</v>
      </c>
    </row>
    <row r="827" spans="1:46" ht="15.75" customHeight="1" x14ac:dyDescent="0.2">
      <c r="A827" s="76"/>
      <c r="B827" s="16">
        <v>12</v>
      </c>
      <c r="C827" s="16" t="s">
        <v>41</v>
      </c>
      <c r="D827" s="18">
        <f t="shared" ref="D827:H827" si="2328">D17+D44+D71+D98+D125+D152+D179+D206+D233+D260+D287+D314+D341+D368+D395+D422+D449+D476+D503+D530+D557+D584+D611+D638+D665+D692+D719+D746+D773+D800</f>
        <v>684</v>
      </c>
      <c r="E827" s="18">
        <f t="shared" ca="1" si="2328"/>
        <v>693</v>
      </c>
      <c r="F827" s="18">
        <f t="shared" ca="1" si="2328"/>
        <v>136545.57600000003</v>
      </c>
      <c r="G827" s="18">
        <f t="shared" ca="1" si="2328"/>
        <v>37345</v>
      </c>
      <c r="H827" s="18">
        <f t="shared" ca="1" si="2328"/>
        <v>357</v>
      </c>
      <c r="I827" s="18">
        <f t="shared" ca="1" si="2265"/>
        <v>37702</v>
      </c>
      <c r="J827" s="18">
        <f t="shared" ref="J827:K827" ca="1" si="2329">J17+J44+J71+J98+J125+J152+J179+J206+J233+J260+J287+J314+J341+J368+J395+J422+J449+J476+J503+J530+J557+J584+J611+J638+J665+J692+J719+J746+J773+J800</f>
        <v>48482</v>
      </c>
      <c r="K827" s="18">
        <f t="shared" ca="1" si="2329"/>
        <v>724</v>
      </c>
      <c r="L827" s="18">
        <f t="shared" ca="1" si="2314"/>
        <v>49206</v>
      </c>
      <c r="M827" s="18">
        <f t="shared" ca="1" si="2268"/>
        <v>86908</v>
      </c>
      <c r="N827" s="19">
        <f t="shared" ca="1" si="2269"/>
        <v>197.03546320346325</v>
      </c>
      <c r="O827" s="18">
        <f t="shared" si="2270"/>
        <v>114030</v>
      </c>
      <c r="P827" s="20">
        <f t="shared" ca="1" si="2271"/>
        <v>0.76215031132158206</v>
      </c>
      <c r="Q827" s="21">
        <v>1.5</v>
      </c>
      <c r="R827" s="20">
        <f t="shared" ca="1" si="2272"/>
        <v>0.42431742106874742</v>
      </c>
      <c r="S827" s="22">
        <f t="shared" ca="1" si="2273"/>
        <v>0.63647613160312111</v>
      </c>
      <c r="T827" s="21">
        <f ca="1">F827/29.628</f>
        <v>4608.6666666666679</v>
      </c>
      <c r="U827" s="21">
        <f t="shared" ca="1" si="2274"/>
        <v>6.6503126503126522</v>
      </c>
      <c r="V827" s="18">
        <f t="shared" ca="1" si="2275"/>
        <v>125.40836940836941</v>
      </c>
      <c r="W827" s="76"/>
      <c r="X827" s="53">
        <v>6</v>
      </c>
      <c r="Y827" s="53" t="s">
        <v>42</v>
      </c>
      <c r="Z827" s="54">
        <f t="shared" ref="Z827:AI827" si="2330">SUM(D831)</f>
        <v>926</v>
      </c>
      <c r="AA827" s="54">
        <f t="shared" ca="1" si="2330"/>
        <v>938</v>
      </c>
      <c r="AB827" s="54">
        <f t="shared" ca="1" si="2330"/>
        <v>181903.41999999966</v>
      </c>
      <c r="AC827" s="54">
        <f t="shared" ca="1" si="2330"/>
        <v>91253</v>
      </c>
      <c r="AD827" s="54">
        <f t="shared" ca="1" si="2330"/>
        <v>1143</v>
      </c>
      <c r="AE827" s="54">
        <f t="shared" ca="1" si="2330"/>
        <v>92396</v>
      </c>
      <c r="AF827" s="54">
        <f t="shared" ca="1" si="2330"/>
        <v>120476</v>
      </c>
      <c r="AG827" s="54">
        <f t="shared" ca="1" si="2330"/>
        <v>1929</v>
      </c>
      <c r="AH827" s="54">
        <f t="shared" ca="1" si="2330"/>
        <v>122405</v>
      </c>
      <c r="AI827" s="54">
        <f t="shared" ca="1" si="2330"/>
        <v>214801</v>
      </c>
      <c r="AJ827" s="55">
        <f t="shared" ca="1" si="2299"/>
        <v>193.92688699360306</v>
      </c>
      <c r="AK827" s="54">
        <f t="shared" si="2324"/>
        <v>296310</v>
      </c>
      <c r="AL827" s="56">
        <f t="shared" ca="1" si="2301"/>
        <v>0.72491984745705507</v>
      </c>
      <c r="AM827" s="57">
        <f t="shared" si="2325"/>
        <v>1.5</v>
      </c>
      <c r="AN827" s="56">
        <f t="shared" ca="1" si="2303"/>
        <v>0.78723460321233618</v>
      </c>
      <c r="AO827" s="58">
        <f t="shared" ca="1" si="2304"/>
        <v>1.1808519048185042</v>
      </c>
      <c r="AP827" s="57">
        <f t="shared" ref="AP827:AQ827" ca="1" si="2331">SUM(T831)</f>
        <v>6954.8239342381821</v>
      </c>
      <c r="AQ827" s="57">
        <f t="shared" ca="1" si="2331"/>
        <v>7.414524450147316</v>
      </c>
      <c r="AR827" s="54">
        <f t="shared" ca="1" si="2306"/>
        <v>228.99893390191897</v>
      </c>
      <c r="AS827" s="59">
        <f t="shared" ca="1" si="2327"/>
        <v>7961</v>
      </c>
      <c r="AT827" s="60">
        <v>46273</v>
      </c>
    </row>
    <row r="828" spans="1:46" ht="15.75" customHeight="1" x14ac:dyDescent="0.25">
      <c r="A828" s="76"/>
      <c r="B828" s="16">
        <v>13</v>
      </c>
      <c r="C828" s="16" t="s">
        <v>43</v>
      </c>
      <c r="D828" s="18">
        <f t="shared" ref="D828:H828" si="2332">D18+D45+D72+D99+D126+D153+D180+D207+D234+D261+D288+D315+D342+D369+D396+D423+D450+D477+D504+D531+D558+D585+D612+D639+D666+D693+D720+D747+D774+D801</f>
        <v>848</v>
      </c>
      <c r="E828" s="18">
        <f t="shared" ca="1" si="2332"/>
        <v>859</v>
      </c>
      <c r="F828" s="18">
        <f t="shared" ca="1" si="2332"/>
        <v>177031.11399999983</v>
      </c>
      <c r="G828" s="18">
        <f t="shared" ca="1" si="2332"/>
        <v>58318</v>
      </c>
      <c r="H828" s="18">
        <f t="shared" ca="1" si="2332"/>
        <v>787</v>
      </c>
      <c r="I828" s="18">
        <f t="shared" ca="1" si="2265"/>
        <v>59105</v>
      </c>
      <c r="J828" s="18">
        <f t="shared" ref="J828:K828" ca="1" si="2333">J18+J45+J72+J99+J126+J153+J180+J207+J234+J261+J288+J315+J342+J369+J396+J423+J450+J477+J504+J531+J558+J585+J612+J639+J666+J693+J720+J747+J774+J801</f>
        <v>83525</v>
      </c>
      <c r="K828" s="18">
        <f t="shared" ca="1" si="2333"/>
        <v>4239</v>
      </c>
      <c r="L828" s="18">
        <f t="shared" ca="1" si="2314"/>
        <v>87764</v>
      </c>
      <c r="M828" s="18">
        <f t="shared" ca="1" si="2268"/>
        <v>146869</v>
      </c>
      <c r="N828" s="19">
        <f t="shared" ca="1" si="2269"/>
        <v>206.08977182770644</v>
      </c>
      <c r="O828" s="18">
        <f t="shared" si="2270"/>
        <v>250350</v>
      </c>
      <c r="P828" s="20">
        <f t="shared" ca="1" si="2271"/>
        <v>0.5866546834431795</v>
      </c>
      <c r="Q828" s="21">
        <v>1.5</v>
      </c>
      <c r="R828" s="20">
        <f t="shared" ca="1" si="2272"/>
        <v>0.55308168408558267</v>
      </c>
      <c r="S828" s="22">
        <f t="shared" ca="1" si="2273"/>
        <v>0.82962252612837395</v>
      </c>
      <c r="T828" s="21">
        <f ca="1">F828/41.205</f>
        <v>4296.3502972940141</v>
      </c>
      <c r="U828" s="21">
        <f t="shared" ca="1" si="2274"/>
        <v>5.001571940970913</v>
      </c>
      <c r="V828" s="18">
        <f t="shared" ca="1" si="2275"/>
        <v>170.97671711292199</v>
      </c>
      <c r="W828" s="76"/>
      <c r="X828" s="35" t="s">
        <v>33</v>
      </c>
      <c r="Y828" s="35">
        <v>6</v>
      </c>
      <c r="Z828" s="61">
        <f t="shared" ref="Z828:AI828" si="2334">SUM(Z822:Z827)</f>
        <v>6368</v>
      </c>
      <c r="AA828" s="61">
        <f t="shared" ca="1" si="2334"/>
        <v>6378</v>
      </c>
      <c r="AB828" s="61">
        <f t="shared" ca="1" si="2334"/>
        <v>1250640.462999997</v>
      </c>
      <c r="AC828" s="61">
        <f t="shared" ca="1" si="2334"/>
        <v>501564</v>
      </c>
      <c r="AD828" s="61">
        <f t="shared" ca="1" si="2334"/>
        <v>6585</v>
      </c>
      <c r="AE828" s="61">
        <f t="shared" ca="1" si="2334"/>
        <v>508149</v>
      </c>
      <c r="AF828" s="61">
        <f t="shared" ca="1" si="2334"/>
        <v>643474</v>
      </c>
      <c r="AG828" s="61">
        <f t="shared" ca="1" si="2334"/>
        <v>13675</v>
      </c>
      <c r="AH828" s="61">
        <f t="shared" ca="1" si="2334"/>
        <v>657149</v>
      </c>
      <c r="AI828" s="61">
        <f t="shared" ca="1" si="2334"/>
        <v>1165298</v>
      </c>
      <c r="AJ828" s="62">
        <f t="shared" ca="1" si="2299"/>
        <v>196.08662010034445</v>
      </c>
      <c r="AK828" s="61">
        <f>SUM(AK822:AK827)</f>
        <v>1628820</v>
      </c>
      <c r="AL828" s="63">
        <f t="shared" ca="1" si="2301"/>
        <v>0.71542466325315257</v>
      </c>
      <c r="AM828" s="64">
        <v>1.5</v>
      </c>
      <c r="AN828" s="63">
        <f t="shared" ca="1" si="2303"/>
        <v>0.62117399549812513</v>
      </c>
      <c r="AO828" s="65">
        <f t="shared" ca="1" si="2304"/>
        <v>0.93176099324718775</v>
      </c>
      <c r="AP828" s="64">
        <f ca="1">SUM(AP822:AP827)</f>
        <v>41075.504197510367</v>
      </c>
      <c r="AQ828" s="64">
        <f ca="1">AP828/AA828</f>
        <v>6.4401856690985211</v>
      </c>
      <c r="AR828" s="61">
        <f t="shared" ca="1" si="2306"/>
        <v>182.70586390718094</v>
      </c>
      <c r="AS828" s="66">
        <f ca="1">MAX(M24,M51,M78,M105,M132,M159,M186,M213,M240,M267,M294,M321,M348,M375,M402,M429,M456,M483,M510,M537,M564,M591,M618,M645,M672,M699,M726,M753,M780,M807)</f>
        <v>104099</v>
      </c>
      <c r="AT828" s="67">
        <v>46284</v>
      </c>
    </row>
    <row r="829" spans="1:46" ht="15.75" customHeight="1" x14ac:dyDescent="0.2">
      <c r="A829" s="76"/>
      <c r="B829" s="16">
        <v>14</v>
      </c>
      <c r="C829" s="16" t="s">
        <v>27</v>
      </c>
      <c r="D829" s="18">
        <f t="shared" ref="D829:H829" si="2335">D19+D46+D73+D100+D127+D154+D181+D208+D235+D262+D289+D316+D343+D370+D397+D424+D451+D478+D505+D532+D559+D586+D613+D640+D667+D694+D721+D748+D775+D802</f>
        <v>848</v>
      </c>
      <c r="E829" s="18">
        <f t="shared" ca="1" si="2335"/>
        <v>825</v>
      </c>
      <c r="F829" s="18">
        <f t="shared" ca="1" si="2335"/>
        <v>155775.11799999996</v>
      </c>
      <c r="G829" s="18">
        <f t="shared" ca="1" si="2335"/>
        <v>67770</v>
      </c>
      <c r="H829" s="18">
        <f t="shared" ca="1" si="2335"/>
        <v>3674</v>
      </c>
      <c r="I829" s="18">
        <f t="shared" ca="1" si="2265"/>
        <v>71444</v>
      </c>
      <c r="J829" s="18">
        <f t="shared" ref="J829:K829" ca="1" si="2336">J19+J46+J73+J100+J127+J154+J181+J208+J235+J262+J289+J316+J343+J370+J397+J424+J451+J478+J505+J532+J559+J586+J613+J640+J667+J694+J721+J748+J775+J802</f>
        <v>85478</v>
      </c>
      <c r="K829" s="18">
        <f t="shared" ca="1" si="2336"/>
        <v>5112</v>
      </c>
      <c r="L829" s="18">
        <f t="shared" ca="1" si="2314"/>
        <v>90590</v>
      </c>
      <c r="M829" s="18">
        <f t="shared" ca="1" si="2268"/>
        <v>162034</v>
      </c>
      <c r="N829" s="19">
        <f t="shared" ca="1" si="2269"/>
        <v>188.81832484848479</v>
      </c>
      <c r="O829" s="18">
        <f t="shared" si="2270"/>
        <v>243030</v>
      </c>
      <c r="P829" s="20">
        <f t="shared" ca="1" si="2271"/>
        <v>0.66672427272353207</v>
      </c>
      <c r="Q829" s="21">
        <v>1.5</v>
      </c>
      <c r="R829" s="20">
        <f t="shared" ca="1" si="2272"/>
        <v>0.69345263899377496</v>
      </c>
      <c r="S829" s="22">
        <f t="shared" ca="1" si="2273"/>
        <v>1.0401789584906624</v>
      </c>
      <c r="T829" s="21">
        <f ca="1">F829/19.985</f>
        <v>7794.6018513885392</v>
      </c>
      <c r="U829" s="21">
        <f t="shared" ca="1" si="2274"/>
        <v>9.4480022441073199</v>
      </c>
      <c r="V829" s="18">
        <f t="shared" ca="1" si="2275"/>
        <v>196.40484848484849</v>
      </c>
      <c r="W829" s="76"/>
      <c r="X829" s="97" t="s">
        <v>44</v>
      </c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9"/>
    </row>
    <row r="830" spans="1:46" ht="15.75" customHeight="1" x14ac:dyDescent="0.2">
      <c r="A830" s="76"/>
      <c r="B830" s="16">
        <v>15</v>
      </c>
      <c r="C830" s="16" t="s">
        <v>40</v>
      </c>
      <c r="D830" s="18">
        <f t="shared" ref="D830:H830" si="2337">D20+D47+D74+D101+D128+D155+D182+D209+D236+D263+D290+D317+D344+D371+D398+D425+D452+D479+D506+D533+D560+D587+D614+D641+D668+D695+D722+D749+D776+D803</f>
        <v>848</v>
      </c>
      <c r="E830" s="18">
        <f t="shared" ca="1" si="2337"/>
        <v>857</v>
      </c>
      <c r="F830" s="18">
        <f t="shared" ca="1" si="2337"/>
        <v>166549.98599999971</v>
      </c>
      <c r="G830" s="18">
        <f t="shared" ca="1" si="2337"/>
        <v>95119</v>
      </c>
      <c r="H830" s="18">
        <f t="shared" ca="1" si="2337"/>
        <v>685</v>
      </c>
      <c r="I830" s="18">
        <f t="shared" ca="1" si="2265"/>
        <v>95804</v>
      </c>
      <c r="J830" s="18">
        <f t="shared" ref="J830:K830" ca="1" si="2338">J20+J47+J74+J101+J128+J155+J182+J209+J236+J263+J290+J317+J344+J371+J398+J425+J452+J479+J506+J533+J560+J587+J614+J641+J668+J695+J722+J749+J776+J803</f>
        <v>110453</v>
      </c>
      <c r="K830" s="18">
        <f t="shared" ca="1" si="2338"/>
        <v>929</v>
      </c>
      <c r="L830" s="18">
        <f t="shared" ca="1" si="2314"/>
        <v>111382</v>
      </c>
      <c r="M830" s="18">
        <f t="shared" ca="1" si="2268"/>
        <v>207186</v>
      </c>
      <c r="N830" s="19">
        <f t="shared" ca="1" si="2269"/>
        <v>194.34070711785265</v>
      </c>
      <c r="O830" s="18">
        <f t="shared" si="2270"/>
        <v>247170</v>
      </c>
      <c r="P830" s="20">
        <f t="shared" ca="1" si="2271"/>
        <v>0.838232795242141</v>
      </c>
      <c r="Q830" s="21">
        <v>1.5</v>
      </c>
      <c r="R830" s="20">
        <f t="shared" ca="1" si="2272"/>
        <v>0.82932459688108429</v>
      </c>
      <c r="S830" s="22">
        <f t="shared" ca="1" si="2273"/>
        <v>1.2439868953216264</v>
      </c>
      <c r="T830" s="21">
        <f ca="1">F830/28.443</f>
        <v>5855.5702984917098</v>
      </c>
      <c r="U830" s="21">
        <f t="shared" ca="1" si="2274"/>
        <v>6.8326374544827422</v>
      </c>
      <c r="V830" s="18">
        <f t="shared" ca="1" si="2275"/>
        <v>241.75729288214703</v>
      </c>
      <c r="W830" s="76"/>
      <c r="X830" s="46" t="s">
        <v>2</v>
      </c>
      <c r="Y830" s="46" t="s">
        <v>3</v>
      </c>
      <c r="Z830" s="46" t="s">
        <v>4</v>
      </c>
      <c r="AA830" s="46" t="s">
        <v>5</v>
      </c>
      <c r="AB830" s="47" t="s">
        <v>6</v>
      </c>
      <c r="AC830" s="46" t="s">
        <v>7</v>
      </c>
      <c r="AD830" s="46" t="s">
        <v>8</v>
      </c>
      <c r="AE830" s="46" t="s">
        <v>9</v>
      </c>
      <c r="AF830" s="46" t="s">
        <v>10</v>
      </c>
      <c r="AG830" s="46" t="s">
        <v>11</v>
      </c>
      <c r="AH830" s="46" t="s">
        <v>12</v>
      </c>
      <c r="AI830" s="46" t="s">
        <v>13</v>
      </c>
      <c r="AJ830" s="47" t="s">
        <v>14</v>
      </c>
      <c r="AK830" s="46" t="s">
        <v>15</v>
      </c>
      <c r="AL830" s="46" t="s">
        <v>16</v>
      </c>
      <c r="AM830" s="48" t="s">
        <v>17</v>
      </c>
      <c r="AN830" s="49" t="s">
        <v>18</v>
      </c>
      <c r="AO830" s="50" t="s">
        <v>19</v>
      </c>
      <c r="AP830" s="51" t="s">
        <v>20</v>
      </c>
      <c r="AQ830" s="51" t="s">
        <v>21</v>
      </c>
      <c r="AR830" s="52" t="s">
        <v>22</v>
      </c>
      <c r="AS830" s="52" t="s">
        <v>47</v>
      </c>
      <c r="AT830" s="52" t="s">
        <v>48</v>
      </c>
    </row>
    <row r="831" spans="1:46" ht="15.75" customHeight="1" x14ac:dyDescent="0.2">
      <c r="A831" s="76"/>
      <c r="B831" s="16">
        <v>16</v>
      </c>
      <c r="C831" s="16" t="s">
        <v>42</v>
      </c>
      <c r="D831" s="18">
        <f t="shared" ref="D831:H831" si="2339">D21+D48+D75+D102+D129+D156+D183+D210+D237+D264+D291+D318+D345+D372+D399+D426+D453+D480+D507+D534+D561+D588+D615+D642+D669+D696+D723+D750+D777+D804</f>
        <v>926</v>
      </c>
      <c r="E831" s="18">
        <f t="shared" ca="1" si="2339"/>
        <v>938</v>
      </c>
      <c r="F831" s="18">
        <f t="shared" ca="1" si="2339"/>
        <v>181903.41999999966</v>
      </c>
      <c r="G831" s="18">
        <f t="shared" ca="1" si="2339"/>
        <v>91253</v>
      </c>
      <c r="H831" s="18">
        <f t="shared" ca="1" si="2339"/>
        <v>1143</v>
      </c>
      <c r="I831" s="18">
        <f t="shared" ca="1" si="2265"/>
        <v>92396</v>
      </c>
      <c r="J831" s="18">
        <f t="shared" ref="J831:K831" ca="1" si="2340">J21+J48+J75+J102+J129+J156+J183+J210+J237+J264+J291+J318+J345+J372+J399+J426+J453+J480+J507+J534+J561+J588+J615+J642+J669+J696+J723+J750+J777+J804</f>
        <v>120476</v>
      </c>
      <c r="K831" s="18">
        <f t="shared" ca="1" si="2340"/>
        <v>1929</v>
      </c>
      <c r="L831" s="18">
        <f t="shared" ca="1" si="2314"/>
        <v>122405</v>
      </c>
      <c r="M831" s="18">
        <f t="shared" ca="1" si="2268"/>
        <v>214801</v>
      </c>
      <c r="N831" s="19">
        <f t="shared" ca="1" si="2269"/>
        <v>193.92688699360306</v>
      </c>
      <c r="O831" s="18">
        <f t="shared" si="2270"/>
        <v>296310</v>
      </c>
      <c r="P831" s="20">
        <f t="shared" ca="1" si="2271"/>
        <v>0.72491984745705507</v>
      </c>
      <c r="Q831" s="21">
        <v>1.5</v>
      </c>
      <c r="R831" s="20">
        <f t="shared" ca="1" si="2272"/>
        <v>0.78723460321233618</v>
      </c>
      <c r="S831" s="22">
        <f t="shared" ca="1" si="2273"/>
        <v>1.1808519048185042</v>
      </c>
      <c r="T831" s="21">
        <f ca="1">F831/26.155</f>
        <v>6954.8239342381821</v>
      </c>
      <c r="U831" s="21">
        <f t="shared" ca="1" si="2274"/>
        <v>7.414524450147316</v>
      </c>
      <c r="V831" s="18">
        <f t="shared" ca="1" si="2275"/>
        <v>228.99893390191897</v>
      </c>
      <c r="W831" s="76"/>
      <c r="X831" s="53">
        <v>1</v>
      </c>
      <c r="Y831" s="53" t="s">
        <v>26</v>
      </c>
      <c r="Z831" s="54">
        <f t="shared" ref="Z831:AI831" si="2341">SUM(D816)</f>
        <v>564</v>
      </c>
      <c r="AA831" s="54">
        <f t="shared" ca="1" si="2341"/>
        <v>564</v>
      </c>
      <c r="AB831" s="54">
        <f t="shared" ca="1" si="2341"/>
        <v>107832.82799999999</v>
      </c>
      <c r="AC831" s="54">
        <f t="shared" ca="1" si="2341"/>
        <v>55894</v>
      </c>
      <c r="AD831" s="54">
        <f t="shared" ca="1" si="2341"/>
        <v>371</v>
      </c>
      <c r="AE831" s="54">
        <f t="shared" ca="1" si="2341"/>
        <v>56265</v>
      </c>
      <c r="AF831" s="54">
        <f t="shared" ca="1" si="2341"/>
        <v>82205</v>
      </c>
      <c r="AG831" s="54">
        <f t="shared" ca="1" si="2341"/>
        <v>962</v>
      </c>
      <c r="AH831" s="54">
        <f t="shared" ca="1" si="2341"/>
        <v>83167</v>
      </c>
      <c r="AI831" s="54">
        <f t="shared" ca="1" si="2341"/>
        <v>139432</v>
      </c>
      <c r="AJ831" s="55">
        <f t="shared" ref="AJ831:AJ832" ca="1" si="2342">AB831/AA831</f>
        <v>191.19295744680849</v>
      </c>
      <c r="AK831" s="54">
        <f>SUM(O816)</f>
        <v>154830</v>
      </c>
      <c r="AL831" s="56">
        <f t="shared" ref="AL831:AL837" ca="1" si="2343">AI831/AK831</f>
        <v>0.90054898921397664</v>
      </c>
      <c r="AM831" s="57">
        <f>SUM(Q816)</f>
        <v>1.5</v>
      </c>
      <c r="AN831" s="56">
        <f t="shared" ref="AN831:AN837" ca="1" si="2344">AO831/AM831</f>
        <v>0.86202567799359464</v>
      </c>
      <c r="AO831" s="58">
        <f t="shared" ref="AO831:AO837" ca="1" si="2345">AI831/AB831</f>
        <v>1.293038516990392</v>
      </c>
      <c r="AP831" s="57">
        <f t="shared" ref="AP831:AQ831" ca="1" si="2346">SUM(T816)</f>
        <v>7480.5985431841827</v>
      </c>
      <c r="AQ831" s="57">
        <f t="shared" ca="1" si="2346"/>
        <v>13.263472594298197</v>
      </c>
      <c r="AR831" s="54">
        <f t="shared" ref="AR831:AR837" ca="1" si="2347">AI831/AA831</f>
        <v>247.21985815602838</v>
      </c>
      <c r="AS831" s="59">
        <f ca="1">MAX(M6,M33,M60,M87,M114,M141,M168,M195,M222,M249,M276,M303,M330,M357,M384,M411,M438,M465,M492,M519,M546,M573,M600,M627,M654,M681,M708,M735,M762,M789)</f>
        <v>5340</v>
      </c>
      <c r="AT831" s="60">
        <v>46273</v>
      </c>
    </row>
    <row r="832" spans="1:46" ht="15.75" customHeight="1" x14ac:dyDescent="0.2">
      <c r="A832" s="76"/>
      <c r="B832" s="16">
        <v>17</v>
      </c>
      <c r="C832" s="16" t="s">
        <v>29</v>
      </c>
      <c r="D832" s="18">
        <f t="shared" ref="D832:H832" si="2348">D22+D49+D76+D103+D130+D157+D184+D211+D238+D265+D292+D319+D346+D373+D400+D427+D454+D481+D508+D535+D562+D589+D616+D643+D670+D697+D724+D751+D778+D805</f>
        <v>848</v>
      </c>
      <c r="E832" s="18">
        <f t="shared" ca="1" si="2348"/>
        <v>844</v>
      </c>
      <c r="F832" s="18">
        <f t="shared" ca="1" si="2348"/>
        <v>170930.98699999976</v>
      </c>
      <c r="G832" s="18">
        <f t="shared" ca="1" si="2348"/>
        <v>76948</v>
      </c>
      <c r="H832" s="18">
        <f t="shared" ca="1" si="2348"/>
        <v>111</v>
      </c>
      <c r="I832" s="18">
        <f t="shared" ca="1" si="2265"/>
        <v>77059</v>
      </c>
      <c r="J832" s="18">
        <f t="shared" ref="J832:K832" ca="1" si="2349">J22+J49+J76+J103+J130+J157+J184+J211+J238+J265+J292+J319+J346+J373+J400+J427+J454+J481+J508+J535+J562+J589+J616+J643+J670+J697+J724+J751+J778+J805</f>
        <v>116240</v>
      </c>
      <c r="K832" s="18">
        <f t="shared" ca="1" si="2349"/>
        <v>350</v>
      </c>
      <c r="L832" s="18">
        <f t="shared" ca="1" si="2314"/>
        <v>116590</v>
      </c>
      <c r="M832" s="18">
        <f t="shared" ca="1" si="2268"/>
        <v>193649</v>
      </c>
      <c r="N832" s="19">
        <f t="shared" ca="1" si="2269"/>
        <v>202.5248661137438</v>
      </c>
      <c r="O832" s="18">
        <f t="shared" si="2270"/>
        <v>276030</v>
      </c>
      <c r="P832" s="20">
        <f t="shared" ca="1" si="2271"/>
        <v>0.70155055609897476</v>
      </c>
      <c r="Q832" s="21">
        <v>1.5</v>
      </c>
      <c r="R832" s="20">
        <f t="shared" ca="1" si="2272"/>
        <v>0.75527167776392412</v>
      </c>
      <c r="S832" s="22">
        <f t="shared" ca="1" si="2273"/>
        <v>1.1329075166458862</v>
      </c>
      <c r="T832" s="21">
        <f ca="1">F832/26.491</f>
        <v>6452.4173115397589</v>
      </c>
      <c r="U832" s="21">
        <f t="shared" ca="1" si="2274"/>
        <v>7.6450442079854959</v>
      </c>
      <c r="V832" s="18">
        <f t="shared" ca="1" si="2275"/>
        <v>229.44194312796208</v>
      </c>
      <c r="W832" s="76"/>
      <c r="X832" s="53">
        <v>2</v>
      </c>
      <c r="Y832" s="53" t="s">
        <v>32</v>
      </c>
      <c r="Z832" s="54">
        <f t="shared" ref="Z832:AI832" si="2350">SUM(D819)</f>
        <v>1184</v>
      </c>
      <c r="AA832" s="54">
        <f t="shared" ca="1" si="2350"/>
        <v>1194</v>
      </c>
      <c r="AB832" s="54">
        <f t="shared" ca="1" si="2350"/>
        <v>234200.79199999975</v>
      </c>
      <c r="AC832" s="54">
        <f t="shared" ca="1" si="2350"/>
        <v>131995</v>
      </c>
      <c r="AD832" s="54">
        <f t="shared" ca="1" si="2350"/>
        <v>275</v>
      </c>
      <c r="AE832" s="54">
        <f t="shared" ca="1" si="2350"/>
        <v>132270</v>
      </c>
      <c r="AF832" s="54">
        <f t="shared" ca="1" si="2350"/>
        <v>158096</v>
      </c>
      <c r="AG832" s="54">
        <f t="shared" ca="1" si="2350"/>
        <v>1920</v>
      </c>
      <c r="AH832" s="54">
        <f t="shared" ca="1" si="2350"/>
        <v>160016</v>
      </c>
      <c r="AI832" s="54">
        <f t="shared" ca="1" si="2350"/>
        <v>292286</v>
      </c>
      <c r="AJ832" s="55">
        <f t="shared" ca="1" si="2342"/>
        <v>196.14806700167483</v>
      </c>
      <c r="AK832" s="54">
        <f>SUM(O819)</f>
        <v>414510</v>
      </c>
      <c r="AL832" s="56">
        <f t="shared" ca="1" si="2343"/>
        <v>0.70513618489300622</v>
      </c>
      <c r="AM832" s="57">
        <f>SUM(Q819)</f>
        <v>1.5</v>
      </c>
      <c r="AN832" s="56">
        <f t="shared" ca="1" si="2344"/>
        <v>0.8320097112794288</v>
      </c>
      <c r="AO832" s="58">
        <f t="shared" ca="1" si="2345"/>
        <v>1.2480145669191431</v>
      </c>
      <c r="AP832" s="57">
        <f t="shared" ref="AP832:AQ832" ca="1" si="2351">SUM(T819)</f>
        <v>9334.7997927378437</v>
      </c>
      <c r="AQ832" s="57">
        <f t="shared" ca="1" si="2351"/>
        <v>7.8180902786749114</v>
      </c>
      <c r="AR832" s="54">
        <f t="shared" ca="1" si="2347"/>
        <v>244.79564489112227</v>
      </c>
      <c r="AS832" s="59">
        <f ca="1">MAX(M9,M36,M63,M90,M117,M144,M171,M198,M225,M252,M279,M306,M333,M360,M387,M414,M441,M468,M495,M522,M549,M576,M603,M630,M657,M684,M711,M738,M765,M792)</f>
        <v>10891</v>
      </c>
      <c r="AT832" s="60">
        <v>46273</v>
      </c>
    </row>
    <row r="833" spans="1:46" ht="15.75" customHeight="1" x14ac:dyDescent="0.2">
      <c r="A833" s="76"/>
      <c r="B833" s="16">
        <v>18</v>
      </c>
      <c r="C833" s="16" t="s">
        <v>31</v>
      </c>
      <c r="D833" s="18">
        <f t="shared" ref="D833:H833" si="2352">D23+D50+D77+D104+D131+D158+D185+D212+D239+D266+D293+D320+D347+D374+D401+D428+D455+D482+D509+D536+D563+D590+D617+D644+D671+D698+D725+D752+D779+D806</f>
        <v>422</v>
      </c>
      <c r="E833" s="18">
        <f t="shared" ca="1" si="2352"/>
        <v>402</v>
      </c>
      <c r="F833" s="18">
        <f t="shared" ca="1" si="2352"/>
        <v>77798.90699999989</v>
      </c>
      <c r="G833" s="18">
        <f t="shared" ca="1" si="2352"/>
        <v>22907</v>
      </c>
      <c r="H833" s="18">
        <f t="shared" ca="1" si="2352"/>
        <v>412</v>
      </c>
      <c r="I833" s="18">
        <f t="shared" ca="1" si="2265"/>
        <v>23319</v>
      </c>
      <c r="J833" s="18">
        <f t="shared" ref="J833:K833" ca="1" si="2353">J23+J50+J77+J104+J131+J158+J185+J212+J239+J266+J293+J320+J347+J374+J401+J428+J455+J482+J509+J536+J563+J590+J617+J644+J671+J698+J725+J752+J779+J806</f>
        <v>28508</v>
      </c>
      <c r="K833" s="18">
        <f t="shared" ca="1" si="2353"/>
        <v>2601</v>
      </c>
      <c r="L833" s="18">
        <f t="shared" ca="1" si="2314"/>
        <v>31109</v>
      </c>
      <c r="M833" s="18">
        <f t="shared" ca="1" si="2268"/>
        <v>54428</v>
      </c>
      <c r="N833" s="19">
        <f t="shared" ca="1" si="2269"/>
        <v>193.52961940298479</v>
      </c>
      <c r="O833" s="18">
        <f t="shared" si="2270"/>
        <v>81510</v>
      </c>
      <c r="P833" s="20">
        <f t="shared" ca="1" si="2271"/>
        <v>0.6677462887989204</v>
      </c>
      <c r="Q833" s="21">
        <v>1.5</v>
      </c>
      <c r="R833" s="20">
        <f t="shared" ca="1" si="2272"/>
        <v>0.466399011663922</v>
      </c>
      <c r="S833" s="22">
        <f t="shared" ca="1" si="2273"/>
        <v>0.69959851749588298</v>
      </c>
      <c r="T833" s="21">
        <f ca="1">F833/43.465</f>
        <v>1789.9207868399835</v>
      </c>
      <c r="U833" s="21">
        <f t="shared" ca="1" si="2274"/>
        <v>4.4525392707462279</v>
      </c>
      <c r="V833" s="18">
        <f t="shared" ca="1" si="2275"/>
        <v>135.39303482587064</v>
      </c>
      <c r="W833" s="76"/>
      <c r="X833" s="53">
        <v>3</v>
      </c>
      <c r="Y833" s="53" t="s">
        <v>36</v>
      </c>
      <c r="Z833" s="54">
        <f t="shared" ref="Z833:AK833" si="2354">SUM(D824)</f>
        <v>848</v>
      </c>
      <c r="AA833" s="54">
        <f t="shared" ca="1" si="2354"/>
        <v>851</v>
      </c>
      <c r="AB833" s="54">
        <f t="shared" ca="1" si="2354"/>
        <v>165353.55199999985</v>
      </c>
      <c r="AC833" s="54">
        <f t="shared" ca="1" si="2354"/>
        <v>45354</v>
      </c>
      <c r="AD833" s="54">
        <f t="shared" ca="1" si="2354"/>
        <v>0</v>
      </c>
      <c r="AE833" s="54">
        <f t="shared" ca="1" si="2354"/>
        <v>45354</v>
      </c>
      <c r="AF833" s="54">
        <f t="shared" ca="1" si="2354"/>
        <v>65760</v>
      </c>
      <c r="AG833" s="54">
        <f t="shared" ca="1" si="2354"/>
        <v>20</v>
      </c>
      <c r="AH833" s="54">
        <f t="shared" ca="1" si="2354"/>
        <v>65780</v>
      </c>
      <c r="AI833" s="54">
        <f t="shared" ca="1" si="2354"/>
        <v>111134</v>
      </c>
      <c r="AJ833" s="55">
        <f t="shared" ca="1" si="2354"/>
        <v>194.30499647473542</v>
      </c>
      <c r="AK833" s="54">
        <f t="shared" si="2354"/>
        <v>143880</v>
      </c>
      <c r="AL833" s="56">
        <f t="shared" ca="1" si="2343"/>
        <v>0.77240756185710313</v>
      </c>
      <c r="AM833" s="54">
        <f t="shared" ref="AM833:AM836" si="2355">SUM(Q824)</f>
        <v>1.5</v>
      </c>
      <c r="AN833" s="56">
        <f t="shared" ca="1" si="2344"/>
        <v>0.4480661735850307</v>
      </c>
      <c r="AO833" s="58">
        <f t="shared" ca="1" si="2345"/>
        <v>0.67209926037754608</v>
      </c>
      <c r="AP833" s="54">
        <f t="shared" ref="AP833:AQ833" ca="1" si="2356">SUM(T824)</f>
        <v>4419.5635858234846</v>
      </c>
      <c r="AQ833" s="54">
        <f t="shared" ca="1" si="2356"/>
        <v>5.1933767165963394</v>
      </c>
      <c r="AR833" s="54">
        <f t="shared" ca="1" si="2347"/>
        <v>130.59224441833138</v>
      </c>
      <c r="AS833" s="59">
        <f t="shared" ref="AS833:AS836" ca="1" si="2357">MAX(M14,M41,M68,M95,M122,M149,M176,M203,M230,M257,M284,M311,M338,M365,M392,M419,M446,M473,M500,M527,M554,M581,M608,M635,M662,M689,M716,M743,M770,M797)</f>
        <v>4398</v>
      </c>
      <c r="AT833" s="60">
        <v>46273</v>
      </c>
    </row>
    <row r="834" spans="1:46" ht="15.75" customHeight="1" x14ac:dyDescent="0.2">
      <c r="A834" s="76"/>
      <c r="B834" s="98" t="s">
        <v>33</v>
      </c>
      <c r="C834" s="98">
        <v>18</v>
      </c>
      <c r="D834" s="74">
        <f t="shared" ref="D834:M834" si="2358">SUM(D816:D833)</f>
        <v>16560</v>
      </c>
      <c r="E834" s="74">
        <f t="shared" ca="1" si="2358"/>
        <v>16517</v>
      </c>
      <c r="F834" s="99">
        <f t="shared" ca="1" si="2358"/>
        <v>3222875.4139999952</v>
      </c>
      <c r="G834" s="74">
        <f t="shared" ca="1" si="2358"/>
        <v>1185097</v>
      </c>
      <c r="H834" s="74">
        <f t="shared" ca="1" si="2358"/>
        <v>24629</v>
      </c>
      <c r="I834" s="74">
        <f t="shared" ca="1" si="2358"/>
        <v>1209726</v>
      </c>
      <c r="J834" s="74">
        <f t="shared" ca="1" si="2358"/>
        <v>1586450</v>
      </c>
      <c r="K834" s="74">
        <f t="shared" ca="1" si="2358"/>
        <v>39957</v>
      </c>
      <c r="L834" s="74">
        <f t="shared" ca="1" si="2358"/>
        <v>1626407</v>
      </c>
      <c r="M834" s="74">
        <f t="shared" ca="1" si="2358"/>
        <v>2836133</v>
      </c>
      <c r="N834" s="99">
        <f t="shared" ca="1" si="2269"/>
        <v>195.12474505055368</v>
      </c>
      <c r="O834" s="74">
        <f>SUM(O816:O833)</f>
        <v>3791970</v>
      </c>
      <c r="P834" s="69">
        <f t="shared" ca="1" si="2271"/>
        <v>0.74793128637621076</v>
      </c>
      <c r="Q834" s="72">
        <v>1.5</v>
      </c>
      <c r="R834" s="69">
        <f t="shared" ca="1" si="2272"/>
        <v>0.58666721186925042</v>
      </c>
      <c r="S834" s="73">
        <f t="shared" ca="1" si="2273"/>
        <v>0.88000081780387562</v>
      </c>
      <c r="T834" s="72">
        <f ca="1">SUM(T816:T833)</f>
        <v>118663.26209873092</v>
      </c>
      <c r="U834" s="72">
        <f t="shared" ca="1" si="2274"/>
        <v>7.1843108372422906</v>
      </c>
      <c r="V834" s="74">
        <f t="shared" ca="1" si="2275"/>
        <v>171.70993521825997</v>
      </c>
      <c r="W834" s="76"/>
      <c r="X834" s="53">
        <v>4</v>
      </c>
      <c r="Y834" s="53" t="s">
        <v>37</v>
      </c>
      <c r="Z834" s="54">
        <f t="shared" ref="Z834:AK834" si="2359">SUM(D825)</f>
        <v>848</v>
      </c>
      <c r="AA834" s="54">
        <f t="shared" ca="1" si="2359"/>
        <v>829</v>
      </c>
      <c r="AB834" s="54">
        <f t="shared" ca="1" si="2359"/>
        <v>162605.99399999992</v>
      </c>
      <c r="AC834" s="54">
        <f t="shared" ca="1" si="2359"/>
        <v>58935</v>
      </c>
      <c r="AD834" s="54">
        <f t="shared" ca="1" si="2359"/>
        <v>175</v>
      </c>
      <c r="AE834" s="54">
        <f t="shared" ca="1" si="2359"/>
        <v>59110</v>
      </c>
      <c r="AF834" s="54">
        <f t="shared" ca="1" si="2359"/>
        <v>87059</v>
      </c>
      <c r="AG834" s="54">
        <f t="shared" ca="1" si="2359"/>
        <v>117</v>
      </c>
      <c r="AH834" s="54">
        <f t="shared" ca="1" si="2359"/>
        <v>87176</v>
      </c>
      <c r="AI834" s="54">
        <f t="shared" ca="1" si="2359"/>
        <v>146286</v>
      </c>
      <c r="AJ834" s="55">
        <f t="shared" ca="1" si="2359"/>
        <v>196.14715802171281</v>
      </c>
      <c r="AK834" s="54">
        <f t="shared" si="2359"/>
        <v>176610</v>
      </c>
      <c r="AL834" s="56">
        <f t="shared" ca="1" si="2343"/>
        <v>0.82829964328180739</v>
      </c>
      <c r="AM834" s="54">
        <f t="shared" si="2355"/>
        <v>1.5</v>
      </c>
      <c r="AN834" s="56">
        <f t="shared" ca="1" si="2344"/>
        <v>0.59975648868146914</v>
      </c>
      <c r="AO834" s="58">
        <f t="shared" ca="1" si="2345"/>
        <v>0.89963473302220376</v>
      </c>
      <c r="AP834" s="54">
        <f t="shared" ref="AP834:AQ834" ca="1" si="2360">SUM(T825)</f>
        <v>6558.8090513068692</v>
      </c>
      <c r="AQ834" s="54">
        <f t="shared" ca="1" si="2360"/>
        <v>7.9117117627344618</v>
      </c>
      <c r="AR834" s="54">
        <f t="shared" ca="1" si="2347"/>
        <v>176.46079613992762</v>
      </c>
      <c r="AS834" s="59">
        <f t="shared" ca="1" si="2357"/>
        <v>5593</v>
      </c>
      <c r="AT834" s="60">
        <v>46273</v>
      </c>
    </row>
    <row r="835" spans="1:46" ht="15.75" customHeight="1" x14ac:dyDescent="0.2">
      <c r="A835" s="76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6"/>
      <c r="X835" s="53">
        <v>5</v>
      </c>
      <c r="Y835" s="53" t="s">
        <v>39</v>
      </c>
      <c r="Z835" s="54">
        <f t="shared" ref="Z835:AK835" si="2361">SUM(D826)</f>
        <v>788</v>
      </c>
      <c r="AA835" s="54">
        <f t="shared" ca="1" si="2361"/>
        <v>789</v>
      </c>
      <c r="AB835" s="54">
        <f t="shared" ca="1" si="2361"/>
        <v>154240.04099999994</v>
      </c>
      <c r="AC835" s="54">
        <f t="shared" ca="1" si="2361"/>
        <v>36923</v>
      </c>
      <c r="AD835" s="54">
        <f t="shared" ca="1" si="2361"/>
        <v>469</v>
      </c>
      <c r="AE835" s="54">
        <f t="shared" ca="1" si="2361"/>
        <v>37392</v>
      </c>
      <c r="AF835" s="54">
        <f t="shared" ca="1" si="2361"/>
        <v>54041</v>
      </c>
      <c r="AG835" s="54">
        <f t="shared" ca="1" si="2361"/>
        <v>2185</v>
      </c>
      <c r="AH835" s="54">
        <f t="shared" ca="1" si="2361"/>
        <v>56226</v>
      </c>
      <c r="AI835" s="54">
        <f t="shared" ca="1" si="2361"/>
        <v>93618</v>
      </c>
      <c r="AJ835" s="55">
        <f t="shared" ca="1" si="2361"/>
        <v>195.48801140684404</v>
      </c>
      <c r="AK835" s="54">
        <f t="shared" si="2361"/>
        <v>107070</v>
      </c>
      <c r="AL835" s="56">
        <f t="shared" ca="1" si="2343"/>
        <v>0.8743625665452508</v>
      </c>
      <c r="AM835" s="54">
        <f t="shared" si="2355"/>
        <v>1.5</v>
      </c>
      <c r="AN835" s="56">
        <f t="shared" ca="1" si="2344"/>
        <v>0.40464200862083555</v>
      </c>
      <c r="AO835" s="58">
        <f t="shared" ca="1" si="2345"/>
        <v>0.60696301293125332</v>
      </c>
      <c r="AP835" s="54">
        <f t="shared" ref="AP835:AQ835" ca="1" si="2362">SUM(T826)</f>
        <v>7186.3225550948109</v>
      </c>
      <c r="AQ835" s="54">
        <f t="shared" ca="1" si="2362"/>
        <v>9.1081401205257428</v>
      </c>
      <c r="AR835" s="54">
        <f t="shared" ca="1" si="2347"/>
        <v>118.65399239543726</v>
      </c>
      <c r="AS835" s="59">
        <f t="shared" ca="1" si="2357"/>
        <v>3648</v>
      </c>
      <c r="AT835" s="60">
        <v>46273</v>
      </c>
    </row>
    <row r="836" spans="1:46" ht="15.75" customHeight="1" x14ac:dyDescent="0.2">
      <c r="A836" s="112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6"/>
      <c r="X836" s="53">
        <v>6</v>
      </c>
      <c r="Y836" s="53" t="s">
        <v>41</v>
      </c>
      <c r="Z836" s="54">
        <f t="shared" ref="Z836:AK836" si="2363">SUM(D827)</f>
        <v>684</v>
      </c>
      <c r="AA836" s="54">
        <f t="shared" ca="1" si="2363"/>
        <v>693</v>
      </c>
      <c r="AB836" s="54">
        <f t="shared" ca="1" si="2363"/>
        <v>136545.57600000003</v>
      </c>
      <c r="AC836" s="54">
        <f t="shared" ca="1" si="2363"/>
        <v>37345</v>
      </c>
      <c r="AD836" s="54">
        <f t="shared" ca="1" si="2363"/>
        <v>357</v>
      </c>
      <c r="AE836" s="54">
        <f t="shared" ca="1" si="2363"/>
        <v>37702</v>
      </c>
      <c r="AF836" s="54">
        <f t="shared" ca="1" si="2363"/>
        <v>48482</v>
      </c>
      <c r="AG836" s="54">
        <f t="shared" ca="1" si="2363"/>
        <v>724</v>
      </c>
      <c r="AH836" s="54">
        <f t="shared" ca="1" si="2363"/>
        <v>49206</v>
      </c>
      <c r="AI836" s="54">
        <f t="shared" ca="1" si="2363"/>
        <v>86908</v>
      </c>
      <c r="AJ836" s="55">
        <f t="shared" ca="1" si="2363"/>
        <v>197.03546320346325</v>
      </c>
      <c r="AK836" s="54">
        <f t="shared" si="2363"/>
        <v>114030</v>
      </c>
      <c r="AL836" s="56">
        <f t="shared" ca="1" si="2343"/>
        <v>0.76215031132158206</v>
      </c>
      <c r="AM836" s="54">
        <f t="shared" si="2355"/>
        <v>1.5</v>
      </c>
      <c r="AN836" s="56">
        <f t="shared" ca="1" si="2344"/>
        <v>0.42431742106874742</v>
      </c>
      <c r="AO836" s="58">
        <f t="shared" ca="1" si="2345"/>
        <v>0.63647613160312111</v>
      </c>
      <c r="AP836" s="54">
        <f t="shared" ref="AP836:AQ836" ca="1" si="2364">SUM(T827)</f>
        <v>4608.6666666666679</v>
      </c>
      <c r="AQ836" s="54">
        <f t="shared" ca="1" si="2364"/>
        <v>6.6503126503126522</v>
      </c>
      <c r="AR836" s="54">
        <f t="shared" ca="1" si="2347"/>
        <v>125.40836940836941</v>
      </c>
      <c r="AS836" s="59">
        <f t="shared" ca="1" si="2357"/>
        <v>3283</v>
      </c>
      <c r="AT836" s="60">
        <v>46273</v>
      </c>
    </row>
    <row r="837" spans="1:46" ht="15.75" customHeight="1" x14ac:dyDescent="0.25">
      <c r="A837" s="110" t="s">
        <v>45</v>
      </c>
      <c r="B837" s="76"/>
      <c r="C837" s="76"/>
      <c r="D837" s="75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35" t="s">
        <v>33</v>
      </c>
      <c r="Y837" s="35">
        <v>6</v>
      </c>
      <c r="Z837" s="61">
        <f t="shared" ref="Z837:AI837" si="2365">SUM(Z831:Z836)</f>
        <v>4916</v>
      </c>
      <c r="AA837" s="61">
        <f t="shared" ca="1" si="2365"/>
        <v>4920</v>
      </c>
      <c r="AB837" s="61">
        <f t="shared" ca="1" si="2365"/>
        <v>960778.78299999947</v>
      </c>
      <c r="AC837" s="61">
        <f t="shared" ca="1" si="2365"/>
        <v>366446</v>
      </c>
      <c r="AD837" s="61">
        <f t="shared" ca="1" si="2365"/>
        <v>1647</v>
      </c>
      <c r="AE837" s="61">
        <f t="shared" ca="1" si="2365"/>
        <v>368093</v>
      </c>
      <c r="AF837" s="61">
        <f t="shared" ca="1" si="2365"/>
        <v>495643</v>
      </c>
      <c r="AG837" s="61">
        <f t="shared" ca="1" si="2365"/>
        <v>5928</v>
      </c>
      <c r="AH837" s="61">
        <f t="shared" ca="1" si="2365"/>
        <v>501571</v>
      </c>
      <c r="AI837" s="61">
        <f t="shared" ca="1" si="2365"/>
        <v>869664</v>
      </c>
      <c r="AJ837" s="62">
        <f ca="1">AB837/AA837</f>
        <v>195.28024044715437</v>
      </c>
      <c r="AK837" s="61">
        <f>SUM(AK831:AK836)</f>
        <v>1110930</v>
      </c>
      <c r="AL837" s="63">
        <f t="shared" ca="1" si="2343"/>
        <v>0.78282520050768278</v>
      </c>
      <c r="AM837" s="64">
        <v>1.5</v>
      </c>
      <c r="AN837" s="63">
        <f t="shared" ca="1" si="2344"/>
        <v>0.60344380023637589</v>
      </c>
      <c r="AO837" s="65">
        <f t="shared" ca="1" si="2345"/>
        <v>0.90516570035456378</v>
      </c>
      <c r="AP837" s="64">
        <f ca="1">SUM(AP831:AP836)</f>
        <v>39588.760194813862</v>
      </c>
      <c r="AQ837" s="64">
        <f ca="1">AP837/AA837</f>
        <v>8.046495974555663</v>
      </c>
      <c r="AR837" s="61">
        <f t="shared" ca="1" si="2347"/>
        <v>176.76097560975609</v>
      </c>
      <c r="AS837" s="66">
        <f ca="1">MAX(M24,M51,M78,M105,M132,M159,M186,M213,M240,M267,M294,M321,M348,M375,M402,M429,M456,M483,M510,M537,M564,M591,M618,M645,M672,M699,M726,M753,M780,M807)</f>
        <v>104099</v>
      </c>
      <c r="AT837" s="67">
        <v>46284</v>
      </c>
    </row>
    <row r="838" spans="1:46" ht="15.75" customHeight="1" x14ac:dyDescent="0.2">
      <c r="A838" s="96"/>
      <c r="B838" s="76"/>
      <c r="C838" s="76"/>
      <c r="D838" s="108" t="s">
        <v>49</v>
      </c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7"/>
      <c r="Q838" s="9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</row>
    <row r="839" spans="1:46" ht="15.75" customHeight="1" x14ac:dyDescent="0.2">
      <c r="A839" s="76"/>
      <c r="B839" s="76"/>
      <c r="C839" s="76"/>
      <c r="D839" s="88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89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</row>
    <row r="840" spans="1:46" ht="15.75" customHeight="1" x14ac:dyDescent="0.2">
      <c r="A840" s="76"/>
      <c r="B840" s="76"/>
      <c r="C840" s="76"/>
      <c r="D840" s="90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2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</row>
    <row r="841" spans="1:46" ht="15.75" customHeight="1" x14ac:dyDescent="0.2">
      <c r="A841" s="76"/>
      <c r="B841" s="76"/>
      <c r="C841" s="76"/>
      <c r="D841" s="103" t="s">
        <v>3</v>
      </c>
      <c r="E841" s="86"/>
      <c r="F841" s="86"/>
      <c r="G841" s="86"/>
      <c r="H841" s="86"/>
      <c r="I841" s="86"/>
      <c r="J841" s="87"/>
      <c r="K841" s="104" t="s">
        <v>50</v>
      </c>
      <c r="L841" s="86"/>
      <c r="M841" s="86"/>
      <c r="N841" s="86"/>
      <c r="O841" s="86"/>
      <c r="P841" s="87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</row>
    <row r="842" spans="1:46" ht="15.75" customHeight="1" x14ac:dyDescent="0.2">
      <c r="A842" s="76"/>
      <c r="B842" s="76"/>
      <c r="C842" s="76"/>
      <c r="D842" s="90"/>
      <c r="E842" s="91"/>
      <c r="F842" s="91"/>
      <c r="G842" s="91"/>
      <c r="H842" s="91"/>
      <c r="I842" s="91"/>
      <c r="J842" s="92"/>
      <c r="K842" s="90"/>
      <c r="L842" s="91"/>
      <c r="M842" s="91"/>
      <c r="N842" s="91"/>
      <c r="O842" s="91"/>
      <c r="P842" s="92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</row>
    <row r="843" spans="1:46" ht="15.75" customHeight="1" x14ac:dyDescent="0.2">
      <c r="A843" s="76"/>
      <c r="B843" s="76"/>
      <c r="C843" s="76"/>
      <c r="D843" s="82" t="s">
        <v>51</v>
      </c>
      <c r="E843" s="83"/>
      <c r="F843" s="83"/>
      <c r="G843" s="83"/>
      <c r="H843" s="83"/>
      <c r="I843" s="83"/>
      <c r="J843" s="84"/>
      <c r="K843" s="93">
        <v>14.414999999999999</v>
      </c>
      <c r="L843" s="83"/>
      <c r="M843" s="83"/>
      <c r="N843" s="83"/>
      <c r="O843" s="83"/>
      <c r="P843" s="84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</row>
    <row r="844" spans="1:46" ht="15.75" customHeight="1" x14ac:dyDescent="0.2">
      <c r="A844" s="76"/>
      <c r="B844" s="76"/>
      <c r="C844" s="76"/>
      <c r="D844" s="82" t="s">
        <v>52</v>
      </c>
      <c r="E844" s="83"/>
      <c r="F844" s="83"/>
      <c r="G844" s="83"/>
      <c r="H844" s="83"/>
      <c r="I844" s="83"/>
      <c r="J844" s="84"/>
      <c r="K844" s="82">
        <v>30.896999999999998</v>
      </c>
      <c r="L844" s="83"/>
      <c r="M844" s="83"/>
      <c r="N844" s="83"/>
      <c r="O844" s="83"/>
      <c r="P844" s="84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</row>
    <row r="845" spans="1:46" ht="15.75" customHeight="1" x14ac:dyDescent="0.2">
      <c r="A845" s="76"/>
      <c r="B845" s="76"/>
      <c r="C845" s="76"/>
      <c r="D845" s="82" t="s">
        <v>53</v>
      </c>
      <c r="E845" s="83"/>
      <c r="F845" s="83"/>
      <c r="G845" s="83"/>
      <c r="H845" s="83"/>
      <c r="I845" s="83"/>
      <c r="J845" s="84"/>
      <c r="K845" s="82">
        <v>29.603000000000002</v>
      </c>
      <c r="L845" s="83"/>
      <c r="M845" s="83"/>
      <c r="N845" s="83"/>
      <c r="O845" s="83"/>
      <c r="P845" s="84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</row>
    <row r="846" spans="1:46" ht="15.75" customHeight="1" x14ac:dyDescent="0.2">
      <c r="A846" s="76"/>
      <c r="B846" s="76"/>
      <c r="C846" s="76"/>
      <c r="D846" s="82" t="s">
        <v>54</v>
      </c>
      <c r="E846" s="83"/>
      <c r="F846" s="83"/>
      <c r="G846" s="83"/>
      <c r="H846" s="83"/>
      <c r="I846" s="83"/>
      <c r="J846" s="84"/>
      <c r="K846" s="82">
        <v>25.088999999999999</v>
      </c>
      <c r="L846" s="83"/>
      <c r="M846" s="83"/>
      <c r="N846" s="83"/>
      <c r="O846" s="83"/>
      <c r="P846" s="84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</row>
    <row r="847" spans="1:46" ht="15.75" customHeight="1" x14ac:dyDescent="0.2">
      <c r="A847" s="76"/>
      <c r="B847" s="76"/>
      <c r="C847" s="76"/>
      <c r="D847" s="82" t="s">
        <v>55</v>
      </c>
      <c r="E847" s="83"/>
      <c r="F847" s="83"/>
      <c r="G847" s="83"/>
      <c r="H847" s="83"/>
      <c r="I847" s="83"/>
      <c r="J847" s="84"/>
      <c r="K847" s="82">
        <v>28.347000000000001</v>
      </c>
      <c r="L847" s="83"/>
      <c r="M847" s="83"/>
      <c r="N847" s="83"/>
      <c r="O847" s="83"/>
      <c r="P847" s="84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</row>
    <row r="848" spans="1:46" ht="15.75" customHeight="1" x14ac:dyDescent="0.2">
      <c r="A848" s="76"/>
      <c r="B848" s="76"/>
      <c r="C848" s="76"/>
      <c r="D848" s="82" t="s">
        <v>56</v>
      </c>
      <c r="E848" s="83"/>
      <c r="F848" s="83"/>
      <c r="G848" s="83"/>
      <c r="H848" s="83"/>
      <c r="I848" s="83"/>
      <c r="J848" s="84"/>
      <c r="K848" s="82">
        <v>33.74</v>
      </c>
      <c r="L848" s="83"/>
      <c r="M848" s="83"/>
      <c r="N848" s="83"/>
      <c r="O848" s="83"/>
      <c r="P848" s="84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</row>
    <row r="849" spans="1:46" ht="15.75" customHeight="1" x14ac:dyDescent="0.2">
      <c r="A849" s="76"/>
      <c r="B849" s="76"/>
      <c r="C849" s="76"/>
      <c r="D849" s="82" t="s">
        <v>57</v>
      </c>
      <c r="E849" s="83"/>
      <c r="F849" s="83"/>
      <c r="G849" s="83"/>
      <c r="H849" s="83"/>
      <c r="I849" s="83"/>
      <c r="J849" s="84"/>
      <c r="K849" s="82">
        <v>26.805</v>
      </c>
      <c r="L849" s="83"/>
      <c r="M849" s="83"/>
      <c r="N849" s="83"/>
      <c r="O849" s="83"/>
      <c r="P849" s="84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</row>
    <row r="850" spans="1:46" ht="15.75" customHeight="1" x14ac:dyDescent="0.2">
      <c r="A850" s="76"/>
      <c r="B850" s="76"/>
      <c r="C850" s="76"/>
      <c r="D850" s="82" t="s">
        <v>58</v>
      </c>
      <c r="E850" s="83"/>
      <c r="F850" s="83"/>
      <c r="G850" s="83"/>
      <c r="H850" s="83"/>
      <c r="I850" s="83"/>
      <c r="J850" s="84"/>
      <c r="K850" s="82">
        <v>23.84</v>
      </c>
      <c r="L850" s="83"/>
      <c r="M850" s="83"/>
      <c r="N850" s="83"/>
      <c r="O850" s="83"/>
      <c r="P850" s="84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</row>
    <row r="851" spans="1:46" ht="15.75" customHeight="1" x14ac:dyDescent="0.2">
      <c r="A851" s="76"/>
      <c r="B851" s="76"/>
      <c r="C851" s="76"/>
      <c r="D851" s="82" t="s">
        <v>59</v>
      </c>
      <c r="E851" s="83"/>
      <c r="F851" s="83"/>
      <c r="G851" s="83"/>
      <c r="H851" s="83"/>
      <c r="I851" s="83"/>
      <c r="J851" s="84"/>
      <c r="K851" s="82">
        <v>37.414000000000001</v>
      </c>
      <c r="L851" s="83"/>
      <c r="M851" s="83"/>
      <c r="N851" s="83"/>
      <c r="O851" s="83"/>
      <c r="P851" s="84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</row>
    <row r="852" spans="1:46" ht="15.75" customHeight="1" x14ac:dyDescent="0.2">
      <c r="A852" s="76"/>
      <c r="B852" s="76"/>
      <c r="C852" s="76"/>
      <c r="D852" s="82" t="s">
        <v>60</v>
      </c>
      <c r="E852" s="83"/>
      <c r="F852" s="83"/>
      <c r="G852" s="83"/>
      <c r="H852" s="83"/>
      <c r="I852" s="83"/>
      <c r="J852" s="84"/>
      <c r="K852" s="82">
        <v>24.792000000000002</v>
      </c>
      <c r="L852" s="83"/>
      <c r="M852" s="83"/>
      <c r="N852" s="83"/>
      <c r="O852" s="83"/>
      <c r="P852" s="84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</row>
    <row r="853" spans="1:46" ht="15.75" customHeight="1" x14ac:dyDescent="0.2">
      <c r="A853" s="76"/>
      <c r="B853" s="76"/>
      <c r="C853" s="76"/>
      <c r="D853" s="82" t="s">
        <v>61</v>
      </c>
      <c r="E853" s="83"/>
      <c r="F853" s="83"/>
      <c r="G853" s="83"/>
      <c r="H853" s="83"/>
      <c r="I853" s="83"/>
      <c r="J853" s="84"/>
      <c r="K853" s="82">
        <v>21.463000000000001</v>
      </c>
      <c r="L853" s="83"/>
      <c r="M853" s="83"/>
      <c r="N853" s="83"/>
      <c r="O853" s="83"/>
      <c r="P853" s="84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</row>
    <row r="854" spans="1:46" ht="15.75" customHeight="1" x14ac:dyDescent="0.2">
      <c r="A854" s="76"/>
      <c r="B854" s="76"/>
      <c r="C854" s="76"/>
      <c r="D854" s="82" t="s">
        <v>62</v>
      </c>
      <c r="E854" s="83"/>
      <c r="F854" s="83"/>
      <c r="G854" s="83"/>
      <c r="H854" s="83"/>
      <c r="I854" s="83"/>
      <c r="J854" s="84"/>
      <c r="K854" s="82">
        <v>29.628</v>
      </c>
      <c r="L854" s="83"/>
      <c r="M854" s="83"/>
      <c r="N854" s="83"/>
      <c r="O854" s="83"/>
      <c r="P854" s="84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</row>
    <row r="855" spans="1:46" ht="15.75" customHeight="1" x14ac:dyDescent="0.2">
      <c r="A855" s="76"/>
      <c r="B855" s="76"/>
      <c r="C855" s="76"/>
      <c r="D855" s="82" t="s">
        <v>63</v>
      </c>
      <c r="E855" s="83"/>
      <c r="F855" s="83"/>
      <c r="G855" s="83"/>
      <c r="H855" s="83"/>
      <c r="I855" s="83"/>
      <c r="J855" s="84"/>
      <c r="K855" s="82">
        <v>41.204999999999998</v>
      </c>
      <c r="L855" s="83"/>
      <c r="M855" s="83"/>
      <c r="N855" s="83"/>
      <c r="O855" s="83"/>
      <c r="P855" s="84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</row>
    <row r="856" spans="1:46" ht="15.75" customHeight="1" x14ac:dyDescent="0.2">
      <c r="A856" s="76"/>
      <c r="B856" s="76"/>
      <c r="C856" s="76"/>
      <c r="D856" s="82" t="s">
        <v>64</v>
      </c>
      <c r="E856" s="83"/>
      <c r="F856" s="83"/>
      <c r="G856" s="83"/>
      <c r="H856" s="83"/>
      <c r="I856" s="83"/>
      <c r="J856" s="84"/>
      <c r="K856" s="82">
        <v>19.984999999999999</v>
      </c>
      <c r="L856" s="83"/>
      <c r="M856" s="83"/>
      <c r="N856" s="83"/>
      <c r="O856" s="83"/>
      <c r="P856" s="84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</row>
    <row r="857" spans="1:46" ht="15.75" customHeight="1" x14ac:dyDescent="0.2">
      <c r="A857" s="76"/>
      <c r="B857" s="76"/>
      <c r="C857" s="76"/>
      <c r="D857" s="82" t="s">
        <v>65</v>
      </c>
      <c r="E857" s="83"/>
      <c r="F857" s="83"/>
      <c r="G857" s="83"/>
      <c r="H857" s="83"/>
      <c r="I857" s="83"/>
      <c r="J857" s="84"/>
      <c r="K857" s="82">
        <v>28.443000000000001</v>
      </c>
      <c r="L857" s="83"/>
      <c r="M857" s="83"/>
      <c r="N857" s="83"/>
      <c r="O857" s="83"/>
      <c r="P857" s="84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</row>
    <row r="858" spans="1:46" ht="15.75" customHeight="1" x14ac:dyDescent="0.2">
      <c r="A858" s="76"/>
      <c r="B858" s="76"/>
      <c r="C858" s="76"/>
      <c r="D858" s="82" t="s">
        <v>66</v>
      </c>
      <c r="E858" s="83"/>
      <c r="F858" s="83"/>
      <c r="G858" s="83"/>
      <c r="H858" s="83"/>
      <c r="I858" s="83"/>
      <c r="J858" s="84"/>
      <c r="K858" s="82">
        <v>26.155000000000001</v>
      </c>
      <c r="L858" s="83"/>
      <c r="M858" s="83"/>
      <c r="N858" s="83"/>
      <c r="O858" s="83"/>
      <c r="P858" s="84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</row>
    <row r="859" spans="1:46" ht="15.75" customHeight="1" x14ac:dyDescent="0.2">
      <c r="A859" s="76"/>
      <c r="B859" s="76"/>
      <c r="C859" s="76"/>
      <c r="D859" s="82" t="s">
        <v>67</v>
      </c>
      <c r="E859" s="83"/>
      <c r="F859" s="83"/>
      <c r="G859" s="83"/>
      <c r="H859" s="83"/>
      <c r="I859" s="83"/>
      <c r="J859" s="84"/>
      <c r="K859" s="82">
        <v>26.491</v>
      </c>
      <c r="L859" s="83"/>
      <c r="M859" s="83"/>
      <c r="N859" s="83"/>
      <c r="O859" s="83"/>
      <c r="P859" s="84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</row>
    <row r="860" spans="1:46" ht="15.75" customHeight="1" x14ac:dyDescent="0.2">
      <c r="A860" s="76"/>
      <c r="B860" s="76"/>
      <c r="C860" s="76"/>
      <c r="D860" s="82" t="s">
        <v>68</v>
      </c>
      <c r="E860" s="83"/>
      <c r="F860" s="83"/>
      <c r="G860" s="83"/>
      <c r="H860" s="83"/>
      <c r="I860" s="83"/>
      <c r="J860" s="84"/>
      <c r="K860" s="82">
        <v>43.465000000000003</v>
      </c>
      <c r="L860" s="83"/>
      <c r="M860" s="83"/>
      <c r="N860" s="83"/>
      <c r="O860" s="83"/>
      <c r="P860" s="84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</row>
    <row r="861" spans="1:46" ht="15.75" customHeight="1" x14ac:dyDescent="0.2">
      <c r="A861" s="76"/>
      <c r="B861" s="76"/>
      <c r="C861" s="76"/>
      <c r="D861" s="85" t="s">
        <v>69</v>
      </c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7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</row>
    <row r="862" spans="1:46" ht="15.75" customHeight="1" x14ac:dyDescent="0.2">
      <c r="A862" s="76"/>
      <c r="B862" s="76"/>
      <c r="C862" s="76"/>
      <c r="D862" s="88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89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</row>
    <row r="863" spans="1:46" ht="15.75" customHeight="1" x14ac:dyDescent="0.2">
      <c r="A863" s="76"/>
      <c r="B863" s="76"/>
      <c r="C863" s="76"/>
      <c r="D863" s="90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2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</row>
    <row r="864" spans="1:46" ht="15.75" customHeight="1" x14ac:dyDescent="0.2">
      <c r="A864" s="76"/>
      <c r="B864" s="76"/>
      <c r="C864" s="76"/>
      <c r="D864" s="94" t="s">
        <v>3</v>
      </c>
      <c r="E864" s="86"/>
      <c r="F864" s="86"/>
      <c r="G864" s="86"/>
      <c r="H864" s="86"/>
      <c r="I864" s="86"/>
      <c r="J864" s="87"/>
      <c r="K864" s="95" t="s">
        <v>70</v>
      </c>
      <c r="L864" s="86"/>
      <c r="M864" s="86"/>
      <c r="N864" s="86"/>
      <c r="O864" s="86"/>
      <c r="P864" s="87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</row>
    <row r="865" spans="1:46" ht="15.75" customHeight="1" x14ac:dyDescent="0.2">
      <c r="A865" s="76"/>
      <c r="B865" s="76"/>
      <c r="C865" s="76"/>
      <c r="D865" s="90"/>
      <c r="E865" s="91"/>
      <c r="F865" s="91"/>
      <c r="G865" s="91"/>
      <c r="H865" s="91"/>
      <c r="I865" s="91"/>
      <c r="J865" s="92"/>
      <c r="K865" s="90"/>
      <c r="L865" s="91"/>
      <c r="M865" s="91"/>
      <c r="N865" s="91"/>
      <c r="O865" s="91"/>
      <c r="P865" s="92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</row>
    <row r="866" spans="1:46" ht="15.75" customHeight="1" x14ac:dyDescent="0.2">
      <c r="A866" s="76"/>
      <c r="B866" s="76"/>
      <c r="C866" s="76"/>
      <c r="D866" s="82" t="s">
        <v>51</v>
      </c>
      <c r="E866" s="83"/>
      <c r="F866" s="83"/>
      <c r="G866" s="83"/>
      <c r="H866" s="83"/>
      <c r="I866" s="83"/>
      <c r="J866" s="84"/>
      <c r="K866" s="93" t="s">
        <v>71</v>
      </c>
      <c r="L866" s="83"/>
      <c r="M866" s="83"/>
      <c r="N866" s="83"/>
      <c r="O866" s="83"/>
      <c r="P866" s="84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</row>
    <row r="867" spans="1:46" ht="15.75" customHeight="1" x14ac:dyDescent="0.2">
      <c r="A867" s="76"/>
      <c r="B867" s="76"/>
      <c r="C867" s="76"/>
      <c r="D867" s="82" t="s">
        <v>52</v>
      </c>
      <c r="E867" s="83"/>
      <c r="F867" s="83"/>
      <c r="G867" s="83"/>
      <c r="H867" s="83"/>
      <c r="I867" s="83"/>
      <c r="J867" s="84"/>
      <c r="K867" s="93" t="s">
        <v>72</v>
      </c>
      <c r="L867" s="83"/>
      <c r="M867" s="83"/>
      <c r="N867" s="83"/>
      <c r="O867" s="83"/>
      <c r="P867" s="84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</row>
    <row r="868" spans="1:46" ht="15.75" customHeight="1" x14ac:dyDescent="0.2">
      <c r="A868" s="76"/>
      <c r="B868" s="76"/>
      <c r="C868" s="76"/>
      <c r="D868" s="82" t="s">
        <v>53</v>
      </c>
      <c r="E868" s="83"/>
      <c r="F868" s="83"/>
      <c r="G868" s="83"/>
      <c r="H868" s="83"/>
      <c r="I868" s="83"/>
      <c r="J868" s="84"/>
      <c r="K868" s="93" t="s">
        <v>72</v>
      </c>
      <c r="L868" s="83"/>
      <c r="M868" s="83"/>
      <c r="N868" s="83"/>
      <c r="O868" s="83"/>
      <c r="P868" s="84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</row>
    <row r="869" spans="1:46" ht="15.75" customHeight="1" x14ac:dyDescent="0.2">
      <c r="A869" s="76"/>
      <c r="B869" s="76"/>
      <c r="C869" s="76"/>
      <c r="D869" s="82" t="s">
        <v>54</v>
      </c>
      <c r="E869" s="83"/>
      <c r="F869" s="83"/>
      <c r="G869" s="83"/>
      <c r="H869" s="83"/>
      <c r="I869" s="83"/>
      <c r="J869" s="84"/>
      <c r="K869" s="93" t="s">
        <v>73</v>
      </c>
      <c r="L869" s="83"/>
      <c r="M869" s="83"/>
      <c r="N869" s="83"/>
      <c r="O869" s="83"/>
      <c r="P869" s="84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</row>
    <row r="870" spans="1:46" ht="15.75" customHeight="1" x14ac:dyDescent="0.2">
      <c r="A870" s="76"/>
      <c r="B870" s="76"/>
      <c r="C870" s="76"/>
      <c r="D870" s="82" t="s">
        <v>55</v>
      </c>
      <c r="E870" s="83"/>
      <c r="F870" s="83"/>
      <c r="G870" s="83"/>
      <c r="H870" s="83"/>
      <c r="I870" s="83"/>
      <c r="J870" s="84"/>
      <c r="K870" s="93" t="s">
        <v>74</v>
      </c>
      <c r="L870" s="83"/>
      <c r="M870" s="83"/>
      <c r="N870" s="83"/>
      <c r="O870" s="83"/>
      <c r="P870" s="84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</row>
    <row r="871" spans="1:46" ht="15.75" customHeight="1" x14ac:dyDescent="0.2">
      <c r="A871" s="76"/>
      <c r="B871" s="76"/>
      <c r="C871" s="76"/>
      <c r="D871" s="82" t="s">
        <v>56</v>
      </c>
      <c r="E871" s="83"/>
      <c r="F871" s="83"/>
      <c r="G871" s="83"/>
      <c r="H871" s="83"/>
      <c r="I871" s="83"/>
      <c r="J871" s="84"/>
      <c r="K871" s="93" t="s">
        <v>74</v>
      </c>
      <c r="L871" s="83"/>
      <c r="M871" s="83"/>
      <c r="N871" s="83"/>
      <c r="O871" s="83"/>
      <c r="P871" s="84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</row>
    <row r="872" spans="1:46" ht="15.75" customHeight="1" x14ac:dyDescent="0.2">
      <c r="A872" s="76"/>
      <c r="B872" s="76"/>
      <c r="C872" s="76"/>
      <c r="D872" s="82" t="s">
        <v>75</v>
      </c>
      <c r="E872" s="83"/>
      <c r="F872" s="83"/>
      <c r="G872" s="83"/>
      <c r="H872" s="83"/>
      <c r="I872" s="83"/>
      <c r="J872" s="84"/>
      <c r="K872" s="93" t="s">
        <v>74</v>
      </c>
      <c r="L872" s="83"/>
      <c r="M872" s="83"/>
      <c r="N872" s="83"/>
      <c r="O872" s="83"/>
      <c r="P872" s="84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</row>
    <row r="873" spans="1:46" ht="15.75" customHeight="1" x14ac:dyDescent="0.2">
      <c r="A873" s="76"/>
      <c r="B873" s="76"/>
      <c r="C873" s="76"/>
      <c r="D873" s="82" t="s">
        <v>58</v>
      </c>
      <c r="E873" s="83"/>
      <c r="F873" s="83"/>
      <c r="G873" s="83"/>
      <c r="H873" s="83"/>
      <c r="I873" s="83"/>
      <c r="J873" s="84"/>
      <c r="K873" s="93" t="s">
        <v>74</v>
      </c>
      <c r="L873" s="83"/>
      <c r="M873" s="83"/>
      <c r="N873" s="83"/>
      <c r="O873" s="83"/>
      <c r="P873" s="84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</row>
    <row r="874" spans="1:46" ht="15.75" customHeight="1" x14ac:dyDescent="0.2">
      <c r="A874" s="76"/>
      <c r="B874" s="76"/>
      <c r="C874" s="76"/>
      <c r="D874" s="82" t="s">
        <v>76</v>
      </c>
      <c r="E874" s="83"/>
      <c r="F874" s="83"/>
      <c r="G874" s="83"/>
      <c r="H874" s="83"/>
      <c r="I874" s="83"/>
      <c r="J874" s="84"/>
      <c r="K874" s="93" t="s">
        <v>77</v>
      </c>
      <c r="L874" s="83"/>
      <c r="M874" s="83"/>
      <c r="N874" s="83"/>
      <c r="O874" s="83"/>
      <c r="P874" s="84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</row>
    <row r="875" spans="1:46" ht="15.75" customHeight="1" x14ac:dyDescent="0.2">
      <c r="A875" s="76"/>
      <c r="B875" s="76"/>
      <c r="C875" s="76"/>
      <c r="D875" s="82" t="s">
        <v>60</v>
      </c>
      <c r="E875" s="83"/>
      <c r="F875" s="83"/>
      <c r="G875" s="83"/>
      <c r="H875" s="83"/>
      <c r="I875" s="83"/>
      <c r="J875" s="84"/>
      <c r="K875" s="93" t="s">
        <v>72</v>
      </c>
      <c r="L875" s="83"/>
      <c r="M875" s="83"/>
      <c r="N875" s="83"/>
      <c r="O875" s="83"/>
      <c r="P875" s="84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</row>
    <row r="876" spans="1:46" ht="15.75" customHeight="1" x14ac:dyDescent="0.2">
      <c r="A876" s="76"/>
      <c r="B876" s="76"/>
      <c r="C876" s="76"/>
      <c r="D876" s="82" t="s">
        <v>61</v>
      </c>
      <c r="E876" s="83"/>
      <c r="F876" s="83"/>
      <c r="G876" s="83"/>
      <c r="H876" s="83"/>
      <c r="I876" s="83"/>
      <c r="J876" s="84"/>
      <c r="K876" s="93" t="s">
        <v>73</v>
      </c>
      <c r="L876" s="83"/>
      <c r="M876" s="83"/>
      <c r="N876" s="83"/>
      <c r="O876" s="83"/>
      <c r="P876" s="84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</row>
    <row r="877" spans="1:46" ht="15.75" customHeight="1" x14ac:dyDescent="0.2">
      <c r="A877" s="76"/>
      <c r="B877" s="76"/>
      <c r="C877" s="76"/>
      <c r="D877" s="82" t="s">
        <v>62</v>
      </c>
      <c r="E877" s="83"/>
      <c r="F877" s="83"/>
      <c r="G877" s="83"/>
      <c r="H877" s="83"/>
      <c r="I877" s="83"/>
      <c r="J877" s="84"/>
      <c r="K877" s="93" t="s">
        <v>78</v>
      </c>
      <c r="L877" s="83"/>
      <c r="M877" s="83"/>
      <c r="N877" s="83"/>
      <c r="O877" s="83"/>
      <c r="P877" s="84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</row>
    <row r="878" spans="1:46" ht="15.75" customHeight="1" x14ac:dyDescent="0.2">
      <c r="A878" s="76"/>
      <c r="B878" s="76"/>
      <c r="C878" s="76"/>
      <c r="D878" s="82" t="s">
        <v>79</v>
      </c>
      <c r="E878" s="83"/>
      <c r="F878" s="83"/>
      <c r="G878" s="83"/>
      <c r="H878" s="83"/>
      <c r="I878" s="83"/>
      <c r="J878" s="84"/>
      <c r="K878" s="93" t="s">
        <v>80</v>
      </c>
      <c r="L878" s="83"/>
      <c r="M878" s="83"/>
      <c r="N878" s="83"/>
      <c r="O878" s="83"/>
      <c r="P878" s="84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</row>
    <row r="879" spans="1:46" ht="15.75" customHeight="1" x14ac:dyDescent="0.2">
      <c r="A879" s="76"/>
      <c r="B879" s="76"/>
      <c r="C879" s="76"/>
      <c r="D879" s="82" t="s">
        <v>64</v>
      </c>
      <c r="E879" s="83"/>
      <c r="F879" s="83"/>
      <c r="G879" s="83"/>
      <c r="H879" s="83"/>
      <c r="I879" s="83"/>
      <c r="J879" s="84"/>
      <c r="K879" s="93" t="s">
        <v>74</v>
      </c>
      <c r="L879" s="83"/>
      <c r="M879" s="83"/>
      <c r="N879" s="83"/>
      <c r="O879" s="83"/>
      <c r="P879" s="84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</row>
    <row r="880" spans="1:46" ht="15.75" customHeight="1" x14ac:dyDescent="0.2">
      <c r="A880" s="76"/>
      <c r="B880" s="76"/>
      <c r="C880" s="76"/>
      <c r="D880" s="82" t="s">
        <v>65</v>
      </c>
      <c r="E880" s="83"/>
      <c r="F880" s="83"/>
      <c r="G880" s="83"/>
      <c r="H880" s="83"/>
      <c r="I880" s="83"/>
      <c r="J880" s="84"/>
      <c r="K880" s="93" t="s">
        <v>72</v>
      </c>
      <c r="L880" s="83"/>
      <c r="M880" s="83"/>
      <c r="N880" s="83"/>
      <c r="O880" s="83"/>
      <c r="P880" s="84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</row>
    <row r="881" spans="1:46" ht="15.75" customHeight="1" x14ac:dyDescent="0.2">
      <c r="A881" s="76"/>
      <c r="B881" s="76"/>
      <c r="C881" s="76"/>
      <c r="D881" s="82" t="s">
        <v>66</v>
      </c>
      <c r="E881" s="83"/>
      <c r="F881" s="83"/>
      <c r="G881" s="83"/>
      <c r="H881" s="83"/>
      <c r="I881" s="83"/>
      <c r="J881" s="84"/>
      <c r="K881" s="93" t="s">
        <v>74</v>
      </c>
      <c r="L881" s="83"/>
      <c r="M881" s="83"/>
      <c r="N881" s="83"/>
      <c r="O881" s="83"/>
      <c r="P881" s="84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</row>
    <row r="882" spans="1:46" ht="15.75" customHeight="1" x14ac:dyDescent="0.2">
      <c r="A882" s="76"/>
      <c r="B882" s="76"/>
      <c r="C882" s="76"/>
      <c r="D882" s="82" t="s">
        <v>67</v>
      </c>
      <c r="E882" s="83"/>
      <c r="F882" s="83"/>
      <c r="G882" s="83"/>
      <c r="H882" s="83"/>
      <c r="I882" s="83"/>
      <c r="J882" s="84"/>
      <c r="K882" s="93" t="s">
        <v>74</v>
      </c>
      <c r="L882" s="83"/>
      <c r="M882" s="83"/>
      <c r="N882" s="83"/>
      <c r="O882" s="83"/>
      <c r="P882" s="84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</row>
    <row r="883" spans="1:46" ht="15.75" customHeight="1" x14ac:dyDescent="0.2">
      <c r="A883" s="76"/>
      <c r="B883" s="76"/>
      <c r="C883" s="76"/>
      <c r="D883" s="82" t="s">
        <v>68</v>
      </c>
      <c r="E883" s="83"/>
      <c r="F883" s="83"/>
      <c r="G883" s="83"/>
      <c r="H883" s="83"/>
      <c r="I883" s="83"/>
      <c r="J883" s="84"/>
      <c r="K883" s="93" t="s">
        <v>80</v>
      </c>
      <c r="L883" s="83"/>
      <c r="M883" s="83"/>
      <c r="N883" s="83"/>
      <c r="O883" s="83"/>
      <c r="P883" s="84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</row>
    <row r="884" spans="1:46" ht="12.75" x14ac:dyDescent="0.2">
      <c r="A884" s="76"/>
      <c r="B884" s="76"/>
      <c r="C884" s="76"/>
      <c r="D884" s="9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</row>
    <row r="885" spans="1:46" ht="15.75" customHeight="1" x14ac:dyDescent="0.2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</row>
  </sheetData>
  <mergeCells count="1633">
    <mergeCell ref="T753:T755"/>
    <mergeCell ref="U753:U755"/>
    <mergeCell ref="V758:V761"/>
    <mergeCell ref="V753:V755"/>
    <mergeCell ref="D756:V756"/>
    <mergeCell ref="D757:V757"/>
    <mergeCell ref="X757:AR757"/>
    <mergeCell ref="D758:D761"/>
    <mergeCell ref="E758:E761"/>
    <mergeCell ref="F758:F761"/>
    <mergeCell ref="G758:G761"/>
    <mergeCell ref="H758:H761"/>
    <mergeCell ref="I758:I761"/>
    <mergeCell ref="J758:J761"/>
    <mergeCell ref="K758:K761"/>
    <mergeCell ref="L758:L761"/>
    <mergeCell ref="M758:M761"/>
    <mergeCell ref="N758:N761"/>
    <mergeCell ref="O758:O761"/>
    <mergeCell ref="P758:P761"/>
    <mergeCell ref="Q758:Q761"/>
    <mergeCell ref="R758:R761"/>
    <mergeCell ref="S758:S761"/>
    <mergeCell ref="T758:T761"/>
    <mergeCell ref="U758:U761"/>
    <mergeCell ref="X658:AR658"/>
    <mergeCell ref="X667:AR667"/>
    <mergeCell ref="D672:D674"/>
    <mergeCell ref="E672:E674"/>
    <mergeCell ref="F672:F674"/>
    <mergeCell ref="G672:G674"/>
    <mergeCell ref="H672:H674"/>
    <mergeCell ref="I672:I674"/>
    <mergeCell ref="J672:J674"/>
    <mergeCell ref="K672:K674"/>
    <mergeCell ref="L672:L674"/>
    <mergeCell ref="M672:M674"/>
    <mergeCell ref="N672:N674"/>
    <mergeCell ref="O672:O674"/>
    <mergeCell ref="X685:AR685"/>
    <mergeCell ref="X694:AR694"/>
    <mergeCell ref="D699:D701"/>
    <mergeCell ref="E699:E701"/>
    <mergeCell ref="F699:F701"/>
    <mergeCell ref="G699:G701"/>
    <mergeCell ref="H699:H701"/>
    <mergeCell ref="I699:I701"/>
    <mergeCell ref="J699:J701"/>
    <mergeCell ref="K699:K701"/>
    <mergeCell ref="L699:L701"/>
    <mergeCell ref="M699:M701"/>
    <mergeCell ref="N699:N701"/>
    <mergeCell ref="O699:O701"/>
    <mergeCell ref="V650:V653"/>
    <mergeCell ref="V645:V647"/>
    <mergeCell ref="D648:V648"/>
    <mergeCell ref="D649:V649"/>
    <mergeCell ref="X649:AR649"/>
    <mergeCell ref="D650:D653"/>
    <mergeCell ref="E650:E653"/>
    <mergeCell ref="F650:F653"/>
    <mergeCell ref="G650:G653"/>
    <mergeCell ref="H650:H653"/>
    <mergeCell ref="I650:I653"/>
    <mergeCell ref="J650:J653"/>
    <mergeCell ref="K650:K653"/>
    <mergeCell ref="L650:L653"/>
    <mergeCell ref="M650:M653"/>
    <mergeCell ref="N650:N653"/>
    <mergeCell ref="O650:O653"/>
    <mergeCell ref="P650:P653"/>
    <mergeCell ref="Q650:Q653"/>
    <mergeCell ref="R650:R653"/>
    <mergeCell ref="S650:S653"/>
    <mergeCell ref="T650:T653"/>
    <mergeCell ref="U650:U653"/>
    <mergeCell ref="X631:AR631"/>
    <mergeCell ref="X640:AR640"/>
    <mergeCell ref="D645:D647"/>
    <mergeCell ref="E645:E647"/>
    <mergeCell ref="F645:F647"/>
    <mergeCell ref="G645:G647"/>
    <mergeCell ref="H645:H647"/>
    <mergeCell ref="I645:I647"/>
    <mergeCell ref="J645:J647"/>
    <mergeCell ref="K645:K647"/>
    <mergeCell ref="L645:L647"/>
    <mergeCell ref="M645:M647"/>
    <mergeCell ref="N645:N647"/>
    <mergeCell ref="O645:O647"/>
    <mergeCell ref="P645:P647"/>
    <mergeCell ref="Q645:Q647"/>
    <mergeCell ref="R645:R647"/>
    <mergeCell ref="S645:S647"/>
    <mergeCell ref="T645:T647"/>
    <mergeCell ref="U645:U647"/>
    <mergeCell ref="T618:T620"/>
    <mergeCell ref="U618:U620"/>
    <mergeCell ref="V623:V626"/>
    <mergeCell ref="V618:V620"/>
    <mergeCell ref="D621:V621"/>
    <mergeCell ref="D622:V622"/>
    <mergeCell ref="X622:AR622"/>
    <mergeCell ref="D623:D626"/>
    <mergeCell ref="E623:E626"/>
    <mergeCell ref="F623:F626"/>
    <mergeCell ref="G623:G626"/>
    <mergeCell ref="H623:H626"/>
    <mergeCell ref="I623:I626"/>
    <mergeCell ref="J623:J626"/>
    <mergeCell ref="K623:K626"/>
    <mergeCell ref="L623:L626"/>
    <mergeCell ref="M623:M626"/>
    <mergeCell ref="N623:N626"/>
    <mergeCell ref="O623:O626"/>
    <mergeCell ref="P623:P626"/>
    <mergeCell ref="Q623:Q626"/>
    <mergeCell ref="R623:R626"/>
    <mergeCell ref="S623:S626"/>
    <mergeCell ref="T623:T626"/>
    <mergeCell ref="U623:U626"/>
    <mergeCell ref="P672:P674"/>
    <mergeCell ref="Q672:Q674"/>
    <mergeCell ref="R672:R674"/>
    <mergeCell ref="S672:S674"/>
    <mergeCell ref="T672:T674"/>
    <mergeCell ref="U672:U674"/>
    <mergeCell ref="V677:V680"/>
    <mergeCell ref="V672:V674"/>
    <mergeCell ref="D675:V675"/>
    <mergeCell ref="D676:V676"/>
    <mergeCell ref="X676:AR676"/>
    <mergeCell ref="D677:D680"/>
    <mergeCell ref="E677:E680"/>
    <mergeCell ref="F677:F680"/>
    <mergeCell ref="G677:G680"/>
    <mergeCell ref="H677:H680"/>
    <mergeCell ref="I677:I680"/>
    <mergeCell ref="J677:J680"/>
    <mergeCell ref="K677:K680"/>
    <mergeCell ref="L677:L680"/>
    <mergeCell ref="M677:M680"/>
    <mergeCell ref="N677:N680"/>
    <mergeCell ref="O677:O680"/>
    <mergeCell ref="P677:P680"/>
    <mergeCell ref="Q677:Q680"/>
    <mergeCell ref="R677:R680"/>
    <mergeCell ref="S677:S680"/>
    <mergeCell ref="T677:T680"/>
    <mergeCell ref="U677:U680"/>
    <mergeCell ref="X577:AR577"/>
    <mergeCell ref="X586:AR586"/>
    <mergeCell ref="D591:D593"/>
    <mergeCell ref="E591:E593"/>
    <mergeCell ref="F591:F593"/>
    <mergeCell ref="G591:G593"/>
    <mergeCell ref="H591:H593"/>
    <mergeCell ref="I591:I593"/>
    <mergeCell ref="J591:J593"/>
    <mergeCell ref="K591:K593"/>
    <mergeCell ref="L591:L593"/>
    <mergeCell ref="M591:M593"/>
    <mergeCell ref="N591:N593"/>
    <mergeCell ref="O591:O593"/>
    <mergeCell ref="X604:AR604"/>
    <mergeCell ref="X613:AR613"/>
    <mergeCell ref="D618:D620"/>
    <mergeCell ref="E618:E620"/>
    <mergeCell ref="F618:F620"/>
    <mergeCell ref="G618:G620"/>
    <mergeCell ref="H618:H620"/>
    <mergeCell ref="I618:I620"/>
    <mergeCell ref="J618:J620"/>
    <mergeCell ref="K618:K620"/>
    <mergeCell ref="L618:L620"/>
    <mergeCell ref="M618:M620"/>
    <mergeCell ref="N618:N620"/>
    <mergeCell ref="O618:O620"/>
    <mergeCell ref="P618:P620"/>
    <mergeCell ref="Q618:Q620"/>
    <mergeCell ref="R618:R620"/>
    <mergeCell ref="S618:S620"/>
    <mergeCell ref="V569:V572"/>
    <mergeCell ref="V564:V566"/>
    <mergeCell ref="D567:V567"/>
    <mergeCell ref="D568:V568"/>
    <mergeCell ref="X568:AR568"/>
    <mergeCell ref="D569:D572"/>
    <mergeCell ref="E569:E572"/>
    <mergeCell ref="F569:F572"/>
    <mergeCell ref="G569:G572"/>
    <mergeCell ref="H569:H572"/>
    <mergeCell ref="I569:I572"/>
    <mergeCell ref="J569:J572"/>
    <mergeCell ref="K569:K572"/>
    <mergeCell ref="L569:L572"/>
    <mergeCell ref="M569:M572"/>
    <mergeCell ref="N569:N572"/>
    <mergeCell ref="O569:O572"/>
    <mergeCell ref="P569:P572"/>
    <mergeCell ref="Q569:Q572"/>
    <mergeCell ref="R569:R572"/>
    <mergeCell ref="S569:S572"/>
    <mergeCell ref="T569:T572"/>
    <mergeCell ref="U569:U572"/>
    <mergeCell ref="X550:AR550"/>
    <mergeCell ref="X559:AR559"/>
    <mergeCell ref="D564:D566"/>
    <mergeCell ref="E564:E566"/>
    <mergeCell ref="F564:F566"/>
    <mergeCell ref="G564:G566"/>
    <mergeCell ref="H564:H566"/>
    <mergeCell ref="I564:I566"/>
    <mergeCell ref="J564:J566"/>
    <mergeCell ref="K564:K566"/>
    <mergeCell ref="L564:L566"/>
    <mergeCell ref="M564:M566"/>
    <mergeCell ref="N564:N566"/>
    <mergeCell ref="O564:O566"/>
    <mergeCell ref="P564:P566"/>
    <mergeCell ref="Q564:Q566"/>
    <mergeCell ref="R564:R566"/>
    <mergeCell ref="S564:S566"/>
    <mergeCell ref="T564:T566"/>
    <mergeCell ref="U564:U566"/>
    <mergeCell ref="L537:L539"/>
    <mergeCell ref="M537:M539"/>
    <mergeCell ref="N537:N539"/>
    <mergeCell ref="O537:O539"/>
    <mergeCell ref="P537:P539"/>
    <mergeCell ref="Q537:Q539"/>
    <mergeCell ref="R537:R539"/>
    <mergeCell ref="S537:S539"/>
    <mergeCell ref="T537:T539"/>
    <mergeCell ref="U537:U539"/>
    <mergeCell ref="D540:V540"/>
    <mergeCell ref="D541:V541"/>
    <mergeCell ref="X541:AR541"/>
    <mergeCell ref="D542:D545"/>
    <mergeCell ref="S542:S545"/>
    <mergeCell ref="T542:T545"/>
    <mergeCell ref="U542:U545"/>
    <mergeCell ref="V542:V545"/>
    <mergeCell ref="E542:E545"/>
    <mergeCell ref="F542:F545"/>
    <mergeCell ref="G542:G545"/>
    <mergeCell ref="H542:H545"/>
    <mergeCell ref="I542:I545"/>
    <mergeCell ref="J542:J545"/>
    <mergeCell ref="K542:K545"/>
    <mergeCell ref="L542:L545"/>
    <mergeCell ref="M542:M545"/>
    <mergeCell ref="N542:N545"/>
    <mergeCell ref="O542:O545"/>
    <mergeCell ref="P542:P545"/>
    <mergeCell ref="Q542:Q545"/>
    <mergeCell ref="R542:R545"/>
    <mergeCell ref="X523:AR523"/>
    <mergeCell ref="J537:J539"/>
    <mergeCell ref="K537:K539"/>
    <mergeCell ref="P591:P593"/>
    <mergeCell ref="Q591:Q593"/>
    <mergeCell ref="R591:R593"/>
    <mergeCell ref="S591:S593"/>
    <mergeCell ref="T591:T593"/>
    <mergeCell ref="U591:U593"/>
    <mergeCell ref="V596:V599"/>
    <mergeCell ref="V591:V593"/>
    <mergeCell ref="D594:V594"/>
    <mergeCell ref="D595:V595"/>
    <mergeCell ref="X595:AR595"/>
    <mergeCell ref="D596:D599"/>
    <mergeCell ref="E596:E599"/>
    <mergeCell ref="F596:F599"/>
    <mergeCell ref="G596:G599"/>
    <mergeCell ref="H596:H599"/>
    <mergeCell ref="I596:I599"/>
    <mergeCell ref="J596:J599"/>
    <mergeCell ref="K596:K599"/>
    <mergeCell ref="L596:L599"/>
    <mergeCell ref="M596:M599"/>
    <mergeCell ref="N596:N599"/>
    <mergeCell ref="O596:O599"/>
    <mergeCell ref="P596:P599"/>
    <mergeCell ref="Q596:Q599"/>
    <mergeCell ref="R596:R599"/>
    <mergeCell ref="S596:S599"/>
    <mergeCell ref="T596:T599"/>
    <mergeCell ref="U596:U599"/>
    <mergeCell ref="D513:V513"/>
    <mergeCell ref="D514:V514"/>
    <mergeCell ref="J515:J518"/>
    <mergeCell ref="K515:K518"/>
    <mergeCell ref="X514:AR514"/>
    <mergeCell ref="D515:D518"/>
    <mergeCell ref="E515:E518"/>
    <mergeCell ref="F515:F518"/>
    <mergeCell ref="G515:G518"/>
    <mergeCell ref="H515:H518"/>
    <mergeCell ref="I515:I518"/>
    <mergeCell ref="L515:L518"/>
    <mergeCell ref="M515:M518"/>
    <mergeCell ref="X505:AR505"/>
    <mergeCell ref="D510:D512"/>
    <mergeCell ref="E510:E512"/>
    <mergeCell ref="F510:F512"/>
    <mergeCell ref="G510:G512"/>
    <mergeCell ref="H510:H512"/>
    <mergeCell ref="I510:I512"/>
    <mergeCell ref="V510:V512"/>
    <mergeCell ref="N515:N518"/>
    <mergeCell ref="O515:O518"/>
    <mergeCell ref="P515:P518"/>
    <mergeCell ref="Q515:Q518"/>
    <mergeCell ref="R515:R518"/>
    <mergeCell ref="S515:S518"/>
    <mergeCell ref="T515:T518"/>
    <mergeCell ref="U515:U518"/>
    <mergeCell ref="V515:V518"/>
    <mergeCell ref="E483:E485"/>
    <mergeCell ref="F483:F485"/>
    <mergeCell ref="G483:G485"/>
    <mergeCell ref="H483:H485"/>
    <mergeCell ref="I483:I485"/>
    <mergeCell ref="V483:V485"/>
    <mergeCell ref="R488:R491"/>
    <mergeCell ref="S488:S491"/>
    <mergeCell ref="T488:T491"/>
    <mergeCell ref="U488:U491"/>
    <mergeCell ref="V488:V491"/>
    <mergeCell ref="X496:AR496"/>
    <mergeCell ref="J510:J512"/>
    <mergeCell ref="K510:K512"/>
    <mergeCell ref="L510:L512"/>
    <mergeCell ref="M510:M512"/>
    <mergeCell ref="N510:N512"/>
    <mergeCell ref="O510:O512"/>
    <mergeCell ref="P510:P512"/>
    <mergeCell ref="Q510:Q512"/>
    <mergeCell ref="R510:R512"/>
    <mergeCell ref="S510:S512"/>
    <mergeCell ref="T510:T512"/>
    <mergeCell ref="U510:U512"/>
    <mergeCell ref="X469:AR469"/>
    <mergeCell ref="J483:J485"/>
    <mergeCell ref="K483:K485"/>
    <mergeCell ref="L483:L485"/>
    <mergeCell ref="M483:M485"/>
    <mergeCell ref="N483:N485"/>
    <mergeCell ref="O483:O485"/>
    <mergeCell ref="P483:P485"/>
    <mergeCell ref="Q483:Q485"/>
    <mergeCell ref="R483:R485"/>
    <mergeCell ref="S483:S485"/>
    <mergeCell ref="T483:T485"/>
    <mergeCell ref="U483:U485"/>
    <mergeCell ref="D486:V486"/>
    <mergeCell ref="D487:V487"/>
    <mergeCell ref="J488:J491"/>
    <mergeCell ref="K488:K491"/>
    <mergeCell ref="L488:L491"/>
    <mergeCell ref="M488:M491"/>
    <mergeCell ref="N488:N491"/>
    <mergeCell ref="O488:O491"/>
    <mergeCell ref="X487:AR487"/>
    <mergeCell ref="D488:D491"/>
    <mergeCell ref="E488:E491"/>
    <mergeCell ref="F488:F491"/>
    <mergeCell ref="G488:G491"/>
    <mergeCell ref="H488:H491"/>
    <mergeCell ref="I488:I491"/>
    <mergeCell ref="P488:P491"/>
    <mergeCell ref="Q488:Q491"/>
    <mergeCell ref="X478:AR478"/>
    <mergeCell ref="D483:D485"/>
    <mergeCell ref="D460:V460"/>
    <mergeCell ref="J461:J464"/>
    <mergeCell ref="K461:K464"/>
    <mergeCell ref="L461:L464"/>
    <mergeCell ref="M461:M464"/>
    <mergeCell ref="N461:N464"/>
    <mergeCell ref="O461:O464"/>
    <mergeCell ref="P461:P464"/>
    <mergeCell ref="Q461:Q464"/>
    <mergeCell ref="R461:R464"/>
    <mergeCell ref="S461:S464"/>
    <mergeCell ref="X460:AR460"/>
    <mergeCell ref="D461:D464"/>
    <mergeCell ref="E461:E464"/>
    <mergeCell ref="F461:F464"/>
    <mergeCell ref="G461:G464"/>
    <mergeCell ref="H461:H464"/>
    <mergeCell ref="I461:I464"/>
    <mergeCell ref="T461:T464"/>
    <mergeCell ref="U461:U464"/>
    <mergeCell ref="V461:V464"/>
    <mergeCell ref="X433:AR433"/>
    <mergeCell ref="K434:K437"/>
    <mergeCell ref="L434:L437"/>
    <mergeCell ref="M434:M437"/>
    <mergeCell ref="N434:N437"/>
    <mergeCell ref="O434:O437"/>
    <mergeCell ref="P434:P437"/>
    <mergeCell ref="X442:AR442"/>
    <mergeCell ref="X451:AR451"/>
    <mergeCell ref="K456:K458"/>
    <mergeCell ref="L456:L458"/>
    <mergeCell ref="M456:M458"/>
    <mergeCell ref="N456:N458"/>
    <mergeCell ref="O456:O458"/>
    <mergeCell ref="P456:P458"/>
    <mergeCell ref="Q456:Q458"/>
    <mergeCell ref="R456:R458"/>
    <mergeCell ref="S456:S458"/>
    <mergeCell ref="T456:T458"/>
    <mergeCell ref="U456:U458"/>
    <mergeCell ref="V456:V458"/>
    <mergeCell ref="X406:AR406"/>
    <mergeCell ref="K407:K410"/>
    <mergeCell ref="L407:L410"/>
    <mergeCell ref="M407:M410"/>
    <mergeCell ref="N407:N410"/>
    <mergeCell ref="O407:O410"/>
    <mergeCell ref="P407:P410"/>
    <mergeCell ref="S407:S410"/>
    <mergeCell ref="T407:T410"/>
    <mergeCell ref="U407:U410"/>
    <mergeCell ref="V407:V410"/>
    <mergeCell ref="X415:AR415"/>
    <mergeCell ref="X424:AR424"/>
    <mergeCell ref="K429:K431"/>
    <mergeCell ref="L429:L431"/>
    <mergeCell ref="M429:M431"/>
    <mergeCell ref="N429:N431"/>
    <mergeCell ref="O429:O431"/>
    <mergeCell ref="P429:P431"/>
    <mergeCell ref="Q429:Q431"/>
    <mergeCell ref="R429:R431"/>
    <mergeCell ref="S429:S431"/>
    <mergeCell ref="T429:T431"/>
    <mergeCell ref="U429:U431"/>
    <mergeCell ref="V429:V431"/>
    <mergeCell ref="X379:AR379"/>
    <mergeCell ref="K380:K383"/>
    <mergeCell ref="X361:AR361"/>
    <mergeCell ref="X370:AR370"/>
    <mergeCell ref="L380:L383"/>
    <mergeCell ref="M380:M383"/>
    <mergeCell ref="N380:N383"/>
    <mergeCell ref="O380:O383"/>
    <mergeCell ref="P380:P383"/>
    <mergeCell ref="Q380:Q383"/>
    <mergeCell ref="R380:R383"/>
    <mergeCell ref="S380:S383"/>
    <mergeCell ref="T380:T383"/>
    <mergeCell ref="U380:U383"/>
    <mergeCell ref="V380:V383"/>
    <mergeCell ref="X388:AR388"/>
    <mergeCell ref="Q402:Q404"/>
    <mergeCell ref="R402:R404"/>
    <mergeCell ref="S402:S404"/>
    <mergeCell ref="T402:T404"/>
    <mergeCell ref="U402:U404"/>
    <mergeCell ref="V402:V404"/>
    <mergeCell ref="X397:AR397"/>
    <mergeCell ref="K402:K404"/>
    <mergeCell ref="L402:L404"/>
    <mergeCell ref="M402:M404"/>
    <mergeCell ref="N402:N404"/>
    <mergeCell ref="O402:O404"/>
    <mergeCell ref="P402:P404"/>
    <mergeCell ref="X352:AR352"/>
    <mergeCell ref="K353:K356"/>
    <mergeCell ref="L353:L356"/>
    <mergeCell ref="M353:M356"/>
    <mergeCell ref="N353:N356"/>
    <mergeCell ref="O353:O356"/>
    <mergeCell ref="P353:P356"/>
    <mergeCell ref="K375:K377"/>
    <mergeCell ref="L375:L377"/>
    <mergeCell ref="M375:M377"/>
    <mergeCell ref="N375:N377"/>
    <mergeCell ref="O375:O377"/>
    <mergeCell ref="P375:P377"/>
    <mergeCell ref="Q375:Q377"/>
    <mergeCell ref="R375:R377"/>
    <mergeCell ref="S375:S377"/>
    <mergeCell ref="T375:T377"/>
    <mergeCell ref="U375:U377"/>
    <mergeCell ref="V375:V377"/>
    <mergeCell ref="X325:AR325"/>
    <mergeCell ref="K326:K329"/>
    <mergeCell ref="L326:L329"/>
    <mergeCell ref="M326:M329"/>
    <mergeCell ref="N326:N329"/>
    <mergeCell ref="O326:O329"/>
    <mergeCell ref="P326:P329"/>
    <mergeCell ref="K348:K350"/>
    <mergeCell ref="L348:L350"/>
    <mergeCell ref="M348:M350"/>
    <mergeCell ref="N348:N350"/>
    <mergeCell ref="O348:O350"/>
    <mergeCell ref="P348:P350"/>
    <mergeCell ref="Q348:Q350"/>
    <mergeCell ref="R348:R350"/>
    <mergeCell ref="S348:S350"/>
    <mergeCell ref="T348:T350"/>
    <mergeCell ref="U348:U350"/>
    <mergeCell ref="V348:V350"/>
    <mergeCell ref="X334:AR334"/>
    <mergeCell ref="X343:AR343"/>
    <mergeCell ref="X739:AR739"/>
    <mergeCell ref="X748:AR748"/>
    <mergeCell ref="D753:D755"/>
    <mergeCell ref="E753:E755"/>
    <mergeCell ref="F753:F755"/>
    <mergeCell ref="G753:G755"/>
    <mergeCell ref="H753:H755"/>
    <mergeCell ref="I753:I755"/>
    <mergeCell ref="J753:J755"/>
    <mergeCell ref="K753:K755"/>
    <mergeCell ref="L753:L755"/>
    <mergeCell ref="M753:M755"/>
    <mergeCell ref="N753:N755"/>
    <mergeCell ref="O753:O755"/>
    <mergeCell ref="X766:AR766"/>
    <mergeCell ref="X775:AR775"/>
    <mergeCell ref="D780:D782"/>
    <mergeCell ref="E780:E782"/>
    <mergeCell ref="F780:F782"/>
    <mergeCell ref="G780:G782"/>
    <mergeCell ref="H780:H782"/>
    <mergeCell ref="I780:I782"/>
    <mergeCell ref="J780:J782"/>
    <mergeCell ref="K780:K782"/>
    <mergeCell ref="L780:L782"/>
    <mergeCell ref="M780:M782"/>
    <mergeCell ref="N780:N782"/>
    <mergeCell ref="O780:O782"/>
    <mergeCell ref="P753:P755"/>
    <mergeCell ref="Q753:Q755"/>
    <mergeCell ref="R753:R755"/>
    <mergeCell ref="S753:S755"/>
    <mergeCell ref="V731:V734"/>
    <mergeCell ref="V726:V728"/>
    <mergeCell ref="D729:V729"/>
    <mergeCell ref="D730:V730"/>
    <mergeCell ref="X730:AR730"/>
    <mergeCell ref="D731:D734"/>
    <mergeCell ref="E731:E734"/>
    <mergeCell ref="F731:F734"/>
    <mergeCell ref="G731:G734"/>
    <mergeCell ref="H731:H734"/>
    <mergeCell ref="I731:I734"/>
    <mergeCell ref="J731:J734"/>
    <mergeCell ref="K731:K734"/>
    <mergeCell ref="L731:L734"/>
    <mergeCell ref="M731:M734"/>
    <mergeCell ref="N731:N734"/>
    <mergeCell ref="O731:O734"/>
    <mergeCell ref="P731:P734"/>
    <mergeCell ref="Q731:Q734"/>
    <mergeCell ref="R731:R734"/>
    <mergeCell ref="S731:S734"/>
    <mergeCell ref="T731:T734"/>
    <mergeCell ref="U731:U734"/>
    <mergeCell ref="Q704:Q707"/>
    <mergeCell ref="R704:R707"/>
    <mergeCell ref="S704:S707"/>
    <mergeCell ref="T704:T707"/>
    <mergeCell ref="U704:U707"/>
    <mergeCell ref="X712:AR712"/>
    <mergeCell ref="X721:AR721"/>
    <mergeCell ref="D726:D728"/>
    <mergeCell ref="E726:E728"/>
    <mergeCell ref="F726:F728"/>
    <mergeCell ref="G726:G728"/>
    <mergeCell ref="H726:H728"/>
    <mergeCell ref="I726:I728"/>
    <mergeCell ref="J726:J728"/>
    <mergeCell ref="K726:K728"/>
    <mergeCell ref="L726:L728"/>
    <mergeCell ref="M726:M728"/>
    <mergeCell ref="N726:N728"/>
    <mergeCell ref="O726:O728"/>
    <mergeCell ref="P726:P728"/>
    <mergeCell ref="Q726:Q728"/>
    <mergeCell ref="R726:R728"/>
    <mergeCell ref="S726:S728"/>
    <mergeCell ref="T726:T728"/>
    <mergeCell ref="U726:U728"/>
    <mergeCell ref="D1:V1"/>
    <mergeCell ref="W1:W837"/>
    <mergeCell ref="X1:AR1"/>
    <mergeCell ref="AS1:AT810"/>
    <mergeCell ref="V24:V26"/>
    <mergeCell ref="X28:AR28"/>
    <mergeCell ref="X55:AR55"/>
    <mergeCell ref="X829:AT829"/>
    <mergeCell ref="P780:P782"/>
    <mergeCell ref="Q780:Q782"/>
    <mergeCell ref="R780:R782"/>
    <mergeCell ref="S780:S782"/>
    <mergeCell ref="T780:T782"/>
    <mergeCell ref="U780:U782"/>
    <mergeCell ref="V780:V782"/>
    <mergeCell ref="D783:V783"/>
    <mergeCell ref="D784:V784"/>
    <mergeCell ref="X784:AR784"/>
    <mergeCell ref="D785:D788"/>
    <mergeCell ref="E785:E788"/>
    <mergeCell ref="F785:F788"/>
    <mergeCell ref="G785:G788"/>
    <mergeCell ref="P699:P701"/>
    <mergeCell ref="Q699:Q701"/>
    <mergeCell ref="R699:R701"/>
    <mergeCell ref="S699:S701"/>
    <mergeCell ref="T699:T701"/>
    <mergeCell ref="U699:U701"/>
    <mergeCell ref="V704:V707"/>
    <mergeCell ref="V699:V701"/>
    <mergeCell ref="D702:V702"/>
    <mergeCell ref="D703:V703"/>
    <mergeCell ref="A729:C729"/>
    <mergeCell ref="A730:C730"/>
    <mergeCell ref="A731:A755"/>
    <mergeCell ref="B731:B734"/>
    <mergeCell ref="C731:C734"/>
    <mergeCell ref="B753:B755"/>
    <mergeCell ref="C753:C755"/>
    <mergeCell ref="A838:C885"/>
    <mergeCell ref="X532:AR532"/>
    <mergeCell ref="D537:D539"/>
    <mergeCell ref="E537:E539"/>
    <mergeCell ref="F537:F539"/>
    <mergeCell ref="G537:G539"/>
    <mergeCell ref="H537:H539"/>
    <mergeCell ref="I537:I539"/>
    <mergeCell ref="V537:V539"/>
    <mergeCell ref="X811:AT811"/>
    <mergeCell ref="X820:AT820"/>
    <mergeCell ref="X703:AR703"/>
    <mergeCell ref="D704:D707"/>
    <mergeCell ref="E704:E707"/>
    <mergeCell ref="F704:F707"/>
    <mergeCell ref="G704:G707"/>
    <mergeCell ref="H704:H707"/>
    <mergeCell ref="I704:I707"/>
    <mergeCell ref="J704:J707"/>
    <mergeCell ref="K704:K707"/>
    <mergeCell ref="L704:L707"/>
    <mergeCell ref="M704:M707"/>
    <mergeCell ref="N704:N707"/>
    <mergeCell ref="O704:O707"/>
    <mergeCell ref="P704:P707"/>
    <mergeCell ref="A650:A674"/>
    <mergeCell ref="B650:B653"/>
    <mergeCell ref="C650:C653"/>
    <mergeCell ref="B672:B674"/>
    <mergeCell ref="C672:C674"/>
    <mergeCell ref="A675:C675"/>
    <mergeCell ref="A676:C676"/>
    <mergeCell ref="A677:A701"/>
    <mergeCell ref="B677:B680"/>
    <mergeCell ref="C677:C680"/>
    <mergeCell ref="B699:B701"/>
    <mergeCell ref="C699:C701"/>
    <mergeCell ref="A702:C702"/>
    <mergeCell ref="A703:C703"/>
    <mergeCell ref="A704:A728"/>
    <mergeCell ref="B704:B707"/>
    <mergeCell ref="C704:C707"/>
    <mergeCell ref="B726:B728"/>
    <mergeCell ref="C726:C728"/>
    <mergeCell ref="K834:K836"/>
    <mergeCell ref="L834:L836"/>
    <mergeCell ref="T834:T836"/>
    <mergeCell ref="U834:U836"/>
    <mergeCell ref="V834:V836"/>
    <mergeCell ref="D837:V837"/>
    <mergeCell ref="D838:P840"/>
    <mergeCell ref="M834:M836"/>
    <mergeCell ref="N834:N836"/>
    <mergeCell ref="O834:O836"/>
    <mergeCell ref="P834:P836"/>
    <mergeCell ref="Q834:Q836"/>
    <mergeCell ref="R834:R836"/>
    <mergeCell ref="S834:S836"/>
    <mergeCell ref="A567:C567"/>
    <mergeCell ref="A568:C568"/>
    <mergeCell ref="A569:A593"/>
    <mergeCell ref="B569:B572"/>
    <mergeCell ref="C569:C572"/>
    <mergeCell ref="B591:B593"/>
    <mergeCell ref="C591:C593"/>
    <mergeCell ref="A594:C594"/>
    <mergeCell ref="A595:C595"/>
    <mergeCell ref="A596:A620"/>
    <mergeCell ref="B596:B599"/>
    <mergeCell ref="C596:C599"/>
    <mergeCell ref="B618:B620"/>
    <mergeCell ref="C618:C620"/>
    <mergeCell ref="A621:C621"/>
    <mergeCell ref="A622:C622"/>
    <mergeCell ref="A623:A647"/>
    <mergeCell ref="B623:B626"/>
    <mergeCell ref="A540:C540"/>
    <mergeCell ref="A541:C541"/>
    <mergeCell ref="A542:A566"/>
    <mergeCell ref="B542:B545"/>
    <mergeCell ref="C542:C545"/>
    <mergeCell ref="B564:B566"/>
    <mergeCell ref="C564:C566"/>
    <mergeCell ref="H812:H815"/>
    <mergeCell ref="I812:I815"/>
    <mergeCell ref="J812:J815"/>
    <mergeCell ref="B834:B836"/>
    <mergeCell ref="C834:C836"/>
    <mergeCell ref="A837:C837"/>
    <mergeCell ref="D834:D836"/>
    <mergeCell ref="E834:E836"/>
    <mergeCell ref="A812:A836"/>
    <mergeCell ref="B812:B815"/>
    <mergeCell ref="C812:C815"/>
    <mergeCell ref="D812:D815"/>
    <mergeCell ref="E812:E815"/>
    <mergeCell ref="F812:F815"/>
    <mergeCell ref="G812:G815"/>
    <mergeCell ref="F834:F836"/>
    <mergeCell ref="G834:G836"/>
    <mergeCell ref="H834:H836"/>
    <mergeCell ref="I834:I836"/>
    <mergeCell ref="J834:J836"/>
    <mergeCell ref="C623:C626"/>
    <mergeCell ref="B645:B647"/>
    <mergeCell ref="C645:C647"/>
    <mergeCell ref="A648:C648"/>
    <mergeCell ref="A649:C649"/>
    <mergeCell ref="A460:C460"/>
    <mergeCell ref="A461:A485"/>
    <mergeCell ref="B461:B464"/>
    <mergeCell ref="C461:C464"/>
    <mergeCell ref="B483:B485"/>
    <mergeCell ref="C483:C485"/>
    <mergeCell ref="A486:C486"/>
    <mergeCell ref="A487:C487"/>
    <mergeCell ref="A488:A512"/>
    <mergeCell ref="B488:B491"/>
    <mergeCell ref="C488:C491"/>
    <mergeCell ref="B510:B512"/>
    <mergeCell ref="C510:C512"/>
    <mergeCell ref="A513:C513"/>
    <mergeCell ref="A514:C514"/>
    <mergeCell ref="A515:A539"/>
    <mergeCell ref="B515:B518"/>
    <mergeCell ref="C515:C518"/>
    <mergeCell ref="B537:B539"/>
    <mergeCell ref="C537:C539"/>
    <mergeCell ref="B456:B458"/>
    <mergeCell ref="C456:C458"/>
    <mergeCell ref="D456:D458"/>
    <mergeCell ref="E456:E458"/>
    <mergeCell ref="F456:F458"/>
    <mergeCell ref="G456:G458"/>
    <mergeCell ref="H456:H458"/>
    <mergeCell ref="I456:I458"/>
    <mergeCell ref="J456:J458"/>
    <mergeCell ref="A432:C432"/>
    <mergeCell ref="A433:C433"/>
    <mergeCell ref="A434:A458"/>
    <mergeCell ref="B434:B437"/>
    <mergeCell ref="C434:C437"/>
    <mergeCell ref="D434:D437"/>
    <mergeCell ref="E434:E437"/>
    <mergeCell ref="A459:C459"/>
    <mergeCell ref="D432:V432"/>
    <mergeCell ref="D433:V433"/>
    <mergeCell ref="Q434:Q437"/>
    <mergeCell ref="R434:R437"/>
    <mergeCell ref="S434:S437"/>
    <mergeCell ref="T434:T437"/>
    <mergeCell ref="U434:U437"/>
    <mergeCell ref="V434:V437"/>
    <mergeCell ref="D459:V459"/>
    <mergeCell ref="D429:D431"/>
    <mergeCell ref="E429:E431"/>
    <mergeCell ref="F429:F431"/>
    <mergeCell ref="G429:G431"/>
    <mergeCell ref="H429:H431"/>
    <mergeCell ref="I429:I431"/>
    <mergeCell ref="J429:J431"/>
    <mergeCell ref="A405:C405"/>
    <mergeCell ref="A406:C406"/>
    <mergeCell ref="A407:A431"/>
    <mergeCell ref="B407:B410"/>
    <mergeCell ref="C407:C410"/>
    <mergeCell ref="B429:B431"/>
    <mergeCell ref="C429:C431"/>
    <mergeCell ref="F434:F437"/>
    <mergeCell ref="G434:G437"/>
    <mergeCell ref="H434:H437"/>
    <mergeCell ref="I434:I437"/>
    <mergeCell ref="J434:J437"/>
    <mergeCell ref="D405:V405"/>
    <mergeCell ref="D406:V406"/>
    <mergeCell ref="Q407:Q410"/>
    <mergeCell ref="R407:R410"/>
    <mergeCell ref="D402:D404"/>
    <mergeCell ref="E402:E404"/>
    <mergeCell ref="F402:F404"/>
    <mergeCell ref="G402:G404"/>
    <mergeCell ref="H402:H404"/>
    <mergeCell ref="I402:I404"/>
    <mergeCell ref="J402:J404"/>
    <mergeCell ref="A378:C378"/>
    <mergeCell ref="A379:C379"/>
    <mergeCell ref="A380:A404"/>
    <mergeCell ref="B380:B383"/>
    <mergeCell ref="C380:C383"/>
    <mergeCell ref="D380:D383"/>
    <mergeCell ref="E380:E383"/>
    <mergeCell ref="I407:I410"/>
    <mergeCell ref="J407:J410"/>
    <mergeCell ref="B402:B404"/>
    <mergeCell ref="C402:C404"/>
    <mergeCell ref="D407:D410"/>
    <mergeCell ref="E407:E410"/>
    <mergeCell ref="F407:F410"/>
    <mergeCell ref="G407:G410"/>
    <mergeCell ref="H407:H410"/>
    <mergeCell ref="D378:V378"/>
    <mergeCell ref="D379:V379"/>
    <mergeCell ref="D375:D377"/>
    <mergeCell ref="E375:E377"/>
    <mergeCell ref="F375:F377"/>
    <mergeCell ref="G375:G377"/>
    <mergeCell ref="H375:H377"/>
    <mergeCell ref="I375:I377"/>
    <mergeCell ref="J375:J377"/>
    <mergeCell ref="A351:C351"/>
    <mergeCell ref="A352:C352"/>
    <mergeCell ref="A353:A377"/>
    <mergeCell ref="B353:B356"/>
    <mergeCell ref="C353:C356"/>
    <mergeCell ref="B375:B377"/>
    <mergeCell ref="C375:C377"/>
    <mergeCell ref="F380:F383"/>
    <mergeCell ref="G380:G383"/>
    <mergeCell ref="H380:H383"/>
    <mergeCell ref="I380:I383"/>
    <mergeCell ref="J380:J383"/>
    <mergeCell ref="D351:V351"/>
    <mergeCell ref="D352:V352"/>
    <mergeCell ref="Q353:Q356"/>
    <mergeCell ref="R353:R356"/>
    <mergeCell ref="S353:S356"/>
    <mergeCell ref="T353:T356"/>
    <mergeCell ref="U353:U356"/>
    <mergeCell ref="V353:V356"/>
    <mergeCell ref="E348:E350"/>
    <mergeCell ref="F348:F350"/>
    <mergeCell ref="G348:G350"/>
    <mergeCell ref="H348:H350"/>
    <mergeCell ref="I348:I350"/>
    <mergeCell ref="J348:J350"/>
    <mergeCell ref="A324:C324"/>
    <mergeCell ref="A325:C325"/>
    <mergeCell ref="A326:A350"/>
    <mergeCell ref="B326:B329"/>
    <mergeCell ref="C326:C329"/>
    <mergeCell ref="D326:D329"/>
    <mergeCell ref="E326:E329"/>
    <mergeCell ref="I353:I356"/>
    <mergeCell ref="J353:J356"/>
    <mergeCell ref="B348:B350"/>
    <mergeCell ref="C348:C350"/>
    <mergeCell ref="D353:D356"/>
    <mergeCell ref="E353:E356"/>
    <mergeCell ref="F353:F356"/>
    <mergeCell ref="G353:G356"/>
    <mergeCell ref="H353:H356"/>
    <mergeCell ref="E299:E302"/>
    <mergeCell ref="F299:F302"/>
    <mergeCell ref="G299:G302"/>
    <mergeCell ref="H299:H302"/>
    <mergeCell ref="D321:D323"/>
    <mergeCell ref="E321:E323"/>
    <mergeCell ref="F321:F323"/>
    <mergeCell ref="G321:G323"/>
    <mergeCell ref="H321:H323"/>
    <mergeCell ref="I321:I323"/>
    <mergeCell ref="J321:J323"/>
    <mergeCell ref="A297:C297"/>
    <mergeCell ref="A298:C298"/>
    <mergeCell ref="A299:A323"/>
    <mergeCell ref="B299:B302"/>
    <mergeCell ref="C299:C302"/>
    <mergeCell ref="B321:B323"/>
    <mergeCell ref="C321:C323"/>
    <mergeCell ref="A243:C243"/>
    <mergeCell ref="A244:C244"/>
    <mergeCell ref="A245:A269"/>
    <mergeCell ref="B245:B248"/>
    <mergeCell ref="C245:C248"/>
    <mergeCell ref="B267:B269"/>
    <mergeCell ref="C267:C269"/>
    <mergeCell ref="F272:F275"/>
    <mergeCell ref="G272:G275"/>
    <mergeCell ref="H272:H275"/>
    <mergeCell ref="I272:I275"/>
    <mergeCell ref="J272:J275"/>
    <mergeCell ref="D294:D296"/>
    <mergeCell ref="E294:E296"/>
    <mergeCell ref="F294:F296"/>
    <mergeCell ref="G294:G296"/>
    <mergeCell ref="H294:H296"/>
    <mergeCell ref="I294:I296"/>
    <mergeCell ref="J294:J296"/>
    <mergeCell ref="A270:C270"/>
    <mergeCell ref="A271:C271"/>
    <mergeCell ref="A272:A296"/>
    <mergeCell ref="B272:B275"/>
    <mergeCell ref="C272:C275"/>
    <mergeCell ref="D272:D275"/>
    <mergeCell ref="E272:E275"/>
    <mergeCell ref="B294:B296"/>
    <mergeCell ref="C294:C296"/>
    <mergeCell ref="B186:B188"/>
    <mergeCell ref="C186:C188"/>
    <mergeCell ref="D213:D215"/>
    <mergeCell ref="E213:E215"/>
    <mergeCell ref="F213:F215"/>
    <mergeCell ref="G213:G215"/>
    <mergeCell ref="H213:H215"/>
    <mergeCell ref="I213:I215"/>
    <mergeCell ref="J213:J215"/>
    <mergeCell ref="A189:C189"/>
    <mergeCell ref="A190:C190"/>
    <mergeCell ref="A191:A215"/>
    <mergeCell ref="B191:B194"/>
    <mergeCell ref="C191:C194"/>
    <mergeCell ref="B213:B215"/>
    <mergeCell ref="C213:C215"/>
    <mergeCell ref="F218:F221"/>
    <mergeCell ref="G218:G221"/>
    <mergeCell ref="A216:C216"/>
    <mergeCell ref="A217:C217"/>
    <mergeCell ref="A218:A242"/>
    <mergeCell ref="B218:B221"/>
    <mergeCell ref="C218:C221"/>
    <mergeCell ref="D218:D221"/>
    <mergeCell ref="E218:E221"/>
    <mergeCell ref="B240:B242"/>
    <mergeCell ref="C240:C242"/>
    <mergeCell ref="D847:J847"/>
    <mergeCell ref="K847:P847"/>
    <mergeCell ref="D848:J848"/>
    <mergeCell ref="K848:P848"/>
    <mergeCell ref="A81:C81"/>
    <mergeCell ref="A82:C82"/>
    <mergeCell ref="A83:A107"/>
    <mergeCell ref="B83:B86"/>
    <mergeCell ref="C83:C86"/>
    <mergeCell ref="D83:D86"/>
    <mergeCell ref="E83:E86"/>
    <mergeCell ref="D132:D134"/>
    <mergeCell ref="E132:E134"/>
    <mergeCell ref="B105:B107"/>
    <mergeCell ref="C105:C107"/>
    <mergeCell ref="A110:A134"/>
    <mergeCell ref="B110:B113"/>
    <mergeCell ref="C110:C113"/>
    <mergeCell ref="B132:B134"/>
    <mergeCell ref="C132:C134"/>
    <mergeCell ref="A135:C135"/>
    <mergeCell ref="A136:C136"/>
    <mergeCell ref="A137:A161"/>
    <mergeCell ref="B137:B140"/>
    <mergeCell ref="C137:C140"/>
    <mergeCell ref="B159:B161"/>
    <mergeCell ref="C159:C161"/>
    <mergeCell ref="A162:C162"/>
    <mergeCell ref="A163:C163"/>
    <mergeCell ref="A164:A188"/>
    <mergeCell ref="B164:B167"/>
    <mergeCell ref="C164:C167"/>
    <mergeCell ref="A810:C810"/>
    <mergeCell ref="D810:V810"/>
    <mergeCell ref="A811:C811"/>
    <mergeCell ref="D811:V811"/>
    <mergeCell ref="R812:R815"/>
    <mergeCell ref="S812:S815"/>
    <mergeCell ref="T812:T815"/>
    <mergeCell ref="U812:U815"/>
    <mergeCell ref="V812:V815"/>
    <mergeCell ref="Q838:AT885"/>
    <mergeCell ref="K812:K815"/>
    <mergeCell ref="L812:L815"/>
    <mergeCell ref="M812:M815"/>
    <mergeCell ref="N812:N815"/>
    <mergeCell ref="O812:O815"/>
    <mergeCell ref="P812:P815"/>
    <mergeCell ref="Q812:Q815"/>
    <mergeCell ref="D841:J842"/>
    <mergeCell ref="K841:P842"/>
    <mergeCell ref="D843:J843"/>
    <mergeCell ref="K843:P843"/>
    <mergeCell ref="D844:J844"/>
    <mergeCell ref="K844:P844"/>
    <mergeCell ref="K845:P845"/>
    <mergeCell ref="D882:J882"/>
    <mergeCell ref="K882:P882"/>
    <mergeCell ref="D883:J883"/>
    <mergeCell ref="K883:P883"/>
    <mergeCell ref="D884:P885"/>
    <mergeCell ref="D845:J845"/>
    <mergeCell ref="D846:J846"/>
    <mergeCell ref="K846:P846"/>
    <mergeCell ref="D875:J875"/>
    <mergeCell ref="D876:J876"/>
    <mergeCell ref="K876:P876"/>
    <mergeCell ref="D872:J872"/>
    <mergeCell ref="K872:P872"/>
    <mergeCell ref="D873:J873"/>
    <mergeCell ref="K873:P873"/>
    <mergeCell ref="D874:J874"/>
    <mergeCell ref="K874:P874"/>
    <mergeCell ref="K875:P875"/>
    <mergeCell ref="D880:J880"/>
    <mergeCell ref="D881:J881"/>
    <mergeCell ref="K881:P881"/>
    <mergeCell ref="D877:J877"/>
    <mergeCell ref="K877:P877"/>
    <mergeCell ref="D878:J878"/>
    <mergeCell ref="K878:P878"/>
    <mergeCell ref="D879:J879"/>
    <mergeCell ref="K879:P879"/>
    <mergeCell ref="K880:P880"/>
    <mergeCell ref="D866:J866"/>
    <mergeCell ref="K866:P866"/>
    <mergeCell ref="D859:J859"/>
    <mergeCell ref="K859:P859"/>
    <mergeCell ref="D860:J860"/>
    <mergeCell ref="K860:P860"/>
    <mergeCell ref="D861:P863"/>
    <mergeCell ref="D864:J865"/>
    <mergeCell ref="K864:P865"/>
    <mergeCell ref="D870:J870"/>
    <mergeCell ref="D871:J871"/>
    <mergeCell ref="K871:P871"/>
    <mergeCell ref="D867:J867"/>
    <mergeCell ref="K867:P867"/>
    <mergeCell ref="D868:J868"/>
    <mergeCell ref="K868:P868"/>
    <mergeCell ref="D869:J869"/>
    <mergeCell ref="K869:P869"/>
    <mergeCell ref="K870:P870"/>
    <mergeCell ref="D852:J852"/>
    <mergeCell ref="D853:J853"/>
    <mergeCell ref="K853:P853"/>
    <mergeCell ref="D849:J849"/>
    <mergeCell ref="K849:P849"/>
    <mergeCell ref="D850:J850"/>
    <mergeCell ref="K850:P850"/>
    <mergeCell ref="D851:J851"/>
    <mergeCell ref="K851:P851"/>
    <mergeCell ref="K852:P852"/>
    <mergeCell ref="D857:J857"/>
    <mergeCell ref="D858:J858"/>
    <mergeCell ref="K858:P858"/>
    <mergeCell ref="D854:J854"/>
    <mergeCell ref="K854:P854"/>
    <mergeCell ref="D855:J855"/>
    <mergeCell ref="K855:P855"/>
    <mergeCell ref="D856:J856"/>
    <mergeCell ref="K856:P856"/>
    <mergeCell ref="K857:P857"/>
    <mergeCell ref="X793:AR793"/>
    <mergeCell ref="X802:AR802"/>
    <mergeCell ref="J785:J788"/>
    <mergeCell ref="K785:K788"/>
    <mergeCell ref="L785:L788"/>
    <mergeCell ref="M785:M788"/>
    <mergeCell ref="N785:N788"/>
    <mergeCell ref="O785:O788"/>
    <mergeCell ref="P785:P788"/>
    <mergeCell ref="B807:B809"/>
    <mergeCell ref="C807:C809"/>
    <mergeCell ref="D807:D809"/>
    <mergeCell ref="E807:E809"/>
    <mergeCell ref="F807:F809"/>
    <mergeCell ref="G807:G809"/>
    <mergeCell ref="Q807:Q809"/>
    <mergeCell ref="R807:R809"/>
    <mergeCell ref="S807:S809"/>
    <mergeCell ref="T807:T809"/>
    <mergeCell ref="U807:U809"/>
    <mergeCell ref="V807:V809"/>
    <mergeCell ref="B785:B788"/>
    <mergeCell ref="C785:C788"/>
    <mergeCell ref="H785:H788"/>
    <mergeCell ref="I785:I788"/>
    <mergeCell ref="O807:O809"/>
    <mergeCell ref="P807:P809"/>
    <mergeCell ref="H807:H809"/>
    <mergeCell ref="I807:I809"/>
    <mergeCell ref="J807:J809"/>
    <mergeCell ref="K807:K809"/>
    <mergeCell ref="L807:L809"/>
    <mergeCell ref="D324:V324"/>
    <mergeCell ref="D325:V325"/>
    <mergeCell ref="Q326:Q329"/>
    <mergeCell ref="R326:R329"/>
    <mergeCell ref="S326:S329"/>
    <mergeCell ref="T326:T329"/>
    <mergeCell ref="U326:U329"/>
    <mergeCell ref="V326:V329"/>
    <mergeCell ref="A756:C756"/>
    <mergeCell ref="A757:C757"/>
    <mergeCell ref="A758:A782"/>
    <mergeCell ref="B758:B761"/>
    <mergeCell ref="C758:C761"/>
    <mergeCell ref="B780:B782"/>
    <mergeCell ref="C780:C782"/>
    <mergeCell ref="Q785:Q788"/>
    <mergeCell ref="R785:R788"/>
    <mergeCell ref="S785:S788"/>
    <mergeCell ref="T785:T788"/>
    <mergeCell ref="U785:U788"/>
    <mergeCell ref="V785:V788"/>
    <mergeCell ref="A783:C783"/>
    <mergeCell ref="A784:C784"/>
    <mergeCell ref="A785:A809"/>
    <mergeCell ref="M807:M809"/>
    <mergeCell ref="N807:N809"/>
    <mergeCell ref="F326:F329"/>
    <mergeCell ref="G326:G329"/>
    <mergeCell ref="H326:H329"/>
    <mergeCell ref="I326:I329"/>
    <mergeCell ref="J326:J329"/>
    <mergeCell ref="D348:D350"/>
    <mergeCell ref="D297:V297"/>
    <mergeCell ref="D298:V298"/>
    <mergeCell ref="Q299:Q302"/>
    <mergeCell ref="R299:R302"/>
    <mergeCell ref="S299:S302"/>
    <mergeCell ref="T299:T302"/>
    <mergeCell ref="U299:U302"/>
    <mergeCell ref="V299:V302"/>
    <mergeCell ref="X298:AR298"/>
    <mergeCell ref="K299:K302"/>
    <mergeCell ref="L299:L302"/>
    <mergeCell ref="M299:M302"/>
    <mergeCell ref="N299:N302"/>
    <mergeCell ref="O299:O302"/>
    <mergeCell ref="P299:P302"/>
    <mergeCell ref="K321:K323"/>
    <mergeCell ref="L321:L323"/>
    <mergeCell ref="M321:M323"/>
    <mergeCell ref="N321:N323"/>
    <mergeCell ref="O321:O323"/>
    <mergeCell ref="P321:P323"/>
    <mergeCell ref="Q321:Q323"/>
    <mergeCell ref="R321:R323"/>
    <mergeCell ref="X307:AR307"/>
    <mergeCell ref="X316:AR316"/>
    <mergeCell ref="S321:S323"/>
    <mergeCell ref="T321:T323"/>
    <mergeCell ref="U321:U323"/>
    <mergeCell ref="V321:V323"/>
    <mergeCell ref="I299:I302"/>
    <mergeCell ref="J299:J302"/>
    <mergeCell ref="D299:D302"/>
    <mergeCell ref="X271:AR271"/>
    <mergeCell ref="K272:K275"/>
    <mergeCell ref="L272:L275"/>
    <mergeCell ref="M272:M275"/>
    <mergeCell ref="N272:N275"/>
    <mergeCell ref="O272:O275"/>
    <mergeCell ref="P272:P275"/>
    <mergeCell ref="X280:AR280"/>
    <mergeCell ref="X289:AR289"/>
    <mergeCell ref="K294:K296"/>
    <mergeCell ref="L294:L296"/>
    <mergeCell ref="M294:M296"/>
    <mergeCell ref="N294:N296"/>
    <mergeCell ref="X235:AR235"/>
    <mergeCell ref="D240:D242"/>
    <mergeCell ref="E240:E242"/>
    <mergeCell ref="F240:F242"/>
    <mergeCell ref="G240:G242"/>
    <mergeCell ref="H240:H242"/>
    <mergeCell ref="I240:I242"/>
    <mergeCell ref="V240:V242"/>
    <mergeCell ref="O294:O296"/>
    <mergeCell ref="P294:P296"/>
    <mergeCell ref="Q294:Q296"/>
    <mergeCell ref="R294:R296"/>
    <mergeCell ref="S294:S296"/>
    <mergeCell ref="T294:T296"/>
    <mergeCell ref="U294:U296"/>
    <mergeCell ref="V294:V296"/>
    <mergeCell ref="I245:I248"/>
    <mergeCell ref="J245:J248"/>
    <mergeCell ref="D245:D248"/>
    <mergeCell ref="K267:K269"/>
    <mergeCell ref="L267:L269"/>
    <mergeCell ref="M267:M269"/>
    <mergeCell ref="N267:N269"/>
    <mergeCell ref="O267:O269"/>
    <mergeCell ref="P267:P269"/>
    <mergeCell ref="Q267:Q269"/>
    <mergeCell ref="R267:R269"/>
    <mergeCell ref="S267:S269"/>
    <mergeCell ref="T267:T269"/>
    <mergeCell ref="U267:U269"/>
    <mergeCell ref="V267:V269"/>
    <mergeCell ref="D270:V270"/>
    <mergeCell ref="D271:V271"/>
    <mergeCell ref="Q272:Q275"/>
    <mergeCell ref="R272:R275"/>
    <mergeCell ref="S272:S275"/>
    <mergeCell ref="T272:T275"/>
    <mergeCell ref="U272:U275"/>
    <mergeCell ref="V272:V275"/>
    <mergeCell ref="D267:D269"/>
    <mergeCell ref="E267:E269"/>
    <mergeCell ref="F267:F269"/>
    <mergeCell ref="G267:G269"/>
    <mergeCell ref="H267:H269"/>
    <mergeCell ref="I267:I269"/>
    <mergeCell ref="J267:J269"/>
    <mergeCell ref="D243:V243"/>
    <mergeCell ref="D244:V244"/>
    <mergeCell ref="Q245:Q248"/>
    <mergeCell ref="R245:R248"/>
    <mergeCell ref="S245:S248"/>
    <mergeCell ref="T245:T248"/>
    <mergeCell ref="U245:U248"/>
    <mergeCell ref="V245:V248"/>
    <mergeCell ref="X244:AR244"/>
    <mergeCell ref="K245:K248"/>
    <mergeCell ref="L245:L248"/>
    <mergeCell ref="M245:M248"/>
    <mergeCell ref="N245:N248"/>
    <mergeCell ref="O245:O248"/>
    <mergeCell ref="P245:P248"/>
    <mergeCell ref="X253:AR253"/>
    <mergeCell ref="X262:AR262"/>
    <mergeCell ref="E245:E248"/>
    <mergeCell ref="F245:F248"/>
    <mergeCell ref="G245:G248"/>
    <mergeCell ref="H245:H248"/>
    <mergeCell ref="O218:O221"/>
    <mergeCell ref="P218:P221"/>
    <mergeCell ref="Q218:Q221"/>
    <mergeCell ref="R218:R221"/>
    <mergeCell ref="S218:S221"/>
    <mergeCell ref="T218:T221"/>
    <mergeCell ref="U218:U221"/>
    <mergeCell ref="X172:AR172"/>
    <mergeCell ref="X181:AR181"/>
    <mergeCell ref="V218:V221"/>
    <mergeCell ref="X226:AR226"/>
    <mergeCell ref="J240:J242"/>
    <mergeCell ref="K240:K242"/>
    <mergeCell ref="L240:L242"/>
    <mergeCell ref="M240:M242"/>
    <mergeCell ref="N240:N242"/>
    <mergeCell ref="O240:O242"/>
    <mergeCell ref="P240:P242"/>
    <mergeCell ref="Q240:Q242"/>
    <mergeCell ref="R240:R242"/>
    <mergeCell ref="S240:S242"/>
    <mergeCell ref="T240:T242"/>
    <mergeCell ref="U240:U242"/>
    <mergeCell ref="D186:D188"/>
    <mergeCell ref="E186:E188"/>
    <mergeCell ref="F186:F188"/>
    <mergeCell ref="G186:G188"/>
    <mergeCell ref="H186:H188"/>
    <mergeCell ref="I186:I188"/>
    <mergeCell ref="J186:J188"/>
    <mergeCell ref="K186:K188"/>
    <mergeCell ref="L186:L188"/>
    <mergeCell ref="M186:M188"/>
    <mergeCell ref="H218:H221"/>
    <mergeCell ref="I218:I221"/>
    <mergeCell ref="J218:J221"/>
    <mergeCell ref="K218:K221"/>
    <mergeCell ref="L218:L221"/>
    <mergeCell ref="M218:M221"/>
    <mergeCell ref="N218:N221"/>
    <mergeCell ref="D162:V162"/>
    <mergeCell ref="D163:V163"/>
    <mergeCell ref="J164:J167"/>
    <mergeCell ref="K164:K167"/>
    <mergeCell ref="L164:L167"/>
    <mergeCell ref="M164:M167"/>
    <mergeCell ref="N164:N167"/>
    <mergeCell ref="O164:O167"/>
    <mergeCell ref="P164:P167"/>
    <mergeCell ref="Q164:Q167"/>
    <mergeCell ref="R164:R167"/>
    <mergeCell ref="S164:S167"/>
    <mergeCell ref="X163:AR163"/>
    <mergeCell ref="D164:D167"/>
    <mergeCell ref="E164:E167"/>
    <mergeCell ref="F164:F167"/>
    <mergeCell ref="G164:G167"/>
    <mergeCell ref="H164:H167"/>
    <mergeCell ref="I164:I167"/>
    <mergeCell ref="V164:V167"/>
    <mergeCell ref="T164:T167"/>
    <mergeCell ref="U164:U167"/>
    <mergeCell ref="J159:J161"/>
    <mergeCell ref="K159:K161"/>
    <mergeCell ref="L159:L161"/>
    <mergeCell ref="M159:M161"/>
    <mergeCell ref="N159:N161"/>
    <mergeCell ref="O159:O161"/>
    <mergeCell ref="P159:P161"/>
    <mergeCell ref="Q159:Q161"/>
    <mergeCell ref="R159:R161"/>
    <mergeCell ref="S159:S161"/>
    <mergeCell ref="T159:T161"/>
    <mergeCell ref="U159:U161"/>
    <mergeCell ref="X154:AR154"/>
    <mergeCell ref="D159:D161"/>
    <mergeCell ref="E159:E161"/>
    <mergeCell ref="F159:F161"/>
    <mergeCell ref="G159:G161"/>
    <mergeCell ref="H159:H161"/>
    <mergeCell ref="I159:I161"/>
    <mergeCell ref="V159:V161"/>
    <mergeCell ref="N137:N140"/>
    <mergeCell ref="O137:O140"/>
    <mergeCell ref="P137:P140"/>
    <mergeCell ref="Q137:Q140"/>
    <mergeCell ref="R137:R140"/>
    <mergeCell ref="S137:S140"/>
    <mergeCell ref="T137:T140"/>
    <mergeCell ref="U137:U140"/>
    <mergeCell ref="V137:V140"/>
    <mergeCell ref="X145:AR145"/>
    <mergeCell ref="X127:AR127"/>
    <mergeCell ref="F132:F134"/>
    <mergeCell ref="G132:G134"/>
    <mergeCell ref="H132:H134"/>
    <mergeCell ref="I132:I134"/>
    <mergeCell ref="J132:J134"/>
    <mergeCell ref="K132:K134"/>
    <mergeCell ref="R213:R215"/>
    <mergeCell ref="S213:S215"/>
    <mergeCell ref="T213:T215"/>
    <mergeCell ref="U213:U215"/>
    <mergeCell ref="V213:V215"/>
    <mergeCell ref="D216:V216"/>
    <mergeCell ref="D217:V217"/>
    <mergeCell ref="X217:AR217"/>
    <mergeCell ref="K213:K215"/>
    <mergeCell ref="L213:L215"/>
    <mergeCell ref="M213:M215"/>
    <mergeCell ref="N213:N215"/>
    <mergeCell ref="O213:O215"/>
    <mergeCell ref="P213:P215"/>
    <mergeCell ref="Q213:Q215"/>
    <mergeCell ref="X91:AR91"/>
    <mergeCell ref="X100:AR100"/>
    <mergeCell ref="R110:R113"/>
    <mergeCell ref="S110:S113"/>
    <mergeCell ref="T110:T113"/>
    <mergeCell ref="U110:U113"/>
    <mergeCell ref="V110:V113"/>
    <mergeCell ref="X118:AR118"/>
    <mergeCell ref="L132:L134"/>
    <mergeCell ref="M132:M134"/>
    <mergeCell ref="N132:N134"/>
    <mergeCell ref="O132:O134"/>
    <mergeCell ref="P132:P134"/>
    <mergeCell ref="Q132:Q134"/>
    <mergeCell ref="R132:R134"/>
    <mergeCell ref="S132:S134"/>
    <mergeCell ref="T132:T134"/>
    <mergeCell ref="F110:F113"/>
    <mergeCell ref="G110:G113"/>
    <mergeCell ref="H110:H113"/>
    <mergeCell ref="I110:I113"/>
    <mergeCell ref="J110:J113"/>
    <mergeCell ref="K110:K113"/>
    <mergeCell ref="L110:L113"/>
    <mergeCell ref="M110:M113"/>
    <mergeCell ref="N110:N113"/>
    <mergeCell ref="O110:O113"/>
    <mergeCell ref="P110:P113"/>
    <mergeCell ref="Q110:Q113"/>
    <mergeCell ref="T191:T194"/>
    <mergeCell ref="U191:U194"/>
    <mergeCell ref="V191:V194"/>
    <mergeCell ref="X199:AR199"/>
    <mergeCell ref="X208:AR208"/>
    <mergeCell ref="U132:U134"/>
    <mergeCell ref="V132:V134"/>
    <mergeCell ref="D135:V135"/>
    <mergeCell ref="D136:V136"/>
    <mergeCell ref="X136:AR136"/>
    <mergeCell ref="D137:D140"/>
    <mergeCell ref="E137:E140"/>
    <mergeCell ref="F137:F140"/>
    <mergeCell ref="G137:G140"/>
    <mergeCell ref="H137:H140"/>
    <mergeCell ref="I137:I140"/>
    <mergeCell ref="J137:J140"/>
    <mergeCell ref="K137:K140"/>
    <mergeCell ref="L137:L140"/>
    <mergeCell ref="M137:M140"/>
    <mergeCell ref="A2:A26"/>
    <mergeCell ref="A27:C27"/>
    <mergeCell ref="X10:AR10"/>
    <mergeCell ref="X19:AR19"/>
    <mergeCell ref="M29:M32"/>
    <mergeCell ref="N29:N32"/>
    <mergeCell ref="O29:O32"/>
    <mergeCell ref="P29:P32"/>
    <mergeCell ref="Q29:Q32"/>
    <mergeCell ref="R29:R32"/>
    <mergeCell ref="S29:S32"/>
    <mergeCell ref="T29:T32"/>
    <mergeCell ref="U29:U32"/>
    <mergeCell ref="V29:V32"/>
    <mergeCell ref="B51:B53"/>
    <mergeCell ref="C51:C53"/>
    <mergeCell ref="D27:V27"/>
    <mergeCell ref="A28:C28"/>
    <mergeCell ref="D28:V28"/>
    <mergeCell ref="B2:B5"/>
    <mergeCell ref="A29:A53"/>
    <mergeCell ref="B29:B32"/>
    <mergeCell ref="E29:E32"/>
    <mergeCell ref="F29:F32"/>
    <mergeCell ref="G29:G32"/>
    <mergeCell ref="H29:H32"/>
    <mergeCell ref="I29:I32"/>
    <mergeCell ref="J29:J32"/>
    <mergeCell ref="K29:K32"/>
    <mergeCell ref="L29:L32"/>
    <mergeCell ref="C29:C32"/>
    <mergeCell ref="D29:D32"/>
    <mergeCell ref="V2:V5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R24:R26"/>
    <mergeCell ref="S24:S26"/>
    <mergeCell ref="T24:T26"/>
    <mergeCell ref="U24:U26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A108:C108"/>
    <mergeCell ref="A109:C109"/>
    <mergeCell ref="N186:N188"/>
    <mergeCell ref="O186:O188"/>
    <mergeCell ref="P186:P188"/>
    <mergeCell ref="Q186:Q188"/>
    <mergeCell ref="R186:R188"/>
    <mergeCell ref="S186:S188"/>
    <mergeCell ref="T186:T188"/>
    <mergeCell ref="U186:U188"/>
    <mergeCell ref="V186:V188"/>
    <mergeCell ref="D189:V189"/>
    <mergeCell ref="D190:V190"/>
    <mergeCell ref="X190:AR190"/>
    <mergeCell ref="D191:D194"/>
    <mergeCell ref="E191:E194"/>
    <mergeCell ref="F191:F194"/>
    <mergeCell ref="G191:G194"/>
    <mergeCell ref="H191:H194"/>
    <mergeCell ref="I191:I194"/>
    <mergeCell ref="J191:J194"/>
    <mergeCell ref="K191:K194"/>
    <mergeCell ref="L191:L194"/>
    <mergeCell ref="M191:M194"/>
    <mergeCell ref="N191:N194"/>
    <mergeCell ref="O191:O194"/>
    <mergeCell ref="P191:P194"/>
    <mergeCell ref="Q191:Q194"/>
    <mergeCell ref="R191:R194"/>
    <mergeCell ref="S191:S194"/>
    <mergeCell ref="D110:D113"/>
    <mergeCell ref="E110:E113"/>
    <mergeCell ref="D108:V108"/>
    <mergeCell ref="D109:V109"/>
    <mergeCell ref="X109:AR109"/>
    <mergeCell ref="P51:P53"/>
    <mergeCell ref="Q51:Q53"/>
    <mergeCell ref="I51:I53"/>
    <mergeCell ref="J51:J53"/>
    <mergeCell ref="K51:K53"/>
    <mergeCell ref="L51:L53"/>
    <mergeCell ref="M51:M53"/>
    <mergeCell ref="N51:N53"/>
    <mergeCell ref="O51:O53"/>
    <mergeCell ref="M83:M86"/>
    <mergeCell ref="N83:N86"/>
    <mergeCell ref="O83:O86"/>
    <mergeCell ref="P83:P86"/>
    <mergeCell ref="Q83:Q86"/>
    <mergeCell ref="F83:F86"/>
    <mergeCell ref="G83:G86"/>
    <mergeCell ref="H83:H86"/>
    <mergeCell ref="I83:I86"/>
    <mergeCell ref="J83:J86"/>
    <mergeCell ref="K83:K86"/>
    <mergeCell ref="L83:L86"/>
    <mergeCell ref="K105:K107"/>
    <mergeCell ref="L105:L107"/>
    <mergeCell ref="M105:M107"/>
    <mergeCell ref="N105:N107"/>
    <mergeCell ref="O105:O107"/>
    <mergeCell ref="P105:P107"/>
    <mergeCell ref="Q105:Q107"/>
    <mergeCell ref="D105:D107"/>
    <mergeCell ref="X37:AR37"/>
    <mergeCell ref="X46:AR46"/>
    <mergeCell ref="X64:AR64"/>
    <mergeCell ref="X73:AR73"/>
    <mergeCell ref="D81:V81"/>
    <mergeCell ref="D82:V82"/>
    <mergeCell ref="X82:AR82"/>
    <mergeCell ref="R83:R86"/>
    <mergeCell ref="S83:S86"/>
    <mergeCell ref="T83:T86"/>
    <mergeCell ref="U83:U86"/>
    <mergeCell ref="V83:V86"/>
    <mergeCell ref="R105:R107"/>
    <mergeCell ref="S105:S107"/>
    <mergeCell ref="T105:T107"/>
    <mergeCell ref="U105:U107"/>
    <mergeCell ref="V105:V107"/>
    <mergeCell ref="E105:E107"/>
    <mergeCell ref="F105:F107"/>
    <mergeCell ref="G105:G107"/>
    <mergeCell ref="H105:H107"/>
    <mergeCell ref="I105:I107"/>
    <mergeCell ref="J105:J107"/>
    <mergeCell ref="D51:D53"/>
    <mergeCell ref="E51:E53"/>
    <mergeCell ref="F51:F53"/>
    <mergeCell ref="G51:G53"/>
    <mergeCell ref="H51:H53"/>
    <mergeCell ref="R51:R53"/>
    <mergeCell ref="S51:S53"/>
    <mergeCell ref="R78:R80"/>
    <mergeCell ref="S78:S80"/>
    <mergeCell ref="T78:T80"/>
    <mergeCell ref="U78:U80"/>
    <mergeCell ref="V78:V80"/>
    <mergeCell ref="T51:T53"/>
    <mergeCell ref="U51:U53"/>
    <mergeCell ref="V56:V59"/>
    <mergeCell ref="V51:V53"/>
    <mergeCell ref="A54:C54"/>
    <mergeCell ref="D54:V54"/>
    <mergeCell ref="A55:C55"/>
    <mergeCell ref="D55:V55"/>
    <mergeCell ref="A1:C1"/>
    <mergeCell ref="A56:A80"/>
    <mergeCell ref="B56:B59"/>
    <mergeCell ref="C56:C59"/>
    <mergeCell ref="B78:B80"/>
    <mergeCell ref="C78:C80"/>
    <mergeCell ref="F56:F59"/>
    <mergeCell ref="G56:G59"/>
    <mergeCell ref="D56:D59"/>
    <mergeCell ref="E56:E59"/>
    <mergeCell ref="D78:D80"/>
    <mergeCell ref="E78:E80"/>
    <mergeCell ref="F78:F80"/>
    <mergeCell ref="G78:G80"/>
    <mergeCell ref="H78:H80"/>
    <mergeCell ref="C2:C5"/>
    <mergeCell ref="D2:D5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P78:P80"/>
    <mergeCell ref="Q78:Q80"/>
    <mergeCell ref="I78:I80"/>
    <mergeCell ref="J78:J80"/>
    <mergeCell ref="K78:K80"/>
    <mergeCell ref="L78:L80"/>
    <mergeCell ref="M78:M80"/>
    <mergeCell ref="N78:N80"/>
    <mergeCell ref="O78:O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JULI 2026</vt:lpstr>
      <vt:lpstr>AGUSTUS 2026</vt:lpstr>
      <vt:lpstr>SEPTEMBER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Abi Nubly</cp:lastModifiedBy>
  <dcterms:modified xsi:type="dcterms:W3CDTF">2026-09-26T13:36:08Z</dcterms:modified>
</cp:coreProperties>
</file>